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Z:\Obras\ENGENHARIA\PROPOSTA - NOVAS OBRAS\PRAÇA MATRIZ\ANÁLISE IV - GIGOV\"/>
    </mc:Choice>
  </mc:AlternateContent>
  <bookViews>
    <workbookView xWindow="0" yWindow="0" windowWidth="25200" windowHeight="11925"/>
  </bookViews>
  <sheets>
    <sheet name="PLANILHA ORÇAMENTÁRIA" sheetId="2" r:id="rId1"/>
    <sheet name="QCI" sheetId="35" r:id="rId2"/>
    <sheet name="MEMORIA DE CÁLCULO" sheetId="25" r:id="rId3"/>
    <sheet name="BDI" sheetId="3" r:id="rId4"/>
    <sheet name="COTAÇÃO" sheetId="28" r:id="rId5"/>
    <sheet name="CRONOGRAMA" sheetId="33" r:id="rId6"/>
    <sheet name="ELE-01" sheetId="5" r:id="rId7"/>
    <sheet name="ELE-02" sheetId="31" r:id="rId8"/>
    <sheet name="ELE-03" sheetId="32" r:id="rId9"/>
    <sheet name="ELE-04" sheetId="34" r:id="rId10"/>
    <sheet name="COMP-01" sheetId="24" r:id="rId11"/>
    <sheet name="COMP-02" sheetId="30" r:id="rId12"/>
    <sheet name="COMP-03" sheetId="29" r:id="rId13"/>
    <sheet name="COMP-04" sheetId="8" r:id="rId14"/>
    <sheet name="COMP-05" sheetId="9" r:id="rId15"/>
    <sheet name="COMP-06" sheetId="12" r:id="rId16"/>
    <sheet name="COMP-07" sheetId="13" r:id="rId17"/>
    <sheet name="COMP-08" sheetId="14" r:id="rId18"/>
    <sheet name="COMP-09" sheetId="4" r:id="rId19"/>
    <sheet name="COMP-10" sheetId="15" r:id="rId20"/>
    <sheet name="COMP-11" sheetId="16" r:id="rId21"/>
    <sheet name="PAI" sheetId="21" r:id="rId22"/>
    <sheet name="LIX" sheetId="22" r:id="rId23"/>
    <sheet name="Plan2" sheetId="37" state="hidden" r:id="rId24"/>
    <sheet name="QUADRO ESTRUTURAL TÓTEM" sheetId="18" r:id="rId25"/>
    <sheet name="QUADRO ESTRUTURAL PONTO ONIBUS" sheetId="17" r:id="rId26"/>
    <sheet name="COTAÇÕES" sheetId="23" state="hidden" r:id="rId27"/>
    <sheet name="ESTRUT. METÁLICA PONTO ONIBUS" sheetId="26" state="hidden" r:id="rId28"/>
  </sheets>
  <externalReferences>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s>
  <definedNames>
    <definedName name="\s" localSheetId="10">#REF!</definedName>
    <definedName name="\s" localSheetId="8">#REF!</definedName>
    <definedName name="\s" localSheetId="2">#REF!</definedName>
    <definedName name="\s">#REF!</definedName>
    <definedName name="\t" localSheetId="10">#REF!</definedName>
    <definedName name="\t" localSheetId="8">#REF!</definedName>
    <definedName name="\t" localSheetId="2">#REF!</definedName>
    <definedName name="\t">#REF!</definedName>
    <definedName name="__6Excel_BuiltIn_Print_Area_3_1_1_1_1_1" localSheetId="10">#REF!</definedName>
    <definedName name="__6Excel_BuiltIn_Print_Area_3_1_1_1_1_1" localSheetId="8">#REF!</definedName>
    <definedName name="__6Excel_BuiltIn_Print_Area_3_1_1_1_1_1" localSheetId="2">#REF!</definedName>
    <definedName name="__6Excel_BuiltIn_Print_Area_3_1_1_1_1_1">#REF!</definedName>
    <definedName name="_10Excel_BuiltIn_Print_Area_5_1" localSheetId="8">#REF!</definedName>
    <definedName name="_10Excel_BuiltIn_Print_Area_5_1">#REF!</definedName>
    <definedName name="_10Excel_BuiltIn_Print_Area_7_1" localSheetId="8">#REF!</definedName>
    <definedName name="_10Excel_BuiltIn_Print_Area_7_1">#REF!</definedName>
    <definedName name="_11Excel_BuiltIn_Print_Area_8_1">([1]EMERGÊNCIA!$A$1:$N$213,[1]EMERGÊNCIA!$A$214:$N$290)</definedName>
    <definedName name="_12Excel_BuiltIn_Print_Area_6_1" localSheetId="10">#REF!</definedName>
    <definedName name="_12Excel_BuiltIn_Print_Area_6_1" localSheetId="8">#REF!</definedName>
    <definedName name="_12Excel_BuiltIn_Print_Area_6_1" localSheetId="2">#REF!</definedName>
    <definedName name="_12Excel_BuiltIn_Print_Area_6_1">#REF!</definedName>
    <definedName name="_12Excel_BuiltIn_Print_Area_9_1" localSheetId="10">#REF!</definedName>
    <definedName name="_12Excel_BuiltIn_Print_Area_9_1" localSheetId="8">#REF!</definedName>
    <definedName name="_12Excel_BuiltIn_Print_Area_9_1" localSheetId="2">#REF!</definedName>
    <definedName name="_12Excel_BuiltIn_Print_Area_9_1">#REF!</definedName>
    <definedName name="_13Excel_BuiltIn_Print_Titles_3_1" localSheetId="10">#REF!</definedName>
    <definedName name="_13Excel_BuiltIn_Print_Titles_3_1" localSheetId="8">#REF!</definedName>
    <definedName name="_13Excel_BuiltIn_Print_Titles_3_1" localSheetId="2">#REF!</definedName>
    <definedName name="_13Excel_BuiltIn_Print_Titles_3_1">#REF!</definedName>
    <definedName name="_14Excel_BuiltIn_Print_Area_7_1" localSheetId="8">#REF!</definedName>
    <definedName name="_14Excel_BuiltIn_Print_Area_7_1">#REF!</definedName>
    <definedName name="_14Excel_BuiltIn_Print_Titles_4_1" localSheetId="8">#REF!</definedName>
    <definedName name="_14Excel_BuiltIn_Print_Titles_4_1">#REF!</definedName>
    <definedName name="_15Excel_BuiltIn_Print_Area_8_1">([1]EMERGÊNCIA!$A$1:$N$213,[1]EMERGÊNCIA!$A$214:$N$290)</definedName>
    <definedName name="_15Excel_BuiltIn_Print_Titles_5_1" localSheetId="10">#REF!</definedName>
    <definedName name="_15Excel_BuiltIn_Print_Titles_5_1" localSheetId="8">#REF!</definedName>
    <definedName name="_15Excel_BuiltIn_Print_Titles_5_1" localSheetId="2">#REF!</definedName>
    <definedName name="_15Excel_BuiltIn_Print_Titles_5_1">#REF!</definedName>
    <definedName name="_16Excel_BuiltIn_Print_Titles_6_1" localSheetId="10">#REF!</definedName>
    <definedName name="_16Excel_BuiltIn_Print_Titles_6_1" localSheetId="8">#REF!</definedName>
    <definedName name="_16Excel_BuiltIn_Print_Titles_6_1" localSheetId="2">#REF!</definedName>
    <definedName name="_16Excel_BuiltIn_Print_Titles_6_1">#REF!</definedName>
    <definedName name="_17Excel_BuiltIn_Print_Area_9_1" localSheetId="10">#REF!</definedName>
    <definedName name="_17Excel_BuiltIn_Print_Area_9_1" localSheetId="8">#REF!</definedName>
    <definedName name="_17Excel_BuiltIn_Print_Area_9_1" localSheetId="2">#REF!</definedName>
    <definedName name="_17Excel_BuiltIn_Print_Area_9_1">#REF!</definedName>
    <definedName name="_17Excel_BuiltIn_Print_Titles_7_1" localSheetId="8">#REF!</definedName>
    <definedName name="_17Excel_BuiltIn_Print_Titles_7_1">#REF!</definedName>
    <definedName name="_18Excel_BuiltIn_Print_Titles_9_1" localSheetId="8">#REF!</definedName>
    <definedName name="_18Excel_BuiltIn_Print_Titles_9_1">#REF!</definedName>
    <definedName name="_1Excel_BuiltIn__FilterDatabase_12_1" localSheetId="8">#REF!</definedName>
    <definedName name="_1Excel_BuiltIn__FilterDatabase_12_1">#REF!</definedName>
    <definedName name="_1Excel_BuiltIn_Print_Area_2_1" localSheetId="8">#REF!</definedName>
    <definedName name="_1Excel_BuiltIn_Print_Area_2_1">#REF!</definedName>
    <definedName name="_1Excel_BuiltIn_Print_Area_3_1">#REF!</definedName>
    <definedName name="_28Excel_BuiltIn_Print_Titles_3_1" localSheetId="8">#REF!</definedName>
    <definedName name="_28Excel_BuiltIn_Print_Titles_3_1">#REF!</definedName>
    <definedName name="_2Excel_BuiltIn__FilterDatabase_12_1" localSheetId="8">#REF!</definedName>
    <definedName name="_2Excel_BuiltIn__FilterDatabase_12_1">#REF!</definedName>
    <definedName name="_2Excel_BuiltIn_Print_Area_1_1_1_1_1_1_1" localSheetId="8">#REF!</definedName>
    <definedName name="_2Excel_BuiltIn_Print_Area_1_1_1_1_1_1_1">#REF!</definedName>
    <definedName name="_2Excel_BuiltIn_Print_Area_3_1_1" localSheetId="8">#REF!</definedName>
    <definedName name="_2Excel_BuiltIn_Print_Area_3_1_1">#REF!</definedName>
    <definedName name="_39Excel_BuiltIn_Print_Titles_4_1" localSheetId="8">#REF!</definedName>
    <definedName name="_39Excel_BuiltIn_Print_Titles_4_1">#REF!</definedName>
    <definedName name="_3Excel_BuiltIn_Print_Area_2_1" localSheetId="8">#REF!</definedName>
    <definedName name="_3Excel_BuiltIn_Print_Area_2_1">#REF!</definedName>
    <definedName name="_3Excel_BuiltIn_Print_Area_3_1_1_1_1_1" localSheetId="8">#REF!</definedName>
    <definedName name="_3Excel_BuiltIn_Print_Area_3_1_1_1_1_1">#REF!</definedName>
    <definedName name="_4Excel_BuiltIn_Print_Area_3_1" localSheetId="8">#REF!</definedName>
    <definedName name="_4Excel_BuiltIn_Print_Area_3_1">#REF!</definedName>
    <definedName name="_4Excel_BuiltIn_Print_Area_3_1_1_1_1_1" localSheetId="8">#REF!</definedName>
    <definedName name="_4Excel_BuiltIn_Print_Area_3_1_1_1_1_1">#REF!</definedName>
    <definedName name="_50Excel_BuiltIn_Print_Titles_5_1" localSheetId="8">#REF!</definedName>
    <definedName name="_50Excel_BuiltIn_Print_Titles_5_1">#REF!</definedName>
    <definedName name="_5Excel_BuiltIn_Print_Area_3_1" localSheetId="8">#REF!</definedName>
    <definedName name="_5Excel_BuiltIn_Print_Area_3_1">#REF!</definedName>
    <definedName name="_61Excel_BuiltIn_Print_Titles_6_1" localSheetId="8">#REF!</definedName>
    <definedName name="_61Excel_BuiltIn_Print_Titles_6_1">#REF!</definedName>
    <definedName name="_6Excel_BuiltIn_Print_Area_3_1_1_1_1_1" localSheetId="8">#REF!</definedName>
    <definedName name="_6Excel_BuiltIn_Print_Area_3_1_1_1_1_1">#REF!</definedName>
    <definedName name="_72Excel_BuiltIn_Print_Titles_7_1" localSheetId="8">#REF!</definedName>
    <definedName name="_72Excel_BuiltIn_Print_Titles_7_1">#REF!</definedName>
    <definedName name="_7Excel_BuiltIn_Print_Area_4_1" localSheetId="8">#REF!</definedName>
    <definedName name="_7Excel_BuiltIn_Print_Area_4_1">#REF!</definedName>
    <definedName name="_83Excel_BuiltIn_Print_Titles_9_1" localSheetId="8">#REF!</definedName>
    <definedName name="_83Excel_BuiltIn_Print_Titles_9_1">#REF!</definedName>
    <definedName name="_8Excel_BuiltIn_Print_Area_4_1" localSheetId="8">#REF!</definedName>
    <definedName name="_8Excel_BuiltIn_Print_Area_4_1">#REF!</definedName>
    <definedName name="_8Excel_BuiltIn_Print_Area_5_1" localSheetId="8">#REF!</definedName>
    <definedName name="_8Excel_BuiltIn_Print_Area_5_1">#REF!</definedName>
    <definedName name="_9Excel_BuiltIn_Print_Area_6_1" localSheetId="8">#REF!</definedName>
    <definedName name="_9Excel_BuiltIn_Print_Area_6_1">#REF!</definedName>
    <definedName name="_aaa1" localSheetId="8">#REF!</definedName>
    <definedName name="_aaa1">#REF!</definedName>
    <definedName name="_aaa2" localSheetId="8">#REF!</definedName>
    <definedName name="_aaa2">#REF!</definedName>
    <definedName name="_Fill">#REF!</definedName>
    <definedName name="_xlnm._FilterDatabase" localSheetId="4" hidden="1">COTAÇÃO!$A$7:$S$29</definedName>
    <definedName name="_FOG50">#REF!</definedName>
    <definedName name="_For01" localSheetId="8">#REF!</definedName>
    <definedName name="_For01">#REF!</definedName>
    <definedName name="_int01" localSheetId="8">#REF!</definedName>
    <definedName name="_int01">#REF!</definedName>
    <definedName name="_int02" localSheetId="8">#REF!</definedName>
    <definedName name="_int02">#REF!</definedName>
    <definedName name="_int03" localSheetId="8">#REF!</definedName>
    <definedName name="_int03">#REF!</definedName>
    <definedName name="_int04" localSheetId="8">#REF!</definedName>
    <definedName name="_int04">#REF!</definedName>
    <definedName name="_int05" localSheetId="8">#REF!</definedName>
    <definedName name="_int05">#REF!</definedName>
    <definedName name="_lim01" localSheetId="8">#REF!</definedName>
    <definedName name="_lim01">#REF!</definedName>
    <definedName name="_POS21" localSheetId="8">#REF!</definedName>
    <definedName name="_POS21">#REF!</definedName>
    <definedName name="_PVC100">#REF!</definedName>
    <definedName name="_PVC150">#REF!</definedName>
    <definedName name="_PVC50">#REF!</definedName>
    <definedName name="_PVC75">#REF!</definedName>
    <definedName name="_s" localSheetId="8">#REF!</definedName>
    <definedName name="_s">#REF!</definedName>
    <definedName name="_VBF1">#REF!</definedName>
    <definedName name="_VE1">#REF!</definedName>
    <definedName name="_VO1">[2]memorial!#REF!</definedName>
    <definedName name="_VR1">#REF!</definedName>
    <definedName name="_z" localSheetId="8">#REF!</definedName>
    <definedName name="_z">#REF!</definedName>
    <definedName name="A__1">[2]memorial!#REF!</definedName>
    <definedName name="A__1_1">[2]memorial!#REF!</definedName>
    <definedName name="A__2">[2]memorial!#REF!</definedName>
    <definedName name="A__2_1">[2]memorial!#REF!</definedName>
    <definedName name="A__3">[2]memorial!#REF!</definedName>
    <definedName name="A__3_1">[2]memorial!#REF!</definedName>
    <definedName name="A__4">[2]memorial!#REF!</definedName>
    <definedName name="A__4_1">[2]memorial!#REF!</definedName>
    <definedName name="A__5">[2]memorial!#REF!</definedName>
    <definedName name="A__5_1">[2]memorial!#REF!</definedName>
    <definedName name="A__6">[2]memorial!#REF!</definedName>
    <definedName name="A__6_1">[2]memorial!#REF!</definedName>
    <definedName name="A_1">[2]memorial!#REF!</definedName>
    <definedName name="A_1_1">[2]memorial!#REF!</definedName>
    <definedName name="A_2">[2]memorial!#REF!</definedName>
    <definedName name="A_2_1">[2]memorial!#REF!</definedName>
    <definedName name="A_3">[2]memorial!#REF!</definedName>
    <definedName name="A_3_1">[2]memorial!#REF!</definedName>
    <definedName name="AA" localSheetId="8">#REF!</definedName>
    <definedName name="AA">#REF!</definedName>
    <definedName name="AAA" localSheetId="8">#REF!</definedName>
    <definedName name="AAA">#REF!</definedName>
    <definedName name="aaaa" localSheetId="8">#REF!</definedName>
    <definedName name="aaaa">#REF!</definedName>
    <definedName name="Acima">INDIRECT(ADDRESS(ROW()-1,COLUMN()))</definedName>
    <definedName name="ancora2" localSheetId="8">#REF!</definedName>
    <definedName name="ancora2">#REF!</definedName>
    <definedName name="APARENTE">#REF!</definedName>
    <definedName name="Aqui">INDIRECT(ADDRESS(ROW(),COLUMN()))</definedName>
    <definedName name="AREA" localSheetId="1">#REF!</definedName>
    <definedName name="AREA">#REF!</definedName>
    <definedName name="_xlnm.Extract" localSheetId="8">[3]Anexos!#REF!</definedName>
    <definedName name="_xlnm.Extract">[3]Anexos!#REF!</definedName>
    <definedName name="_xlnm.Print_Area" localSheetId="10">'COMP-01'!$A$1:$I$33</definedName>
    <definedName name="_xlnm.Print_Area" localSheetId="12">'COMP-03'!$A$1:$I$40</definedName>
    <definedName name="_xlnm.Print_Area" localSheetId="13">'COMP-04'!$A$1:$I$45</definedName>
    <definedName name="_xlnm.Print_Area" localSheetId="15">'COMP-06'!$A$1:$I$139</definedName>
    <definedName name="_xlnm.Print_Area" localSheetId="16">'COMP-07'!$A$1:$I$45</definedName>
    <definedName name="_xlnm.Print_Area" localSheetId="17">'COMP-08'!$A$1:$I$150</definedName>
    <definedName name="_xlnm.Print_Area" localSheetId="19">'COMP-10'!$A$1:$I$52</definedName>
    <definedName name="_xlnm.Print_Area" localSheetId="20">'COMP-11'!$A$1:$I$54</definedName>
    <definedName name="_xlnm.Print_Area" localSheetId="4">COTAÇÃO!$A$1:$S$31</definedName>
    <definedName name="_xlnm.Print_Area" localSheetId="26">COTAÇÕES!$A$1:$P$121</definedName>
    <definedName name="_xlnm.Print_Area" localSheetId="22">LIX!$A$1:$I$38</definedName>
    <definedName name="_xlnm.Print_Area" localSheetId="2">'MEMORIA DE CÁLCULO'!$A$1:$J$352</definedName>
    <definedName name="_xlnm.Print_Area" localSheetId="21">PAI!$A$1:$R$368</definedName>
    <definedName name="_xlnm.Print_Area" localSheetId="0">'PLANILHA ORÇAMENTÁRIA'!$A$1:$K$101</definedName>
    <definedName name="_xlnm.Print_Area" localSheetId="1">QCI!$B$2:$AA$34</definedName>
    <definedName name="_xlnm.Print_Area" localSheetId="25">'QUADRO ESTRUTURAL PONTO ONIBUS'!$A$1:$J$46</definedName>
    <definedName name="_xlnm.Print_Area" localSheetId="24">'QUADRO ESTRUTURAL TÓTEM'!$A$1:$J$43</definedName>
    <definedName name="Área_de_impressão1" localSheetId="10">#REF!</definedName>
    <definedName name="Área_de_impressão1" localSheetId="8">#REF!</definedName>
    <definedName name="Área_de_impressão1" localSheetId="2">#REF!</definedName>
    <definedName name="Área_de_impressão1">#REF!</definedName>
    <definedName name="Área_de_impressão2" localSheetId="10">#REF!</definedName>
    <definedName name="Área_de_impressão2" localSheetId="8">#REF!</definedName>
    <definedName name="Área_de_impressão2" localSheetId="2">#REF!</definedName>
    <definedName name="Área_de_impressão2">#REF!</definedName>
    <definedName name="Área_impressão_IM">#REF!</definedName>
    <definedName name="ASD" localSheetId="10">#REF!</definedName>
    <definedName name="ASD" localSheetId="8">#REF!</definedName>
    <definedName name="ASD" localSheetId="2">#REF!</definedName>
    <definedName name="ASD">#REF!</definedName>
    <definedName name="ASFALTO">#REF!</definedName>
    <definedName name="ASFALTO_1">#REF!</definedName>
    <definedName name="asSDas" localSheetId="8">#REF!</definedName>
    <definedName name="asSDas">#REF!</definedName>
    <definedName name="ATUAL" localSheetId="8">#REF!</definedName>
    <definedName name="ATUAL">#REF!</definedName>
    <definedName name="_xlnm.Database" localSheetId="8">#REF!</definedName>
    <definedName name="_xlnm.Database">#REF!</definedName>
    <definedName name="BDI" localSheetId="8">#REF!</definedName>
    <definedName name="BDI" localSheetId="1">#REF!</definedName>
    <definedName name="BDI">#REF!</definedName>
    <definedName name="BF">[4]MEMORIAL!#REF!</definedName>
    <definedName name="BF_1">[5]MEMORIAL!#REF!</definedName>
    <definedName name="bitmin" localSheetId="8">#REF!</definedName>
    <definedName name="bitmin">#REF!</definedName>
    <definedName name="BLO" localSheetId="8">#REF!</definedName>
    <definedName name="BLO">#REF!</definedName>
    <definedName name="BLOCO_B" localSheetId="10">'[6]CAPA -1'!#REF!</definedName>
    <definedName name="BLOCO_B" localSheetId="8">'[6]CAPA -1'!#REF!</definedName>
    <definedName name="BLOCO_B" localSheetId="2">'[6]CAPA -1'!#REF!</definedName>
    <definedName name="BLOCO_B">'[6]CAPA -1'!#REF!</definedName>
    <definedName name="BLOCO_BB" localSheetId="10">#REF!</definedName>
    <definedName name="BLOCO_BB" localSheetId="8">#REF!</definedName>
    <definedName name="BLOCO_BB" localSheetId="2">#REF!</definedName>
    <definedName name="BLOCO_BB">#REF!</definedName>
    <definedName name="BLOCO_BBB" localSheetId="10">#REF!</definedName>
    <definedName name="BLOCO_BBB" localSheetId="8">#REF!</definedName>
    <definedName name="BLOCO_BBB" localSheetId="2">#REF!</definedName>
    <definedName name="BLOCO_BBB">#REF!</definedName>
    <definedName name="BLOCO_C" localSheetId="10">#REF!</definedName>
    <definedName name="BLOCO_C" localSheetId="8">#REF!</definedName>
    <definedName name="BLOCO_C" localSheetId="2">#REF!</definedName>
    <definedName name="BLOCO_C">#REF!</definedName>
    <definedName name="BLOCO_CC" localSheetId="8">#REF!</definedName>
    <definedName name="BLOCO_CC">#REF!</definedName>
    <definedName name="BLOCO_CCC" localSheetId="8">#REF!</definedName>
    <definedName name="BLOCO_CCC">#REF!</definedName>
    <definedName name="BLOCO_CCCC" localSheetId="8">#REF!</definedName>
    <definedName name="BLOCO_CCCC">#REF!</definedName>
    <definedName name="BLOCRET">#REF!</definedName>
    <definedName name="BLOCRET_1">#REF!</definedName>
    <definedName name="Bm.colAtual" localSheetId="1">OFFSET(QCI!tabBM,,QCI!Bm.posAtual,,1)</definedName>
    <definedName name="Bm.colAtual">OFFSET(tabBM,,Bm.posAtual,,1)</definedName>
    <definedName name="Bm.linAtual" localSheetId="1">INDEX(#REF!,ROW())</definedName>
    <definedName name="Bm.linAtual">INDEX(#REF!,ROW())</definedName>
    <definedName name="Bm.Periodos">#REF!</definedName>
    <definedName name="Bm.posAcum" localSheetId="1">IF(QCI!mediçao&lt;N(Bm.Periodos),1,MATCH(QCI!mediçao,Bm.Periodos))</definedName>
    <definedName name="Bm.posAcum">IF(mediçao&lt;N(Bm.Periodos),1,MATCH(mediçao,Bm.Periodos))</definedName>
    <definedName name="Bm.posAtual" localSheetId="1">IF(QCI!mediçao&lt;N(Bm.Periodos),-1,MATCH(QCI!mediçao,Bm.Periodos)-1)</definedName>
    <definedName name="Bm.posAtual">IF(mediçao&lt;N(Bm.Periodos),-1,MATCH(mediçao,Bm.Periodos)-1)</definedName>
    <definedName name="BuiltIn_AutoFilter___7" localSheetId="8">#REF!</definedName>
    <definedName name="BuiltIn_AutoFilter___7">#REF!</definedName>
    <definedName name="BuiltIn_AutoFilter___7_1" localSheetId="8">#REF!</definedName>
    <definedName name="BuiltIn_AutoFilter___7_1">#REF!</definedName>
    <definedName name="BuiltIn_AutoFilter___7_10" localSheetId="8">#REF!</definedName>
    <definedName name="BuiltIn_AutoFilter___7_10">#REF!</definedName>
    <definedName name="BuiltIn_AutoFilter___7_11" localSheetId="8">#REF!</definedName>
    <definedName name="BuiltIn_AutoFilter___7_11">#REF!</definedName>
    <definedName name="BuiltIn_AutoFilter___7_12" localSheetId="8">#REF!</definedName>
    <definedName name="BuiltIn_AutoFilter___7_12">#REF!</definedName>
    <definedName name="BuiltIn_AutoFilter___7_2" localSheetId="8">#REF!</definedName>
    <definedName name="BuiltIn_AutoFilter___7_2">#REF!</definedName>
    <definedName name="BuiltIn_AutoFilter___7_3" localSheetId="8">#REF!</definedName>
    <definedName name="BuiltIn_AutoFilter___7_3">#REF!</definedName>
    <definedName name="BuiltIn_AutoFilter___7_4" localSheetId="8">#REF!</definedName>
    <definedName name="BuiltIn_AutoFilter___7_4">#REF!</definedName>
    <definedName name="BuiltIn_AutoFilter___7_5" localSheetId="8">#REF!</definedName>
    <definedName name="BuiltIn_AutoFilter___7_5">#REF!</definedName>
    <definedName name="BuiltIn_AutoFilter___7_6" localSheetId="8">#REF!</definedName>
    <definedName name="BuiltIn_AutoFilter___7_6">#REF!</definedName>
    <definedName name="BuiltIn_AutoFilter___7_7" localSheetId="8">#REF!</definedName>
    <definedName name="BuiltIn_AutoFilter___7_7">#REF!</definedName>
    <definedName name="BuiltIn_AutoFilter___7_8" localSheetId="8">#REF!</definedName>
    <definedName name="BuiltIn_AutoFilter___7_8">#REF!</definedName>
    <definedName name="BuiltIn_AutoFilter___7_9" localSheetId="8">#REF!</definedName>
    <definedName name="BuiltIn_AutoFilter___7_9">#REF!</definedName>
    <definedName name="BuiltIn_AutoFilter___8" localSheetId="8">#REF!</definedName>
    <definedName name="BuiltIn_AutoFilter___8">#REF!</definedName>
    <definedName name="BuiltIn_AutoFilter___8_1" localSheetId="8">#REF!</definedName>
    <definedName name="BuiltIn_AutoFilter___8_1">#REF!</definedName>
    <definedName name="BuiltIn_AutoFilter___8_10" localSheetId="8">#REF!</definedName>
    <definedName name="BuiltIn_AutoFilter___8_10">#REF!</definedName>
    <definedName name="BuiltIn_AutoFilter___8_11" localSheetId="8">#REF!</definedName>
    <definedName name="BuiltIn_AutoFilter___8_11">#REF!</definedName>
    <definedName name="BuiltIn_AutoFilter___8_12" localSheetId="8">#REF!</definedName>
    <definedName name="BuiltIn_AutoFilter___8_12">#REF!</definedName>
    <definedName name="BuiltIn_AutoFilter___8_13" localSheetId="8">#REF!</definedName>
    <definedName name="BuiltIn_AutoFilter___8_13">#REF!</definedName>
    <definedName name="BuiltIn_AutoFilter___8_14" localSheetId="8">#REF!</definedName>
    <definedName name="BuiltIn_AutoFilter___8_14">#REF!</definedName>
    <definedName name="BuiltIn_AutoFilter___8_15" localSheetId="8">#REF!</definedName>
    <definedName name="BuiltIn_AutoFilter___8_15">#REF!</definedName>
    <definedName name="BuiltIn_AutoFilter___8_16" localSheetId="8">#REF!</definedName>
    <definedName name="BuiltIn_AutoFilter___8_16">#REF!</definedName>
    <definedName name="BuiltIn_AutoFilter___8_17" localSheetId="8">#REF!</definedName>
    <definedName name="BuiltIn_AutoFilter___8_17">#REF!</definedName>
    <definedName name="BuiltIn_AutoFilter___8_18" localSheetId="8">#REF!</definedName>
    <definedName name="BuiltIn_AutoFilter___8_18">#REF!</definedName>
    <definedName name="BuiltIn_AutoFilter___8_19" localSheetId="8">#REF!</definedName>
    <definedName name="BuiltIn_AutoFilter___8_19">#REF!</definedName>
    <definedName name="BuiltIn_AutoFilter___8_2" localSheetId="8">#REF!</definedName>
    <definedName name="BuiltIn_AutoFilter___8_2">#REF!</definedName>
    <definedName name="BuiltIn_AutoFilter___8_20" localSheetId="8">#REF!</definedName>
    <definedName name="BuiltIn_AutoFilter___8_20">#REF!</definedName>
    <definedName name="BuiltIn_AutoFilter___8_21" localSheetId="8">#REF!</definedName>
    <definedName name="BuiltIn_AutoFilter___8_21">#REF!</definedName>
    <definedName name="BuiltIn_AutoFilter___8_22" localSheetId="8">#REF!</definedName>
    <definedName name="BuiltIn_AutoFilter___8_22">#REF!</definedName>
    <definedName name="BuiltIn_AutoFilter___8_23" localSheetId="8">#REF!</definedName>
    <definedName name="BuiltIn_AutoFilter___8_23">#REF!</definedName>
    <definedName name="BuiltIn_AutoFilter___8_24" localSheetId="8">#REF!</definedName>
    <definedName name="BuiltIn_AutoFilter___8_24">#REF!</definedName>
    <definedName name="BuiltIn_AutoFilter___8_25" localSheetId="8">#REF!</definedName>
    <definedName name="BuiltIn_AutoFilter___8_25">#REF!</definedName>
    <definedName name="BuiltIn_AutoFilter___8_26" localSheetId="8">#REF!</definedName>
    <definedName name="BuiltIn_AutoFilter___8_26">#REF!</definedName>
    <definedName name="BuiltIn_AutoFilter___8_27" localSheetId="8">#REF!</definedName>
    <definedName name="BuiltIn_AutoFilter___8_27">#REF!</definedName>
    <definedName name="BuiltIn_AutoFilter___8_28" localSheetId="8">#REF!</definedName>
    <definedName name="BuiltIn_AutoFilter___8_28">#REF!</definedName>
    <definedName name="BuiltIn_AutoFilter___8_29" localSheetId="8">#REF!</definedName>
    <definedName name="BuiltIn_AutoFilter___8_29">#REF!</definedName>
    <definedName name="BuiltIn_AutoFilter___8_3" localSheetId="8">#REF!</definedName>
    <definedName name="BuiltIn_AutoFilter___8_3">#REF!</definedName>
    <definedName name="BuiltIn_AutoFilter___8_30" localSheetId="8">#REF!</definedName>
    <definedName name="BuiltIn_AutoFilter___8_30">#REF!</definedName>
    <definedName name="BuiltIn_AutoFilter___8_31" localSheetId="8">#REF!</definedName>
    <definedName name="BuiltIn_AutoFilter___8_31">#REF!</definedName>
    <definedName name="BuiltIn_AutoFilter___8_32" localSheetId="8">#REF!</definedName>
    <definedName name="BuiltIn_AutoFilter___8_32">#REF!</definedName>
    <definedName name="BuiltIn_AutoFilter___8_4" localSheetId="8">#REF!</definedName>
    <definedName name="BuiltIn_AutoFilter___8_4">#REF!</definedName>
    <definedName name="BuiltIn_AutoFilter___8_5" localSheetId="8">#REF!</definedName>
    <definedName name="BuiltIn_AutoFilter___8_5">#REF!</definedName>
    <definedName name="BuiltIn_AutoFilter___8_6" localSheetId="8">#REF!</definedName>
    <definedName name="BuiltIn_AutoFilter___8_6">#REF!</definedName>
    <definedName name="BuiltIn_AutoFilter___8_7" localSheetId="8">#REF!</definedName>
    <definedName name="BuiltIn_AutoFilter___8_7">#REF!</definedName>
    <definedName name="BuiltIn_AutoFilter___8_8" localSheetId="8">#REF!</definedName>
    <definedName name="BuiltIn_AutoFilter___8_8">#REF!</definedName>
    <definedName name="BuiltIn_AutoFilter___8_9" localSheetId="8">#REF!</definedName>
    <definedName name="BuiltIn_AutoFilter___8_9">#REF!</definedName>
    <definedName name="BuiltIn_Print_Area" localSheetId="8">#REF!</definedName>
    <definedName name="BuiltIn_Print_Area">#REF!</definedName>
    <definedName name="BuiltIn_Print_Area___0" localSheetId="8">#REF!</definedName>
    <definedName name="BuiltIn_Print_Area___0">#REF!</definedName>
    <definedName name="BuiltIn_Print_Area___0___0" localSheetId="8">#REF!</definedName>
    <definedName name="BuiltIn_Print_Area___0___0">#REF!</definedName>
    <definedName name="BuiltIn_Print_Area___0___0___0" localSheetId="8">#REF!</definedName>
    <definedName name="BuiltIn_Print_Area___0___0___0">#REF!</definedName>
    <definedName name="BuiltIn_Print_Area___0___0___0___0" localSheetId="8">#REF!</definedName>
    <definedName name="BuiltIn_Print_Area___0___0___0___0">#REF!</definedName>
    <definedName name="BuiltIn_Print_Area___0___0___0___0___0" localSheetId="8">#REF!</definedName>
    <definedName name="BuiltIn_Print_Area___0___0___0___0___0">#REF!</definedName>
    <definedName name="BuiltIn_Print_Area___0___0___0___0___0___0" localSheetId="8">#REF!</definedName>
    <definedName name="BuiltIn_Print_Area___0___0___0___0___0___0">#REF!</definedName>
    <definedName name="BuiltIn_Print_Area___0___0___0___0___0___0___0" localSheetId="8">#REF!</definedName>
    <definedName name="BuiltIn_Print_Area___0___0___0___0___0___0___0">#REF!</definedName>
    <definedName name="BuiltIn_Print_Area___0___0___0___0___0___0___0___0___0" localSheetId="8">#REF!</definedName>
    <definedName name="BuiltIn_Print_Area___0___0___0___0___0___0___0___0___0">#REF!</definedName>
    <definedName name="BuiltIn_Print_Area___0___0___10" localSheetId="8">#REF!</definedName>
    <definedName name="BuiltIn_Print_Area___0___0___10">#REF!</definedName>
    <definedName name="BuiltIn_Print_Area___0___1" localSheetId="8">#REF!</definedName>
    <definedName name="BuiltIn_Print_Area___0___1">#REF!</definedName>
    <definedName name="BuiltIn_Print_Area___0___1___0" localSheetId="8">#REF!</definedName>
    <definedName name="BuiltIn_Print_Area___0___1___0">#REF!</definedName>
    <definedName name="BuiltIn_Print_Area___0___1___0___0" localSheetId="8">#REF!</definedName>
    <definedName name="BuiltIn_Print_Area___0___1___0___0">#REF!</definedName>
    <definedName name="BuiltIn_Print_Area___0___1___0___0___0" localSheetId="8">#REF!</definedName>
    <definedName name="BuiltIn_Print_Area___0___1___0___0___0">#REF!</definedName>
    <definedName name="BuiltIn_Print_Area___0___1___0___0___0___0" localSheetId="8">#REF!</definedName>
    <definedName name="BuiltIn_Print_Area___0___1___0___0___0___0">#REF!</definedName>
    <definedName name="BuiltIn_Print_Area___0___1___0___0___0___0___0" localSheetId="8">#REF!</definedName>
    <definedName name="BuiltIn_Print_Area___0___1___0___0___0___0___0">#REF!</definedName>
    <definedName name="BuiltIn_Print_Area___0___1___0___0___0___0___0___0" localSheetId="8">#REF!</definedName>
    <definedName name="BuiltIn_Print_Area___0___1___0___0___0___0___0___0">#REF!</definedName>
    <definedName name="BuiltIn_Print_Area___0___1___0___0___0___0___0___0___0" localSheetId="8">#REF!</definedName>
    <definedName name="BuiltIn_Print_Area___0___1___0___0___0___0___0___0___0">#REF!</definedName>
    <definedName name="BuiltIn_Print_Area___0___1___0___0___0___0___0___0___0___0" localSheetId="8">#REF!</definedName>
    <definedName name="BuiltIn_Print_Area___0___1___0___0___0___0___0___0___0___0">#REF!</definedName>
    <definedName name="BuiltIn_Print_Area___0___1___0___0___0___0___0___0___0___0_1" localSheetId="8">#REF!</definedName>
    <definedName name="BuiltIn_Print_Area___0___1___0___0___0___0___0___0___0___0_1">#REF!</definedName>
    <definedName name="BuiltIn_Print_Area___0___1___0___0___0___0___0___0___0___0_1_1" localSheetId="8">#REF!</definedName>
    <definedName name="BuiltIn_Print_Area___0___1___0___0___0___0___0___0___0___0_1_1">#REF!</definedName>
    <definedName name="BuiltIn_Print_Area___0___1___0___0___0___0___0___0___0_1" localSheetId="8">#REF!</definedName>
    <definedName name="BuiltIn_Print_Area___0___1___0___0___0___0___0___0___0_1">#REF!</definedName>
    <definedName name="BuiltIn_Print_Area___0___1___0___0___0___0___0___0___0_1_1" localSheetId="8">#REF!</definedName>
    <definedName name="BuiltIn_Print_Area___0___1___0___0___0___0___0___0___0_1_1">#REF!</definedName>
    <definedName name="BuiltIn_Print_Area___0___1___0___0___0___0___0___0_1" localSheetId="8">#REF!</definedName>
    <definedName name="BuiltIn_Print_Area___0___1___0___0___0___0___0___0_1">#REF!</definedName>
    <definedName name="BuiltIn_Print_Area___0___1___0___0___0___0___0___0_1_1" localSheetId="8">#REF!</definedName>
    <definedName name="BuiltIn_Print_Area___0___1___0___0___0___0___0___0_1_1">#REF!</definedName>
    <definedName name="BuiltIn_Print_Area___0___1___0___0___0___0___0_1" localSheetId="8">#REF!</definedName>
    <definedName name="BuiltIn_Print_Area___0___1___0___0___0___0___0_1">#REF!</definedName>
    <definedName name="BuiltIn_Print_Area___0___1___0___0___0___0___0_1_1" localSheetId="8">#REF!</definedName>
    <definedName name="BuiltIn_Print_Area___0___1___0___0___0___0___0_1_1">#REF!</definedName>
    <definedName name="BuiltIn_Print_Area___0___1___0___0___0___0_1" localSheetId="8">#REF!</definedName>
    <definedName name="BuiltIn_Print_Area___0___1___0___0___0___0_1">#REF!</definedName>
    <definedName name="BuiltIn_Print_Area___0___1___0___0___0___0_1_1" localSheetId="8">#REF!</definedName>
    <definedName name="BuiltIn_Print_Area___0___1___0___0___0___0_1_1">#REF!</definedName>
    <definedName name="BuiltIn_Print_Area___0___1___0___0___0_1" localSheetId="8">#REF!</definedName>
    <definedName name="BuiltIn_Print_Area___0___1___0___0___0_1">#REF!</definedName>
    <definedName name="BuiltIn_Print_Area___0___1___0___0___0_1_1" localSheetId="8">#REF!</definedName>
    <definedName name="BuiltIn_Print_Area___0___1___0___0___0_1_1">#REF!</definedName>
    <definedName name="BuiltIn_Print_Area___0___1___0___0_1" localSheetId="8">#REF!</definedName>
    <definedName name="BuiltIn_Print_Area___0___1___0___0_1">#REF!</definedName>
    <definedName name="BuiltIn_Print_Area___0___1___0___0_1_1" localSheetId="8">#REF!</definedName>
    <definedName name="BuiltIn_Print_Area___0___1___0___0_1_1">#REF!</definedName>
    <definedName name="BuiltIn_Print_Area___0___1___0_1" localSheetId="8">#REF!</definedName>
    <definedName name="BuiltIn_Print_Area___0___1___0_1">#REF!</definedName>
    <definedName name="BuiltIn_Print_Area___0___1___0_1_1" localSheetId="8">#REF!</definedName>
    <definedName name="BuiltIn_Print_Area___0___1___0_1_1">#REF!</definedName>
    <definedName name="BuiltIn_Print_Area___0___1_1" localSheetId="8">#REF!</definedName>
    <definedName name="BuiltIn_Print_Area___0___1_1">#REF!</definedName>
    <definedName name="BuiltIn_Print_Area___0___1_1_1" localSheetId="8">#REF!</definedName>
    <definedName name="BuiltIn_Print_Area___0___1_1_1">#REF!</definedName>
    <definedName name="BuiltIn_Print_Area___0___16" localSheetId="8">#REF!</definedName>
    <definedName name="BuiltIn_Print_Area___0___16">#REF!</definedName>
    <definedName name="BuiltIn_Print_Area___0___16___0" localSheetId="8">#REF!</definedName>
    <definedName name="BuiltIn_Print_Area___0___16___0">#REF!</definedName>
    <definedName name="BuiltIn_Print_Area___0___16___0___0" localSheetId="8">#REF!</definedName>
    <definedName name="BuiltIn_Print_Area___0___16___0___0">#REF!</definedName>
    <definedName name="BuiltIn_Print_Area___0___16___0___0___0" localSheetId="8">#REF!</definedName>
    <definedName name="BuiltIn_Print_Area___0___16___0___0___0">#REF!</definedName>
    <definedName name="BuiltIn_Print_Area___0___16___0___0___0___0" localSheetId="8">#REF!</definedName>
    <definedName name="BuiltIn_Print_Area___0___16___0___0___0___0">#REF!</definedName>
    <definedName name="BuiltIn_Print_Area___0___16___0___0___0___0___0" localSheetId="8">#REF!</definedName>
    <definedName name="BuiltIn_Print_Area___0___16___0___0___0___0___0">#REF!</definedName>
    <definedName name="BuiltIn_Print_Area___0___16___0___0___0___0___0___0" localSheetId="8">#REF!</definedName>
    <definedName name="BuiltIn_Print_Area___0___16___0___0___0___0___0___0">#REF!</definedName>
    <definedName name="BuiltIn_Print_Area___0___16___0___0___0___0___0___0___0" localSheetId="8">#REF!</definedName>
    <definedName name="BuiltIn_Print_Area___0___16___0___0___0___0___0___0___0">#REF!</definedName>
    <definedName name="BuiltIn_Print_Area___0___4" localSheetId="8">#REF!</definedName>
    <definedName name="BuiltIn_Print_Area___0___4">#REF!</definedName>
    <definedName name="BuiltIn_Print_Area___0___5" localSheetId="8">#REF!</definedName>
    <definedName name="BuiltIn_Print_Area___0___5">#REF!</definedName>
    <definedName name="BuiltIn_Print_Area___0___5___0" localSheetId="8">#REF!</definedName>
    <definedName name="BuiltIn_Print_Area___0___5___0">#REF!</definedName>
    <definedName name="BuiltIn_Print_Area___0___6" localSheetId="8">#REF!</definedName>
    <definedName name="BuiltIn_Print_Area___0___6">#REF!</definedName>
    <definedName name="BuiltIn_Print_Area___0___6___0" localSheetId="8">#REF!</definedName>
    <definedName name="BuiltIn_Print_Area___0___6___0">#REF!</definedName>
    <definedName name="BuiltIn_Print_Area___0___7" localSheetId="8">#REF!</definedName>
    <definedName name="BuiltIn_Print_Area___0___7">#REF!</definedName>
    <definedName name="BuiltIn_Print_Area___0___7___0" localSheetId="8">#REF!</definedName>
    <definedName name="BuiltIn_Print_Area___0___7___0">#REF!</definedName>
    <definedName name="BuiltIn_Print_Area___0___8" localSheetId="8">#REF!</definedName>
    <definedName name="BuiltIn_Print_Area___0___8">#REF!</definedName>
    <definedName name="BuiltIn_Print_Area___0_1" localSheetId="8">#REF!</definedName>
    <definedName name="BuiltIn_Print_Area___0_1">#REF!</definedName>
    <definedName name="BuiltIn_Print_Area___0_1_1" localSheetId="8">#REF!</definedName>
    <definedName name="BuiltIn_Print_Area___0_1_1">#REF!</definedName>
    <definedName name="BuiltIn_Print_Area_1" localSheetId="8">#REF!</definedName>
    <definedName name="BuiltIn_Print_Area_1">#REF!</definedName>
    <definedName name="BuiltIn_Print_Area_1_1" localSheetId="8">#REF!</definedName>
    <definedName name="BuiltIn_Print_Area_1_1">#REF!</definedName>
    <definedName name="BuiltIn_Print_Titles" localSheetId="8">#REF!</definedName>
    <definedName name="BuiltIn_Print_Titles">#REF!</definedName>
    <definedName name="BuiltIn_Print_Titles___0" localSheetId="8">#REF!</definedName>
    <definedName name="BuiltIn_Print_Titles___0">#REF!</definedName>
    <definedName name="BuiltIn_Print_Titles___0___0" localSheetId="8">#REF!</definedName>
    <definedName name="BuiltIn_Print_Titles___0___0">#REF!</definedName>
    <definedName name="BuiltIn_Print_Titles___0___0___0" localSheetId="8">#REF!</definedName>
    <definedName name="BuiltIn_Print_Titles___0___0___0">#REF!</definedName>
    <definedName name="BuiltIn_Print_Titles___0___0___0___0" localSheetId="8">#REF!</definedName>
    <definedName name="BuiltIn_Print_Titles___0___0___0___0">#REF!</definedName>
    <definedName name="BuiltIn_Print_Titles___0___0___0___0___0" localSheetId="8">#REF!</definedName>
    <definedName name="BuiltIn_Print_Titles___0___0___0___0___0">#REF!</definedName>
    <definedName name="BuiltIn_Print_Titles___0___0___0___0___0___0" localSheetId="8">#REF!</definedName>
    <definedName name="BuiltIn_Print_Titles___0___0___0___0___0___0">#REF!</definedName>
    <definedName name="BuiltIn_Print_Titles___0___0___0___0___0___0___0" localSheetId="8">#REF!</definedName>
    <definedName name="BuiltIn_Print_Titles___0___0___0___0___0___0___0">#REF!</definedName>
    <definedName name="BuiltIn_Print_Titles___0___0___0___0___0___0___0___0___0" localSheetId="8">#REF!</definedName>
    <definedName name="BuiltIn_Print_Titles___0___0___0___0___0___0___0___0___0">#REF!</definedName>
    <definedName name="BuiltIn_Print_Titles___0___0___10" localSheetId="8">#REF!</definedName>
    <definedName name="BuiltIn_Print_Titles___0___0___10">#REF!</definedName>
    <definedName name="BuiltIn_Print_Titles___0___1" localSheetId="8">#REF!</definedName>
    <definedName name="BuiltIn_Print_Titles___0___1">#REF!</definedName>
    <definedName name="BuiltIn_Print_Titles___0___16" localSheetId="8">#REF!</definedName>
    <definedName name="BuiltIn_Print_Titles___0___16">#REF!</definedName>
    <definedName name="BuiltIn_Print_Titles___0___16___0" localSheetId="8">#REF!</definedName>
    <definedName name="BuiltIn_Print_Titles___0___16___0">#REF!</definedName>
    <definedName name="BuiltIn_Print_Titles___0___16___0___0" localSheetId="8">#REF!</definedName>
    <definedName name="BuiltIn_Print_Titles___0___16___0___0">#REF!</definedName>
    <definedName name="BuiltIn_Print_Titles___0___16___0___0___0" localSheetId="8">#REF!</definedName>
    <definedName name="BuiltIn_Print_Titles___0___16___0___0___0">#REF!</definedName>
    <definedName name="BuiltIn_Print_Titles___0___16___0___0___0___0" localSheetId="8">#REF!</definedName>
    <definedName name="BuiltIn_Print_Titles___0___16___0___0___0___0">#REF!</definedName>
    <definedName name="BuiltIn_Print_Titles___0___16___0___0___0___0___0" localSheetId="8">#REF!</definedName>
    <definedName name="BuiltIn_Print_Titles___0___16___0___0___0___0___0">#REF!</definedName>
    <definedName name="BuiltIn_Print_Titles___0___5" localSheetId="8">#REF!</definedName>
    <definedName name="BuiltIn_Print_Titles___0___5">#REF!</definedName>
    <definedName name="BuiltIn_Print_Titles___0___6" localSheetId="8">#REF!</definedName>
    <definedName name="BuiltIn_Print_Titles___0___6">#REF!</definedName>
    <definedName name="BuiltIn_Print_Titles___0___7" localSheetId="8">#REF!</definedName>
    <definedName name="BuiltIn_Print_Titles___0___7">#REF!</definedName>
    <definedName name="BuiltIn_Print_Titles___0___8" localSheetId="8">#REF!</definedName>
    <definedName name="BuiltIn_Print_Titles___0___8">#REF!</definedName>
    <definedName name="BuiltIn_Print_Titles___0_1" localSheetId="8">#REF!</definedName>
    <definedName name="BuiltIn_Print_Titles___0_1">#REF!</definedName>
    <definedName name="BuiltIn_Print_Titles___0_1_1" localSheetId="8">#REF!</definedName>
    <definedName name="BuiltIn_Print_Titles___0_1_1">#REF!</definedName>
    <definedName name="BuiltIn_Print_Titles___4___4" localSheetId="8">#REF!</definedName>
    <definedName name="BuiltIn_Print_Titles___4___4">#REF!</definedName>
    <definedName name="BuiltIn_Print_Titles___5___5" localSheetId="8">#REF!</definedName>
    <definedName name="BuiltIn_Print_Titles___5___5">#REF!</definedName>
    <definedName name="BuiltIn_Print_Titles___5___5___0" localSheetId="8">#REF!</definedName>
    <definedName name="BuiltIn_Print_Titles___5___5___0">#REF!</definedName>
    <definedName name="BuiltIn_Print_Titles___6___6" localSheetId="8">#REF!</definedName>
    <definedName name="BuiltIn_Print_Titles___6___6">#REF!</definedName>
    <definedName name="BuiltIn_Print_Titles___6___6___0" localSheetId="8">#REF!</definedName>
    <definedName name="BuiltIn_Print_Titles___6___6___0">#REF!</definedName>
    <definedName name="BuiltIn_Print_Titles___7___7" localSheetId="8">#REF!</definedName>
    <definedName name="BuiltIn_Print_Titles___7___7">#REF!</definedName>
    <definedName name="BuiltIn_Print_Titles_1" localSheetId="8">#REF!</definedName>
    <definedName name="BuiltIn_Print_Titles_1">#REF!</definedName>
    <definedName name="BuiltIn_Print_Titles_1_1" localSheetId="8">#REF!</definedName>
    <definedName name="BuiltIn_Print_Titles_1_1">#REF!</definedName>
    <definedName name="Capa" localSheetId="10" hidden="1">{#N/A,#N/A,FALSE,"ET-CAPA";#N/A,#N/A,FALSE,"ET-PAG1";#N/A,#N/A,FALSE,"ET-PAG2";#N/A,#N/A,FALSE,"ET-PAG3";#N/A,#N/A,FALSE,"ET-PAG4";#N/A,#N/A,FALSE,"ET-PAG5"}</definedName>
    <definedName name="Capa" localSheetId="26" hidden="1">{#N/A,#N/A,FALSE,"ET-CAPA";#N/A,#N/A,FALSE,"ET-PAG1";#N/A,#N/A,FALSE,"ET-PAG2";#N/A,#N/A,FALSE,"ET-PAG3";#N/A,#N/A,FALSE,"ET-PAG4";#N/A,#N/A,FALSE,"ET-PAG5"}</definedName>
    <definedName name="Capa" localSheetId="22" hidden="1">{#N/A,#N/A,FALSE,"ET-CAPA";#N/A,#N/A,FALSE,"ET-PAG1";#N/A,#N/A,FALSE,"ET-PAG2";#N/A,#N/A,FALSE,"ET-PAG3";#N/A,#N/A,FALSE,"ET-PAG4";#N/A,#N/A,FALSE,"ET-PAG5"}</definedName>
    <definedName name="Capa" localSheetId="2" hidden="1">{#N/A,#N/A,FALSE,"ET-CAPA";#N/A,#N/A,FALSE,"ET-PAG1";#N/A,#N/A,FALSE,"ET-PAG2";#N/A,#N/A,FALSE,"ET-PAG3";#N/A,#N/A,FALSE,"ET-PAG4";#N/A,#N/A,FALSE,"ET-PAG5"}</definedName>
    <definedName name="Capa" hidden="1">{#N/A,#N/A,FALSE,"ET-CAPA";#N/A,#N/A,FALSE,"ET-PAG1";#N/A,#N/A,FALSE,"ET-PAG2";#N/A,#N/A,FALSE,"ET-PAG3";#N/A,#N/A,FALSE,"ET-PAG4";#N/A,#N/A,FALSE,"ET-PAG5"}</definedName>
    <definedName name="Capa_1" localSheetId="10" hidden="1">{#N/A,#N/A,FALSE,"ET-CAPA";#N/A,#N/A,FALSE,"ET-PAG1";#N/A,#N/A,FALSE,"ET-PAG2";#N/A,#N/A,FALSE,"ET-PAG3";#N/A,#N/A,FALSE,"ET-PAG4";#N/A,#N/A,FALSE,"ET-PAG5"}</definedName>
    <definedName name="Capa_1" localSheetId="26" hidden="1">{#N/A,#N/A,FALSE,"ET-CAPA";#N/A,#N/A,FALSE,"ET-PAG1";#N/A,#N/A,FALSE,"ET-PAG2";#N/A,#N/A,FALSE,"ET-PAG3";#N/A,#N/A,FALSE,"ET-PAG4";#N/A,#N/A,FALSE,"ET-PAG5"}</definedName>
    <definedName name="Capa_1" localSheetId="22" hidden="1">{#N/A,#N/A,FALSE,"ET-CAPA";#N/A,#N/A,FALSE,"ET-PAG1";#N/A,#N/A,FALSE,"ET-PAG2";#N/A,#N/A,FALSE,"ET-PAG3";#N/A,#N/A,FALSE,"ET-PAG4";#N/A,#N/A,FALSE,"ET-PAG5"}</definedName>
    <definedName name="Capa_1" localSheetId="2" hidden="1">{#N/A,#N/A,FALSE,"ET-CAPA";#N/A,#N/A,FALSE,"ET-PAG1";#N/A,#N/A,FALSE,"ET-PAG2";#N/A,#N/A,FALSE,"ET-PAG3";#N/A,#N/A,FALSE,"ET-PAG4";#N/A,#N/A,FALSE,"ET-PAG5"}</definedName>
    <definedName name="Capa_1" hidden="1">{#N/A,#N/A,FALSE,"ET-CAPA";#N/A,#N/A,FALSE,"ET-PAG1";#N/A,#N/A,FALSE,"ET-PAG2";#N/A,#N/A,FALSE,"ET-PAG3";#N/A,#N/A,FALSE,"ET-PAG4";#N/A,#N/A,FALSE,"ET-PAG5"}</definedName>
    <definedName name="capa1" localSheetId="10">#REF!</definedName>
    <definedName name="capa1" localSheetId="8">#REF!</definedName>
    <definedName name="capa1" localSheetId="2">#REF!</definedName>
    <definedName name="capa1">#REF!</definedName>
    <definedName name="Carimbo" localSheetId="10">#REF!</definedName>
    <definedName name="Carimbo" localSheetId="8">#REF!</definedName>
    <definedName name="Carimbo" localSheetId="2">#REF!</definedName>
    <definedName name="Carimbo">#REF!</definedName>
    <definedName name="ciclopico" localSheetId="1">[5]MEMORIAL!#REF!</definedName>
    <definedName name="ciclopico">[5]MEMORIAL!#REF!</definedName>
    <definedName name="ciclopico_1" localSheetId="1">[5]MEMORIAL!#REF!</definedName>
    <definedName name="ciclopico_1">[5]MEMORIAL!#REF!</definedName>
    <definedName name="CODIGO" localSheetId="10">#REF!</definedName>
    <definedName name="CODIGO" localSheetId="8">#REF!</definedName>
    <definedName name="CODIGO" localSheetId="2">#REF!</definedName>
    <definedName name="CODIGO">#REF!</definedName>
    <definedName name="COMEÇO" localSheetId="10">'[6]CAPA -1'!#REF!</definedName>
    <definedName name="COMEÇO" localSheetId="8">'[6]CAPA -1'!#REF!</definedName>
    <definedName name="COMEÇO" localSheetId="2">'[6]CAPA -1'!#REF!</definedName>
    <definedName name="COMEÇO">'[6]CAPA -1'!#REF!</definedName>
    <definedName name="COMPOSICAO01">#REF!</definedName>
    <definedName name="COMPOSIÇÃO01">#REF!</definedName>
    <definedName name="COMPOSICAO01_1">#REF!</definedName>
    <definedName name="COMPOSICAO02">#REF!</definedName>
    <definedName name="COMPOSICAO02_1">#REF!</definedName>
    <definedName name="concciclo">#REF!</definedName>
    <definedName name="concreto">#REF!</definedName>
    <definedName name="Cronograma.NumPeríodos">MAX(Cronograma.Períodos)</definedName>
    <definedName name="Cronograma.Períodos">OFFSET(#REF!,1,0):OFFSET(#REF!,-1,0)</definedName>
    <definedName name="CronoPrev">OFFSET(#REF!,1,0):OFFSET(#REF!,-1,0)</definedName>
    <definedName name="CSA">#REF!</definedName>
    <definedName name="CSA_1">#REF!</definedName>
    <definedName name="CSPP">#REF!</definedName>
    <definedName name="CSPP_1">#REF!</definedName>
    <definedName name="DAF" localSheetId="10">#REF!</definedName>
    <definedName name="DAF" localSheetId="8">#REF!</definedName>
    <definedName name="DAF" localSheetId="2">#REF!</definedName>
    <definedName name="DAF">#REF!</definedName>
    <definedName name="daniel" localSheetId="10">#REF!</definedName>
    <definedName name="daniel" localSheetId="8">#REF!</definedName>
    <definedName name="daniel" localSheetId="2">#REF!</definedName>
    <definedName name="daniel">#REF!</definedName>
    <definedName name="dataInicioObra">#REF!</definedName>
    <definedName name="DD" localSheetId="10">#REF!</definedName>
    <definedName name="DD" localSheetId="8">#REF!</definedName>
    <definedName name="DD" localSheetId="2">#REF!</definedName>
    <definedName name="DD">#REF!</definedName>
    <definedName name="DDD" localSheetId="8">#REF!</definedName>
    <definedName name="DDD">#REF!</definedName>
    <definedName name="DEFOFO">#REF!</definedName>
    <definedName name="DEFOFO100">#REF!</definedName>
    <definedName name="DEFOFO150">#REF!</definedName>
    <definedName name="DEFOFO200">#REF!</definedName>
    <definedName name="DEFOFO250">#REF!</definedName>
    <definedName name="DEFOFO300">#REF!</definedName>
    <definedName name="DF" localSheetId="8">#REF!</definedName>
    <definedName name="DF">#REF!</definedName>
    <definedName name="DFADFA" localSheetId="8">#REF!</definedName>
    <definedName name="DFADFA">#REF!</definedName>
    <definedName name="DFAFAF" localSheetId="8">#REF!</definedName>
    <definedName name="DFAFAF">#REF!</definedName>
    <definedName name="éAcertoGlosa" localSheetId="1">SUM(QCI!Orç.éGlosado)</definedName>
    <definedName name="éAcertoGlosa">SUM(Orç.éGlosado)</definedName>
    <definedName name="éAditadoDepois" localSheetId="1">COUNTIF(Orç.colAdit,"&gt;"&amp;QCI!mediçao)</definedName>
    <definedName name="éAditadoDepois">COUNTIF(Orç.colAdit,"&gt;"&amp;mediçao)</definedName>
    <definedName name="éAditadoNoPeríodo" localSheetId="1">COUNTIF(Orç.colAdit,QCI!mediçao)</definedName>
    <definedName name="éAditadoNoPeríodo">COUNTIF(Orç.colAdit,mediçao)</definedName>
    <definedName name="Esquerda">INDIRECT(ADDRESS(ROW(),COLUMN()-1))</definedName>
    <definedName name="EsquerdaAbaixo">INDIRECT(ADDRESS(ROW()+1,COLUMN()-1))</definedName>
    <definedName name="Excel_BuiltIn__FilterDatabase_1" localSheetId="8">#REF!</definedName>
    <definedName name="Excel_BuiltIn__FilterDatabase_1">#REF!</definedName>
    <definedName name="Excel_BuiltIn__FilterDatabase_10" localSheetId="8">#REF!</definedName>
    <definedName name="Excel_BuiltIn__FilterDatabase_10">#REF!</definedName>
    <definedName name="Excel_BuiltIn__FilterDatabase_10_1" localSheetId="8">#REF!</definedName>
    <definedName name="Excel_BuiltIn__FilterDatabase_10_1">#REF!</definedName>
    <definedName name="Excel_BuiltIn__FilterDatabase_11" localSheetId="8">#REF!</definedName>
    <definedName name="Excel_BuiltIn__FilterDatabase_11">#REF!</definedName>
    <definedName name="Excel_BuiltIn__FilterDatabase_12" localSheetId="8">#REF!</definedName>
    <definedName name="Excel_BuiltIn__FilterDatabase_12">#REF!</definedName>
    <definedName name="Excel_BuiltIn__FilterDatabase_13" localSheetId="8">#REF!</definedName>
    <definedName name="Excel_BuiltIn__FilterDatabase_13">#REF!</definedName>
    <definedName name="Excel_BuiltIn__FilterDatabase_14" localSheetId="8">#REF!</definedName>
    <definedName name="Excel_BuiltIn__FilterDatabase_14">#REF!</definedName>
    <definedName name="Excel_BuiltIn__FilterDatabase_15" localSheetId="8">#REF!</definedName>
    <definedName name="Excel_BuiltIn__FilterDatabase_15">#REF!</definedName>
    <definedName name="Excel_BuiltIn__FilterDatabase_16" localSheetId="8">#REF!</definedName>
    <definedName name="Excel_BuiltIn__FilterDatabase_16">#REF!</definedName>
    <definedName name="Excel_BuiltIn__FilterDatabase_17" localSheetId="8">#REF!</definedName>
    <definedName name="Excel_BuiltIn__FilterDatabase_17">#REF!</definedName>
    <definedName name="Excel_BuiltIn__FilterDatabase_18" localSheetId="8">#REF!</definedName>
    <definedName name="Excel_BuiltIn__FilterDatabase_18">#REF!</definedName>
    <definedName name="Excel_BuiltIn__FilterDatabase_2" localSheetId="8">#REF!</definedName>
    <definedName name="Excel_BuiltIn__FilterDatabase_2">#REF!</definedName>
    <definedName name="Excel_BuiltIn__FilterDatabase_3" localSheetId="8">#REF!</definedName>
    <definedName name="Excel_BuiltIn__FilterDatabase_3">#REF!</definedName>
    <definedName name="Excel_BuiltIn__FilterDatabase_3_1" localSheetId="8">#REF!</definedName>
    <definedName name="Excel_BuiltIn__FilterDatabase_3_1">#REF!</definedName>
    <definedName name="Excel_BuiltIn__FilterDatabase_3_1_1" localSheetId="8">#REF!</definedName>
    <definedName name="Excel_BuiltIn__FilterDatabase_3_1_1">#REF!</definedName>
    <definedName name="Excel_BuiltIn__FilterDatabase_3_4" localSheetId="8">#REF!</definedName>
    <definedName name="Excel_BuiltIn__FilterDatabase_3_4">#REF!</definedName>
    <definedName name="Excel_BuiltIn__FilterDatabase_3_5" localSheetId="8">#REF!</definedName>
    <definedName name="Excel_BuiltIn__FilterDatabase_3_5">#REF!</definedName>
    <definedName name="Excel_BuiltIn__FilterDatabase_3_6" localSheetId="8">#REF!</definedName>
    <definedName name="Excel_BuiltIn__FilterDatabase_3_6">#REF!</definedName>
    <definedName name="Excel_BuiltIn__FilterDatabase_3_7" localSheetId="8">#REF!</definedName>
    <definedName name="Excel_BuiltIn__FilterDatabase_3_7">#REF!</definedName>
    <definedName name="Excel_BuiltIn__FilterDatabase_3_8" localSheetId="8">#REF!</definedName>
    <definedName name="Excel_BuiltIn__FilterDatabase_3_8">#REF!</definedName>
    <definedName name="Excel_BuiltIn__FilterDatabase_3_9" localSheetId="8">#REF!</definedName>
    <definedName name="Excel_BuiltIn__FilterDatabase_3_9">#REF!</definedName>
    <definedName name="Excel_BuiltIn__FilterDatabase_4" localSheetId="8">#REF!</definedName>
    <definedName name="Excel_BuiltIn__FilterDatabase_4">#REF!</definedName>
    <definedName name="Excel_BuiltIn__FilterDatabase_4_1" localSheetId="8">#REF!</definedName>
    <definedName name="Excel_BuiltIn__FilterDatabase_4_1">#REF!</definedName>
    <definedName name="Excel_BuiltIn__FilterDatabase_5" localSheetId="8">#REF!</definedName>
    <definedName name="Excel_BuiltIn__FilterDatabase_5">#REF!</definedName>
    <definedName name="Excel_BuiltIn__FilterDatabase_5_1" localSheetId="8">#REF!</definedName>
    <definedName name="Excel_BuiltIn__FilterDatabase_5_1">#REF!</definedName>
    <definedName name="Excel_BuiltIn__FilterDatabase_5_1_1" localSheetId="8">#REF!</definedName>
    <definedName name="Excel_BuiltIn__FilterDatabase_5_1_1">#REF!</definedName>
    <definedName name="Excel_BuiltIn__FilterDatabase_6" localSheetId="8">#REF!</definedName>
    <definedName name="Excel_BuiltIn__FilterDatabase_6">#REF!</definedName>
    <definedName name="Excel_BuiltIn__FilterDatabase_6_1" localSheetId="8">#REF!</definedName>
    <definedName name="Excel_BuiltIn__FilterDatabase_6_1">#REF!</definedName>
    <definedName name="Excel_BuiltIn__FilterDatabase_7" localSheetId="8">#REF!</definedName>
    <definedName name="Excel_BuiltIn__FilterDatabase_7">#REF!</definedName>
    <definedName name="Excel_BuiltIn__FilterDatabase_7_1" localSheetId="8">#REF!</definedName>
    <definedName name="Excel_BuiltIn__FilterDatabase_7_1">#REF!</definedName>
    <definedName name="Excel_BuiltIn__FilterDatabase_8" localSheetId="8">#REF!</definedName>
    <definedName name="Excel_BuiltIn__FilterDatabase_8">#REF!</definedName>
    <definedName name="Excel_BuiltIn__FilterDatabase_8_1" localSheetId="8">#REF!</definedName>
    <definedName name="Excel_BuiltIn__FilterDatabase_8_1">#REF!</definedName>
    <definedName name="Excel_BuiltIn__FilterDatabase_9" localSheetId="8">#REF!</definedName>
    <definedName name="Excel_BuiltIn__FilterDatabase_9">#REF!</definedName>
    <definedName name="Excel_BuiltIn__FilterDatabase_9_1" localSheetId="8">#REF!</definedName>
    <definedName name="Excel_BuiltIn__FilterDatabase_9_1">#REF!</definedName>
    <definedName name="Excel_BuiltIn_Print_Area_1" localSheetId="8">#REF!</definedName>
    <definedName name="Excel_BuiltIn_Print_Area_1">#REF!</definedName>
    <definedName name="Excel_BuiltIn_Print_Area_1_1" localSheetId="8">#REF!</definedName>
    <definedName name="Excel_BuiltIn_Print_Area_1_1">#REF!</definedName>
    <definedName name="Excel_BuiltIn_Print_Area_1_1_1" localSheetId="8">#REF!</definedName>
    <definedName name="Excel_BuiltIn_Print_Area_1_1_1">#REF!</definedName>
    <definedName name="Excel_BuiltIn_Print_Area_1_1_1_1" localSheetId="8">#REF!</definedName>
    <definedName name="Excel_BuiltIn_Print_Area_1_1_1_1">#REF!</definedName>
    <definedName name="Excel_BuiltIn_Print_Area_1_1_1_1_1" localSheetId="8">#REF!</definedName>
    <definedName name="Excel_BuiltIn_Print_Area_1_1_1_1_1">#REF!</definedName>
    <definedName name="Excel_BuiltIn_Print_Area_1_1_1_1_1_1" localSheetId="8">#REF!</definedName>
    <definedName name="Excel_BuiltIn_Print_Area_1_1_1_1_1_1">#REF!</definedName>
    <definedName name="Excel_BuiltIn_Print_Area_1_1_1_1_1_1_1" localSheetId="8">#REF!</definedName>
    <definedName name="Excel_BuiltIn_Print_Area_1_1_1_1_1_1_1">#REF!</definedName>
    <definedName name="Excel_BuiltIn_Print_Area_1_1_1_1_1_1_1_1" localSheetId="8">#REF!</definedName>
    <definedName name="Excel_BuiltIn_Print_Area_1_1_1_1_1_1_1_1">#REF!</definedName>
    <definedName name="Excel_BuiltIn_Print_Area_1_1_1_1_1_1_1_1_1" localSheetId="8">#REF!</definedName>
    <definedName name="Excel_BuiltIn_Print_Area_1_1_1_1_1_1_1_1_1">#REF!</definedName>
    <definedName name="Excel_BuiltIn_Print_Area_10" localSheetId="8">#REF!</definedName>
    <definedName name="Excel_BuiltIn_Print_Area_10">#REF!</definedName>
    <definedName name="Excel_BuiltIn_Print_Area_10_1" localSheetId="8">#REF!</definedName>
    <definedName name="Excel_BuiltIn_Print_Area_10_1">#REF!</definedName>
    <definedName name="Excel_BuiltIn_Print_Area_11" localSheetId="8">#REF!</definedName>
    <definedName name="Excel_BuiltIn_Print_Area_11">#REF!</definedName>
    <definedName name="Excel_BuiltIn_Print_Area_11_1" localSheetId="8">#REF!</definedName>
    <definedName name="Excel_BuiltIn_Print_Area_11_1">#REF!</definedName>
    <definedName name="Excel_BuiltIn_Print_Area_13" localSheetId="8">#REF!</definedName>
    <definedName name="Excel_BuiltIn_Print_Area_13">#REF!</definedName>
    <definedName name="Excel_BuiltIn_Print_Area_14" localSheetId="8">#REF!</definedName>
    <definedName name="Excel_BuiltIn_Print_Area_14">#REF!</definedName>
    <definedName name="Excel_BuiltIn_Print_Area_15" localSheetId="8">#REF!</definedName>
    <definedName name="Excel_BuiltIn_Print_Area_15">#REF!</definedName>
    <definedName name="Excel_BuiltIn_Print_Area_16" localSheetId="8">#REF!</definedName>
    <definedName name="Excel_BuiltIn_Print_Area_16">#REF!</definedName>
    <definedName name="Excel_BuiltIn_Print_Area_17" localSheetId="8">#REF!</definedName>
    <definedName name="Excel_BuiltIn_Print_Area_17">#REF!</definedName>
    <definedName name="Excel_BuiltIn_Print_Area_18" localSheetId="8">#REF!</definedName>
    <definedName name="Excel_BuiltIn_Print_Area_18">#REF!</definedName>
    <definedName name="Excel_BuiltIn_Print_Area_2" localSheetId="8">#REF!</definedName>
    <definedName name="Excel_BuiltIn_Print_Area_2">#REF!</definedName>
    <definedName name="Excel_BuiltIn_Print_Area_2_1" localSheetId="8">#REF!</definedName>
    <definedName name="Excel_BuiltIn_Print_Area_2_1">#REF!</definedName>
    <definedName name="Excel_BuiltIn_Print_Area_3" localSheetId="8">#REF!</definedName>
    <definedName name="Excel_BuiltIn_Print_Area_3">#REF!</definedName>
    <definedName name="Excel_BuiltIn_Print_Area_3_1" localSheetId="8">#REF!</definedName>
    <definedName name="Excel_BuiltIn_Print_Area_3_1">#REF!</definedName>
    <definedName name="Excel_BuiltIn_Print_Area_3_1_1" localSheetId="8">#REF!</definedName>
    <definedName name="Excel_BuiltIn_Print_Area_3_1_1">#REF!</definedName>
    <definedName name="Excel_BuiltIn_Print_Area_3_1_1_1" localSheetId="8">#REF!</definedName>
    <definedName name="Excel_BuiltIn_Print_Area_3_1_1_1">#REF!</definedName>
    <definedName name="Excel_BuiltIn_Print_Area_3_1_1_1_1" localSheetId="8">#REF!</definedName>
    <definedName name="Excel_BuiltIn_Print_Area_3_1_1_1_1">#REF!</definedName>
    <definedName name="Excel_BuiltIn_Print_Area_4" localSheetId="8">#REF!</definedName>
    <definedName name="Excel_BuiltIn_Print_Area_4">#REF!</definedName>
    <definedName name="Excel_BuiltIn_Print_Area_4_1" localSheetId="8">#REF!</definedName>
    <definedName name="Excel_BuiltIn_Print_Area_4_1">#REF!</definedName>
    <definedName name="Excel_BuiltIn_Print_Area_4_1_1" localSheetId="8">#REF!</definedName>
    <definedName name="Excel_BuiltIn_Print_Area_4_1_1">#REF!</definedName>
    <definedName name="Excel_BuiltIn_Print_Area_5" localSheetId="8">#REF!</definedName>
    <definedName name="Excel_BuiltIn_Print_Area_5">#REF!</definedName>
    <definedName name="Excel_BuiltIn_Print_Area_5_1" localSheetId="8">#REF!</definedName>
    <definedName name="Excel_BuiltIn_Print_Area_5_1">#REF!</definedName>
    <definedName name="Excel_BuiltIn_Print_Area_5_1_1" localSheetId="8">#REF!</definedName>
    <definedName name="Excel_BuiltIn_Print_Area_5_1_1">#REF!</definedName>
    <definedName name="Excel_BuiltIn_Print_Area_5_1_1_1" localSheetId="8">#REF!</definedName>
    <definedName name="Excel_BuiltIn_Print_Area_5_1_1_1">#REF!</definedName>
    <definedName name="Excel_BuiltIn_Print_Area_5_6" localSheetId="8">#REF!</definedName>
    <definedName name="Excel_BuiltIn_Print_Area_5_6">#REF!</definedName>
    <definedName name="Excel_BuiltIn_Print_Area_5_7" localSheetId="8">#REF!</definedName>
    <definedName name="Excel_BuiltIn_Print_Area_5_7">#REF!</definedName>
    <definedName name="Excel_BuiltIn_Print_Area_6" localSheetId="8">#REF!</definedName>
    <definedName name="Excel_BuiltIn_Print_Area_6">#REF!</definedName>
    <definedName name="Excel_BuiltIn_Print_Area_6_1" localSheetId="8">#REF!</definedName>
    <definedName name="Excel_BuiltIn_Print_Area_6_1">#REF!</definedName>
    <definedName name="Excel_BuiltIn_Print_Area_6_1_1" localSheetId="8">#REF!</definedName>
    <definedName name="Excel_BuiltIn_Print_Area_6_1_1">#REF!</definedName>
    <definedName name="Excel_BuiltIn_Print_Area_6_1_1_1" localSheetId="8">#REF!</definedName>
    <definedName name="Excel_BuiltIn_Print_Area_6_1_1_1">#REF!</definedName>
    <definedName name="Excel_BuiltIn_Print_Area_7" localSheetId="8">#REF!</definedName>
    <definedName name="Excel_BuiltIn_Print_Area_7">#REF!</definedName>
    <definedName name="Excel_BuiltIn_Print_Area_7_1" localSheetId="8">#REF!</definedName>
    <definedName name="Excel_BuiltIn_Print_Area_7_1">#REF!</definedName>
    <definedName name="Excel_BuiltIn_Print_Area_7_1_1" localSheetId="8">#REF!</definedName>
    <definedName name="Excel_BuiltIn_Print_Area_7_1_1">#REF!</definedName>
    <definedName name="Excel_BuiltIn_Print_Area_8" localSheetId="8">#REF!</definedName>
    <definedName name="Excel_BuiltIn_Print_Area_8">#REF!</definedName>
    <definedName name="Excel_BuiltIn_Print_Area_8_1" localSheetId="8">#REF!</definedName>
    <definedName name="Excel_BuiltIn_Print_Area_8_1">#REF!</definedName>
    <definedName name="Excel_BuiltIn_Print_Area_8_1_1">([1]EMERGÊNCIA!$A$1:$N$213,[1]EMERGÊNCIA!$A$214:$N$290)</definedName>
    <definedName name="Excel_BuiltIn_Print_Area_8_1_1_1">([1]EMERGÊNCIA!$A$1:$N$213,[1]EMERGÊNCIA!$A$214:$N$290)</definedName>
    <definedName name="Excel_BuiltIn_Print_Area_9" localSheetId="10">#REF!</definedName>
    <definedName name="Excel_BuiltIn_Print_Area_9" localSheetId="8">#REF!</definedName>
    <definedName name="Excel_BuiltIn_Print_Area_9" localSheetId="2">#REF!</definedName>
    <definedName name="Excel_BuiltIn_Print_Area_9">#REF!</definedName>
    <definedName name="Excel_BuiltIn_Print_Area_9_1" localSheetId="10">#REF!</definedName>
    <definedName name="Excel_BuiltIn_Print_Area_9_1" localSheetId="8">#REF!</definedName>
    <definedName name="Excel_BuiltIn_Print_Area_9_1" localSheetId="2">#REF!</definedName>
    <definedName name="Excel_BuiltIn_Print_Area_9_1">#REF!</definedName>
    <definedName name="Excel_BuiltIn_Print_Area_9_1_1" localSheetId="10">#REF!</definedName>
    <definedName name="Excel_BuiltIn_Print_Area_9_1_1" localSheetId="8">#REF!</definedName>
    <definedName name="Excel_BuiltIn_Print_Area_9_1_1" localSheetId="2">#REF!</definedName>
    <definedName name="Excel_BuiltIn_Print_Area_9_1_1">#REF!</definedName>
    <definedName name="Excel_BuiltIn_Print_Area_9_1_1_1" localSheetId="8">#REF!</definedName>
    <definedName name="Excel_BuiltIn_Print_Area_9_1_1_1">#REF!</definedName>
    <definedName name="Excel_BuiltIn_Print_Titles_1_1" localSheetId="8">#REF!</definedName>
    <definedName name="Excel_BuiltIn_Print_Titles_1_1">#REF!</definedName>
    <definedName name="Excel_BuiltIn_Print_Titles_1_1_1" localSheetId="8">#REF!</definedName>
    <definedName name="Excel_BuiltIn_Print_Titles_1_1_1">#REF!</definedName>
    <definedName name="Excel_BuiltIn_Print_Titles_11" localSheetId="8">#REF!</definedName>
    <definedName name="Excel_BuiltIn_Print_Titles_11">#REF!</definedName>
    <definedName name="Excel_BuiltIn_Print_Titles_13" localSheetId="8">#REF!</definedName>
    <definedName name="Excel_BuiltIn_Print_Titles_13">#REF!</definedName>
    <definedName name="Excel_BuiltIn_Print_Titles_14" localSheetId="8">#REF!</definedName>
    <definedName name="Excel_BuiltIn_Print_Titles_14">#REF!</definedName>
    <definedName name="Excel_BuiltIn_Print_Titles_15" localSheetId="8">#REF!</definedName>
    <definedName name="Excel_BuiltIn_Print_Titles_15">#REF!</definedName>
    <definedName name="Excel_BuiltIn_Print_Titles_16" localSheetId="8">#REF!</definedName>
    <definedName name="Excel_BuiltIn_Print_Titles_16">#REF!</definedName>
    <definedName name="Excel_BuiltIn_Print_Titles_17" localSheetId="8">#REF!</definedName>
    <definedName name="Excel_BuiltIn_Print_Titles_17">#REF!</definedName>
    <definedName name="Excel_BuiltIn_Print_Titles_18" localSheetId="8">#REF!</definedName>
    <definedName name="Excel_BuiltIn_Print_Titles_18">#REF!</definedName>
    <definedName name="Excel_BuiltIn_Print_Titles_2" localSheetId="8">#REF!</definedName>
    <definedName name="Excel_BuiltIn_Print_Titles_2" localSheetId="1">#REF!</definedName>
    <definedName name="Excel_BuiltIn_Print_Titles_2">#REF!</definedName>
    <definedName name="Excel_BuiltIn_Print_Titles_3" localSheetId="8">#REF!</definedName>
    <definedName name="Excel_BuiltIn_Print_Titles_3">#REF!</definedName>
    <definedName name="Excel_BuiltIn_Print_Titles_3_1" localSheetId="8">#REF!</definedName>
    <definedName name="Excel_BuiltIn_Print_Titles_3_1">#REF!</definedName>
    <definedName name="Excel_BuiltIn_Print_Titles_3_1_1" localSheetId="8">#REF!</definedName>
    <definedName name="Excel_BuiltIn_Print_Titles_3_1_1">#REF!</definedName>
    <definedName name="Excel_BuiltIn_Print_Titles_3_1_1_1" localSheetId="8">#REF!</definedName>
    <definedName name="Excel_BuiltIn_Print_Titles_3_1_1_1">#REF!</definedName>
    <definedName name="Excel_BuiltIn_Print_Titles_3_4" localSheetId="8">#REF!</definedName>
    <definedName name="Excel_BuiltIn_Print_Titles_3_4">#REF!</definedName>
    <definedName name="Excel_BuiltIn_Print_Titles_3_5" localSheetId="8">#REF!</definedName>
    <definedName name="Excel_BuiltIn_Print_Titles_3_5">#REF!</definedName>
    <definedName name="Excel_BuiltIn_Print_Titles_3_6" localSheetId="8">#REF!</definedName>
    <definedName name="Excel_BuiltIn_Print_Titles_3_6">#REF!</definedName>
    <definedName name="Excel_BuiltIn_Print_Titles_3_7" localSheetId="8">#REF!</definedName>
    <definedName name="Excel_BuiltIn_Print_Titles_3_7">#REF!</definedName>
    <definedName name="Excel_BuiltIn_Print_Titles_3_8" localSheetId="8">#REF!</definedName>
    <definedName name="Excel_BuiltIn_Print_Titles_3_8">#REF!</definedName>
    <definedName name="Excel_BuiltIn_Print_Titles_3_9" localSheetId="8">#REF!</definedName>
    <definedName name="Excel_BuiltIn_Print_Titles_3_9">#REF!</definedName>
    <definedName name="Excel_BuiltIn_Print_Titles_4" localSheetId="8">#REF!</definedName>
    <definedName name="Excel_BuiltIn_Print_Titles_4">#REF!</definedName>
    <definedName name="Excel_BuiltIn_Print_Titles_4_1" localSheetId="8">#REF!</definedName>
    <definedName name="Excel_BuiltIn_Print_Titles_4_1">#REF!</definedName>
    <definedName name="Excel_BuiltIn_Print_Titles_4_1_1" localSheetId="8">#REF!</definedName>
    <definedName name="Excel_BuiltIn_Print_Titles_4_1_1">#REF!</definedName>
    <definedName name="Excel_BuiltIn_Print_Titles_5" localSheetId="8">#REF!</definedName>
    <definedName name="Excel_BuiltIn_Print_Titles_5">#REF!</definedName>
    <definedName name="Excel_BuiltIn_Print_Titles_5_1" localSheetId="8">#REF!</definedName>
    <definedName name="Excel_BuiltIn_Print_Titles_5_1">#REF!</definedName>
    <definedName name="Excel_BuiltIn_Print_Titles_5_1_1" localSheetId="8">#REF!</definedName>
    <definedName name="Excel_BuiltIn_Print_Titles_5_1_1">#REF!</definedName>
    <definedName name="Excel_BuiltIn_Print_Titles_5_1_1_1" localSheetId="8">#REF!</definedName>
    <definedName name="Excel_BuiltIn_Print_Titles_5_1_1_1">#REF!</definedName>
    <definedName name="Excel_BuiltIn_Print_Titles_6" localSheetId="8">#REF!</definedName>
    <definedName name="Excel_BuiltIn_Print_Titles_6">#REF!</definedName>
    <definedName name="Excel_BuiltIn_Print_Titles_6_1" localSheetId="8">#REF!</definedName>
    <definedName name="Excel_BuiltIn_Print_Titles_6_1">#REF!</definedName>
    <definedName name="Excel_BuiltIn_Print_Titles_6_1_1" localSheetId="8">#REF!</definedName>
    <definedName name="Excel_BuiltIn_Print_Titles_6_1_1">#REF!</definedName>
    <definedName name="Excel_BuiltIn_Print_Titles_7" localSheetId="8">#REF!</definedName>
    <definedName name="Excel_BuiltIn_Print_Titles_7">#REF!</definedName>
    <definedName name="Excel_BuiltIn_Print_Titles_7_1" localSheetId="8">#REF!</definedName>
    <definedName name="Excel_BuiltIn_Print_Titles_7_1">#REF!</definedName>
    <definedName name="Excel_BuiltIn_Print_Titles_8" localSheetId="8">#REF!</definedName>
    <definedName name="Excel_BuiltIn_Print_Titles_8">#REF!</definedName>
    <definedName name="Excel_BuiltIn_Print_Titles_9" localSheetId="8">#REF!</definedName>
    <definedName name="Excel_BuiltIn_Print_Titles_9">#REF!</definedName>
    <definedName name="Excel_BuiltIn_Print_Titles_9_1" localSheetId="8">#REF!</definedName>
    <definedName name="Excel_BuiltIn_Print_Titles_9_1">#REF!</definedName>
    <definedName name="ExecAcum" localSheetId="1">IF(QCI!Item.éValido,IF(QCI!Item.Quant,Esquerda/QCI!Item.Quant,"&gt;&gt;"),"")</definedName>
    <definedName name="ExecAcum">IF(Item.éValido,IF(Item.Quant,Esquerda/Item.Quant,"&gt;&gt;"),"")</definedName>
    <definedName name="ExecPeriodo" localSheetId="1">IF(QCI!Item.éValido,IF(QCI!Item.Quant,SUM(OFFSET(QCI!Bm.linAtual,,QCI!Bm.posAtual))/QCI!Item.Quant,"&gt;&gt;"),"")</definedName>
    <definedName name="ExecPeriodo">IF(Item.éValido,IF(Item.Quant,SUM(OFFSET(Bm.linAtual,,Bm.posAtual))/Item.Quant,"&gt;&gt;"),"")</definedName>
    <definedName name="EXTENSÃO">#REF!</definedName>
    <definedName name="EXTENSÃO_1">#REF!</definedName>
    <definedName name="extred100" localSheetId="1">[7]MEMORIAL!#REF!</definedName>
    <definedName name="extred100">[7]MEMORIAL!#REF!</definedName>
    <definedName name="EXTREDE">#REF!</definedName>
    <definedName name="EXTREDE_1">#REF!</definedName>
    <definedName name="FAF" localSheetId="8">#REF!</definedName>
    <definedName name="FAF">#REF!</definedName>
    <definedName name="FAMILIAS" localSheetId="8">#REF!</definedName>
    <definedName name="FAMILIAS">#REF!</definedName>
    <definedName name="FDDFASD" localSheetId="8">#REF!</definedName>
    <definedName name="FDDFASD">#REF!</definedName>
    <definedName name="FisicoAcum" localSheetId="1">IF(QCI!Item.éValido,SUM(OFFSET(QCI!Bm.linAtual,,,,QCI!Bm.posAcum)),"")</definedName>
    <definedName name="FisicoAcum">IF(Item.éValido,SUM(OFFSET(Bm.linAtual,,,,Bm.posAcum)),"")</definedName>
    <definedName name="FOFO">#REF!</definedName>
    <definedName name="FOFO150">#REF!</definedName>
    <definedName name="FOFO200">#REF!</definedName>
    <definedName name="FOFO50">#REF!</definedName>
    <definedName name="FOFO75">#REF!</definedName>
    <definedName name="FOFO80">#REF!</definedName>
    <definedName name="folha" localSheetId="8">#REF!</definedName>
    <definedName name="folha">#REF!</definedName>
    <definedName name="folhas" localSheetId="8">#REF!</definedName>
    <definedName name="folhas">#REF!</definedName>
    <definedName name="form01a" localSheetId="8">#REF!</definedName>
    <definedName name="form01a">#REF!</definedName>
    <definedName name="form01b" localSheetId="8">#REF!</definedName>
    <definedName name="form01b">#REF!</definedName>
    <definedName name="gasdfsdfase" localSheetId="8">#REF!</definedName>
    <definedName name="gasdfsdfase">#REF!</definedName>
    <definedName name="gfhfgh" localSheetId="8">#REF!</definedName>
    <definedName name="gfhfgh">#REF!</definedName>
    <definedName name="gfhfgh___6" localSheetId="8">#REF!</definedName>
    <definedName name="gfhfgh___6">#REF!</definedName>
    <definedName name="gfhfgh___6_1" localSheetId="8">#REF!</definedName>
    <definedName name="gfhfgh___6_1">#REF!</definedName>
    <definedName name="gfhfgh___6_1_1" localSheetId="8">#REF!</definedName>
    <definedName name="gfhfgh___6_1_1">#REF!</definedName>
    <definedName name="gfhfgh_1" localSheetId="8">#REF!</definedName>
    <definedName name="gfhfgh_1">#REF!</definedName>
    <definedName name="gfhfgh_1_1" localSheetId="8">#REF!</definedName>
    <definedName name="gfhfgh_1_1">#REF!</definedName>
    <definedName name="GGGG" localSheetId="8">#REF!</definedName>
    <definedName name="GGGG">#REF!</definedName>
    <definedName name="gil">#REF!</definedName>
    <definedName name="hjjhj" localSheetId="8">#REF!</definedName>
    <definedName name="hjjhj">#REF!</definedName>
    <definedName name="hjjhj_1" localSheetId="8">#REF!</definedName>
    <definedName name="hjjhj_1">#REF!</definedName>
    <definedName name="hjjhj_1_1" localSheetId="8">#REF!</definedName>
    <definedName name="hjjhj_1_1">#REF!</definedName>
    <definedName name="I">#REF!</definedName>
    <definedName name="inicio">#REF!</definedName>
    <definedName name="ITEM">[8]Plan1!$E$3:$E$5</definedName>
    <definedName name="Item.éAditado" localSheetId="1">LEN(TRIM(INDEX(#REF!,ROW())))</definedName>
    <definedName name="Item.éAditado">LEN(TRIM(INDEX(#REF!,ROW())))</definedName>
    <definedName name="Item.éValido" localSheetId="1">COUNT(OFFSET(QCI!Item.preçoLic,0,0,1,4))</definedName>
    <definedName name="Item.éValido">COUNT(OFFSET(Item.preçoLic,0,0,1,4))</definedName>
    <definedName name="Item.Preço" localSheetId="1">N(IF(QCI!Item.éAditado*ISNUMBER(QCI!Item.preçoAlt),QCI!Item.preçoAlt,QCI!Item.preçoLic))</definedName>
    <definedName name="Item.Preço">N(IF(Item.éAditado*ISNUMBER(Item.preçoAlt),Item.preçoAlt,Item.preçoLic))</definedName>
    <definedName name="Item.preçoAlt" localSheetId="1">INDEX(#REF!,ROW())</definedName>
    <definedName name="Item.preçoAlt">INDEX(#REF!,ROW())</definedName>
    <definedName name="Item.preçoLic" localSheetId="1">INDEX(#REF!,ROW())</definedName>
    <definedName name="Item.preçoLic">INDEX(#REF!,ROW())</definedName>
    <definedName name="Item.Quant" localSheetId="1">N(IF(QCI!Item.éAditado*ISNUMBER(QCI!Item.quantAlt),QCI!Item.quantAlt,QCI!Item.quantLic))</definedName>
    <definedName name="Item.Quant">N(IF(Item.éAditado*ISNUMBER(Item.quantAlt),Item.quantAlt,Item.quantLic))</definedName>
    <definedName name="Item.quantAlt" localSheetId="1">INDEX(#REF!,ROW())</definedName>
    <definedName name="Item.quantAlt">INDEX(#REF!,ROW())</definedName>
    <definedName name="Item.quantLic" localSheetId="1">INDEX(#REF!,ROW())</definedName>
    <definedName name="Item.quantLic">INDEX(#REF!,ROW())</definedName>
    <definedName name="JOBINFO" localSheetId="10">#REF!</definedName>
    <definedName name="JOBINFO" localSheetId="8">#REF!</definedName>
    <definedName name="JOBINFO" localSheetId="2">#REF!</definedName>
    <definedName name="JOBINFO">#REF!</definedName>
    <definedName name="JUR" localSheetId="10">#REF!</definedName>
    <definedName name="JUR" localSheetId="8">#REF!</definedName>
    <definedName name="JUR" localSheetId="2">#REF!</definedName>
    <definedName name="JUR">#REF!</definedName>
    <definedName name="LL" localSheetId="10">#REF!</definedName>
    <definedName name="LL" localSheetId="8">#REF!</definedName>
    <definedName name="LL" localSheetId="2">#REF!</definedName>
    <definedName name="LL">#REF!</definedName>
    <definedName name="LL_1" localSheetId="8">#REF!</definedName>
    <definedName name="LL_1">#REF!</definedName>
    <definedName name="LL_1_1" localSheetId="8">#REF!</definedName>
    <definedName name="LL_1_1">#REF!</definedName>
    <definedName name="MCOD02.020.0010" localSheetId="1">[9]MEMORIAL!#REF!</definedName>
    <definedName name="MCOD02.020.0010">[9]MEMORIAL!#REF!</definedName>
    <definedName name="MCOD02.020.0010_1" localSheetId="1">[10]MEMORIAL!#REF!</definedName>
    <definedName name="MCOD02.020.0010_1">[10]MEMORIAL!#REF!</definedName>
    <definedName name="MCOD02.020.0070">[9]MEMORIAL!#REF!</definedName>
    <definedName name="MCOD02.020.0070_1">[10]MEMORIAL!#REF!</definedName>
    <definedName name="MCOD02.030.0090">[9]MEMORIAL!#REF!</definedName>
    <definedName name="MCOD02.030.0090_1">[10]MEMORIAL!#REF!</definedName>
    <definedName name="MCOD02.030.0100">[9]MEMORIAL!#REF!</definedName>
    <definedName name="MCOD02.030.0100_1">[10]MEMORIAL!#REF!</definedName>
    <definedName name="MCOD02.040.0200">[9]MEMORIAL!#REF!</definedName>
    <definedName name="MCOD02.040.0200_1">[10]MEMORIAL!#REF!</definedName>
    <definedName name="MCOD02.040.0280">[9]MEMORIAL!#REF!</definedName>
    <definedName name="MCOD02.040.0280_1">[10]MEMORIAL!#REF!</definedName>
    <definedName name="MCOD02.040.0921">[9]MEMORIAL!#REF!</definedName>
    <definedName name="MCOD02.040.0921_1">[10]MEMORIAL!#REF!</definedName>
    <definedName name="MCOD02.040.1055">[9]MEMORIAL!#REF!</definedName>
    <definedName name="MCOD02.040.1055_1">[10]MEMORIAL!#REF!</definedName>
    <definedName name="MCOD02.040.1060">[9]MEMORIAL!#REF!</definedName>
    <definedName name="MCOD02.040.1060_1">[10]MEMORIAL!#REF!</definedName>
    <definedName name="MCOD02.040.3790">[9]MEMORIAL!#REF!</definedName>
    <definedName name="MCOD02.040.3790_1">[10]MEMORIAL!#REF!</definedName>
    <definedName name="MCOD02.040.3800">[9]MEMORIAL!#REF!</definedName>
    <definedName name="MCOD02.040.3800_1">[10]MEMORIAL!#REF!</definedName>
    <definedName name="MCOD02.040.3810">[9]MEMORIAL!#REF!</definedName>
    <definedName name="MCOD02.040.3810_1">[10]MEMORIAL!#REF!</definedName>
    <definedName name="MCOD02.040.4510">[9]MEMORIAL!#REF!</definedName>
    <definedName name="MCOD02.040.4510_1">[10]MEMORIAL!#REF!</definedName>
    <definedName name="MCOD02.040.4520">[9]MEMORIAL!#REF!</definedName>
    <definedName name="MCOD02.040.4520_1">[10]MEMORIAL!#REF!</definedName>
    <definedName name="MCOD02.040.4550">[9]MEMORIAL!#REF!</definedName>
    <definedName name="MCOD02.040.4550_1">[10]MEMORIAL!#REF!</definedName>
    <definedName name="MCOD02.040.4620">[9]MEMORIAL!#REF!</definedName>
    <definedName name="MCOD02.040.4620_1">[10]MEMORIAL!#REF!</definedName>
    <definedName name="MCOD02.040.4630">[9]MEMORIAL!#REF!</definedName>
    <definedName name="MCOD02.040.4630_1">[10]MEMORIAL!#REF!</definedName>
    <definedName name="MCOD02.040.4636">[9]MEMORIAL!#REF!</definedName>
    <definedName name="MCOD02.040.4636_1">[10]MEMORIAL!#REF!</definedName>
    <definedName name="MCOD02.040.4690">[9]MEMORIAL!#REF!</definedName>
    <definedName name="MCOD02.040.4690_1">[10]MEMORIAL!#REF!</definedName>
    <definedName name="MCOD02.040.7402">[9]MEMORIAL!#REF!</definedName>
    <definedName name="MCOD02.040.7402_1">[10]MEMORIAL!#REF!</definedName>
    <definedName name="MCOD02.040.9800">[9]MEMORIAL!#REF!</definedName>
    <definedName name="MCOD02.040.9800_1">[10]MEMORIAL!#REF!</definedName>
    <definedName name="MCOD02.040.9802">[9]MEMORIAL!#REF!</definedName>
    <definedName name="MCOD02.040.9802_1">[10]MEMORIAL!#REF!</definedName>
    <definedName name="MCOD02.040.9804">[9]MEMORIAL!#REF!</definedName>
    <definedName name="MCOD02.040.9804_1">[10]MEMORIAL!#REF!</definedName>
    <definedName name="MCOD02.110.0014">[9]MEMORIAL!#REF!</definedName>
    <definedName name="MCOD02.110.0014_1">[10]MEMORIAL!#REF!</definedName>
    <definedName name="MCOD02.110.0054">[9]MEMORIAL!#REF!</definedName>
    <definedName name="MCOD02.110.0054_1">[10]MEMORIAL!#REF!</definedName>
    <definedName name="MCOD02.110.0066">[9]MEMORIAL!#REF!</definedName>
    <definedName name="MCOD02.110.0066_1">[10]MEMORIAL!#REF!</definedName>
    <definedName name="MCOD02.110.0094">[9]MEMORIAL!#REF!</definedName>
    <definedName name="MCOD02.110.0094_1">[10]MEMORIAL!#REF!</definedName>
    <definedName name="MCOD02.110.0106">[9]MEMORIAL!#REF!</definedName>
    <definedName name="MCOD02.110.0106_1">[10]MEMORIAL!#REF!</definedName>
    <definedName name="MCOD02.110.0110">[9]MEMORIAL!#REF!</definedName>
    <definedName name="MCOD02.110.0110_1">[10]MEMORIAL!#REF!</definedName>
    <definedName name="MCOD02.110.0134">[9]MEMORIAL!#REF!</definedName>
    <definedName name="MCOD02.110.0134_1">[10]MEMORIAL!#REF!</definedName>
    <definedName name="MCOD02.110.0146">[9]MEMORIAL!#REF!</definedName>
    <definedName name="MCOD02.110.0146_1">[10]MEMORIAL!#REF!</definedName>
    <definedName name="MCOD02.110.0150">[9]MEMORIAL!#REF!</definedName>
    <definedName name="MCOD02.110.0150_1">[10]MEMORIAL!#REF!</definedName>
    <definedName name="MCOD02.110.0610">[9]MEMORIAL!#REF!</definedName>
    <definedName name="MCOD02.110.0610_1">[10]MEMORIAL!#REF!</definedName>
    <definedName name="MCOD02.110.0620">[9]MEMORIAL!#REF!</definedName>
    <definedName name="MCOD02.110.0620_1">[10]MEMORIAL!#REF!</definedName>
    <definedName name="MCOD02.110.0734">[9]MEMORIAL!#REF!</definedName>
    <definedName name="MCOD02.110.0734_1">[10]MEMORIAL!#REF!</definedName>
    <definedName name="MCOD02.110.0738">[9]MEMORIAL!#REF!</definedName>
    <definedName name="MCOD02.110.0738_1">[10]MEMORIAL!#REF!</definedName>
    <definedName name="MCOD02.110.0750">[9]MEMORIAL!#REF!</definedName>
    <definedName name="MCOD02.110.0750_1">[10]MEMORIAL!#REF!</definedName>
    <definedName name="MCOD02.110.1014">[9]MEMORIAL!#REF!</definedName>
    <definedName name="MCOD02.110.1014_1">[10]MEMORIAL!#REF!</definedName>
    <definedName name="MCOD02.110.1020">[9]MEMORIAL!#REF!</definedName>
    <definedName name="MCOD02.110.1020_1">[10]MEMORIAL!#REF!</definedName>
    <definedName name="MCOD02.110.1164">[9]MEMORIAL!#REF!</definedName>
    <definedName name="MCOD02.110.1164_1">[10]MEMORIAL!#REF!</definedName>
    <definedName name="MCOD02.110.1166">[9]MEMORIAL!#REF!</definedName>
    <definedName name="MCOD02.110.1166_1">[10]MEMORIAL!#REF!</definedName>
    <definedName name="MCOD02.110.1420">[9]MEMORIAL!#REF!</definedName>
    <definedName name="MCOD02.110.1420_1">[10]MEMORIAL!#REF!</definedName>
    <definedName name="MCOD02.110.1426">[9]MEMORIAL!#REF!</definedName>
    <definedName name="MCOD02.110.1426_1">[10]MEMORIAL!#REF!</definedName>
    <definedName name="MCOD02.110.1654">[9]MEMORIAL!#REF!</definedName>
    <definedName name="MCOD02.110.1654_1">[10]MEMORIAL!#REF!</definedName>
    <definedName name="MCOD02.110.1880">[9]MEMORIAL!#REF!</definedName>
    <definedName name="MCOD02.110.1880_1">[10]MEMORIAL!#REF!</definedName>
    <definedName name="MCOD02.110.1974">[9]MEMORIAL!#REF!</definedName>
    <definedName name="MCOD02.110.1974_1">[10]MEMORIAL!#REF!</definedName>
    <definedName name="MCOD02.110.1996">[9]MEMORIAL!#REF!</definedName>
    <definedName name="MCOD02.110.1996_1">[10]MEMORIAL!#REF!</definedName>
    <definedName name="MCOD02.110.2012">[9]MEMORIAL!#REF!</definedName>
    <definedName name="MCOD02.110.2012_1">[10]MEMORIAL!#REF!</definedName>
    <definedName name="MCOD02.110.2016">[9]MEMORIAL!#REF!</definedName>
    <definedName name="MCOD02.110.2016_1">[10]MEMORIAL!#REF!</definedName>
    <definedName name="MCOD02.110.2024">[9]MEMORIAL!#REF!</definedName>
    <definedName name="MCOD02.110.2024_1">[10]MEMORIAL!#REF!</definedName>
    <definedName name="MCOD02.110.2026">[9]MEMORIAL!#REF!</definedName>
    <definedName name="MCOD02.110.2026_1">[10]MEMORIAL!#REF!</definedName>
    <definedName name="MCOD02.110.2310">[9]MEMORIAL!#REF!</definedName>
    <definedName name="MCOD02.110.2310_1">[10]MEMORIAL!#REF!</definedName>
    <definedName name="MCOD02.110.2480">[9]MEMORIAL!#REF!</definedName>
    <definedName name="MCOD02.110.2480_1">[10]MEMORIAL!#REF!</definedName>
    <definedName name="MCOD02.110.2798">[9]MEMORIAL!#REF!</definedName>
    <definedName name="MCOD02.110.2798_1">[10]MEMORIAL!#REF!</definedName>
    <definedName name="MCOD02.110.2806">[9]MEMORIAL!#REF!</definedName>
    <definedName name="MCOD02.110.2806_1">[10]MEMORIAL!#REF!</definedName>
    <definedName name="MCOD02.110.2868">[9]MEMORIAL!#REF!</definedName>
    <definedName name="MCOD02.110.2868_1">[10]MEMORIAL!#REF!</definedName>
    <definedName name="MCOD02.110.3856">[9]MEMORIAL!#REF!</definedName>
    <definedName name="MCOD02.110.3856_1">[10]MEMORIAL!#REF!</definedName>
    <definedName name="MCOD02.110.3908">[9]MEMORIAL!#REF!</definedName>
    <definedName name="MCOD02.110.3908_1">[10]MEMORIAL!#REF!</definedName>
    <definedName name="MCOD02.110.3926">[9]MEMORIAL!#REF!</definedName>
    <definedName name="MCOD02.110.3926_1">[10]MEMORIAL!#REF!</definedName>
    <definedName name="MCOD02.110.4288">[9]MEMORIAL!#REF!</definedName>
    <definedName name="MCOD02.110.4288_1">[10]MEMORIAL!#REF!</definedName>
    <definedName name="MCOD02.110.4296">[9]MEMORIAL!#REF!</definedName>
    <definedName name="MCOD02.110.4296_1">[10]MEMORIAL!#REF!</definedName>
    <definedName name="MCOD02.110.4308">[9]MEMORIAL!#REF!</definedName>
    <definedName name="MCOD02.110.4308_1">[10]MEMORIAL!#REF!</definedName>
    <definedName name="MCOD02.110.4312">[9]MEMORIAL!#REF!</definedName>
    <definedName name="MCOD02.110.4312_1">[10]MEMORIAL!#REF!</definedName>
    <definedName name="MCOD02.110.4320">[9]MEMORIAL!#REF!</definedName>
    <definedName name="MCOD02.110.4320_1">[10]MEMORIAL!#REF!</definedName>
    <definedName name="MCOD02.110.4780">[9]MEMORIAL!#REF!</definedName>
    <definedName name="MCOD02.110.4780_1">[10]MEMORIAL!#REF!</definedName>
    <definedName name="MCOD02.120.0050">[9]MEMORIAL!#REF!</definedName>
    <definedName name="MCOD02.120.0050_1">[10]MEMORIAL!#REF!</definedName>
    <definedName name="MCOD02.120.0060">[9]MEMORIAL!#REF!</definedName>
    <definedName name="MCOD02.120.0060_1">[10]MEMORIAL!#REF!</definedName>
    <definedName name="MCOD02.120.0140">[9]MEMORIAL!#REF!</definedName>
    <definedName name="MCOD02.120.0140_1">[10]MEMORIAL!#REF!</definedName>
    <definedName name="MCOD02.130.0070">[9]MEMORIAL!#REF!</definedName>
    <definedName name="MCOD02.130.0070_1">[10]MEMORIAL!#REF!</definedName>
    <definedName name="MCOD02.130.0080">[9]MEMORIAL!#REF!</definedName>
    <definedName name="MCOD02.130.0080_1">[10]MEMORIAL!#REF!</definedName>
    <definedName name="MCOD02.130.0100">[9]MEMORIAL!#REF!</definedName>
    <definedName name="MCOD02.130.0100_1">[10]MEMORIAL!#REF!</definedName>
    <definedName name="MCOD02.140.0030">[9]MEMORIAL!#REF!</definedName>
    <definedName name="MCOD02.140.0030_1">[10]MEMORIAL!#REF!</definedName>
    <definedName name="MCOD02.140.0080">[9]MEMORIAL!#REF!</definedName>
    <definedName name="MCOD02.140.0080_1">[10]MEMORIAL!#REF!</definedName>
    <definedName name="MCOD02.140.0090">[9]MEMORIAL!#REF!</definedName>
    <definedName name="MCOD02.140.0090_1">[10]MEMORIAL!#REF!</definedName>
    <definedName name="MCOD02.160.0010">[9]MEMORIAL!#REF!</definedName>
    <definedName name="MCOD02.160.0010_1">[10]MEMORIAL!#REF!</definedName>
    <definedName name="MCOD02.160.0110">[9]MEMORIAL!#REF!</definedName>
    <definedName name="MCOD02.160.0110_1">[10]MEMORIAL!#REF!</definedName>
    <definedName name="MCOD02.180.0010">[9]MEMORIAL!#REF!</definedName>
    <definedName name="MCOD02.180.0010_1">[10]MEMORIAL!#REF!</definedName>
    <definedName name="MCOD02.210.0020">[9]MEMORIAL!#REF!</definedName>
    <definedName name="MCOD02.210.0020_1">[10]MEMORIAL!#REF!</definedName>
    <definedName name="MCOD02.210.0030">[9]MEMORIAL!#REF!</definedName>
    <definedName name="MCOD02.210.0030_1">[10]MEMORIAL!#REF!</definedName>
    <definedName name="MCOD02.210.0090">[9]MEMORIAL!#REF!</definedName>
    <definedName name="MCOD02.210.0090_1">[10]MEMORIAL!#REF!</definedName>
    <definedName name="MCOD02.210.0110">[9]MEMORIAL!#REF!</definedName>
    <definedName name="MCOD02.210.0110_1">[10]MEMORIAL!#REF!</definedName>
    <definedName name="MCOD02.210.0310">[9]MEMORIAL!#REF!</definedName>
    <definedName name="MCOD02.210.0310_1">[10]MEMORIAL!#REF!</definedName>
    <definedName name="MCOD02.210.0340">[9]MEMORIAL!#REF!</definedName>
    <definedName name="MCOD02.210.0340_1">[10]MEMORIAL!#REF!</definedName>
    <definedName name="MCOD02.210.0350">[9]MEMORIAL!#REF!</definedName>
    <definedName name="MCOD02.210.0350_1">[10]MEMORIAL!#REF!</definedName>
    <definedName name="MCOD02.210.0360">[9]MEMORIAL!#REF!</definedName>
    <definedName name="MCOD02.210.0360_1">[10]MEMORIAL!#REF!</definedName>
    <definedName name="MCOD02.210.0370">[9]MEMORIAL!#REF!</definedName>
    <definedName name="MCOD02.210.0370_1">[10]MEMORIAL!#REF!</definedName>
    <definedName name="MCOD02.210.0380">[9]MEMORIAL!#REF!</definedName>
    <definedName name="MCOD02.210.0380_1">[10]MEMORIAL!#REF!</definedName>
    <definedName name="MCOD02.210.1620">[9]MEMORIAL!#REF!</definedName>
    <definedName name="MCOD02.210.1620_1">[10]MEMORIAL!#REF!</definedName>
    <definedName name="MCOD02.210.1625">[9]MEMORIAL!#REF!</definedName>
    <definedName name="MCOD02.210.1625_1">[10]MEMORIAL!#REF!</definedName>
    <definedName name="MCOD02.210.1635">[9]MEMORIAL!#REF!</definedName>
    <definedName name="MCOD02.210.1635_1">[10]MEMORIAL!#REF!</definedName>
    <definedName name="MCOD02.210.1637">[9]MEMORIAL!#REF!</definedName>
    <definedName name="MCOD02.210.1637_1">[10]MEMORIAL!#REF!</definedName>
    <definedName name="MCOD03.020.0020">[9]MEMORIAL!#REF!</definedName>
    <definedName name="MCOD03.020.0020_1">[10]MEMORIAL!#REF!</definedName>
    <definedName name="MCOD05.150.0830">[9]MEMORIAL!#REF!</definedName>
    <definedName name="MCOD05.150.0830_1">[10]MEMORIAL!#REF!</definedName>
    <definedName name="MCOD05.150.0840">[9]MEMORIAL!#REF!</definedName>
    <definedName name="MCOD05.150.0840_1">[10]MEMORIAL!#REF!</definedName>
    <definedName name="MCODCOTADO01">[9]MEMORIAL!#REF!</definedName>
    <definedName name="MCODCOTADO01_1">[10]MEMORIAL!#REF!</definedName>
    <definedName name="MCODCOTADO02">[9]MEMORIAL!#REF!</definedName>
    <definedName name="MCODCOTADO02_1">[10]MEMORIAL!#REF!</definedName>
    <definedName name="MCODCOTADO03">[9]MEMORIAL!#REF!</definedName>
    <definedName name="MCODCOTADO03_1">[10]MEMORIAL!#REF!</definedName>
    <definedName name="MCODCOTADO04">[9]MEMORIAL!#REF!</definedName>
    <definedName name="MCODCOTADO04_1">[10]MEMORIAL!#REF!</definedName>
    <definedName name="mediçao" localSheetId="1">#REF!</definedName>
    <definedName name="mediçao">#REF!</definedName>
    <definedName name="MmExcelLinker_CBF3F7D5_5F0E_4EA5_B59F_34028F0F12D2">[11]ADMI_25.01!$G$48:$G$48</definedName>
    <definedName name="mmmmmm" localSheetId="10">#REF!</definedName>
    <definedName name="mmmmmm" localSheetId="8">#REF!</definedName>
    <definedName name="mmmmmm" localSheetId="2">#REF!</definedName>
    <definedName name="mmmmmm">#REF!</definedName>
    <definedName name="MTOT02.020.0010" localSheetId="1">[9]MEMORIAL!#REF!</definedName>
    <definedName name="MTOT02.020.0010">[9]MEMORIAL!#REF!</definedName>
    <definedName name="MTOT02.020.0010_1">[10]MEMORIAL!#REF!</definedName>
    <definedName name="MTOT02.020.0070">[9]MEMORIAL!#REF!</definedName>
    <definedName name="MTOT02.020.0070_1">[10]MEMORIAL!#REF!</definedName>
    <definedName name="MTOT02.030.0090">[9]MEMORIAL!#REF!</definedName>
    <definedName name="MTOT02.030.0090_1">[10]MEMORIAL!#REF!</definedName>
    <definedName name="MTOT02.030.0100">[9]MEMORIAL!#REF!</definedName>
    <definedName name="MTOT02.030.0100_1">[10]MEMORIAL!#REF!</definedName>
    <definedName name="MTOT02.040.0200">[9]MEMORIAL!#REF!</definedName>
    <definedName name="MTOT02.040.0200_1">[10]MEMORIAL!#REF!</definedName>
    <definedName name="MTOT02.040.0280">[9]MEMORIAL!#REF!</definedName>
    <definedName name="MTOT02.040.0280_1">[10]MEMORIAL!#REF!</definedName>
    <definedName name="MTOT02.040.0921">[9]MEMORIAL!#REF!</definedName>
    <definedName name="MTOT02.040.0921_1">[10]MEMORIAL!#REF!</definedName>
    <definedName name="MTOT02.040.1055">[9]MEMORIAL!#REF!</definedName>
    <definedName name="MTOT02.040.1055_1">[10]MEMORIAL!#REF!</definedName>
    <definedName name="MTOT02.040.1060">[9]MEMORIAL!#REF!</definedName>
    <definedName name="MTOT02.040.1060_1">[10]MEMORIAL!#REF!</definedName>
    <definedName name="MTOT02.040.3790">[9]MEMORIAL!#REF!</definedName>
    <definedName name="MTOT02.040.3790_1">[10]MEMORIAL!#REF!</definedName>
    <definedName name="MTOT02.040.3800">[9]MEMORIAL!#REF!</definedName>
    <definedName name="MTOT02.040.3800_1">[10]MEMORIAL!#REF!</definedName>
    <definedName name="MTOT02.040.3810">[9]MEMORIAL!#REF!</definedName>
    <definedName name="MTOT02.040.3810_1">[10]MEMORIAL!#REF!</definedName>
    <definedName name="MTOT02.040.4510">[9]MEMORIAL!#REF!</definedName>
    <definedName name="MTOT02.040.4510_1">[10]MEMORIAL!#REF!</definedName>
    <definedName name="MTOT02.040.4520">[9]MEMORIAL!#REF!</definedName>
    <definedName name="MTOT02.040.4520_1">[10]MEMORIAL!#REF!</definedName>
    <definedName name="MTOT02.040.4550">[9]MEMORIAL!#REF!</definedName>
    <definedName name="MTOT02.040.4550_1">[10]MEMORIAL!#REF!</definedName>
    <definedName name="MTOT02.040.4620">[9]MEMORIAL!#REF!</definedName>
    <definedName name="MTOT02.040.4620_1">[10]MEMORIAL!#REF!</definedName>
    <definedName name="MTOT02.040.4630">[9]MEMORIAL!#REF!</definedName>
    <definedName name="MTOT02.040.4630_1">[10]MEMORIAL!#REF!</definedName>
    <definedName name="MTOT02.040.4636">[9]MEMORIAL!#REF!</definedName>
    <definedName name="MTOT02.040.4636_1">[10]MEMORIAL!#REF!</definedName>
    <definedName name="MTOT02.040.4690">[9]MEMORIAL!#REF!</definedName>
    <definedName name="MTOT02.040.4690_1">[10]MEMORIAL!#REF!</definedName>
    <definedName name="MTOT02.040.7402">[9]MEMORIAL!#REF!</definedName>
    <definedName name="MTOT02.040.7402_1">[10]MEMORIAL!#REF!</definedName>
    <definedName name="MTOT02.040.9800">[9]MEMORIAL!#REF!</definedName>
    <definedName name="MTOT02.040.9800_1">[10]MEMORIAL!#REF!</definedName>
    <definedName name="MTOT02.040.9802">[9]MEMORIAL!#REF!</definedName>
    <definedName name="MTOT02.040.9802_1">[10]MEMORIAL!#REF!</definedName>
    <definedName name="MTOT02.040.9804">[9]MEMORIAL!#REF!</definedName>
    <definedName name="MTOT02.040.9804_1">[10]MEMORIAL!#REF!</definedName>
    <definedName name="MTOT02.110.0014">[9]MEMORIAL!#REF!</definedName>
    <definedName name="MTOT02.110.0014_1">[10]MEMORIAL!#REF!</definedName>
    <definedName name="MTOT02.110.0054">[9]MEMORIAL!#REF!</definedName>
    <definedName name="MTOT02.110.0054_1">[10]MEMORIAL!#REF!</definedName>
    <definedName name="MTOT02.110.0066">[9]MEMORIAL!#REF!</definedName>
    <definedName name="MTOT02.110.0066_1">[10]MEMORIAL!#REF!</definedName>
    <definedName name="MTOT02.110.0094">[9]MEMORIAL!#REF!</definedName>
    <definedName name="MTOT02.110.0094_1">[10]MEMORIAL!#REF!</definedName>
    <definedName name="MTOT02.110.0106">[9]MEMORIAL!#REF!</definedName>
    <definedName name="MTOT02.110.0106_1">[10]MEMORIAL!#REF!</definedName>
    <definedName name="MTOT02.110.0110">[9]MEMORIAL!#REF!</definedName>
    <definedName name="MTOT02.110.0110_1">[10]MEMORIAL!#REF!</definedName>
    <definedName name="MTOT02.110.0134">[9]MEMORIAL!#REF!</definedName>
    <definedName name="MTOT02.110.0134_1">[10]MEMORIAL!#REF!</definedName>
    <definedName name="MTOT02.110.0146">[9]MEMORIAL!#REF!</definedName>
    <definedName name="MTOT02.110.0146_1">[10]MEMORIAL!#REF!</definedName>
    <definedName name="MTOT02.110.0150">[9]MEMORIAL!#REF!</definedName>
    <definedName name="MTOT02.110.0150_1">[10]MEMORIAL!#REF!</definedName>
    <definedName name="MTOT02.110.0610">[9]MEMORIAL!#REF!</definedName>
    <definedName name="MTOT02.110.0610_1">[10]MEMORIAL!#REF!</definedName>
    <definedName name="MTOT02.110.0620">[9]MEMORIAL!#REF!</definedName>
    <definedName name="MTOT02.110.0620_1">[10]MEMORIAL!#REF!</definedName>
    <definedName name="MTOT02.110.0734">[9]MEMORIAL!#REF!</definedName>
    <definedName name="MTOT02.110.0734_1">[10]MEMORIAL!#REF!</definedName>
    <definedName name="MTOT02.110.0738">[9]MEMORIAL!#REF!</definedName>
    <definedName name="MTOT02.110.0738_1">[10]MEMORIAL!#REF!</definedName>
    <definedName name="MTOT02.110.0750">[9]MEMORIAL!#REF!</definedName>
    <definedName name="MTOT02.110.0750_1">[10]MEMORIAL!#REF!</definedName>
    <definedName name="MTOT02.110.1014">[9]MEMORIAL!#REF!</definedName>
    <definedName name="MTOT02.110.1014_1">[10]MEMORIAL!#REF!</definedName>
    <definedName name="MTOT02.110.1020">[9]MEMORIAL!#REF!</definedName>
    <definedName name="MTOT02.110.1020_1">[10]MEMORIAL!#REF!</definedName>
    <definedName name="MTOT02.110.1164">[9]MEMORIAL!#REF!</definedName>
    <definedName name="MTOT02.110.1164_1">[10]MEMORIAL!#REF!</definedName>
    <definedName name="MTOT02.110.1166">[9]MEMORIAL!#REF!</definedName>
    <definedName name="MTOT02.110.1166_1">[10]MEMORIAL!#REF!</definedName>
    <definedName name="MTOT02.110.1420">[9]MEMORIAL!#REF!</definedName>
    <definedName name="MTOT02.110.1420_1">[10]MEMORIAL!#REF!</definedName>
    <definedName name="MTOT02.110.1426">[9]MEMORIAL!#REF!</definedName>
    <definedName name="MTOT02.110.1426_1">[10]MEMORIAL!#REF!</definedName>
    <definedName name="MTOT02.110.1654">[9]MEMORIAL!#REF!</definedName>
    <definedName name="MTOT02.110.1654_1">[10]MEMORIAL!#REF!</definedName>
    <definedName name="MTOT02.110.1880">[9]MEMORIAL!#REF!</definedName>
    <definedName name="MTOT02.110.1880_1">[10]MEMORIAL!#REF!</definedName>
    <definedName name="MTOT02.110.1974">[9]MEMORIAL!#REF!</definedName>
    <definedName name="MTOT02.110.1974_1">[10]MEMORIAL!#REF!</definedName>
    <definedName name="MTOT02.110.1996">[9]MEMORIAL!#REF!</definedName>
    <definedName name="MTOT02.110.1996_1">[10]MEMORIAL!#REF!</definedName>
    <definedName name="MTOT02.110.2012">[9]MEMORIAL!#REF!</definedName>
    <definedName name="MTOT02.110.2012_1">[10]MEMORIAL!#REF!</definedName>
    <definedName name="MTOT02.110.2016">[9]MEMORIAL!#REF!</definedName>
    <definedName name="MTOT02.110.2016_1">[10]MEMORIAL!#REF!</definedName>
    <definedName name="MTOT02.110.2024">[9]MEMORIAL!#REF!</definedName>
    <definedName name="MTOT02.110.2024_1">[10]MEMORIAL!#REF!</definedName>
    <definedName name="MTOT02.110.2026">[9]MEMORIAL!#REF!</definedName>
    <definedName name="MTOT02.110.2026_1">[10]MEMORIAL!#REF!</definedName>
    <definedName name="MTOT02.110.2310">[9]MEMORIAL!#REF!</definedName>
    <definedName name="MTOT02.110.2310_1">[10]MEMORIAL!#REF!</definedName>
    <definedName name="MTOT02.110.2480">[9]MEMORIAL!#REF!</definedName>
    <definedName name="MTOT02.110.2480_1">[10]MEMORIAL!#REF!</definedName>
    <definedName name="MTOT02.110.2798">[9]MEMORIAL!#REF!</definedName>
    <definedName name="MTOT02.110.2798_1">[10]MEMORIAL!#REF!</definedName>
    <definedName name="MTOT02.110.2806">[9]MEMORIAL!#REF!</definedName>
    <definedName name="MTOT02.110.2806_1">[10]MEMORIAL!#REF!</definedName>
    <definedName name="MTOT02.110.2868">[9]MEMORIAL!#REF!</definedName>
    <definedName name="MTOT02.110.2868_1">[10]MEMORIAL!#REF!</definedName>
    <definedName name="MTOT02.110.3856">[9]MEMORIAL!#REF!</definedName>
    <definedName name="MTOT02.110.3856_1">[10]MEMORIAL!#REF!</definedName>
    <definedName name="MTOT02.110.3908">[9]MEMORIAL!#REF!</definedName>
    <definedName name="MTOT02.110.3908_1">[10]MEMORIAL!#REF!</definedName>
    <definedName name="MTOT02.110.3926">[9]MEMORIAL!#REF!</definedName>
    <definedName name="MTOT02.110.3926_1">[10]MEMORIAL!#REF!</definedName>
    <definedName name="MTOT02.110.4288">[9]MEMORIAL!#REF!</definedName>
    <definedName name="MTOT02.110.4288_1">[10]MEMORIAL!#REF!</definedName>
    <definedName name="MTOT02.110.4296">[9]MEMORIAL!#REF!</definedName>
    <definedName name="MTOT02.110.4296_1">[10]MEMORIAL!#REF!</definedName>
    <definedName name="MTOT02.110.4308">[9]MEMORIAL!#REF!</definedName>
    <definedName name="MTOT02.110.4308_1">[10]MEMORIAL!#REF!</definedName>
    <definedName name="MTOT02.110.4312">[9]MEMORIAL!#REF!</definedName>
    <definedName name="MTOT02.110.4312_1">[10]MEMORIAL!#REF!</definedName>
    <definedName name="MTOT02.110.4320">[9]MEMORIAL!#REF!</definedName>
    <definedName name="MTOT02.110.4320_1">[10]MEMORIAL!#REF!</definedName>
    <definedName name="MTOT02.110.4780">[9]MEMORIAL!#REF!</definedName>
    <definedName name="MTOT02.110.4780_1">[10]MEMORIAL!#REF!</definedName>
    <definedName name="MTOT02.110.610">[9]MEMORIAL!#REF!</definedName>
    <definedName name="MTOT02.110.610_1">[10]MEMORIAL!#REF!</definedName>
    <definedName name="MTOT02.120.0050">[9]MEMORIAL!#REF!</definedName>
    <definedName name="MTOT02.120.0050_1">[10]MEMORIAL!#REF!</definedName>
    <definedName name="MTOT02.120.0060">[9]MEMORIAL!#REF!</definedName>
    <definedName name="MTOT02.120.0060_1">[10]MEMORIAL!#REF!</definedName>
    <definedName name="MTOT02.120.0140">[9]MEMORIAL!#REF!</definedName>
    <definedName name="MTOT02.120.0140_1">[10]MEMORIAL!#REF!</definedName>
    <definedName name="MTOT02.130.0070">[9]MEMORIAL!#REF!</definedName>
    <definedName name="MTOT02.130.0070_1">[10]MEMORIAL!#REF!</definedName>
    <definedName name="MTOT02.130.0080">[9]MEMORIAL!#REF!</definedName>
    <definedName name="MTOT02.130.0080_1">[10]MEMORIAL!#REF!</definedName>
    <definedName name="MTOT02.130.0100">[9]MEMORIAL!#REF!</definedName>
    <definedName name="MTOT02.130.0100_1">[10]MEMORIAL!#REF!</definedName>
    <definedName name="MTOT02.140.0030">[9]MEMORIAL!#REF!</definedName>
    <definedName name="MTOT02.140.0030_1">[10]MEMORIAL!#REF!</definedName>
    <definedName name="MTOT02.140.0080">[9]MEMORIAL!#REF!</definedName>
    <definedName name="MTOT02.140.0080_1">[10]MEMORIAL!#REF!</definedName>
    <definedName name="MTOT02.140.0090">[9]MEMORIAL!#REF!</definedName>
    <definedName name="MTOT02.140.0090_1">[10]MEMORIAL!#REF!</definedName>
    <definedName name="MTOT02.160.0010">[9]MEMORIAL!#REF!</definedName>
    <definedName name="MTOT02.160.0010_1">[10]MEMORIAL!#REF!</definedName>
    <definedName name="MTOT02.160.0110">[9]MEMORIAL!#REF!</definedName>
    <definedName name="MTOT02.160.0110_1">[10]MEMORIAL!#REF!</definedName>
    <definedName name="MTOT02.180.0010">[9]MEMORIAL!#REF!</definedName>
    <definedName name="MTOT02.180.0010_1">[10]MEMORIAL!#REF!</definedName>
    <definedName name="MTOT02.210.0020">[9]MEMORIAL!#REF!</definedName>
    <definedName name="MTOT02.210.0020_1">[10]MEMORIAL!#REF!</definedName>
    <definedName name="MTOT02.210.0030">[9]MEMORIAL!#REF!</definedName>
    <definedName name="MTOT02.210.0030_1">[10]MEMORIAL!#REF!</definedName>
    <definedName name="MTOT02.210.0090">[9]MEMORIAL!#REF!</definedName>
    <definedName name="MTOT02.210.0090_1">[10]MEMORIAL!#REF!</definedName>
    <definedName name="MTOT02.210.0110">[9]MEMORIAL!#REF!</definedName>
    <definedName name="MTOT02.210.0110_1">[10]MEMORIAL!#REF!</definedName>
    <definedName name="MTOT02.210.0310">[9]MEMORIAL!#REF!</definedName>
    <definedName name="MTOT02.210.0310_1">[10]MEMORIAL!#REF!</definedName>
    <definedName name="MTOT02.210.0340">[9]MEMORIAL!#REF!</definedName>
    <definedName name="MTOT02.210.0340_1">[10]MEMORIAL!#REF!</definedName>
    <definedName name="MTOT02.210.0350">[9]MEMORIAL!#REF!</definedName>
    <definedName name="MTOT02.210.0350_1">[10]MEMORIAL!#REF!</definedName>
    <definedName name="MTOT02.210.0360">[9]MEMORIAL!#REF!</definedName>
    <definedName name="MTOT02.210.0360_1">[10]MEMORIAL!#REF!</definedName>
    <definedName name="MTOT02.210.0370">[9]MEMORIAL!#REF!</definedName>
    <definedName name="MTOT02.210.0370_1">[10]MEMORIAL!#REF!</definedName>
    <definedName name="MTOT02.210.0380">[9]MEMORIAL!#REF!</definedName>
    <definedName name="MTOT02.210.0380_1">[10]MEMORIAL!#REF!</definedName>
    <definedName name="MTOT02.210.1620">[9]MEMORIAL!#REF!</definedName>
    <definedName name="MTOT02.210.1620_1">[10]MEMORIAL!#REF!</definedName>
    <definedName name="MTOT02.210.1625">[9]MEMORIAL!#REF!</definedName>
    <definedName name="MTOT02.210.1625_1">[10]MEMORIAL!#REF!</definedName>
    <definedName name="MTOT02.210.1635">[9]MEMORIAL!#REF!</definedName>
    <definedName name="MTOT02.210.1635_1">[10]MEMORIAL!#REF!</definedName>
    <definedName name="MTOT02.210.1637">[9]MEMORIAL!#REF!</definedName>
    <definedName name="MTOT02.210.1637_1">[10]MEMORIAL!#REF!</definedName>
    <definedName name="MTOT02.2140.">[9]MEMORIAL!#REF!</definedName>
    <definedName name="MTOT02.2140._1">[10]MEMORIAL!#REF!</definedName>
    <definedName name="MTOT03.020.0020">[9]MEMORIAL!#REF!</definedName>
    <definedName name="MTOT03.020.0020_1">[10]MEMORIAL!#REF!</definedName>
    <definedName name="MTOT05.150.0830">[9]MEMORIAL!#REF!</definedName>
    <definedName name="MTOT05.150.0830_1">[10]MEMORIAL!#REF!</definedName>
    <definedName name="MTOT05.150.0840">[9]MEMORIAL!#REF!</definedName>
    <definedName name="MTOT05.150.0840_1">[10]MEMORIAL!#REF!</definedName>
    <definedName name="MTOTCOTADO01">[9]MEMORIAL!#REF!</definedName>
    <definedName name="MTOTCOTADO01_1">[10]MEMORIAL!#REF!</definedName>
    <definedName name="MTOTCOTADO02">[9]MEMORIAL!#REF!</definedName>
    <definedName name="MTOTCOTADO02_1">[10]MEMORIAL!#REF!</definedName>
    <definedName name="MTOTCOTADO03">[9]MEMORIAL!#REF!</definedName>
    <definedName name="MTOTCOTADO03_1">[10]MEMORIAL!#REF!</definedName>
    <definedName name="MTOTCOTADO04">[9]MEMORIAL!#REF!</definedName>
    <definedName name="MTOTCOTADO04_1">[10]MEMORIAL!#REF!</definedName>
    <definedName name="MTOTCOTADO05">[9]MEMORIAL!#REF!</definedName>
    <definedName name="MTOTCOTADO05_1">[10]MEMORIAL!#REF!</definedName>
    <definedName name="MTOTCOTADO21">[4]MEMORIAL!#REF!</definedName>
    <definedName name="MTOTCOTADO21_1">[4]MEMORIAL!#REF!</definedName>
    <definedName name="MTOTVERBA">[4]MEMORIAL!#REF!</definedName>
    <definedName name="MTOTVERBA_1">[4]MEMORIAL!#REF!</definedName>
    <definedName name="numcond1" localSheetId="10">#REF!</definedName>
    <definedName name="numcond1" localSheetId="8">#REF!</definedName>
    <definedName name="numcond1" localSheetId="2">#REF!</definedName>
    <definedName name="numcond1">#REF!</definedName>
    <definedName name="numcond3" localSheetId="10">#REF!</definedName>
    <definedName name="numcond3" localSheetId="8">#REF!</definedName>
    <definedName name="numcond3" localSheetId="2">#REF!</definedName>
    <definedName name="numcond3">#REF!</definedName>
    <definedName name="Orç.colAcum" localSheetId="1">#REF!</definedName>
    <definedName name="Orç.colAcum">#REF!</definedName>
    <definedName name="Orç.colAdit">#REF!</definedName>
    <definedName name="Orç.colTotal">#REF!</definedName>
    <definedName name="Orç.éAditado" localSheetId="1">LEN(TRIM(Orç.colAdit))</definedName>
    <definedName name="Orç.éAditado">LEN(TRIM(Orç.colAdit))</definedName>
    <definedName name="Orç.éGlosado" localSheetId="1">IF(Orç.colAdit=QCI!mediçao,IF(ISNUMBER(QCI!Orç.colAcum),IF(QCI!Orç.colAcum-IF(ISNUMBER(QCI!Bm.colAtual),QCI!Bm.colAtual)&gt;IF(Orç.quantLic&lt;QCI!Orç.quant,Orç.quantLic,QCI!Orç.quant),1)))*1</definedName>
    <definedName name="Orç.éGlosado">IF(Orç.colAdit=mediçao,IF(ISNUMBER(Orç.colAcum),IF(Orç.colAcum-IF(ISNUMBER(Bm.colAtual),Bm.colAtual)&gt;IF(Orç.quantLic&lt;Orç.quant,Orç.quantLic,Orç.quant),1)))*1</definedName>
    <definedName name="Orç.percAcum" localSheetId="1">#REF!</definedName>
    <definedName name="Orç.percAcum">#REF!</definedName>
    <definedName name="Orç.percAnterior" localSheetId="1">QCI!Orç.percAcum-QCI!Orç.percAtual</definedName>
    <definedName name="Orç.percAnterior">Orç.percAcum-Orç.percAtual</definedName>
    <definedName name="Orç.percAtual" localSheetId="1">#REF!</definedName>
    <definedName name="Orç.percAtual">#REF!</definedName>
    <definedName name="Orç.preço" localSheetId="1">IF(QCI!Orç.éAditado*ISNUMBER(QCI!Orç.preçoAlt),QCI!Orç.preçoAlt,Orç.preçoLic)</definedName>
    <definedName name="Orç.preço">IF(Orç.éAditado*ISNUMBER(Orç.preçoAlt),Orç.preçoAlt,Orç.preçoLic)</definedName>
    <definedName name="Orç.preçoAlt" localSheetId="1">#REF!</definedName>
    <definedName name="Orç.preçoAlt">#REF!</definedName>
    <definedName name="Orç.preçoLic">#REF!</definedName>
    <definedName name="Orç.preçoPrev" localSheetId="1">IF(ISNUMBER(QCI!Orç.preçoAlt),QCI!Orç.preçoAlt,Orç.preçoLic)</definedName>
    <definedName name="Orç.preçoPrev">IF(ISNUMBER(Orç.preçoAlt),Orç.preçoAlt,Orç.preçoLic)</definedName>
    <definedName name="Orç.quant" localSheetId="1">IF(QCI!Orç.éAditado*ISNUMBER(QCI!Orç.quantAlt),QCI!Orç.quantAlt,Orç.quantLic)</definedName>
    <definedName name="Orç.quant">IF(Orç.éAditado*ISNUMBER(Orç.quantAlt),Orç.quantAlt,Orç.quantLic)</definedName>
    <definedName name="Orç.quantAlt" localSheetId="1">#REF!</definedName>
    <definedName name="Orç.quantAlt">#REF!</definedName>
    <definedName name="Orç.quantLic">#REF!</definedName>
    <definedName name="Orç.quantPrev" localSheetId="1">IF(ISNUMBER(QCI!Orç.quantAlt),QCI!Orç.quantAlt,Orç.quantLic)</definedName>
    <definedName name="Orç.quantPrev">IF(ISNUMBER(Orç.quantAlt),Orç.quantAlt,Orç.quantLic)</definedName>
    <definedName name="P.1" localSheetId="1">#REF!</definedName>
    <definedName name="P.1">#REF!</definedName>
    <definedName name="P.10" localSheetId="1">#REF!</definedName>
    <definedName name="P.10">#REF!</definedName>
    <definedName name="P.11" localSheetId="1">#REF!</definedName>
    <definedName name="P.11">#REF!</definedName>
    <definedName name="P.12" localSheetId="1">#REF!</definedName>
    <definedName name="P.12">#REF!</definedName>
    <definedName name="P.13" localSheetId="1">#REF!</definedName>
    <definedName name="P.13">#REF!</definedName>
    <definedName name="P.14" localSheetId="1">#REF!</definedName>
    <definedName name="P.14">#REF!</definedName>
    <definedName name="P.15" localSheetId="1">#REF!</definedName>
    <definedName name="P.15">#REF!</definedName>
    <definedName name="P.2" localSheetId="1">#REF!</definedName>
    <definedName name="P.2">#REF!</definedName>
    <definedName name="P.3" localSheetId="1">#REF!</definedName>
    <definedName name="P.3">#REF!</definedName>
    <definedName name="P.4" localSheetId="1">#REF!</definedName>
    <definedName name="P.4">#REF!</definedName>
    <definedName name="P.5" localSheetId="1">#REF!</definedName>
    <definedName name="P.5">#REF!</definedName>
    <definedName name="P.6" localSheetId="1">#REF!</definedName>
    <definedName name="P.6">#REF!</definedName>
    <definedName name="P.7" localSheetId="1">#REF!</definedName>
    <definedName name="P.7">#REF!</definedName>
    <definedName name="P.8" localSheetId="1">#REF!</definedName>
    <definedName name="P.8">#REF!</definedName>
    <definedName name="P.9" localSheetId="1">#REF!</definedName>
    <definedName name="P.9">#REF!</definedName>
    <definedName name="PARALELO">#REF!</definedName>
    <definedName name="PARALELO_1">#REF!</definedName>
    <definedName name="Pfim0" localSheetId="8">#REF!</definedName>
    <definedName name="Pfim0">#REF!</definedName>
    <definedName name="Pfim0a" localSheetId="8">#REF!</definedName>
    <definedName name="Pfim0a">#REF!</definedName>
    <definedName name="Pfim1" localSheetId="8">#REF!</definedName>
    <definedName name="Pfim1">#REF!</definedName>
    <definedName name="PP1.1" localSheetId="1">#REF!</definedName>
    <definedName name="PP1.1">#REF!</definedName>
    <definedName name="PP1.10" localSheetId="1">#REF!</definedName>
    <definedName name="PP1.10">#REF!</definedName>
    <definedName name="PP1.11" localSheetId="1">#REF!</definedName>
    <definedName name="PP1.11">#REF!</definedName>
    <definedName name="PP1.12" localSheetId="1">#REF!</definedName>
    <definedName name="PP1.12">#REF!</definedName>
    <definedName name="PP1.13" localSheetId="1">#REF!</definedName>
    <definedName name="PP1.13">#REF!</definedName>
    <definedName name="PP1.14" localSheetId="1">#REF!</definedName>
    <definedName name="PP1.14">#REF!</definedName>
    <definedName name="PP1.15" localSheetId="1">#REF!</definedName>
    <definedName name="PP1.15">#REF!</definedName>
    <definedName name="PP1.2" localSheetId="1">#REF!</definedName>
    <definedName name="PP1.2">#REF!</definedName>
    <definedName name="PP1.3" localSheetId="1">#REF!</definedName>
    <definedName name="PP1.3">#REF!</definedName>
    <definedName name="PP1.4" localSheetId="1">#REF!</definedName>
    <definedName name="PP1.4">#REF!</definedName>
    <definedName name="PP1.5" localSheetId="1">#REF!</definedName>
    <definedName name="PP1.5">#REF!</definedName>
    <definedName name="PP1.6" localSheetId="1">#REF!</definedName>
    <definedName name="PP1.6">#REF!</definedName>
    <definedName name="PP1.7" localSheetId="1">#REF!</definedName>
    <definedName name="PP1.7">#REF!</definedName>
    <definedName name="PP1.8" localSheetId="1">#REF!</definedName>
    <definedName name="PP1.8">#REF!</definedName>
    <definedName name="PP1.9" localSheetId="1">#REF!</definedName>
    <definedName name="PP1.9">#REF!</definedName>
    <definedName name="prazo">#REF!</definedName>
    <definedName name="PreçoTotal" localSheetId="1">IF(QCI!Item.éValido,QCI!Item.Quant*QCI!Item.Preço,"")</definedName>
    <definedName name="PreçoTotal">IF(Item.éValido,Item.Quant*Item.Preço,"")</definedName>
    <definedName name="Print_Area_MI" localSheetId="8">#REF!</definedName>
    <definedName name="Print_Area_MI">#REF!</definedName>
    <definedName name="Print_Titles_MI" localSheetId="8">#REF!</definedName>
    <definedName name="Print_Titles_MI">#REF!</definedName>
    <definedName name="RAH">#REF!</definedName>
    <definedName name="RAH_1">#REF!</definedName>
    <definedName name="Res.cpParcela" localSheetId="1">#REF!-SUMIF(#REF!,"&gt;=0",#REF!)</definedName>
    <definedName name="Res.cpParcela">#REF!-SUMIF(#REF!,"&gt;=0",#REF!)</definedName>
    <definedName name="Res.cpProp" localSheetId="1">MAX(#REF!-SUM(#REF!),0)</definedName>
    <definedName name="Res.cpProp">MAX(#REF!-SUM(#REF!),0)</definedName>
    <definedName name="Res.éAditadoDepois" localSheetId="1">COUNTIF(OFFSET(Orç.colAdit,Res.posInicio,,Res.posDelta,1),"&gt;"&amp;QCI!mediçao)</definedName>
    <definedName name="Res.éAditadoDepois">COUNTIF(OFFSET(Orç.colAdit,Res.posInicio,,Res.posDelta,1),"&gt;"&amp;mediçao)</definedName>
    <definedName name="Res.éAditadoNoPeriodo" localSheetId="1">COUNTIF(OFFSET(Orç.colAdit,Res.posInicio,,Res.posDelta,1),QCI!mediçao)</definedName>
    <definedName name="Res.éAditadoNoPeriodo">COUNTIF(OFFSET(Orç.colAdit,Res.posInicio,,Res.posDelta,1),mediçao)</definedName>
    <definedName name="Res.éGlosado">NA()</definedName>
    <definedName name="Res.linProxItem" localSheetId="1">OFFSET(tabOrçamento,Acima+1,0,ROWS(tabOrçamento)-Acima-1,1)</definedName>
    <definedName name="Res.linProxItem">OFFSET(tabOrçamento,Acima+1,0,ROWS(tabOrçamento)-Acima-1,1)</definedName>
    <definedName name="Res.percAcumulado" localSheetId="1">OFFSET(QCI!Orç.percAcum,Res.posInicio,,Res.posDelta,1)</definedName>
    <definedName name="Res.percAcumulado">OFFSET(Orç.percAcum,Res.posInicio,,Res.posDelta,1)</definedName>
    <definedName name="Res.percAnterior" localSheetId="1">QCI!Res.percAcumulado-QCI!Res.percPeriodo</definedName>
    <definedName name="Res.percAnterior">Res.percAcumulado-Res.percPeriodo</definedName>
    <definedName name="Res.percPeriodo" localSheetId="1">OFFSET(QCI!Orç.percAtual,Res.posInicio,,Res.posDelta,1)</definedName>
    <definedName name="Res.percPeriodo">OFFSET(Orç.percAtual,Res.posInicio,,Res.posDelta,1)</definedName>
    <definedName name="Res.posDelta">INDIRECT(ADDRESS(ROW(),16))</definedName>
    <definedName name="Res.posInicio">INDIRECT(ADDRESS(ROW(),15))</definedName>
    <definedName name="Res.Preços" localSheetId="1">OFFSET(Orç.colTotal,Res.posInicio,,Res.posDelta,1)</definedName>
    <definedName name="Res.Preços">OFFSET(Orç.colTotal,Res.posInicio,,Res.posDelta,1)</definedName>
    <definedName name="Rev" localSheetId="8">#REF!</definedName>
    <definedName name="Rev">#REF!</definedName>
    <definedName name="rfv">#REF!</definedName>
    <definedName name="rfv_1">#REF!</definedName>
    <definedName name="rpa">#REF!</definedName>
    <definedName name="rpa_1">#REF!</definedName>
    <definedName name="rpb">#REF!</definedName>
    <definedName name="rpb_1">#REF!</definedName>
    <definedName name="rpp">#REF!</definedName>
    <definedName name="rpp_1">#REF!</definedName>
    <definedName name="RRRR" localSheetId="8">#REF!</definedName>
    <definedName name="RRRR">#REF!</definedName>
    <definedName name="S" localSheetId="8">#REF!</definedName>
    <definedName name="S">#REF!</definedName>
    <definedName name="SCOD02.010.0020">#REF!</definedName>
    <definedName name="SCOD02.010.0020_1">#REF!</definedName>
    <definedName name="SCOD02.010.0050" localSheetId="1">[9]MEMORIAL!#REF!</definedName>
    <definedName name="SCOD02.010.0050">[9]MEMORIAL!#REF!</definedName>
    <definedName name="SCOD02.010.0050_1" localSheetId="1">[10]MEMORIAL!#REF!</definedName>
    <definedName name="SCOD02.010.0050_1">[10]MEMORIAL!#REF!</definedName>
    <definedName name="SCOD02.010.0065">[9]MEMORIAL!#REF!</definedName>
    <definedName name="SCOD02.010.0065_1">[10]MEMORIAL!#REF!</definedName>
    <definedName name="SCOD02.010.0130">[9]MEMORIAL!#REF!</definedName>
    <definedName name="SCOD02.010.0130_1">[10]MEMORIAL!#REF!</definedName>
    <definedName name="SCOD03.010.0020">[9]MEMORIAL!#REF!</definedName>
    <definedName name="SCOD03.010.0020_1">[10]MEMORIAL!#REF!</definedName>
    <definedName name="SCOD03.010.0025">[9]MEMORIAL!#REF!</definedName>
    <definedName name="SCOD03.010.0025_1">[10]MEMORIAL!#REF!</definedName>
    <definedName name="SCOD03.010.0040">[9]MEMORIAL!#REF!</definedName>
    <definedName name="SCOD03.010.0040_1">[10]MEMORIAL!#REF!</definedName>
    <definedName name="SCOD03.010.0050">[9]MEMORIAL!#REF!</definedName>
    <definedName name="SCOD03.010.0050_1">[10]MEMORIAL!#REF!</definedName>
    <definedName name="SCOD03.010.0100">[9]MEMORIAL!#REF!</definedName>
    <definedName name="SCOD03.010.0100_1">[10]MEMORIAL!#REF!</definedName>
    <definedName name="SCOD03.010.0180">[9]MEMORIAL!#REF!</definedName>
    <definedName name="SCOD03.010.0180_1">[10]MEMORIAL!#REF!</definedName>
    <definedName name="SCOD03.010.0200">[9]MEMORIAL!#REF!</definedName>
    <definedName name="SCOD03.010.0200_1">[10]MEMORIAL!#REF!</definedName>
    <definedName name="SCOD04.010.0010">[5]MEMORIAL!#REF!</definedName>
    <definedName name="SCOD04.010.0010_1">[5]MEMORIAL!#REF!</definedName>
    <definedName name="SCOD04.010.0040">[5]MEMORIAL!#REF!</definedName>
    <definedName name="SCOD04.010.0040_1">[5]MEMORIAL!#REF!</definedName>
    <definedName name="SCOD04.010.0070">[5]MEMORIAL!#REF!</definedName>
    <definedName name="SCOD04.010.0070_1">[5]MEMORIAL!#REF!</definedName>
    <definedName name="SCOD04.010.0150">[5]MEMORIAL!#REF!</definedName>
    <definedName name="SCOD04.010.0150_1">[5]MEMORIAL!#REF!</definedName>
    <definedName name="SCOD04.010.0190">[5]MEMORIAL!#REF!</definedName>
    <definedName name="SCOD04.010.0190_1">[5]MEMORIAL!#REF!</definedName>
    <definedName name="SCOD04.010.0200">[5]MEMORIAL!#REF!</definedName>
    <definedName name="SCOD04.010.0200_1">[5]MEMORIAL!#REF!</definedName>
    <definedName name="SCOD04.010.0320">[9]MEMORIAL!#REF!</definedName>
    <definedName name="SCOD04.010.0320_1">[5]MEMORIAL!#REF!</definedName>
    <definedName name="SCOD04.010.0330">[9]MEMORIAL!#REF!</definedName>
    <definedName name="SCOD04.010.0330_1">[5]MEMORIAL!#REF!</definedName>
    <definedName name="SCOD04.010.0371">[9]MEMORIAL!#REF!</definedName>
    <definedName name="SCOD04.010.0371_1">[10]MEMORIAL!#REF!</definedName>
    <definedName name="SCOD04.010.0375">[9]MEMORIAL!#REF!</definedName>
    <definedName name="SCOD04.010.0375_1">[5]MEMORIAL!#REF!</definedName>
    <definedName name="SCOD04.010.0395">[9]MEMORIAL!#REF!</definedName>
    <definedName name="SCOD04.010.0395_1">[5]MEMORIAL!#REF!</definedName>
    <definedName name="SCOD04.010.0420">[5]MEMORIAL!#REF!</definedName>
    <definedName name="SCOD04.010.0420_1">[5]MEMORIAL!#REF!</definedName>
    <definedName name="SCOD04.010.0430">[5]MEMORIAL!#REF!</definedName>
    <definedName name="SCOD04.010.0430_1">[5]MEMORIAL!#REF!</definedName>
    <definedName name="SCOD05.010.0020">[9]MEMORIAL!#REF!</definedName>
    <definedName name="SCOD05.010.0020_1">[5]MEMORIAL!#REF!</definedName>
    <definedName name="SCOD08.010.0010">[5]MEMORIAL!#REF!</definedName>
    <definedName name="SCOD08.010.0010_1">[5]MEMORIAL!#REF!</definedName>
    <definedName name="SCOD08.010.0040">[5]MEMORIAL!#REF!</definedName>
    <definedName name="SCOD08.010.0040_1">[5]MEMORIAL!#REF!</definedName>
    <definedName name="SCOD08.010.0060">[9]MEMORIAL!#REF!</definedName>
    <definedName name="SCOD08.010.0060_1">[10]MEMORIAL!#REF!</definedName>
    <definedName name="SCOD08.010.0130">[5]MEMORIAL!#REF!</definedName>
    <definedName name="SCOD08.010.0130_1">[5]MEMORIAL!#REF!</definedName>
    <definedName name="SCOD08.010.0135">[9]MEMORIAL!#REF!</definedName>
    <definedName name="SCOD08.010.0135_1">[5]MEMORIAL!#REF!</definedName>
    <definedName name="SCOD08.010.0270">[9]MEMORIAL!#REF!</definedName>
    <definedName name="SCOD08.010.0270_1">[5]MEMORIAL!#REF!</definedName>
    <definedName name="SCOD09.010.0060">[9]MEMORIAL!#REF!</definedName>
    <definedName name="SCOD09.010.0060_1">[5]MEMORIAL!#REF!</definedName>
    <definedName name="SCOD09.010.0240">[9]MEMORIAL!#REF!</definedName>
    <definedName name="SCOD09.010.0240_1">[10]MEMORIAL!#REF!</definedName>
    <definedName name="SCOD09.010.0430">[9]MEMORIAL!#REF!</definedName>
    <definedName name="SCOD09.010.0430_1">[10]MEMORIAL!#REF!</definedName>
    <definedName name="SCOD09.010.0470">[9]MEMORIAL!#REF!</definedName>
    <definedName name="SCOD09.010.0470_1">[10]MEMORIAL!#REF!</definedName>
    <definedName name="SCOD09.010.0700">[9]MEMORIAL!#REF!</definedName>
    <definedName name="SCOD09.010.0700_1">[10]MEMORIAL!#REF!</definedName>
    <definedName name="SCOD10.010.0140">[9]MEMORIAL!#REF!</definedName>
    <definedName name="SCOD10.010.0140_1">[5]MEMORIAL!#REF!</definedName>
    <definedName name="SCOD10.010.0180">[9]MEMORIAL!#REF!</definedName>
    <definedName name="SCOD10.010.0180_1">[5]MEMORIAL!#REF!</definedName>
    <definedName name="SCOD10.010.0270">[9]MEMORIAL!#REF!</definedName>
    <definedName name="SCOD10.010.0270_1">[10]MEMORIAL!#REF!</definedName>
    <definedName name="SCOD10.010.0280">[9]MEMORIAL!#REF!</definedName>
    <definedName name="SCOD10.010.0280_1">[10]MEMORIAL!#REF!</definedName>
    <definedName name="SCOD10.010.0298">[5]MEMORIAL!#REF!</definedName>
    <definedName name="SCOD10.010.0298_1">[5]MEMORIAL!#REF!</definedName>
    <definedName name="SCOD10.010.0307">[9]MEMORIAL!#REF!</definedName>
    <definedName name="SCOD10.010.0307_1">[10]MEMORIAL!#REF!</definedName>
    <definedName name="SCOD10.010.0308">[9]MEMORIAL!#REF!</definedName>
    <definedName name="SCOD10.010.0308_1">[10]MEMORIAL!#REF!</definedName>
    <definedName name="SCOD10.010.0310">[9]MEMORIAL!#REF!</definedName>
    <definedName name="SCOD10.010.0310_1">[5]MEMORIAL!#REF!</definedName>
    <definedName name="SCOD10.010.0330">[9]MEMORIAL!#REF!</definedName>
    <definedName name="SCOD10.010.0330_1">[10]MEMORIAL!#REF!</definedName>
    <definedName name="SCOD10.010.0333">[9]MEMORIAL!#REF!</definedName>
    <definedName name="SCOD10.010.0333_1">[10]MEMORIAL!#REF!</definedName>
    <definedName name="SCOD10.010.0380">[9]MEMORIAL!#REF!</definedName>
    <definedName name="SCOD10.010.0380_1">[10]MEMORIAL!#REF!</definedName>
    <definedName name="SCOD10.010.0400">[9]MEMORIAL!#REF!</definedName>
    <definedName name="SCOD10.010.0400_1">[10]MEMORIAL!#REF!</definedName>
    <definedName name="SCOD10.010.0431">[9]MEMORIAL!#REF!</definedName>
    <definedName name="SCOD10.010.0431_1">[10]MEMORIAL!#REF!</definedName>
    <definedName name="SCOD10.010.1110">[5]MEMORIAL!#REF!</definedName>
    <definedName name="SCOD10.010.1110_1">[5]MEMORIAL!#REF!</definedName>
    <definedName name="SCOD12.010.0010">[5]MEMORIAL!#REF!</definedName>
    <definedName name="SCOD12.010.0010_1">[5]MEMORIAL!#REF!</definedName>
    <definedName name="SCOD12.010.0060">[9]MEMORIAL!#REF!</definedName>
    <definedName name="SCOD12.010.0060_1">[10]MEMORIAL!#REF!</definedName>
    <definedName name="SCOD12.010.0210">[9]MEMORIAL!#REF!</definedName>
    <definedName name="SCOD12.010.0210_1">[10]MEMORIAL!#REF!</definedName>
    <definedName name="SCOD12.010.0360">[9]MEMORIAL!#REF!</definedName>
    <definedName name="SCOD12.010.0360_1">[10]MEMORIAL!#REF!</definedName>
    <definedName name="SCOD12.010.0550">[9]MEMORIAL!#REF!</definedName>
    <definedName name="SCOD12.010.0550_1">[10]MEMORIAL!#REF!</definedName>
    <definedName name="SCOD13.010.0030">[9]MEMORIAL!#REF!</definedName>
    <definedName name="SCOD13.010.0030_1">[10]MEMORIAL!#REF!</definedName>
    <definedName name="SCOD13.010.0090">[9]MEMORIAL!#REF!</definedName>
    <definedName name="SCOD13.010.0090_1">[10]MEMORIAL!#REF!</definedName>
    <definedName name="SCOD13.010.0100">[5]MEMORIAL!#REF!</definedName>
    <definedName name="SCOD13.010.0100_1">[5]MEMORIAL!#REF!</definedName>
    <definedName name="SCOD13.010.0110">[9]MEMORIAL!#REF!</definedName>
    <definedName name="SCOD13.010.0110_1">[10]MEMORIAL!#REF!</definedName>
    <definedName name="SCOD13.010.1200">[9]MEMORIAL!#REF!</definedName>
    <definedName name="SCOD13.010.1200_1">[10]MEMORIAL!#REF!</definedName>
    <definedName name="SCOD15.010.0010">[9]MEMORIAL!#REF!</definedName>
    <definedName name="SCOD15.010.0010_1">[10]MEMORIAL!#REF!</definedName>
    <definedName name="SCOD15.010.0055">[9]MEMORIAL!#REF!</definedName>
    <definedName name="SCOD15.010.0055_1">[10]MEMORIAL!#REF!</definedName>
    <definedName name="SCOD15.010.0140">[9]MEMORIAL!#REF!</definedName>
    <definedName name="SCOD15.010.0140_1">[10]MEMORIAL!#REF!</definedName>
    <definedName name="SCOD15.010.0181">[9]MEMORIAL!#REF!</definedName>
    <definedName name="SCOD15.010.0181_1">[10]MEMORIAL!#REF!</definedName>
    <definedName name="SCOD15.010.0270">[9]MEMORIAL!#REF!</definedName>
    <definedName name="SCOD15.010.0270_1">[10]MEMORIAL!#REF!</definedName>
    <definedName name="SCOD15.010.0280">[9]MEMORIAL!#REF!</definedName>
    <definedName name="SCOD15.010.0280_1">[5]MEMORIAL!#REF!</definedName>
    <definedName name="SCOD15.010.0290">[5]MEMORIAL!#REF!</definedName>
    <definedName name="SCOD15.010.0290_1">[5]MEMORIAL!#REF!</definedName>
    <definedName name="SCOD16.010.0010">[9]MEMORIAL!#REF!</definedName>
    <definedName name="SCOD16.010.0010_1">[5]MEMORIAL!#REF!</definedName>
    <definedName name="SCOD16.010.0060">[9]MEMORIAL!#REF!</definedName>
    <definedName name="SCOD16.010.0060_1">[10]MEMORIAL!#REF!</definedName>
    <definedName name="SCOD16.010.0110">[9]MEMORIAL!#REF!</definedName>
    <definedName name="SCOD16.010.0110_1">[10]MEMORIAL!#REF!</definedName>
    <definedName name="SCOD16.010.0120">[9]MEMORIAL!#REF!</definedName>
    <definedName name="SCOD16.010.0120_1">[10]MEMORIAL!#REF!</definedName>
    <definedName name="SCOD16.010.0170">[9]MEMORIAL!#REF!</definedName>
    <definedName name="SCOD16.010.0170_1">[10]MEMORIAL!#REF!</definedName>
    <definedName name="SCOD17.010.0080">[9]MEMORIAL!#REF!</definedName>
    <definedName name="SCOD17.010.0080_1">[10]MEMORIAL!#REF!</definedName>
    <definedName name="SCOD17.010.0100">[5]MEMORIAL!#REF!</definedName>
    <definedName name="SCOD17.010.0100_1">[5]MEMORIAL!#REF!</definedName>
    <definedName name="SCOD17.010.0150">[9]MEMORIAL!#REF!</definedName>
    <definedName name="SCOD17.010.0150_1">[10]MEMORIAL!#REF!</definedName>
    <definedName name="SCOD17.010.0290">[9]MEMORIAL!#REF!</definedName>
    <definedName name="SCOD17.010.0290_1">[10]MEMORIAL!#REF!</definedName>
    <definedName name="SCOD17.010.0390">[9]MEMORIAL!#REF!</definedName>
    <definedName name="SCOD17.010.0390_1">[10]MEMORIAL!#REF!</definedName>
    <definedName name="SCOD17.010.0436">[5]MEMORIAL!#REF!</definedName>
    <definedName name="SCOD17.010.0436_1">[5]MEMORIAL!#REF!</definedName>
    <definedName name="SCOD17.010.0437">[9]MEMORIAL!#REF!</definedName>
    <definedName name="SCOD17.010.0437_1">[10]MEMORIAL!#REF!</definedName>
    <definedName name="SCOD17.010.0602">[9]MEMORIAL!#REF!</definedName>
    <definedName name="SCOD17.010.0602_1">[10]MEMORIAL!#REF!</definedName>
    <definedName name="SCODCOMPOSIÇÃO01">[7]MEMORIAL!#REF!</definedName>
    <definedName name="SCODCOMPOSIÇÃO01A">[4]MEMORIAL!#REF!</definedName>
    <definedName name="SCODCOMPOSIÇÃO02">[4]MEMORIAL!#REF!</definedName>
    <definedName name="SCODCOTADO01">[5]MEMORIAL!#REF!</definedName>
    <definedName name="SCODCOTADO01_1">[5]MEMORIAL!#REF!</definedName>
    <definedName name="SCODCOTADO02">[5]MEMORIAL!#REF!</definedName>
    <definedName name="SCODCOTADO02_1">[5]MEMORIAL!#REF!</definedName>
    <definedName name="SCODCOTADO03">[5]MEMORIAL!#REF!</definedName>
    <definedName name="SCODCOTADO03_1">[5]MEMORIAL!#REF!</definedName>
    <definedName name="SCODCOTADO04">[5]MEMORIAL!#REF!</definedName>
    <definedName name="SCODCOTADO04_1">[5]MEMORIAL!#REF!</definedName>
    <definedName name="SCODCOTADO05">[5]MEMORIAL!#REF!</definedName>
    <definedName name="SCODCOTADO05_1">[5]MEMORIAL!#REF!</definedName>
    <definedName name="SCODCOTADO06">[5]MEMORIAL!#REF!</definedName>
    <definedName name="SCODCOTADO06_1">[5]MEMORIAL!#REF!</definedName>
    <definedName name="SCODVERBA01">[4]MEMORIAL!#REF!</definedName>
    <definedName name="SCODVERBA01_1">[5]MEMORIAL!#REF!</definedName>
    <definedName name="SCOMPOS01">[4]MEMORIAL!#REF!</definedName>
    <definedName name="SCOMPOS01_1">[5]MEMORIAL!#REF!</definedName>
    <definedName name="sd" localSheetId="8">#REF!</definedName>
    <definedName name="sd">#REF!</definedName>
    <definedName name="SDF" localSheetId="8">#REF!</definedName>
    <definedName name="SDF">#REF!</definedName>
    <definedName name="SDFDSF" localSheetId="8">#REF!</definedName>
    <definedName name="SDFDSF">#REF!</definedName>
    <definedName name="Semnome" localSheetId="8">#REF!</definedName>
    <definedName name="Semnome">#REF!</definedName>
    <definedName name="Semnome___0" localSheetId="8">#REF!</definedName>
    <definedName name="Semnome___0">#REF!</definedName>
    <definedName name="Semnome___0___0" localSheetId="8">#REF!</definedName>
    <definedName name="Semnome___0___0">#REF!</definedName>
    <definedName name="Semnome___0___0___0" localSheetId="8">#REF!</definedName>
    <definedName name="Semnome___0___0___0">#REF!</definedName>
    <definedName name="Semnome___0___0___0___0" localSheetId="8">#REF!</definedName>
    <definedName name="Semnome___0___0___0___0">#REF!</definedName>
    <definedName name="Semnome___0___0___0___0___0" localSheetId="8">#REF!</definedName>
    <definedName name="Semnome___0___0___0___0___0">#REF!</definedName>
    <definedName name="Semnome___0___0___0___0___0___0" localSheetId="8">#REF!</definedName>
    <definedName name="Semnome___0___0___0___0___0___0">#REF!</definedName>
    <definedName name="Semnome___0___0___0___0___0___0___0" localSheetId="8">#REF!</definedName>
    <definedName name="Semnome___0___0___0___0___0___0___0">#REF!</definedName>
    <definedName name="Semnome_1" localSheetId="8">#REF!</definedName>
    <definedName name="Semnome_1">#REF!</definedName>
    <definedName name="Semnome_1_1" localSheetId="8">#REF!</definedName>
    <definedName name="Semnome_1_1">#REF!</definedName>
    <definedName name="SHARED_FORMULA_0">#N/A</definedName>
    <definedName name="SHARED_FORMULA_1">#N/A</definedName>
    <definedName name="SHARED_FORMULA_1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70">#N/A</definedName>
    <definedName name="SHARED_FORMULA_171">#N/A</definedName>
    <definedName name="SHARED_FORMULA_172">#N/A</definedName>
    <definedName name="SHARED_FORMULA_173">#N/A</definedName>
    <definedName name="SHARED_FORMULA_174">#N/A</definedName>
    <definedName name="SHARED_FORMULA_175">#N/A</definedName>
    <definedName name="SHARED_FORMULA_176">#N/A</definedName>
    <definedName name="SHARED_FORMULA_177">#N/A</definedName>
    <definedName name="SHARED_FORMULA_178">#N/A</definedName>
    <definedName name="SHARED_FORMULA_179">#N/A</definedName>
    <definedName name="SHARED_FORMULA_18">#N/A</definedName>
    <definedName name="SHARED_FORMULA_180">#N/A</definedName>
    <definedName name="SHARED_FORMULA_181">#N/A</definedName>
    <definedName name="SHARED_FORMULA_182">#N/A</definedName>
    <definedName name="SHARED_FORMULA_183">#N/A</definedName>
    <definedName name="SHARED_FORMULA_184">#N/A</definedName>
    <definedName name="SHARED_FORMULA_185">#N/A</definedName>
    <definedName name="SHARED_FORMULA_186">#N/A</definedName>
    <definedName name="SHARED_FORMULA_187">#N/A</definedName>
    <definedName name="SHARED_FORMULA_188">#N/A</definedName>
    <definedName name="SHARED_FORMULA_189">#N/A</definedName>
    <definedName name="SHARED_FORMULA_19">#N/A</definedName>
    <definedName name="SHARED_FORMULA_190">#N/A</definedName>
    <definedName name="SHARED_FORMULA_191">#N/A</definedName>
    <definedName name="SHARED_FORMULA_192">#N/A</definedName>
    <definedName name="SHARED_FORMULA_193">#N/A</definedName>
    <definedName name="SHARED_FORMULA_194">#N/A</definedName>
    <definedName name="SHARED_FORMULA_195">#N/A</definedName>
    <definedName name="SHARED_FORMULA_196">#N/A</definedName>
    <definedName name="SHARED_FORMULA_197">#N/A</definedName>
    <definedName name="SHARED_FORMULA_198">#N/A</definedName>
    <definedName name="SHARED_FORMULA_199">#N/A</definedName>
    <definedName name="SHARED_FORMULA_2">#N/A</definedName>
    <definedName name="SHARED_FORMULA_20">#N/A</definedName>
    <definedName name="SHARED_FORMULA_200">#N/A</definedName>
    <definedName name="SHARED_FORMULA_201">#N/A</definedName>
    <definedName name="SHARED_FORMULA_202">#N/A</definedName>
    <definedName name="SHARED_FORMULA_203">#N/A</definedName>
    <definedName name="SHARED_FORMULA_204">#N/A</definedName>
    <definedName name="SHARED_FORMULA_205">#N/A</definedName>
    <definedName name="SHARED_FORMULA_206">#N/A</definedName>
    <definedName name="SHARED_FORMULA_207">#N/A</definedName>
    <definedName name="SHARED_FORMULA_208">#N/A</definedName>
    <definedName name="SHARED_FORMULA_209">#N/A</definedName>
    <definedName name="SHARED_FORMULA_21">#N/A</definedName>
    <definedName name="SHARED_FORMULA_210">#N/A</definedName>
    <definedName name="SHARED_FORMULA_211">#N/A</definedName>
    <definedName name="SHARED_FORMULA_212">#N/A</definedName>
    <definedName name="SHARED_FORMULA_213">#N/A</definedName>
    <definedName name="SHARED_FORMULA_214">#N/A</definedName>
    <definedName name="SHARED_FORMULA_215">#N/A</definedName>
    <definedName name="SHARED_FORMULA_216">#N/A</definedName>
    <definedName name="SHARED_FORMULA_217">#N/A</definedName>
    <definedName name="SHARED_FORMULA_218">#N/A</definedName>
    <definedName name="SHARED_FORMULA_219">#N/A</definedName>
    <definedName name="SHARED_FORMULA_22">#N/A</definedName>
    <definedName name="SHARED_FORMULA_220">#N/A</definedName>
    <definedName name="SHARED_FORMULA_221">#N/A</definedName>
    <definedName name="SHARED_FORMULA_222">#N/A</definedName>
    <definedName name="SHARED_FORMULA_223">#N/A</definedName>
    <definedName name="SHARED_FORMULA_224">#N/A</definedName>
    <definedName name="SHARED_FORMULA_225">#N/A</definedName>
    <definedName name="SHARED_FORMULA_226">#N/A</definedName>
    <definedName name="SHARED_FORMULA_227">#N/A</definedName>
    <definedName name="SHARED_FORMULA_228">#N/A</definedName>
    <definedName name="SHARED_FORMULA_229">#N/A</definedName>
    <definedName name="SHARED_FORMULA_23">#N/A</definedName>
    <definedName name="SHARED_FORMULA_230">#N/A</definedName>
    <definedName name="SHARED_FORMULA_231">#N/A</definedName>
    <definedName name="SHARED_FORMULA_232">#N/A</definedName>
    <definedName name="SHARED_FORMULA_233">#N/A</definedName>
    <definedName name="SHARED_FORMULA_234">#N/A</definedName>
    <definedName name="SHARED_FORMULA_235">#N/A</definedName>
    <definedName name="SHARED_FORMULA_236">#N/A</definedName>
    <definedName name="SHARED_FORMULA_237">#N/A</definedName>
    <definedName name="SHARED_FORMULA_238">#N/A</definedName>
    <definedName name="SHARED_FORMULA_239">#N/A</definedName>
    <definedName name="SHARED_FORMULA_24">#N/A</definedName>
    <definedName name="SHARED_FORMULA_240">#N/A</definedName>
    <definedName name="SHARED_FORMULA_241">#N/A</definedName>
    <definedName name="SHARED_FORMULA_242">#N/A</definedName>
    <definedName name="SHARED_FORMULA_243">#N/A</definedName>
    <definedName name="SHARED_FORMULA_244">#N/A</definedName>
    <definedName name="SHARED_FORMULA_245">#N/A</definedName>
    <definedName name="SHARED_FORMULA_246">#N/A</definedName>
    <definedName name="SHARED_FORMULA_247">#N/A</definedName>
    <definedName name="SHARED_FORMULA_248">#N/A</definedName>
    <definedName name="SHARED_FORMULA_249">#N/A</definedName>
    <definedName name="SHARED_FORMULA_25">#N/A</definedName>
    <definedName name="SHARED_FORMULA_250">#N/A</definedName>
    <definedName name="SHARED_FORMULA_251">#N/A</definedName>
    <definedName name="SHARED_FORMULA_252">#N/A</definedName>
    <definedName name="SHARED_FORMULA_253">#N/A</definedName>
    <definedName name="SHARED_FORMULA_254">#N/A</definedName>
    <definedName name="SHARED_FORMULA_255">#N/A</definedName>
    <definedName name="SHARED_FORMULA_256">#N/A</definedName>
    <definedName name="SHARED_FORMULA_257">#N/A</definedName>
    <definedName name="SHARED_FORMULA_258">#N/A</definedName>
    <definedName name="SHARED_FORMULA_259">#N/A</definedName>
    <definedName name="SHARED_FORMULA_26">#N/A</definedName>
    <definedName name="SHARED_FORMULA_260">#N/A</definedName>
    <definedName name="SHARED_FORMULA_261">#N/A</definedName>
    <definedName name="SHARED_FORMULA_262">#N/A</definedName>
    <definedName name="SHARED_FORMULA_263">#N/A</definedName>
    <definedName name="SHARED_FORMULA_264">#N/A</definedName>
    <definedName name="SHARED_FORMULA_265">#N/A</definedName>
    <definedName name="SHARED_FORMULA_266">#N/A</definedName>
    <definedName name="SHARED_FORMULA_267">#N/A</definedName>
    <definedName name="SHARED_FORMULA_268">#N/A</definedName>
    <definedName name="SHARED_FORMULA_269">#N/A</definedName>
    <definedName name="SHARED_FORMULA_27">#N/A</definedName>
    <definedName name="SHARED_FORMULA_270">#N/A</definedName>
    <definedName name="SHARED_FORMULA_271">#N/A</definedName>
    <definedName name="SHARED_FORMULA_272">#N/A</definedName>
    <definedName name="SHARED_FORMULA_273">#N/A</definedName>
    <definedName name="SHARED_FORMULA_274">#N/A</definedName>
    <definedName name="SHARED_FORMULA_275">#N/A</definedName>
    <definedName name="SHARED_FORMULA_276">#N/A</definedName>
    <definedName name="SHARED_FORMULA_277">#N/A</definedName>
    <definedName name="SHARED_FORMULA_278">#N/A</definedName>
    <definedName name="SHARED_FORMULA_279">#N/A</definedName>
    <definedName name="SHARED_FORMULA_28">#N/A</definedName>
    <definedName name="SHARED_FORMULA_280">#N/A</definedName>
    <definedName name="SHARED_FORMULA_281">#N/A</definedName>
    <definedName name="SHARED_FORMULA_282">#N/A</definedName>
    <definedName name="SHARED_FORMULA_283">#N/A</definedName>
    <definedName name="SHARED_FORMULA_284">#N/A</definedName>
    <definedName name="SHARED_FORMULA_285">#N/A</definedName>
    <definedName name="SHARED_FORMULA_286">#N/A</definedName>
    <definedName name="SHARED_FORMULA_287">#N/A</definedName>
    <definedName name="SHARED_FORMULA_288">#N/A</definedName>
    <definedName name="SHARED_FORMULA_289">#N/A</definedName>
    <definedName name="SHARED_FORMULA_29">#N/A</definedName>
    <definedName name="SHARED_FORMULA_290">#N/A</definedName>
    <definedName name="SHARED_FORMULA_291">#N/A</definedName>
    <definedName name="SHARED_FORMULA_292">#N/A</definedName>
    <definedName name="SHARED_FORMULA_293">#N/A</definedName>
    <definedName name="SHARED_FORMULA_294">#N/A</definedName>
    <definedName name="SHARED_FORMULA_295">#N/A</definedName>
    <definedName name="SHARED_FORMULA_296">#N/A</definedName>
    <definedName name="SHARED_FORMULA_297">#N/A</definedName>
    <definedName name="SHARED_FORMULA_298">#N/A</definedName>
    <definedName name="SHARED_FORMULA_299">#N/A</definedName>
    <definedName name="SHARED_FORMULA_3">#N/A</definedName>
    <definedName name="SHARED_FORMULA_30">#N/A</definedName>
    <definedName name="SHARED_FORMULA_300">#N/A</definedName>
    <definedName name="SHARED_FORMULA_301">#N/A</definedName>
    <definedName name="SHARED_FORMULA_302">#N/A</definedName>
    <definedName name="SHARED_FORMULA_303">#N/A</definedName>
    <definedName name="SHARED_FORMULA_304">#N/A</definedName>
    <definedName name="SHARED_FORMULA_305">#N/A</definedName>
    <definedName name="SHARED_FORMULA_306">#N/A</definedName>
    <definedName name="SHARED_FORMULA_307">#N/A</definedName>
    <definedName name="SHARED_FORMULA_308">#N/A</definedName>
    <definedName name="SHARED_FORMULA_309">#N/A</definedName>
    <definedName name="SHARED_FORMULA_31">#N/A</definedName>
    <definedName name="SHARED_FORMULA_310">#N/A</definedName>
    <definedName name="SHARED_FORMULA_311">#N/A</definedName>
    <definedName name="SHARED_FORMULA_312">#N/A</definedName>
    <definedName name="SHARED_FORMULA_313">#N/A</definedName>
    <definedName name="SHARED_FORMULA_314">#N/A</definedName>
    <definedName name="SHARED_FORMULA_315">#N/A</definedName>
    <definedName name="SHARED_FORMULA_316">#N/A</definedName>
    <definedName name="SHARED_FORMULA_317">#N/A</definedName>
    <definedName name="SHARED_FORMULA_318">#N/A</definedName>
    <definedName name="SHARED_FORMULA_319">#N/A</definedName>
    <definedName name="SHARED_FORMULA_32">#N/A</definedName>
    <definedName name="SHARED_FORMULA_320">#N/A</definedName>
    <definedName name="SHARED_FORMULA_321">#N/A</definedName>
    <definedName name="SHARED_FORMULA_322">#N/A</definedName>
    <definedName name="SHARED_FORMULA_323">#N/A</definedName>
    <definedName name="SHARED_FORMULA_324">#N/A</definedName>
    <definedName name="SHARED_FORMULA_325">#N/A</definedName>
    <definedName name="SHARED_FORMULA_326">#N/A</definedName>
    <definedName name="SHARED_FORMULA_327">#N/A</definedName>
    <definedName name="SHARED_FORMULA_328">#N/A</definedName>
    <definedName name="SHARED_FORMULA_329">#N/A</definedName>
    <definedName name="SHARED_FORMULA_33">#N/A</definedName>
    <definedName name="SHARED_FORMULA_330">#N/A</definedName>
    <definedName name="SHARED_FORMULA_331">#N/A</definedName>
    <definedName name="SHARED_FORMULA_332">#N/A</definedName>
    <definedName name="SHARED_FORMULA_333">#N/A</definedName>
    <definedName name="SHARED_FORMULA_334">#N/A</definedName>
    <definedName name="SHARED_FORMULA_335">#N/A</definedName>
    <definedName name="SHARED_FORMULA_336">#N/A</definedName>
    <definedName name="SHARED_FORMULA_337">#N/A</definedName>
    <definedName name="SHARED_FORMULA_338">#N/A</definedName>
    <definedName name="SHARED_FORMULA_339">#N/A</definedName>
    <definedName name="SHARED_FORMULA_34">#N/A</definedName>
    <definedName name="SHARED_FORMULA_340">#N/A</definedName>
    <definedName name="SHARED_FORMULA_341">#N/A</definedName>
    <definedName name="SHARED_FORMULA_342">#N/A</definedName>
    <definedName name="SHARED_FORMULA_343">#N/A</definedName>
    <definedName name="SHARED_FORMULA_344">#N/A</definedName>
    <definedName name="SHARED_FORMULA_345">#N/A</definedName>
    <definedName name="SHARED_FORMULA_346">#N/A</definedName>
    <definedName name="SHARED_FORMULA_347">#N/A</definedName>
    <definedName name="SHARED_FORMULA_348">#N/A</definedName>
    <definedName name="SHARED_FORMULA_349">#N/A</definedName>
    <definedName name="SHARED_FORMULA_35">#N/A</definedName>
    <definedName name="SHARED_FORMULA_350">#N/A</definedName>
    <definedName name="SHARED_FORMULA_351">#N/A</definedName>
    <definedName name="SHARED_FORMULA_352">#N/A</definedName>
    <definedName name="SHARED_FORMULA_353">#N/A</definedName>
    <definedName name="SHARED_FORMULA_354">#N/A</definedName>
    <definedName name="SHARED_FORMULA_355">#N/A</definedName>
    <definedName name="SHARED_FORMULA_356">#N/A</definedName>
    <definedName name="SHARED_FORMULA_357">#N/A</definedName>
    <definedName name="SHARED_FORMULA_358">#N/A</definedName>
    <definedName name="SHARED_FORMULA_359">#N/A</definedName>
    <definedName name="SHARED_FORMULA_36">#N/A</definedName>
    <definedName name="SHARED_FORMULA_360">#N/A</definedName>
    <definedName name="SHARED_FORMULA_361">#N/A</definedName>
    <definedName name="SHARED_FORMULA_362">#N/A</definedName>
    <definedName name="SHARED_FORMULA_363">#N/A</definedName>
    <definedName name="SHARED_FORMULA_364">#N/A</definedName>
    <definedName name="SHARED_FORMULA_365">#N/A</definedName>
    <definedName name="SHARED_FORMULA_366">#N/A</definedName>
    <definedName name="SHARED_FORMULA_367">#N/A</definedName>
    <definedName name="SHARED_FORMULA_368">#N/A</definedName>
    <definedName name="SHARED_FORMULA_369">#N/A</definedName>
    <definedName name="SHARED_FORMULA_37">#N/A</definedName>
    <definedName name="SHARED_FORMULA_370">#N/A</definedName>
    <definedName name="SHARED_FORMULA_371">#N/A</definedName>
    <definedName name="SHARED_FORMULA_372">#N/A</definedName>
    <definedName name="SHARED_FORMULA_373">#N/A</definedName>
    <definedName name="SHARED_FORMULA_374">#N/A</definedName>
    <definedName name="SHARED_FORMULA_375">#N/A</definedName>
    <definedName name="SHARED_FORMULA_376">#N/A</definedName>
    <definedName name="SHARED_FORMULA_377">#N/A</definedName>
    <definedName name="SHARED_FORMULA_378">#N/A</definedName>
    <definedName name="SHARED_FORMULA_379">#N/A</definedName>
    <definedName name="SHARED_FORMULA_38">#N/A</definedName>
    <definedName name="SHARED_FORMULA_380">#N/A</definedName>
    <definedName name="SHARED_FORMULA_381">#N/A</definedName>
    <definedName name="SHARED_FORMULA_382">#N/A</definedName>
    <definedName name="SHARED_FORMULA_383">#N/A</definedName>
    <definedName name="SHARED_FORMULA_384">#N/A</definedName>
    <definedName name="SHARED_FORMULA_385">#N/A</definedName>
    <definedName name="SHARED_FORMULA_386">#N/A</definedName>
    <definedName name="SHARED_FORMULA_387">#N/A</definedName>
    <definedName name="SHARED_FORMULA_388">#N/A</definedName>
    <definedName name="SHARED_FORMULA_389">#N/A</definedName>
    <definedName name="SHARED_FORMULA_39">#N/A</definedName>
    <definedName name="SHARED_FORMULA_390">#N/A</definedName>
    <definedName name="SHARED_FORMULA_391">#N/A</definedName>
    <definedName name="SHARED_FORMULA_392">#N/A</definedName>
    <definedName name="SHARED_FORMULA_393">#N/A</definedName>
    <definedName name="SHARED_FORMULA_394">#N/A</definedName>
    <definedName name="SHARED_FORMULA_395">#N/A</definedName>
    <definedName name="SHARED_FORMULA_396">#N/A</definedName>
    <definedName name="SHARED_FORMULA_397">#N/A</definedName>
    <definedName name="SHARED_FORMULA_398">#N/A</definedName>
    <definedName name="SHARED_FORMULA_399">#N/A</definedName>
    <definedName name="SHARED_FORMULA_4">#N/A</definedName>
    <definedName name="SHARED_FORMULA_40">#N/A</definedName>
    <definedName name="SHARED_FORMULA_400">#N/A</definedName>
    <definedName name="SHARED_FORMULA_401">#N/A</definedName>
    <definedName name="SHARED_FORMULA_402">#N/A</definedName>
    <definedName name="SHARED_FORMULA_403">#N/A</definedName>
    <definedName name="SHARED_FORMULA_404">#N/A</definedName>
    <definedName name="SHARED_FORMULA_405">#N/A</definedName>
    <definedName name="SHARED_FORMULA_406">#N/A</definedName>
    <definedName name="SHARED_FORMULA_407">#N/A</definedName>
    <definedName name="SHARED_FORMULA_408">#N/A</definedName>
    <definedName name="SHARED_FORMULA_409">#N/A</definedName>
    <definedName name="SHARED_FORMULA_41">#N/A</definedName>
    <definedName name="SHARED_FORMULA_410">#N/A</definedName>
    <definedName name="SHARED_FORMULA_411">#N/A</definedName>
    <definedName name="SHARED_FORMULA_412">#N/A</definedName>
    <definedName name="SHARED_FORMULA_413">#N/A</definedName>
    <definedName name="SHARED_FORMULA_414">#N/A</definedName>
    <definedName name="SHARED_FORMULA_415">#N/A</definedName>
    <definedName name="SHARED_FORMULA_416">#N/A</definedName>
    <definedName name="SHARED_FORMULA_417">#N/A</definedName>
    <definedName name="SHARED_FORMULA_418">#N/A</definedName>
    <definedName name="SHARED_FORMULA_419">#N/A</definedName>
    <definedName name="SHARED_FORMULA_42">#N/A</definedName>
    <definedName name="SHARED_FORMULA_420">#N/A</definedName>
    <definedName name="SHARED_FORMULA_421">#N/A</definedName>
    <definedName name="SHARED_FORMULA_422">#N/A</definedName>
    <definedName name="SHARED_FORMULA_423">#N/A</definedName>
    <definedName name="SHARED_FORMULA_424">#N/A</definedName>
    <definedName name="SHARED_FORMULA_425">#N/A</definedName>
    <definedName name="SHARED_FORMULA_426">#N/A</definedName>
    <definedName name="SHARED_FORMULA_427">#N/A</definedName>
    <definedName name="SHARED_FORMULA_428">#N/A</definedName>
    <definedName name="SHARED_FORMULA_429">#N/A</definedName>
    <definedName name="SHARED_FORMULA_43">#N/A</definedName>
    <definedName name="SHARED_FORMULA_430">#N/A</definedName>
    <definedName name="SHARED_FORMULA_431">#N/A</definedName>
    <definedName name="SHARED_FORMULA_432">#N/A</definedName>
    <definedName name="SHARED_FORMULA_433">#N/A</definedName>
    <definedName name="SHARED_FORMULA_434">#N/A</definedName>
    <definedName name="SHARED_FORMULA_435">#N/A</definedName>
    <definedName name="SHARED_FORMULA_436">#N/A</definedName>
    <definedName name="SHARED_FORMULA_437">#N/A</definedName>
    <definedName name="SHARED_FORMULA_438">#N/A</definedName>
    <definedName name="SHARED_FORMULA_439">#N/A</definedName>
    <definedName name="SHARED_FORMULA_44">#N/A</definedName>
    <definedName name="SHARED_FORMULA_440">#N/A</definedName>
    <definedName name="SHARED_FORMULA_441">#N/A</definedName>
    <definedName name="SHARED_FORMULA_442">#N/A</definedName>
    <definedName name="SHARED_FORMULA_443">#N/A</definedName>
    <definedName name="SHARED_FORMULA_444">#N/A</definedName>
    <definedName name="SHARED_FORMULA_445">#N/A</definedName>
    <definedName name="SHARED_FORMULA_446">#N/A</definedName>
    <definedName name="SHARED_FORMULA_447">#N/A</definedName>
    <definedName name="SHARED_FORMULA_448">#N/A</definedName>
    <definedName name="SHARED_FORMULA_449">#N/A</definedName>
    <definedName name="SHARED_FORMULA_45">#N/A</definedName>
    <definedName name="SHARED_FORMULA_450">#N/A</definedName>
    <definedName name="SHARED_FORMULA_451">#N/A</definedName>
    <definedName name="SHARED_FORMULA_452">#N/A</definedName>
    <definedName name="SHARED_FORMULA_453">#N/A</definedName>
    <definedName name="SHARED_FORMULA_454">#N/A</definedName>
    <definedName name="SHARED_FORMULA_455">#N/A</definedName>
    <definedName name="SHARED_FORMULA_456">#N/A</definedName>
    <definedName name="SHARED_FORMULA_457">#N/A</definedName>
    <definedName name="SHARED_FORMULA_458">#N/A</definedName>
    <definedName name="SHARED_FORMULA_459">#N/A</definedName>
    <definedName name="SHARED_FORMULA_46">#N/A</definedName>
    <definedName name="SHARED_FORMULA_460">#N/A</definedName>
    <definedName name="SHARED_FORMULA_461">#N/A</definedName>
    <definedName name="SHARED_FORMULA_462">#N/A</definedName>
    <definedName name="SHARED_FORMULA_463">#N/A</definedName>
    <definedName name="SHARED_FORMULA_464">#N/A</definedName>
    <definedName name="SHARED_FORMULA_465">#N/A</definedName>
    <definedName name="SHARED_FORMULA_466">#N/A</definedName>
    <definedName name="SHARED_FORMULA_467">#N/A</definedName>
    <definedName name="SHARED_FORMULA_468">#N/A</definedName>
    <definedName name="SHARED_FORMULA_469">#N/A</definedName>
    <definedName name="SHARED_FORMULA_47">#N/A</definedName>
    <definedName name="SHARED_FORMULA_470">#N/A</definedName>
    <definedName name="SHARED_FORMULA_471">#N/A</definedName>
    <definedName name="SHARED_FORMULA_472">#N/A</definedName>
    <definedName name="SHARED_FORMULA_473">#N/A</definedName>
    <definedName name="SHARED_FORMULA_474">#N/A</definedName>
    <definedName name="SHARED_FORMULA_475">#N/A</definedName>
    <definedName name="SHARED_FORMULA_476">#N/A</definedName>
    <definedName name="SHARED_FORMULA_477">#N/A</definedName>
    <definedName name="SHARED_FORMULA_478">#N/A</definedName>
    <definedName name="SHARED_FORMULA_479">#N/A</definedName>
    <definedName name="SHARED_FORMULA_48">#N/A</definedName>
    <definedName name="SHARED_FORMULA_480">#N/A</definedName>
    <definedName name="SHARED_FORMULA_481">#N/A</definedName>
    <definedName name="SHARED_FORMULA_482">#N/A</definedName>
    <definedName name="SHARED_FORMULA_483">#N/A</definedName>
    <definedName name="SHARED_FORMULA_484">#N/A</definedName>
    <definedName name="SHARED_FORMULA_485">#N/A</definedName>
    <definedName name="SHARED_FORMULA_486">#N/A</definedName>
    <definedName name="SHARED_FORMULA_487">#N/A</definedName>
    <definedName name="SHARED_FORMULA_488">#N/A</definedName>
    <definedName name="SHARED_FORMULA_489">#N/A</definedName>
    <definedName name="SHARED_FORMULA_49">#N/A</definedName>
    <definedName name="SHARED_FORMULA_490">#N/A</definedName>
    <definedName name="SHARED_FORMULA_491">#N/A</definedName>
    <definedName name="SHARED_FORMULA_492">#N/A</definedName>
    <definedName name="SHARED_FORMULA_493">#N/A</definedName>
    <definedName name="SHARED_FORMULA_494">#N/A</definedName>
    <definedName name="SHARED_FORMULA_495">#N/A</definedName>
    <definedName name="SHARED_FORMULA_496">#N/A</definedName>
    <definedName name="SHARED_FORMULA_497">#N/A</definedName>
    <definedName name="SHARED_FORMULA_498">#N/A</definedName>
    <definedName name="SHARED_FORMULA_499">#N/A</definedName>
    <definedName name="SHARED_FORMULA_5">#N/A</definedName>
    <definedName name="SHARED_FORMULA_50">#N/A</definedName>
    <definedName name="SHARED_FORMULA_500">#N/A</definedName>
    <definedName name="SHARED_FORMULA_501">#N/A</definedName>
    <definedName name="SHARED_FORMULA_502">#N/A</definedName>
    <definedName name="SHARED_FORMULA_503">#N/A</definedName>
    <definedName name="SHARED_FORMULA_504">#N/A</definedName>
    <definedName name="SHARED_FORMULA_505">#N/A</definedName>
    <definedName name="SHARED_FORMULA_506">#N/A</definedName>
    <definedName name="SHARED_FORMULA_507">#N/A</definedName>
    <definedName name="SHARED_FORMULA_508">#N/A</definedName>
    <definedName name="SHARED_FORMULA_509">#N/A</definedName>
    <definedName name="SHARED_FORMULA_51">#N/A</definedName>
    <definedName name="SHARED_FORMULA_510">#N/A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S" localSheetId="10">#REF!</definedName>
    <definedName name="SS" localSheetId="8">#REF!</definedName>
    <definedName name="SS" localSheetId="2">#REF!</definedName>
    <definedName name="SS">#REF!</definedName>
    <definedName name="SSS" localSheetId="10">#REF!</definedName>
    <definedName name="SSS" localSheetId="8">#REF!</definedName>
    <definedName name="SSS" localSheetId="2">#REF!</definedName>
    <definedName name="SSS">#REF!</definedName>
    <definedName name="SSSSS" localSheetId="10">#REF!</definedName>
    <definedName name="SSSSS" localSheetId="8">#REF!</definedName>
    <definedName name="SSSSS" localSheetId="2">#REF!</definedName>
    <definedName name="SSSSS">#REF!</definedName>
    <definedName name="SSSSSSS" localSheetId="8">#REF!</definedName>
    <definedName name="SSSSSSS">#REF!</definedName>
    <definedName name="START" localSheetId="8">#REF!</definedName>
    <definedName name="START">#REF!</definedName>
    <definedName name="STATUS" localSheetId="8">#REF!</definedName>
    <definedName name="STATUS">#REF!</definedName>
    <definedName name="STOT01.010.0020">[5]MEMORIAL!#REF!</definedName>
    <definedName name="STOT01.010.0020_1">[5]MEMORIAL!#REF!</definedName>
    <definedName name="STOT01.050.0040">[5]MEMORIAL!#REF!</definedName>
    <definedName name="STOT01.050.0040_1">[5]MEMORIAL!#REF!</definedName>
    <definedName name="STOT01.110.0010">[5]MEMORIAL!#REF!</definedName>
    <definedName name="STOT01.110.0010_1">[5]MEMORIAL!#REF!</definedName>
    <definedName name="STOT01.110.0295">[5]MEMORIAL!#REF!</definedName>
    <definedName name="STOT01.110.0295_1">[5]MEMORIAL!#REF!</definedName>
    <definedName name="STOT01.110.0720">[5]MEMORIAL!#REF!</definedName>
    <definedName name="STOT01.110.0720_1">[5]MEMORIAL!#REF!</definedName>
    <definedName name="STOT01.120.O22O">[5]MEMORIAL!#REF!</definedName>
    <definedName name="STOT01.120.O22O_1">[5]MEMORIAL!#REF!</definedName>
    <definedName name="STOT01.150.0130">[5]MEMORIAL!#REF!</definedName>
    <definedName name="STOT01.150.0190">[5]MEMORIAL!#REF!</definedName>
    <definedName name="STOT01.150.0190_1">[5]MEMORIAL!#REF!</definedName>
    <definedName name="STOT01.250.0020">[5]MEMORIAL!#REF!</definedName>
    <definedName name="STOT01.250.0020_1">[5]MEMORIAL!#REF!</definedName>
    <definedName name="STOT01.250.0040">[5]MEMORIAL!#REF!</definedName>
    <definedName name="STOT01.250.0040_1">[5]MEMORIAL!#REF!</definedName>
    <definedName name="STOT01.250.0340">[5]MEMORIAL!#REF!</definedName>
    <definedName name="STOT01.250.0340_1">[5]MEMORIAL!#REF!</definedName>
    <definedName name="STOT01.2500040">[5]MEMORIAL!#REF!</definedName>
    <definedName name="STOT01.2500040_1">[5]MEMORIAL!#REF!</definedName>
    <definedName name="STOT02.010.0020">#REF!</definedName>
    <definedName name="STOT02.010.0020_1" localSheetId="1">[5]MEMORIAL!#REF!</definedName>
    <definedName name="STOT02.010.0020_1">[5]MEMORIAL!#REF!</definedName>
    <definedName name="STOT02.010.0030" localSheetId="1">[5]MEMORIAL!#REF!</definedName>
    <definedName name="STOT02.010.0030">[5]MEMORIAL!#REF!</definedName>
    <definedName name="STOT02.010.0030_1">[5]MEMORIAL!#REF!</definedName>
    <definedName name="STOT02.010.0050">[9]MEMORIAL!#REF!</definedName>
    <definedName name="STOT02.010.0050_1">[9]MEMORIAL!#REF!</definedName>
    <definedName name="STOT02.010.0060">[5]MEMORIAL!#REF!</definedName>
    <definedName name="STOT02.010.0060_1">[5]MEMORIAL!#REF!</definedName>
    <definedName name="STOT02.010.0065">[9]MEMORIAL!#REF!</definedName>
    <definedName name="STOT02.010.0065_1">[5]MEMORIAL!#REF!</definedName>
    <definedName name="STOT02.010.0080">[5]MEMORIAL!#REF!</definedName>
    <definedName name="STOT02.010.0080_1">[5]MEMORIAL!#REF!</definedName>
    <definedName name="STOT02.010.0090">[5]MEMORIAL!#REF!</definedName>
    <definedName name="STOT02.010.0090_1">[5]MEMORIAL!#REF!</definedName>
    <definedName name="STOT02.010.0130">[9]MEMORIAL!#REF!</definedName>
    <definedName name="STOT02.010.0130_1">[9]MEMORIAL!#REF!</definedName>
    <definedName name="STOT02.010.0140">[5]MEMORIAL!#REF!</definedName>
    <definedName name="STOT02.010.0140_1">[5]MEMORIAL!#REF!</definedName>
    <definedName name="STOT02.010.0150">[5]MEMORIAL!#REF!</definedName>
    <definedName name="STOT02.010.0150_1">[5]MEMORIAL!#REF!</definedName>
    <definedName name="STOT02.020.0020">[5]MEMORIAL!#REF!</definedName>
    <definedName name="STOT02.020.0020_1">[5]MEMORIAL!#REF!</definedName>
    <definedName name="STOT02.040.0320">[5]MEMORIAL!#REF!</definedName>
    <definedName name="STOT02.040.0320_1">[5]MEMORIAL!#REF!</definedName>
    <definedName name="STOT02.040.3910">[5]MEMORIAL!#REF!</definedName>
    <definedName name="STOT02.040.3910_1">[5]MEMORIAL!#REF!</definedName>
    <definedName name="STOT02.040.3930">[5]MEMORIAL!#REF!</definedName>
    <definedName name="STOT02.040.3930_1">[5]MEMORIAL!#REF!</definedName>
    <definedName name="STOT02.040.7438">[5]MEMORIAL!#REF!</definedName>
    <definedName name="STOT02.040.7438_1">[5]MEMORIAL!#REF!</definedName>
    <definedName name="STOT02.110.0136">[5]MEMORIAL!#REF!</definedName>
    <definedName name="STOT02.110.0136_1">[5]MEMORIAL!#REF!</definedName>
    <definedName name="STOT02.110.0736">[5]MEMORIAL!#REF!</definedName>
    <definedName name="STOT02.110.0736_1">[5]MEMORIAL!#REF!</definedName>
    <definedName name="STOT02.110.1866">[5]MEMORIAL!#REF!</definedName>
    <definedName name="STOT02.110.1866_1">[5]MEMORIAL!#REF!</definedName>
    <definedName name="STOT02.110.2021">[5]MEMORIAL!#REF!</definedName>
    <definedName name="STOT02.110.2021_1">[5]MEMORIAL!#REF!</definedName>
    <definedName name="STOT02.110.2070">[5]MEMORIAL!#REF!</definedName>
    <definedName name="STOT02.110.2070_1">[5]MEMORIAL!#REF!</definedName>
    <definedName name="STOT02.110.2284">[5]MEMORIAL!#REF!</definedName>
    <definedName name="STOT02.110.2284_1">[5]MEMORIAL!#REF!</definedName>
    <definedName name="STOT02.110.2758">[5]MEMORIAL!#REF!</definedName>
    <definedName name="STOT02.110.2758_1">[5]MEMORIAL!#REF!</definedName>
    <definedName name="STOT02.110.3862">[5]MEMORIAL!#REF!</definedName>
    <definedName name="STOT02.110.3862_1">[5]MEMORIAL!#REF!</definedName>
    <definedName name="STOT02.110.3868">[5]MEMORIAL!#REF!</definedName>
    <definedName name="STOT02.110.3926">[5]MEMORIAL!#REF!</definedName>
    <definedName name="STOT02.110.3926_1">[5]MEMORIAL!#REF!</definedName>
    <definedName name="STOT02.110.4292">[5]MEMORIAL!#REF!</definedName>
    <definedName name="STOT02.110.4292_1">[5]MEMORIAL!#REF!</definedName>
    <definedName name="STOT02.110.4760">[5]MEMORIAL!#REF!</definedName>
    <definedName name="STOT02.110.4760_1">[5]MEMORIAL!#REF!</definedName>
    <definedName name="STOT02.120.0010">[5]MEMORIAL!#REF!</definedName>
    <definedName name="STOT02.120.0010_1">[5]MEMORIAL!#REF!</definedName>
    <definedName name="STOT02.120.0040">[5]MEMORIAL!#REF!</definedName>
    <definedName name="STOT02.120.0040_1">[5]MEMORIAL!#REF!</definedName>
    <definedName name="STOT02.140.0040">[5]MEMORIAL!#REF!</definedName>
    <definedName name="STOT02.140.0040_1">[5]MEMORIAL!#REF!</definedName>
    <definedName name="STOT02.160.0010">[5]MEMORIAL!#REF!</definedName>
    <definedName name="STOT02.160.0010_1">[5]MEMORIAL!#REF!</definedName>
    <definedName name="STOT02.160.0075">[5]MEMORIAL!#REF!</definedName>
    <definedName name="STOT02.160.0075_1">[5]MEMORIAL!#REF!</definedName>
    <definedName name="STOT02.210.0030">[5]MEMORIAL!#REF!</definedName>
    <definedName name="STOT02.210.0030_1">[5]MEMORIAL!#REF!</definedName>
    <definedName name="STOT02.210.0110">[5]MEMORIAL!#REF!</definedName>
    <definedName name="STOT02.210.0110_1">[5]MEMORIAL!#REF!</definedName>
    <definedName name="STOT02.210.0290">[5]MEMORIAL!#REF!</definedName>
    <definedName name="STOT02.210.0290_1">[5]MEMORIAL!#REF!</definedName>
    <definedName name="STOT02.210.0320">[5]MEMORIAL!#REF!</definedName>
    <definedName name="STOT02.210.0320_1">[5]MEMORIAL!#REF!</definedName>
    <definedName name="STOT03.010.0020">[9]MEMORIAL!#REF!</definedName>
    <definedName name="STOT03.010.0020_1">[5]MEMORIAL!#REF!</definedName>
    <definedName name="STOT03.010.0025">[9]MEMORIAL!#REF!</definedName>
    <definedName name="STOT03.010.0025_1">[5]MEMORIAL!#REF!</definedName>
    <definedName name="STOT03.010.0040">[9]MEMORIAL!#REF!</definedName>
    <definedName name="STOT03.010.0040_1">[10]MEMORIAL!#REF!</definedName>
    <definedName name="STOT03.010.0050">[9]MEMORIAL!#REF!</definedName>
    <definedName name="STOT03.010.0050_1">[10]MEMORIAL!#REF!</definedName>
    <definedName name="STOT03.010.0100">[9]MEMORIAL!#REF!</definedName>
    <definedName name="STOT03.010.0100_1">[9]MEMORIAL!#REF!</definedName>
    <definedName name="STOT03.010.0140">[5]MEMORIAL!#REF!</definedName>
    <definedName name="STOT03.010.0140_1">[5]MEMORIAL!#REF!</definedName>
    <definedName name="STOT03.010.0160">[5]MEMORIAL!#REF!</definedName>
    <definedName name="STOT03.010.0160_1">[5]MEMORIAL!#REF!</definedName>
    <definedName name="STOT03.010.0170">[5]MEMORIAL!#REF!</definedName>
    <definedName name="STOT03.010.0170_1">[5]MEMORIAL!#REF!</definedName>
    <definedName name="STOT03.010.0180">[9]MEMORIAL!#REF!</definedName>
    <definedName name="STOT03.010.0180_1">[5]MEMORIAL!#REF!</definedName>
    <definedName name="STOT03.010.0190">[5]MEMORIAL!#REF!</definedName>
    <definedName name="STOT03.010.0190_1">[5]MEMORIAL!#REF!</definedName>
    <definedName name="STOT03.010.0200">[9]MEMORIAL!#REF!</definedName>
    <definedName name="STOT03.010.0200_1">[5]MEMORIAL!#REF!</definedName>
    <definedName name="STOT04.010.0010">[5]MEMORIAL!#REF!</definedName>
    <definedName name="STOT04.010.0010_1">[5]MEMORIAL!#REF!</definedName>
    <definedName name="STOT04.010.0040">[5]MEMORIAL!#REF!</definedName>
    <definedName name="STOT04.010.0040_1">[5]MEMORIAL!#REF!</definedName>
    <definedName name="STOT04.010.0070">[5]MEMORIAL!#REF!</definedName>
    <definedName name="STOT04.010.0070_1">[5]MEMORIAL!#REF!</definedName>
    <definedName name="STOT04.010.0150">[5]MEMORIAL!#REF!</definedName>
    <definedName name="STOT04.010.0150_1">[5]MEMORIAL!#REF!</definedName>
    <definedName name="STOT04.010.0190">[5]MEMORIAL!#REF!</definedName>
    <definedName name="STOT04.010.0190_1">[5]MEMORIAL!#REF!</definedName>
    <definedName name="STOT04.010.0200">[5]MEMORIAL!#REF!</definedName>
    <definedName name="STOT04.010.0200_1">[5]MEMORIAL!#REF!</definedName>
    <definedName name="STOT04.010.0290">#REF!</definedName>
    <definedName name="STOT04.010.0290_1" localSheetId="1">[12]MEMORIAL!#REF!</definedName>
    <definedName name="STOT04.010.0290_1">[12]MEMORIAL!#REF!</definedName>
    <definedName name="STOT04.010.0320" localSheetId="1">[9]MEMORIAL!#REF!</definedName>
    <definedName name="STOT04.010.0320">[9]MEMORIAL!#REF!</definedName>
    <definedName name="STOT04.010.0320_1">[5]MEMORIAL!#REF!</definedName>
    <definedName name="stot04.010.0330">#REF!</definedName>
    <definedName name="STOT04.010.0330_1" localSheetId="1">[5]MEMORIAL!#REF!</definedName>
    <definedName name="STOT04.010.0330_1">[5]MEMORIAL!#REF!</definedName>
    <definedName name="STOT04.010.0371" localSheetId="1">[9]MEMORIAL!#REF!</definedName>
    <definedName name="STOT04.010.0371">[9]MEMORIAL!#REF!</definedName>
    <definedName name="STOT04.010.0371_1">[10]MEMORIAL!#REF!</definedName>
    <definedName name="STOT04.010.0375">[9]MEMORIAL!#REF!</definedName>
    <definedName name="STOT04.010.0375_1">[5]MEMORIAL!#REF!</definedName>
    <definedName name="STOT04.010.0395">[9]MEMORIAL!#REF!</definedName>
    <definedName name="STOT04.010.0395_1">[5]MEMORIAL!#REF!</definedName>
    <definedName name="STOT04.010.0420">[5]MEMORIAL!#REF!</definedName>
    <definedName name="STOT04.010.0420_1">[5]MEMORIAL!#REF!</definedName>
    <definedName name="STOT04.010.0430">[5]MEMORIAL!#REF!</definedName>
    <definedName name="STOT04.010.0430_1">[5]MEMORIAL!#REF!</definedName>
    <definedName name="STOT05.010.0020">[9]MEMORIAL!#REF!</definedName>
    <definedName name="STOT05.010.0020_1">[5]MEMORIAL!#REF!</definedName>
    <definedName name="STOT05.110.0005">[5]MEMORIAL!#REF!</definedName>
    <definedName name="STOT05.110.0005_1">[5]MEMORIAL!#REF!</definedName>
    <definedName name="STOT05.110.0420">[5]MEMORIAL!#REF!</definedName>
    <definedName name="STOT05.110.0420_1">[5]MEMORIAL!#REF!</definedName>
    <definedName name="STOT05.110.1300">[5]MEMORIAL!#REF!</definedName>
    <definedName name="STOT05.110.1300_1">[5]MEMORIAL!#REF!</definedName>
    <definedName name="STOT05.110.1565">[5]MEMORIAL!#REF!</definedName>
    <definedName name="STOT05.110.1565_1">[5]MEMORIAL!#REF!</definedName>
    <definedName name="STOT05.110.1590">[5]MEMORIAL!#REF!</definedName>
    <definedName name="STOT05.110.1590_1">[5]MEMORIAL!#REF!</definedName>
    <definedName name="STOT05.110.1620">[5]MEMORIAL!#REF!</definedName>
    <definedName name="STOT05.120.0060">[5]MEMORIAL!#REF!</definedName>
    <definedName name="STOT05.120.0060_1">[5]MEMORIAL!#REF!</definedName>
    <definedName name="STOT06.010.0010">[5]MEMORIAL!#REF!</definedName>
    <definedName name="STOT06.010.0010_1">[5]MEMORIAL!#REF!</definedName>
    <definedName name="STOT08.010.0010">[5]MEMORIAL!#REF!</definedName>
    <definedName name="STOT08.010.0010_1">[5]MEMORIAL!#REF!</definedName>
    <definedName name="STOT08.010.0040">[5]MEMORIAL!#REF!</definedName>
    <definedName name="STOT08.010.0040_1">[5]MEMORIAL!#REF!</definedName>
    <definedName name="STOT08.010.0060">[9]MEMORIAL!#REF!</definedName>
    <definedName name="STOT08.010.0060_1">[10]MEMORIAL!#REF!</definedName>
    <definedName name="STOT08.010.0120">[9]MEMORIAL!#REF!</definedName>
    <definedName name="STOT08.010.0120_1">[5]MEMORIAL!#REF!</definedName>
    <definedName name="STOT08.010.0130">[5]MEMORIAL!#REF!</definedName>
    <definedName name="STOT08.010.0130_1">[5]MEMORIAL!#REF!</definedName>
    <definedName name="STOT08.010.0135">[9]MEMORIAL!#REF!</definedName>
    <definedName name="STOT08.010.0135_1">[5]MEMORIAL!#REF!</definedName>
    <definedName name="STOT08.010.0190">[5]MEMORIAL!#REF!</definedName>
    <definedName name="STOT08.010.0190_1">[5]MEMORIAL!#REF!</definedName>
    <definedName name="STOT08.010.0270">[9]MEMORIAL!#REF!</definedName>
    <definedName name="STOT08.010.0270_1">[5]MEMORIAL!#REF!</definedName>
    <definedName name="STOT080.010.0350">[5]MEMORIAL!#REF!</definedName>
    <definedName name="STOT080.010.0350_1">[5]MEMORIAL!#REF!</definedName>
    <definedName name="STOT09.010.0060">[9]MEMORIAL!#REF!</definedName>
    <definedName name="STOT09.010.0060_1">[5]MEMORIAL!#REF!</definedName>
    <definedName name="STOT09.010.0070">[5]MEMORIAL!#REF!</definedName>
    <definedName name="STOT09.010.0070_1">[5]MEMORIAL!#REF!</definedName>
    <definedName name="STOT09.010.0240">[9]MEMORIAL!#REF!</definedName>
    <definedName name="STOT09.010.0240_1">[5]MEMORIAL!#REF!</definedName>
    <definedName name="STOT09.010.0380">[5]MEMORIAL!#REF!</definedName>
    <definedName name="STOT09.010.0380_1">[5]MEMORIAL!#REF!</definedName>
    <definedName name="STOT09.010.0430">[9]MEMORIAL!#REF!</definedName>
    <definedName name="STOT09.010.0430_1">[5]MEMORIAL!#REF!</definedName>
    <definedName name="STOT09.010.0470">[9]MEMORIAL!#REF!</definedName>
    <definedName name="STOT09.010.0470_1">[5]MEMORIAL!#REF!</definedName>
    <definedName name="STOT09.010.0700">[9]MEMORIAL!#REF!</definedName>
    <definedName name="STOT09.010.0700_1">[5]MEMORIAL!#REF!</definedName>
    <definedName name="STOT10.010.0140">[9]MEMORIAL!#REF!</definedName>
    <definedName name="STOT10.010.0140_1">[5]MEMORIAL!#REF!</definedName>
    <definedName name="STOT10.010.0150">[5]MEMORIAL!#REF!</definedName>
    <definedName name="STOT10.010.0150_1">[5]MEMORIAL!#REF!</definedName>
    <definedName name="STOT10.010.0180">[9]MEMORIAL!#REF!</definedName>
    <definedName name="STOT10.010.0180_1">[5]MEMORIAL!#REF!</definedName>
    <definedName name="STOT10.010.0270">[9]MEMORIAL!#REF!</definedName>
    <definedName name="STOT10.010.0270_1">[10]MEMORIAL!#REF!</definedName>
    <definedName name="STOT10.010.0280">[9]MEMORIAL!#REF!</definedName>
    <definedName name="STOT10.010.0280_1">[5]MEMORIAL!#REF!</definedName>
    <definedName name="STOT10.010.0290">[5]MEMORIAL!#REF!</definedName>
    <definedName name="STOT10.010.0290_1">[5]MEMORIAL!#REF!</definedName>
    <definedName name="STOT10.010.0298">[5]MEMORIAL!#REF!</definedName>
    <definedName name="STOT10.010.0298_1">[5]MEMORIAL!#REF!</definedName>
    <definedName name="STOT10.010.0307">[9]MEMORIAL!#REF!</definedName>
    <definedName name="STOT10.010.0307_1">[5]MEMORIAL!#REF!</definedName>
    <definedName name="STOT10.010.0308">[9]MEMORIAL!#REF!</definedName>
    <definedName name="STOT10.010.0308_1">[5]MEMORIAL!#REF!</definedName>
    <definedName name="STOT10.010.0310">[9]MEMORIAL!#REF!</definedName>
    <definedName name="STOT10.010.0310_1">[5]MEMORIAL!#REF!</definedName>
    <definedName name="STOT10.010.0330">[9]MEMORIAL!#REF!</definedName>
    <definedName name="STOT10.010.0330_1">[5]MEMORIAL!#REF!</definedName>
    <definedName name="STOT10.010.0333">[9]MEMORIAL!#REF!</definedName>
    <definedName name="STOT10.010.0333_1">[5]MEMORIAL!#REF!</definedName>
    <definedName name="STOT10.010.0350">[5]MEMORIAL!#REF!</definedName>
    <definedName name="STOT10.010.0350_1">[5]MEMORIAL!#REF!</definedName>
    <definedName name="STOT10.010.0380">[9]MEMORIAL!#REF!</definedName>
    <definedName name="STOT10.010.0380_1">[5]MEMORIAL!#REF!</definedName>
    <definedName name="STOT10.010.0400">[9]MEMORIAL!#REF!</definedName>
    <definedName name="STOT10.010.0400_1">[5]MEMORIAL!#REF!</definedName>
    <definedName name="STOT10.010.0431">[9]MEMORIAL!#REF!</definedName>
    <definedName name="STOT10.010.0431_1">[5]MEMORIAL!#REF!</definedName>
    <definedName name="STOT10.010.1100">[5]MEMORIAL!#REF!</definedName>
    <definedName name="STOT10.010.1100_1">[5]MEMORIAL!#REF!</definedName>
    <definedName name="STOT10.010.1110">[5]MEMORIAL!#REF!</definedName>
    <definedName name="STOT10.010.1110_1">[5]MEMORIAL!#REF!</definedName>
    <definedName name="STOT12.010.0010">[5]MEMORIAL!#REF!</definedName>
    <definedName name="STOT12.010.0010_1">[5]MEMORIAL!#REF!</definedName>
    <definedName name="STOT12.010.0050">[5]MEMORIAL!#REF!</definedName>
    <definedName name="STOT12.010.0050_1">[5]MEMORIAL!#REF!</definedName>
    <definedName name="STOT12.010.0060">[9]MEMORIAL!#REF!</definedName>
    <definedName name="STOT12.010.0060_1">[5]MEMORIAL!#REF!</definedName>
    <definedName name="STOT12.010.0210">[9]MEMORIAL!#REF!</definedName>
    <definedName name="STOT12.010.0210_1">[5]MEMORIAL!#REF!</definedName>
    <definedName name="STOT12.010.0300">[5]MEMORIAL!#REF!</definedName>
    <definedName name="STOT12.010.0300_1">[5]MEMORIAL!#REF!</definedName>
    <definedName name="STOT12.010.0340">[5]MEMORIAL!#REF!</definedName>
    <definedName name="STOT12.010.0340_1">[5]MEMORIAL!#REF!</definedName>
    <definedName name="STOT12.010.0360">[9]MEMORIAL!#REF!</definedName>
    <definedName name="STOT12.010.0360_1">[5]MEMORIAL!#REF!</definedName>
    <definedName name="STOT12.010.0550">[9]MEMORIAL!#REF!</definedName>
    <definedName name="STOT12.010.0550_1">[5]MEMORIAL!#REF!</definedName>
    <definedName name="STOT13.010.0030">[9]MEMORIAL!#REF!</definedName>
    <definedName name="STOT13.010.0030_1">[10]MEMORIAL!#REF!</definedName>
    <definedName name="STOT13.010.0040">[5]MEMORIAL!#REF!</definedName>
    <definedName name="STOT13.010.0040_1">[5]MEMORIAL!#REF!</definedName>
    <definedName name="STOT13.010.0090">[9]MEMORIAL!#REF!</definedName>
    <definedName name="STOT13.010.0090_1">[5]MEMORIAL!#REF!</definedName>
    <definedName name="STOT13.010.0100">[5]MEMORIAL!#REF!</definedName>
    <definedName name="STOT13.010.0100_1">[5]MEMORIAL!#REF!</definedName>
    <definedName name="STOT13.010.0110">[9]MEMORIAL!#REF!</definedName>
    <definedName name="STOT13.010.0110_1">[5]MEMORIAL!#REF!</definedName>
    <definedName name="STOT13.010.0350">[5]MEMORIAL!#REF!</definedName>
    <definedName name="STOT13.010.0350_1">[5]MEMORIAL!#REF!</definedName>
    <definedName name="STOT13.010.0360">[5]MEMORIAL!#REF!</definedName>
    <definedName name="STOT13.010.0360_1">[5]MEMORIAL!#REF!</definedName>
    <definedName name="STOT13.010.0380">[5]MEMORIAL!#REF!</definedName>
    <definedName name="STOT13.010.0380_1">[5]MEMORIAL!#REF!</definedName>
    <definedName name="STOT13.010.0410">[5]MEMORIAL!#REF!</definedName>
    <definedName name="STOT13.010.0410_1">[5]MEMORIAL!#REF!</definedName>
    <definedName name="STOT13.010.0860">[5]MEMORIAL!#REF!</definedName>
    <definedName name="STOT13.010.0860_1">[5]MEMORIAL!#REF!</definedName>
    <definedName name="STOT13.010.0880">[5]MEMORIAL!#REF!</definedName>
    <definedName name="STOT13.010.0880_1">[5]MEMORIAL!#REF!</definedName>
    <definedName name="STOT13.010.1200">[9]MEMORIAL!#REF!</definedName>
    <definedName name="STOT13.010.1200_1">[5]MEMORIAL!#REF!</definedName>
    <definedName name="STOT15.010.0010">#REF!</definedName>
    <definedName name="STOT15.010.0010_1" localSheetId="1">[10]MEMORIAL!#REF!</definedName>
    <definedName name="STOT15.010.0010_1">[10]MEMORIAL!#REF!</definedName>
    <definedName name="STOT15.010.0040">#REF!</definedName>
    <definedName name="STOT15.010.0040_1" localSheetId="1">[12]MEMORIAL!#REF!</definedName>
    <definedName name="STOT15.010.0040_1">[12]MEMORIAL!#REF!</definedName>
    <definedName name="STOT15.010.0055">#REF!</definedName>
    <definedName name="STOT15.010.0055_1" localSheetId="1">[10]MEMORIAL!#REF!</definedName>
    <definedName name="STOT15.010.0055_1">[10]MEMORIAL!#REF!</definedName>
    <definedName name="STOT15.010.0140" localSheetId="1">[9]MEMORIAL!#REF!</definedName>
    <definedName name="STOT15.010.0140">[9]MEMORIAL!#REF!</definedName>
    <definedName name="STOT15.010.0140_1">[10]MEMORIAL!#REF!</definedName>
    <definedName name="STOT15.010.0181">[9]MEMORIAL!#REF!</definedName>
    <definedName name="STOT15.010.0181_1">[10]MEMORIAL!#REF!</definedName>
    <definedName name="STOT15.010.0270">[9]MEMORIAL!#REF!</definedName>
    <definedName name="STOT15.010.0270_1">[5]MEMORIAL!#REF!</definedName>
    <definedName name="STOT15.010.0280">[9]MEMORIAL!#REF!</definedName>
    <definedName name="STOT15.010.0280_1">[5]MEMORIAL!#REF!</definedName>
    <definedName name="STOT15.010.0290">[5]MEMORIAL!#REF!</definedName>
    <definedName name="STOT15.010.0290_1">[5]MEMORIAL!#REF!</definedName>
    <definedName name="STOT16.010.0010">[9]MEMORIAL!#REF!</definedName>
    <definedName name="STOT16.010.0010_1">[5]MEMORIAL!#REF!</definedName>
    <definedName name="STOT16.010.0060">[9]MEMORIAL!#REF!</definedName>
    <definedName name="STOT16.010.0060_1">[5]MEMORIAL!#REF!</definedName>
    <definedName name="STOT16.010.0110">[9]MEMORIAL!#REF!</definedName>
    <definedName name="STOT16.010.0110_1">[5]MEMORIAL!#REF!</definedName>
    <definedName name="STOT16.010.0120">[9]MEMORIAL!#REF!</definedName>
    <definedName name="STOT16.010.0120_1">[5]MEMORIAL!#REF!</definedName>
    <definedName name="STOT16.010.0150">[5]MEMORIAL!#REF!</definedName>
    <definedName name="STOT16.010.0150_1">[5]MEMORIAL!#REF!</definedName>
    <definedName name="STOT16.010.0170">[9]MEMORIAL!#REF!</definedName>
    <definedName name="STOT16.010.0170_1">[5]MEMORIAL!#REF!</definedName>
    <definedName name="STOT17.010.0080">[9]MEMORIAL!#REF!</definedName>
    <definedName name="STOT17.010.0080_1">[5]MEMORIAL!#REF!</definedName>
    <definedName name="STOT17.010.0100">[5]MEMORIAL!#REF!</definedName>
    <definedName name="STOT17.010.0100_1">[5]MEMORIAL!#REF!</definedName>
    <definedName name="STOT17.010.0120">[5]MEMORIAL!#REF!</definedName>
    <definedName name="STOT17.010.0120_1">[5]MEMORIAL!#REF!</definedName>
    <definedName name="STOT17.010.0150">[9]MEMORIAL!#REF!</definedName>
    <definedName name="STOT17.010.0150_1">[5]MEMORIAL!#REF!</definedName>
    <definedName name="STOT17.010.0290">[9]MEMORIAL!#REF!</definedName>
    <definedName name="STOT17.010.0290_1">[5]MEMORIAL!#REF!</definedName>
    <definedName name="STOT17.010.0350">[5]MEMORIAL!#REF!</definedName>
    <definedName name="STOT17.010.0350_1">[5]MEMORIAL!#REF!</definedName>
    <definedName name="STOT17.010.0390">[9]MEMORIAL!#REF!</definedName>
    <definedName name="STOT17.010.0390_1">[10]MEMORIAL!#REF!</definedName>
    <definedName name="STOT17.010.0437">[9]MEMORIAL!#REF!</definedName>
    <definedName name="STOT17.010.0437_1">[10]MEMORIAL!#REF!</definedName>
    <definedName name="STOT17.010.0602">[9]MEMORIAL!#REF!</definedName>
    <definedName name="STOT17.010.0602_1">[10]MEMORIAL!#REF!</definedName>
    <definedName name="STOTCOMPOS01">[9]MEMORIAL!#REF!</definedName>
    <definedName name="STOTCOMPOS01_1">[10]MEMORIAL!#REF!</definedName>
    <definedName name="T.1" localSheetId="1">#REF!</definedName>
    <definedName name="T.1">#REF!</definedName>
    <definedName name="T.10" localSheetId="1">#REF!</definedName>
    <definedName name="T.10">#REF!</definedName>
    <definedName name="T.11" localSheetId="1">#REF!</definedName>
    <definedName name="T.11">#REF!</definedName>
    <definedName name="T.12" localSheetId="1">#REF!</definedName>
    <definedName name="T.12">#REF!</definedName>
    <definedName name="T.13" localSheetId="1">#REF!</definedName>
    <definedName name="T.13">#REF!</definedName>
    <definedName name="T.14" localSheetId="1">#REF!</definedName>
    <definedName name="T.14">#REF!</definedName>
    <definedName name="T.15" localSheetId="1">#REF!</definedName>
    <definedName name="T.15">#REF!</definedName>
    <definedName name="T.2" localSheetId="1">#REF!</definedName>
    <definedName name="T.2">#REF!</definedName>
    <definedName name="T.3" localSheetId="1">#REF!</definedName>
    <definedName name="T.3">#REF!</definedName>
    <definedName name="T.4" localSheetId="1">#REF!</definedName>
    <definedName name="T.4">#REF!</definedName>
    <definedName name="T.5" localSheetId="1">#REF!</definedName>
    <definedName name="T.5">#REF!</definedName>
    <definedName name="T.6" localSheetId="1">#REF!</definedName>
    <definedName name="T.6">#REF!</definedName>
    <definedName name="T.7" localSheetId="1">#REF!</definedName>
    <definedName name="T.7">#REF!</definedName>
    <definedName name="T.8" localSheetId="1">#REF!</definedName>
    <definedName name="T.8">#REF!</definedName>
    <definedName name="T.9" localSheetId="1">#REF!</definedName>
    <definedName name="T.9">#REF!</definedName>
    <definedName name="tabBM" localSheetId="1">#REF!</definedName>
    <definedName name="tabBM">#REF!</definedName>
    <definedName name="tabOrçamento">#REF!</definedName>
    <definedName name="TECH" localSheetId="8">#REF!</definedName>
    <definedName name="TECH">#REF!</definedName>
    <definedName name="TERRA">#REF!</definedName>
    <definedName name="TERRA_1">#REF!</definedName>
    <definedName name="teste" localSheetId="8">#REF!</definedName>
    <definedName name="teste">#REF!</definedName>
    <definedName name="teste1" localSheetId="8">#REF!</definedName>
    <definedName name="teste1">#REF!</definedName>
    <definedName name="teste2" localSheetId="8">'[6]CAPA -1'!#REF!</definedName>
    <definedName name="teste2">'[6]CAPA -1'!#REF!</definedName>
    <definedName name="teste3" localSheetId="10">#REF!</definedName>
    <definedName name="teste3" localSheetId="8">#REF!</definedName>
    <definedName name="teste3" localSheetId="2">#REF!</definedName>
    <definedName name="teste3">#REF!</definedName>
    <definedName name="TESTE4" localSheetId="10">#REF!</definedName>
    <definedName name="TESTE4" localSheetId="8">#REF!</definedName>
    <definedName name="TESTE4" localSheetId="2">#REF!</definedName>
    <definedName name="TESTE4">#REF!</definedName>
    <definedName name="TESTE5" localSheetId="10">#REF!</definedName>
    <definedName name="TESTE5" localSheetId="8">#REF!</definedName>
    <definedName name="TESTE5" localSheetId="2">#REF!</definedName>
    <definedName name="TESTE5">#REF!</definedName>
    <definedName name="TipoContrato">#REF!</definedName>
    <definedName name="_xlnm.Print_Titles" localSheetId="4">COTAÇÃO!$1:$9</definedName>
    <definedName name="_xlnm.Print_Titles" localSheetId="26">COTAÇÕES!$1:$9</definedName>
    <definedName name="_xlnm.Print_Titles" localSheetId="2">'MEMORIA DE CÁLCULO'!$1:$6</definedName>
    <definedName name="_xlnm.Print_Titles" localSheetId="0">'PLANILHA ORÇAMENTÁRIA'!$1:$6</definedName>
    <definedName name="TOT.P" localSheetId="1">#REF!</definedName>
    <definedName name="TOT.P">#REF!</definedName>
    <definedName name="TOT1.P" localSheetId="1">#REF!</definedName>
    <definedName name="TOT1.P">#REF!</definedName>
    <definedName name="TOTALMATERIAL">#REF!</definedName>
    <definedName name="TOTALMATERIAL_1">#REF!</definedName>
    <definedName name="TOTALSERVIÇO">'[13]Serviços Água'!#REF!</definedName>
    <definedName name="TOTALSERVIÇO_1">#REF!</definedName>
    <definedName name="TOTFASE">'[13]Serviços Água'!#REF!</definedName>
    <definedName name="TOTFASE_1">'[14]Rede de Distribuição de Água'!#REF!</definedName>
    <definedName name="TOTFASE_5">'[15]Rede de Distribuição de Água'!#REF!</definedName>
    <definedName name="TOTFASE_6">'[15]Rede de Distribuição de Água'!#REF!</definedName>
    <definedName name="TT.1" localSheetId="1">#REF!</definedName>
    <definedName name="TT.1">#REF!</definedName>
    <definedName name="TT.10" localSheetId="1">#REF!</definedName>
    <definedName name="TT.10">#REF!</definedName>
    <definedName name="TT.11" localSheetId="1">#REF!</definedName>
    <definedName name="TT.11">#REF!</definedName>
    <definedName name="TT.12" localSheetId="1">#REF!</definedName>
    <definedName name="TT.12">#REF!</definedName>
    <definedName name="TT.13" localSheetId="1">#REF!</definedName>
    <definedName name="TT.13">#REF!</definedName>
    <definedName name="TT.14" localSheetId="1">#REF!</definedName>
    <definedName name="TT.14">#REF!</definedName>
    <definedName name="TT.15" localSheetId="1">#REF!</definedName>
    <definedName name="TT.15">#REF!</definedName>
    <definedName name="TT.2" localSheetId="1">#REF!</definedName>
    <definedName name="TT.2">#REF!</definedName>
    <definedName name="TT.3" localSheetId="1">#REF!</definedName>
    <definedName name="TT.3">#REF!</definedName>
    <definedName name="TT.4" localSheetId="1">#REF!</definedName>
    <definedName name="TT.4">#REF!</definedName>
    <definedName name="TT.5" localSheetId="1">#REF!</definedName>
    <definedName name="TT.5">#REF!</definedName>
    <definedName name="TT.6" localSheetId="1">#REF!</definedName>
    <definedName name="TT.6">#REF!</definedName>
    <definedName name="TT.7" localSheetId="1">#REF!</definedName>
    <definedName name="TT.7">#REF!</definedName>
    <definedName name="TT.8" localSheetId="1">#REF!</definedName>
    <definedName name="TT.8">#REF!</definedName>
    <definedName name="TT.9" localSheetId="1">#REF!</definedName>
    <definedName name="TT.9">#REF!</definedName>
    <definedName name="VAA">#REF!</definedName>
    <definedName name="VAA_1">#REF!</definedName>
    <definedName name="valorVig">#REF!</definedName>
    <definedName name="VAT">[4]MEMORIAL!#REF!</definedName>
    <definedName name="VAT_1">[5]MEMORIAL!#REF!</definedName>
    <definedName name="VBF">#REF!</definedName>
    <definedName name="VBF_1">#REF!</definedName>
    <definedName name="ve">#REF!</definedName>
    <definedName name="ve_1">#REF!</definedName>
    <definedName name="VE1_1">#REF!</definedName>
    <definedName name="VEC">#REF!</definedName>
    <definedName name="VO">#REF!</definedName>
    <definedName name="VO_1">#REF!</definedName>
    <definedName name="VO1_1">[2]memorial!#REF!</definedName>
    <definedName name="VOC">#REF!</definedName>
    <definedName name="Vol_Estrutural">[4]MEMORIAL!#REF!</definedName>
    <definedName name="Vol_Estrutural_1">[10]MEMORIAL!#REF!</definedName>
    <definedName name="VOLCON">[4]MEMORIAL!#REF!</definedName>
    <definedName name="VOLCON_1">[4]MEMORIAL!#REF!</definedName>
    <definedName name="VOLCONC">[9]MEMORIAL!#REF!</definedName>
    <definedName name="VOLCONC_1">[10]MEMORIAL!#REF!</definedName>
    <definedName name="vr">#REF!</definedName>
    <definedName name="VR_1">#REF!</definedName>
    <definedName name="VRC">#REF!</definedName>
    <definedName name="VTE">[4]MEMORIAL!#REF!</definedName>
    <definedName name="VTE_1">[5]MEMORIAL!#REF!</definedName>
    <definedName name="wrn.GERAL." localSheetId="10" hidden="1">{#N/A,#N/A,FALSE,"ET-CAPA";#N/A,#N/A,FALSE,"ET-PAG1";#N/A,#N/A,FALSE,"ET-PAG2";#N/A,#N/A,FALSE,"ET-PAG3";#N/A,#N/A,FALSE,"ET-PAG4";#N/A,#N/A,FALSE,"ET-PAG5"}</definedName>
    <definedName name="wrn.GERAL." localSheetId="26" hidden="1">{#N/A,#N/A,FALSE,"ET-CAPA";#N/A,#N/A,FALSE,"ET-PAG1";#N/A,#N/A,FALSE,"ET-PAG2";#N/A,#N/A,FALSE,"ET-PAG3";#N/A,#N/A,FALSE,"ET-PAG4";#N/A,#N/A,FALSE,"ET-PAG5"}</definedName>
    <definedName name="wrn.GERAL." localSheetId="22" hidden="1">{#N/A,#N/A,FALSE,"ET-CAPA";#N/A,#N/A,FALSE,"ET-PAG1";#N/A,#N/A,FALSE,"ET-PAG2";#N/A,#N/A,FALSE,"ET-PAG3";#N/A,#N/A,FALSE,"ET-PAG4";#N/A,#N/A,FALSE,"ET-PAG5"}</definedName>
    <definedName name="wrn.GERAL." localSheetId="2" hidden="1">{#N/A,#N/A,FALSE,"ET-CAPA";#N/A,#N/A,FALSE,"ET-PAG1";#N/A,#N/A,FALSE,"ET-PAG2";#N/A,#N/A,FALSE,"ET-PAG3";#N/A,#N/A,FALSE,"ET-PAG4";#N/A,#N/A,FALSE,"ET-PAG5"}</definedName>
    <definedName name="wrn.GERAL." hidden="1">{#N/A,#N/A,FALSE,"ET-CAPA";#N/A,#N/A,FALSE,"ET-PAG1";#N/A,#N/A,FALSE,"ET-PAG2";#N/A,#N/A,FALSE,"ET-PAG3";#N/A,#N/A,FALSE,"ET-PAG4";#N/A,#N/A,FALSE,"ET-PAG5"}</definedName>
    <definedName name="wrn.GERAL._1" localSheetId="10" hidden="1">{#N/A,#N/A,FALSE,"ET-CAPA";#N/A,#N/A,FALSE,"ET-PAG1";#N/A,#N/A,FALSE,"ET-PAG2";#N/A,#N/A,FALSE,"ET-PAG3";#N/A,#N/A,FALSE,"ET-PAG4";#N/A,#N/A,FALSE,"ET-PAG5"}</definedName>
    <definedName name="wrn.GERAL._1" localSheetId="26" hidden="1">{#N/A,#N/A,FALSE,"ET-CAPA";#N/A,#N/A,FALSE,"ET-PAG1";#N/A,#N/A,FALSE,"ET-PAG2";#N/A,#N/A,FALSE,"ET-PAG3";#N/A,#N/A,FALSE,"ET-PAG4";#N/A,#N/A,FALSE,"ET-PAG5"}</definedName>
    <definedName name="wrn.GERAL._1" localSheetId="22" hidden="1">{#N/A,#N/A,FALSE,"ET-CAPA";#N/A,#N/A,FALSE,"ET-PAG1";#N/A,#N/A,FALSE,"ET-PAG2";#N/A,#N/A,FALSE,"ET-PAG3";#N/A,#N/A,FALSE,"ET-PAG4";#N/A,#N/A,FALSE,"ET-PAG5"}</definedName>
    <definedName name="wrn.GERAL._1" localSheetId="2" hidden="1">{#N/A,#N/A,FALSE,"ET-CAPA";#N/A,#N/A,FALSE,"ET-PAG1";#N/A,#N/A,FALSE,"ET-PAG2";#N/A,#N/A,FALSE,"ET-PAG3";#N/A,#N/A,FALSE,"ET-PAG4";#N/A,#N/A,FALSE,"ET-PAG5"}</definedName>
    <definedName name="wrn.GERAL._1" hidden="1">{#N/A,#N/A,FALSE,"ET-CAPA";#N/A,#N/A,FALSE,"ET-PAG1";#N/A,#N/A,FALSE,"ET-PAG2";#N/A,#N/A,FALSE,"ET-PAG3";#N/A,#N/A,FALSE,"ET-PAG4";#N/A,#N/A,FALSE,"ET-PAG5"}</definedName>
    <definedName name="wrn.GERAL2" localSheetId="10" hidden="1">{#N/A,#N/A,FALSE,"ET-CAPA";#N/A,#N/A,FALSE,"ET-PAG1";#N/A,#N/A,FALSE,"ET-PAG2";#N/A,#N/A,FALSE,"ET-PAG3";#N/A,#N/A,FALSE,"ET-PAG4";#N/A,#N/A,FALSE,"ET-PAG5"}</definedName>
    <definedName name="wrn.GERAL2" localSheetId="26" hidden="1">{#N/A,#N/A,FALSE,"ET-CAPA";#N/A,#N/A,FALSE,"ET-PAG1";#N/A,#N/A,FALSE,"ET-PAG2";#N/A,#N/A,FALSE,"ET-PAG3";#N/A,#N/A,FALSE,"ET-PAG4";#N/A,#N/A,FALSE,"ET-PAG5"}</definedName>
    <definedName name="wrn.GERAL2" localSheetId="22" hidden="1">{#N/A,#N/A,FALSE,"ET-CAPA";#N/A,#N/A,FALSE,"ET-PAG1";#N/A,#N/A,FALSE,"ET-PAG2";#N/A,#N/A,FALSE,"ET-PAG3";#N/A,#N/A,FALSE,"ET-PAG4";#N/A,#N/A,FALSE,"ET-PAG5"}</definedName>
    <definedName name="wrn.GERAL2" localSheetId="2" hidden="1">{#N/A,#N/A,FALSE,"ET-CAPA";#N/A,#N/A,FALSE,"ET-PAG1";#N/A,#N/A,FALSE,"ET-PAG2";#N/A,#N/A,FALSE,"ET-PAG3";#N/A,#N/A,FALSE,"ET-PAG4";#N/A,#N/A,FALSE,"ET-PAG5"}</definedName>
    <definedName name="wrn.GERAL2" hidden="1">{#N/A,#N/A,FALSE,"ET-CAPA";#N/A,#N/A,FALSE,"ET-PAG1";#N/A,#N/A,FALSE,"ET-PAG2";#N/A,#N/A,FALSE,"ET-PAG3";#N/A,#N/A,FALSE,"ET-PAG4";#N/A,#N/A,FALSE,"ET-PAG5"}</definedName>
    <definedName name="wrn.GERAL2_1" localSheetId="10" hidden="1">{#N/A,#N/A,FALSE,"ET-CAPA";#N/A,#N/A,FALSE,"ET-PAG1";#N/A,#N/A,FALSE,"ET-PAG2";#N/A,#N/A,FALSE,"ET-PAG3";#N/A,#N/A,FALSE,"ET-PAG4";#N/A,#N/A,FALSE,"ET-PAG5"}</definedName>
    <definedName name="wrn.GERAL2_1" localSheetId="26" hidden="1">{#N/A,#N/A,FALSE,"ET-CAPA";#N/A,#N/A,FALSE,"ET-PAG1";#N/A,#N/A,FALSE,"ET-PAG2";#N/A,#N/A,FALSE,"ET-PAG3";#N/A,#N/A,FALSE,"ET-PAG4";#N/A,#N/A,FALSE,"ET-PAG5"}</definedName>
    <definedName name="wrn.GERAL2_1" localSheetId="22" hidden="1">{#N/A,#N/A,FALSE,"ET-CAPA";#N/A,#N/A,FALSE,"ET-PAG1";#N/A,#N/A,FALSE,"ET-PAG2";#N/A,#N/A,FALSE,"ET-PAG3";#N/A,#N/A,FALSE,"ET-PAG4";#N/A,#N/A,FALSE,"ET-PAG5"}</definedName>
    <definedName name="wrn.GERAL2_1" localSheetId="2" hidden="1">{#N/A,#N/A,FALSE,"ET-CAPA";#N/A,#N/A,FALSE,"ET-PAG1";#N/A,#N/A,FALSE,"ET-PAG2";#N/A,#N/A,FALSE,"ET-PAG3";#N/A,#N/A,FALSE,"ET-PAG4";#N/A,#N/A,FALSE,"ET-PAG5"}</definedName>
    <definedName name="wrn.GERAL2_1" hidden="1">{#N/A,#N/A,FALSE,"ET-CAPA";#N/A,#N/A,FALSE,"ET-PAG1";#N/A,#N/A,FALSE,"ET-PAG2";#N/A,#N/A,FALSE,"ET-PAG3";#N/A,#N/A,FALSE,"ET-PAG4";#N/A,#N/A,FALSE,"ET-PAG5"}</definedName>
    <definedName name="X" localSheetId="10">#REF!</definedName>
    <definedName name="X" localSheetId="8">#REF!</definedName>
    <definedName name="X" localSheetId="2">#REF!</definedName>
    <definedName name="X">#REF!</definedName>
    <definedName name="Z_137C4010_2904_41B9_AE96_14D54430B14A_.wvu.Cols" localSheetId="1" hidden="1">QCI!$M:$N,QCI!$P:$Q,QCI!$T:$T,QCI!$AB:$AB</definedName>
    <definedName name="Z_601BCBB3_17E2_4FDE_BF7B_E604EB5A9674_.wvu.Cols" localSheetId="1" hidden="1">QCI!$M:$N,QCI!$P:$Q,QCI!$T:$T,QCI!$AB:$AB</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38" i="12" l="1"/>
  <c r="G36" i="12" s="1"/>
  <c r="H137" i="12"/>
  <c r="G137" i="12"/>
  <c r="G26" i="12"/>
  <c r="J138" i="25" l="1"/>
  <c r="G26" i="14"/>
  <c r="G90" i="14"/>
  <c r="I90" i="14" s="1"/>
  <c r="G89" i="14"/>
  <c r="I89" i="14" s="1"/>
  <c r="G88" i="14"/>
  <c r="I88" i="14" s="1"/>
  <c r="I92" i="14" l="1"/>
  <c r="R27" i="28"/>
  <c r="I40" i="34"/>
  <c r="H23" i="34"/>
  <c r="H24" i="34"/>
  <c r="H22" i="5"/>
  <c r="I17" i="12" l="1"/>
  <c r="I30" i="14"/>
  <c r="G30" i="14"/>
  <c r="G29" i="14"/>
  <c r="I29" i="14" s="1"/>
  <c r="G28" i="14"/>
  <c r="I28" i="14" s="1"/>
  <c r="G27" i="14"/>
  <c r="I27" i="14" s="1"/>
  <c r="I148" i="14"/>
  <c r="I146" i="14"/>
  <c r="F147" i="14"/>
  <c r="I147" i="14" s="1"/>
  <c r="H145" i="14"/>
  <c r="I145" i="14" s="1"/>
  <c r="I140" i="14"/>
  <c r="I139" i="14"/>
  <c r="I141" i="14" s="1"/>
  <c r="G37" i="14" s="1"/>
  <c r="I37" i="14" s="1"/>
  <c r="H136" i="14"/>
  <c r="G36" i="14" s="1"/>
  <c r="I36" i="14" s="1"/>
  <c r="F129" i="14"/>
  <c r="I129" i="14" s="1"/>
  <c r="I126" i="14"/>
  <c r="I127" i="14"/>
  <c r="I128" i="14"/>
  <c r="H125" i="14"/>
  <c r="I125" i="14" s="1"/>
  <c r="H120" i="14"/>
  <c r="H119" i="14"/>
  <c r="H118" i="14"/>
  <c r="H117" i="14"/>
  <c r="I110" i="14"/>
  <c r="I108" i="14"/>
  <c r="I109" i="14"/>
  <c r="I111" i="14"/>
  <c r="I112" i="14"/>
  <c r="I113" i="14"/>
  <c r="I107" i="14"/>
  <c r="I72" i="14"/>
  <c r="I71" i="14"/>
  <c r="I82" i="14"/>
  <c r="I81" i="14"/>
  <c r="I130" i="14" l="1"/>
  <c r="I114" i="14"/>
  <c r="G31" i="14" s="1"/>
  <c r="I31" i="14" s="1"/>
  <c r="G34" i="14"/>
  <c r="I34" i="14" s="1"/>
  <c r="H121" i="14"/>
  <c r="G32" i="14" s="1"/>
  <c r="I32" i="14" s="1"/>
  <c r="I149" i="14"/>
  <c r="G38" i="14" s="1"/>
  <c r="I38" i="14" s="1"/>
  <c r="I83" i="14"/>
  <c r="G25" i="14" s="1"/>
  <c r="I25" i="14" s="1"/>
  <c r="I78" i="14"/>
  <c r="I73" i="14"/>
  <c r="E13" i="33"/>
  <c r="F14" i="33"/>
  <c r="F13" i="33"/>
  <c r="H133" i="14" l="1"/>
  <c r="G35" i="14" s="1"/>
  <c r="I35" i="14" s="1"/>
  <c r="I77" i="14"/>
  <c r="I76" i="14" s="1"/>
  <c r="G24" i="14" s="1"/>
  <c r="I24" i="14" s="1"/>
  <c r="G23" i="14"/>
  <c r="I23" i="14" s="1"/>
  <c r="I67" i="14"/>
  <c r="G22" i="14" s="1"/>
  <c r="I22" i="14" s="1"/>
  <c r="I64" i="14"/>
  <c r="G21" i="14" s="1"/>
  <c r="I21" i="14" s="1"/>
  <c r="I61" i="14"/>
  <c r="G20" i="14" s="1"/>
  <c r="I20" i="14" s="1"/>
  <c r="I115" i="25"/>
  <c r="I75" i="12"/>
  <c r="G25" i="12"/>
  <c r="G31" i="12"/>
  <c r="G30" i="12"/>
  <c r="G32" i="12"/>
  <c r="G33" i="12"/>
  <c r="H133" i="12"/>
  <c r="G35" i="12"/>
  <c r="H130" i="12"/>
  <c r="H131" i="12"/>
  <c r="D131" i="12"/>
  <c r="D130" i="12"/>
  <c r="G13" i="14" l="1"/>
  <c r="I13" i="14" s="1"/>
  <c r="I16" i="14" s="1"/>
  <c r="I49" i="14" s="1"/>
  <c r="H129" i="12"/>
  <c r="H127" i="12"/>
  <c r="H128" i="12"/>
  <c r="H126" i="12"/>
  <c r="H122" i="12"/>
  <c r="H123" i="12"/>
  <c r="H124" i="12"/>
  <c r="D121" i="12"/>
  <c r="H121" i="12" s="1"/>
  <c r="D120" i="12"/>
  <c r="H120" i="12" s="1"/>
  <c r="G136" i="12"/>
  <c r="H136" i="12" s="1"/>
  <c r="I36" i="12" s="1"/>
  <c r="I38" i="12" s="1"/>
  <c r="G101" i="12"/>
  <c r="G100" i="12"/>
  <c r="G105" i="12"/>
  <c r="G104" i="12"/>
  <c r="G103" i="12"/>
  <c r="G102" i="12"/>
  <c r="G99" i="12"/>
  <c r="G110" i="12"/>
  <c r="G111" i="12"/>
  <c r="G112" i="12"/>
  <c r="G113" i="12"/>
  <c r="G109" i="12"/>
  <c r="F96" i="12"/>
  <c r="H96" i="12" s="1"/>
  <c r="H95" i="12"/>
  <c r="H92" i="12"/>
  <c r="F85" i="12"/>
  <c r="H85" i="12" s="1"/>
  <c r="H84" i="12"/>
  <c r="H83" i="12"/>
  <c r="I79" i="12"/>
  <c r="I78" i="12"/>
  <c r="F75" i="12"/>
  <c r="I71" i="12"/>
  <c r="I70" i="12"/>
  <c r="F69" i="12"/>
  <c r="I69" i="12" s="1"/>
  <c r="I66" i="12"/>
  <c r="G23" i="12" s="1"/>
  <c r="I63" i="12"/>
  <c r="G22" i="12" s="1"/>
  <c r="I60" i="12"/>
  <c r="G21" i="12" s="1"/>
  <c r="G13" i="12" s="1"/>
  <c r="I13" i="12" s="1"/>
  <c r="I51" i="15"/>
  <c r="I36" i="15"/>
  <c r="I16" i="15"/>
  <c r="G28" i="15"/>
  <c r="G33" i="15"/>
  <c r="I24" i="15"/>
  <c r="G23" i="15"/>
  <c r="G20" i="15"/>
  <c r="G22" i="15"/>
  <c r="G114" i="12" l="1"/>
  <c r="G106" i="12"/>
  <c r="H86" i="12"/>
  <c r="I80" i="12"/>
  <c r="I72" i="12"/>
  <c r="G24" i="12" s="1"/>
  <c r="J14" i="33"/>
  <c r="J13" i="33"/>
  <c r="G13" i="33"/>
  <c r="G28" i="12" l="1"/>
  <c r="H89" i="12"/>
  <c r="G29" i="12" s="1"/>
  <c r="G23" i="22"/>
  <c r="L24" i="28"/>
  <c r="R24" i="28" s="1"/>
  <c r="P24" i="28"/>
  <c r="K90" i="37" l="1"/>
  <c r="J90" i="37"/>
  <c r="J94" i="37" s="1"/>
  <c r="F94" i="37"/>
  <c r="G94" i="37"/>
  <c r="H94" i="37"/>
  <c r="I94" i="37"/>
  <c r="E94" i="37"/>
  <c r="L91" i="37"/>
  <c r="L92" i="37"/>
  <c r="J92" i="37"/>
  <c r="L9" i="37"/>
  <c r="L10" i="37"/>
  <c r="L11" i="37"/>
  <c r="L12" i="37"/>
  <c r="L13" i="37"/>
  <c r="L14" i="37"/>
  <c r="L15" i="37"/>
  <c r="L16" i="37"/>
  <c r="L17" i="37"/>
  <c r="L18" i="37"/>
  <c r="L19" i="37"/>
  <c r="L20" i="37"/>
  <c r="L21" i="37"/>
  <c r="L22" i="37"/>
  <c r="L23" i="37"/>
  <c r="L24" i="37"/>
  <c r="L25" i="37"/>
  <c r="L26" i="37"/>
  <c r="L27" i="37"/>
  <c r="L28" i="37"/>
  <c r="L29" i="37"/>
  <c r="L30" i="37"/>
  <c r="L31" i="37"/>
  <c r="L32" i="37"/>
  <c r="L33" i="37"/>
  <c r="L34" i="37"/>
  <c r="L35" i="37"/>
  <c r="L36" i="37"/>
  <c r="L37" i="37"/>
  <c r="L38" i="37"/>
  <c r="L39" i="37"/>
  <c r="L40" i="37"/>
  <c r="L41" i="37"/>
  <c r="L42" i="37"/>
  <c r="L43" i="37"/>
  <c r="L44" i="37"/>
  <c r="L45" i="37"/>
  <c r="L46" i="37"/>
  <c r="L47" i="37"/>
  <c r="L48" i="37"/>
  <c r="L49" i="37"/>
  <c r="L50" i="37"/>
  <c r="L51" i="37"/>
  <c r="L52" i="37"/>
  <c r="L53" i="37"/>
  <c r="L54" i="37"/>
  <c r="L55" i="37"/>
  <c r="L56" i="37"/>
  <c r="L57" i="37"/>
  <c r="L58" i="37"/>
  <c r="L59" i="37"/>
  <c r="L60" i="37"/>
  <c r="L61" i="37"/>
  <c r="L62" i="37"/>
  <c r="L63" i="37"/>
  <c r="L64" i="37"/>
  <c r="L65" i="37"/>
  <c r="L66" i="37"/>
  <c r="L67" i="37"/>
  <c r="L68" i="37"/>
  <c r="L69" i="37"/>
  <c r="L70" i="37"/>
  <c r="L71" i="37"/>
  <c r="L72" i="37"/>
  <c r="L73" i="37"/>
  <c r="L74" i="37"/>
  <c r="L75" i="37"/>
  <c r="L76" i="37"/>
  <c r="L77" i="37"/>
  <c r="L78" i="37"/>
  <c r="L79" i="37"/>
  <c r="L80" i="37"/>
  <c r="L81" i="37"/>
  <c r="L82" i="37"/>
  <c r="L83" i="37"/>
  <c r="L84" i="37"/>
  <c r="L85" i="37"/>
  <c r="L86" i="37"/>
  <c r="L87" i="37"/>
  <c r="L88" i="37"/>
  <c r="L89" i="37"/>
  <c r="L8" i="37"/>
  <c r="L5" i="37"/>
  <c r="L6" i="37"/>
  <c r="L7" i="37"/>
  <c r="L4" i="37"/>
  <c r="J14" i="37"/>
  <c r="G14" i="37"/>
  <c r="E14" i="37"/>
  <c r="J21" i="37"/>
  <c r="J35" i="37"/>
  <c r="G35" i="37"/>
  <c r="I65" i="37"/>
  <c r="J89" i="37"/>
  <c r="H89" i="37"/>
  <c r="J88" i="37"/>
  <c r="H87" i="37"/>
  <c r="H86" i="37"/>
  <c r="H84" i="37"/>
  <c r="H85" i="37"/>
  <c r="H83" i="37"/>
  <c r="J82" i="37"/>
  <c r="J73" i="37"/>
  <c r="J74" i="37"/>
  <c r="J75" i="37"/>
  <c r="J76" i="37"/>
  <c r="J77" i="37"/>
  <c r="J78" i="37"/>
  <c r="J79" i="37"/>
  <c r="J80" i="37"/>
  <c r="J72" i="37"/>
  <c r="H69" i="37"/>
  <c r="H68" i="37"/>
  <c r="H67" i="37"/>
  <c r="H66" i="37"/>
  <c r="H65" i="37"/>
  <c r="H64" i="37"/>
  <c r="H63" i="37"/>
  <c r="H62" i="37"/>
  <c r="H61" i="37"/>
  <c r="G57" i="37"/>
  <c r="H56" i="37"/>
  <c r="H55" i="37"/>
  <c r="G54" i="37"/>
  <c r="G53" i="37"/>
  <c r="G52" i="37"/>
  <c r="I51" i="37"/>
  <c r="G50" i="37"/>
  <c r="G49" i="37"/>
  <c r="G48" i="37"/>
  <c r="G47" i="37"/>
  <c r="J44" i="37"/>
  <c r="F43" i="37"/>
  <c r="F39" i="37"/>
  <c r="F38" i="37"/>
  <c r="E35" i="37"/>
  <c r="F34" i="37"/>
  <c r="F32" i="37"/>
  <c r="F30" i="37"/>
  <c r="F29" i="37"/>
  <c r="E28" i="37"/>
  <c r="E23" i="37"/>
  <c r="E24" i="37"/>
  <c r="E22" i="37"/>
  <c r="E21" i="37"/>
  <c r="E20" i="37"/>
  <c r="E19" i="37"/>
  <c r="F18" i="37"/>
  <c r="E17" i="37"/>
  <c r="E16" i="37"/>
  <c r="F13" i="37"/>
  <c r="J11" i="37"/>
  <c r="E10" i="37"/>
  <c r="E9" i="37"/>
  <c r="E8" i="37"/>
  <c r="J4" i="37"/>
  <c r="I4" i="37"/>
  <c r="H4" i="37"/>
  <c r="G4" i="37"/>
  <c r="F4" i="37"/>
  <c r="E4" i="37"/>
  <c r="L90" i="37" l="1"/>
  <c r="L94" i="37" s="1"/>
  <c r="G95" i="37" s="1"/>
  <c r="H22" i="34"/>
  <c r="I22" i="34" s="1"/>
  <c r="H24" i="28"/>
  <c r="F95" i="37" l="1"/>
  <c r="J95" i="37"/>
  <c r="H95" i="37"/>
  <c r="E95" i="37"/>
  <c r="I95" i="37"/>
  <c r="C22" i="35"/>
  <c r="C21" i="35"/>
  <c r="C20" i="35"/>
  <c r="C19" i="35"/>
  <c r="C18" i="35"/>
  <c r="C17" i="35"/>
  <c r="C16" i="35"/>
  <c r="C15" i="35"/>
  <c r="L95" i="37" l="1"/>
  <c r="T24" i="35"/>
  <c r="Q24" i="35"/>
  <c r="P24" i="35"/>
  <c r="AB22" i="35"/>
  <c r="AB21" i="35"/>
  <c r="AB20" i="35"/>
  <c r="AB19" i="35"/>
  <c r="AB18" i="35"/>
  <c r="AB17" i="35"/>
  <c r="AB16" i="35"/>
  <c r="AB15" i="35"/>
  <c r="O13" i="35"/>
  <c r="G24" i="4" l="1"/>
  <c r="G23" i="4"/>
  <c r="G22" i="4"/>
  <c r="G21" i="4"/>
  <c r="G20" i="4"/>
  <c r="G19" i="4"/>
  <c r="I126" i="25"/>
  <c r="J126" i="25" s="1"/>
  <c r="G35" i="16" l="1"/>
  <c r="I24" i="29" l="1"/>
  <c r="I35" i="16"/>
  <c r="H100" i="25" l="1"/>
  <c r="J109" i="25"/>
  <c r="G86" i="2"/>
  <c r="G89" i="2"/>
  <c r="P23" i="28"/>
  <c r="R23" i="28" s="1"/>
  <c r="L23" i="28"/>
  <c r="H23" i="28"/>
  <c r="G16" i="16"/>
  <c r="G15" i="16"/>
  <c r="I38" i="34"/>
  <c r="I24" i="34"/>
  <c r="I23" i="34"/>
  <c r="P31" i="28"/>
  <c r="L31" i="28"/>
  <c r="H31" i="28"/>
  <c r="R31" i="28" s="1"/>
  <c r="P30" i="28"/>
  <c r="L30" i="28"/>
  <c r="R30" i="28" s="1"/>
  <c r="H30" i="28"/>
  <c r="N31" i="28"/>
  <c r="J31" i="28"/>
  <c r="F31" i="28"/>
  <c r="N30" i="28"/>
  <c r="J30" i="28"/>
  <c r="F30" i="28"/>
  <c r="I14" i="34"/>
  <c r="I13" i="34"/>
  <c r="I18" i="34" s="1"/>
  <c r="G25" i="2"/>
  <c r="G13" i="30"/>
  <c r="H38" i="2"/>
  <c r="I38" i="2" s="1"/>
  <c r="I26" i="34" l="1"/>
  <c r="I37" i="34" s="1"/>
  <c r="I36" i="34"/>
  <c r="I41" i="34" l="1"/>
  <c r="I42" i="34" s="1"/>
  <c r="G61" i="2" s="1"/>
  <c r="J125" i="25"/>
  <c r="G137" i="25"/>
  <c r="I137" i="25" s="1"/>
  <c r="J137" i="25" s="1"/>
  <c r="J123" i="25"/>
  <c r="J127" i="25"/>
  <c r="J122" i="25"/>
  <c r="H52" i="2" l="1"/>
  <c r="H51" i="2"/>
  <c r="H53" i="2"/>
  <c r="I53" i="2" s="1"/>
  <c r="H54" i="2"/>
  <c r="H58" i="2"/>
  <c r="H57" i="2"/>
  <c r="H56" i="2"/>
  <c r="I56" i="2" s="1"/>
  <c r="I57" i="2"/>
  <c r="G60" i="2"/>
  <c r="I60" i="2" s="1"/>
  <c r="G59" i="2"/>
  <c r="I59" i="2" s="1"/>
  <c r="J216" i="25"/>
  <c r="J215" i="25" s="1"/>
  <c r="F61" i="2" s="1"/>
  <c r="I61" i="2" s="1"/>
  <c r="J61" i="2" s="1"/>
  <c r="J176" i="25"/>
  <c r="G175" i="25"/>
  <c r="J175" i="25" s="1"/>
  <c r="E187" i="25"/>
  <c r="J187" i="25" s="1"/>
  <c r="J186" i="25" s="1"/>
  <c r="F56" i="2" s="1"/>
  <c r="J198" i="25"/>
  <c r="E199" i="25"/>
  <c r="J199" i="25" s="1"/>
  <c r="J194" i="25"/>
  <c r="J195" i="25"/>
  <c r="J196" i="25"/>
  <c r="J197" i="25"/>
  <c r="J171" i="25"/>
  <c r="J170" i="25"/>
  <c r="J169" i="25"/>
  <c r="J168" i="25"/>
  <c r="E167" i="25"/>
  <c r="J167" i="25" s="1"/>
  <c r="E166" i="25"/>
  <c r="J166" i="25" s="1"/>
  <c r="E193" i="25"/>
  <c r="J193" i="25" s="1"/>
  <c r="E192" i="25"/>
  <c r="I52" i="2"/>
  <c r="J179" i="25"/>
  <c r="J178" i="25" s="1"/>
  <c r="F54" i="2" s="1"/>
  <c r="J212" i="25"/>
  <c r="J211" i="25" s="1"/>
  <c r="F60" i="2" s="1"/>
  <c r="I24" i="32"/>
  <c r="I23" i="32"/>
  <c r="I22" i="32"/>
  <c r="I21" i="32"/>
  <c r="I26" i="32" s="1"/>
  <c r="I36" i="32" s="1"/>
  <c r="I39" i="32" s="1"/>
  <c r="J208" i="25"/>
  <c r="J207" i="25" s="1"/>
  <c r="F59" i="2" s="1"/>
  <c r="E203" i="25"/>
  <c r="J203" i="25" s="1"/>
  <c r="J202" i="25" s="1"/>
  <c r="F58" i="2" s="1"/>
  <c r="I24" i="31"/>
  <c r="I26" i="31" s="1"/>
  <c r="I36" i="31" s="1"/>
  <c r="I39" i="31" s="1"/>
  <c r="I22" i="31"/>
  <c r="I23" i="31"/>
  <c r="I21" i="31"/>
  <c r="J174" i="25" l="1"/>
  <c r="F53" i="2" s="1"/>
  <c r="J59" i="2"/>
  <c r="J60" i="2"/>
  <c r="J53" i="2"/>
  <c r="J56" i="2"/>
  <c r="J164" i="25"/>
  <c r="F52" i="2" s="1"/>
  <c r="J52" i="2" s="1"/>
  <c r="J161" i="25"/>
  <c r="J160" i="25" s="1"/>
  <c r="F51" i="2" s="1"/>
  <c r="J192" i="25"/>
  <c r="J191" i="25" s="1"/>
  <c r="F57" i="2" s="1"/>
  <c r="J57" i="2" s="1"/>
  <c r="I40" i="32"/>
  <c r="I41" i="32" s="1"/>
  <c r="I40" i="31"/>
  <c r="I41" i="31" s="1"/>
  <c r="I13" i="30"/>
  <c r="I15" i="30" s="1"/>
  <c r="I34" i="30" s="1"/>
  <c r="I35" i="30" s="1"/>
  <c r="J86" i="25"/>
  <c r="J85" i="25" s="1"/>
  <c r="I19" i="29"/>
  <c r="I20" i="29"/>
  <c r="I21" i="29"/>
  <c r="G21" i="29"/>
  <c r="L26" i="29"/>
  <c r="L23" i="29"/>
  <c r="L21" i="29"/>
  <c r="G19" i="29"/>
  <c r="J74" i="25"/>
  <c r="J73" i="25" s="1"/>
  <c r="J70" i="25"/>
  <c r="J69" i="25" s="1"/>
  <c r="I65" i="25"/>
  <c r="J65" i="25" s="1"/>
  <c r="H63" i="25"/>
  <c r="I63" i="25" s="1"/>
  <c r="J63" i="25" s="1"/>
  <c r="H60" i="25"/>
  <c r="I60" i="25" s="1"/>
  <c r="J60" i="25" s="1"/>
  <c r="G26" i="5"/>
  <c r="I16" i="16"/>
  <c r="I15" i="16"/>
  <c r="I14" i="16"/>
  <c r="I13" i="16"/>
  <c r="I36" i="16"/>
  <c r="G33" i="16"/>
  <c r="I33" i="16" s="1"/>
  <c r="G32" i="16"/>
  <c r="I32" i="16" s="1"/>
  <c r="I31" i="30" l="1"/>
  <c r="E161" i="25"/>
  <c r="I36" i="30"/>
  <c r="I25" i="2" s="1"/>
  <c r="J59" i="25"/>
  <c r="I34" i="29"/>
  <c r="I37" i="29" s="1"/>
  <c r="I38" i="29" s="1"/>
  <c r="I39" i="29" s="1"/>
  <c r="G28" i="2" s="1"/>
  <c r="I28" i="2" s="1"/>
  <c r="I19" i="16"/>
  <c r="I47" i="16" s="1"/>
  <c r="I128" i="25"/>
  <c r="J128" i="25" s="1"/>
  <c r="J124" i="25"/>
  <c r="I121" i="25"/>
  <c r="J121" i="25" s="1"/>
  <c r="J136" i="25"/>
  <c r="J135" i="25"/>
  <c r="J134" i="25" l="1"/>
  <c r="J131" i="25"/>
  <c r="J132" i="25"/>
  <c r="J133" i="25"/>
  <c r="J130" i="25"/>
  <c r="J129" i="25"/>
  <c r="J139" i="25" s="1"/>
  <c r="J120" i="25" s="1"/>
  <c r="I89" i="2"/>
  <c r="G14" i="12"/>
  <c r="I14" i="12" s="1"/>
  <c r="G15" i="12"/>
  <c r="I15" i="12" s="1"/>
  <c r="I35" i="12"/>
  <c r="I32" i="12"/>
  <c r="I33" i="12"/>
  <c r="I34" i="12"/>
  <c r="I26" i="12"/>
  <c r="H94" i="25"/>
  <c r="J233" i="25"/>
  <c r="H241" i="25"/>
  <c r="H237" i="25"/>
  <c r="I24" i="12"/>
  <c r="I25" i="12"/>
  <c r="K49" i="13"/>
  <c r="K44" i="13"/>
  <c r="K37" i="13"/>
  <c r="L38" i="13"/>
  <c r="K39" i="13" s="1"/>
  <c r="L40" i="13" s="1"/>
  <c r="I21" i="13"/>
  <c r="M32" i="13"/>
  <c r="K33" i="13" s="1"/>
  <c r="I20" i="13"/>
  <c r="M28" i="13"/>
  <c r="K29" i="13" s="1"/>
  <c r="I22" i="13"/>
  <c r="K25" i="13"/>
  <c r="I48" i="12" l="1"/>
  <c r="J237" i="25"/>
  <c r="J236" i="25"/>
  <c r="J241" i="25"/>
  <c r="J240" i="25" s="1"/>
  <c r="I13" i="5"/>
  <c r="J255" i="25" l="1"/>
  <c r="J254" i="25" s="1"/>
  <c r="J245" i="25"/>
  <c r="I100" i="25"/>
  <c r="J100" i="25" s="1"/>
  <c r="J99" i="25" s="1"/>
  <c r="I93" i="25"/>
  <c r="J93" i="25" s="1"/>
  <c r="I94" i="25"/>
  <c r="J94" i="25" s="1"/>
  <c r="J51" i="25"/>
  <c r="J50" i="25" s="1"/>
  <c r="J95" i="25" l="1"/>
  <c r="J91" i="25" s="1"/>
  <c r="I14" i="5"/>
  <c r="I18" i="5" s="1"/>
  <c r="I39" i="5" s="1"/>
  <c r="I22" i="5"/>
  <c r="I23" i="5"/>
  <c r="G24" i="5"/>
  <c r="I24" i="5" s="1"/>
  <c r="I25" i="5"/>
  <c r="I26" i="5"/>
  <c r="G28" i="5"/>
  <c r="I28" i="5" s="1"/>
  <c r="F28" i="2"/>
  <c r="J28" i="2" s="1"/>
  <c r="I41" i="5"/>
  <c r="J8" i="25"/>
  <c r="H73" i="2"/>
  <c r="I73" i="2" s="1"/>
  <c r="H72" i="2"/>
  <c r="I72" i="2" s="1"/>
  <c r="H71" i="2"/>
  <c r="I71" i="2" s="1"/>
  <c r="G69" i="2"/>
  <c r="I69" i="2" s="1"/>
  <c r="I35" i="8"/>
  <c r="I17" i="8"/>
  <c r="I25" i="8"/>
  <c r="I14" i="9"/>
  <c r="I13" i="9"/>
  <c r="I21" i="9"/>
  <c r="I23" i="9"/>
  <c r="I22" i="9"/>
  <c r="I33" i="9"/>
  <c r="I32" i="9"/>
  <c r="I31" i="9"/>
  <c r="I30" i="9"/>
  <c r="I36" i="9" s="1"/>
  <c r="I41" i="9" s="1"/>
  <c r="I32" i="8"/>
  <c r="I31" i="8"/>
  <c r="I30" i="8"/>
  <c r="I29" i="8"/>
  <c r="I21" i="8"/>
  <c r="I22" i="8"/>
  <c r="I23" i="8"/>
  <c r="H96" i="2"/>
  <c r="I96" i="2" s="1"/>
  <c r="H87" i="2"/>
  <c r="I87" i="2" s="1"/>
  <c r="J314" i="25"/>
  <c r="J313" i="25" s="1"/>
  <c r="F87" i="2" s="1"/>
  <c r="I86" i="2"/>
  <c r="I29" i="22"/>
  <c r="I17" i="22"/>
  <c r="I11" i="22"/>
  <c r="G24" i="22"/>
  <c r="I24" i="22" s="1"/>
  <c r="I13" i="22"/>
  <c r="I29" i="5" l="1"/>
  <c r="I40" i="5" s="1"/>
  <c r="I43" i="5" s="1"/>
  <c r="I17" i="9"/>
  <c r="I39" i="9" s="1"/>
  <c r="I26" i="9"/>
  <c r="I40" i="9" s="1"/>
  <c r="I40" i="8"/>
  <c r="J87" i="2"/>
  <c r="I23" i="22"/>
  <c r="I43" i="9" l="1"/>
  <c r="I44" i="9" s="1"/>
  <c r="I45" i="9" s="1"/>
  <c r="G70" i="2" s="1"/>
  <c r="I70" i="2" s="1"/>
  <c r="I44" i="5"/>
  <c r="I45" i="5" s="1"/>
  <c r="G55" i="2" s="1"/>
  <c r="I55" i="2" s="1"/>
  <c r="I22" i="22"/>
  <c r="G356" i="21"/>
  <c r="G314" i="21"/>
  <c r="G272" i="21"/>
  <c r="I225" i="21"/>
  <c r="G228" i="21"/>
  <c r="G186" i="21"/>
  <c r="G143" i="21"/>
  <c r="I140" i="21"/>
  <c r="G99" i="21"/>
  <c r="I99" i="21" s="1"/>
  <c r="I96" i="21"/>
  <c r="G59" i="21"/>
  <c r="I59" i="21" s="1"/>
  <c r="I56" i="21"/>
  <c r="I23" i="21"/>
  <c r="I18" i="21" l="1"/>
  <c r="C3" i="26" l="1"/>
  <c r="R21" i="28"/>
  <c r="R20" i="28"/>
  <c r="R19" i="28"/>
  <c r="R18" i="28"/>
  <c r="R17" i="28"/>
  <c r="R16" i="28"/>
  <c r="R15" i="28"/>
  <c r="R14" i="28"/>
  <c r="R13" i="28"/>
  <c r="R12" i="28"/>
  <c r="R11" i="28"/>
  <c r="R10" i="28"/>
  <c r="F112" i="23"/>
  <c r="F111" i="23"/>
  <c r="O110" i="23"/>
  <c r="N110" i="23"/>
  <c r="O109" i="23"/>
  <c r="N109" i="23"/>
  <c r="O108" i="23"/>
  <c r="N108" i="23"/>
  <c r="O107" i="23"/>
  <c r="N107" i="23"/>
  <c r="O106" i="23"/>
  <c r="N106" i="23"/>
  <c r="O105" i="23"/>
  <c r="N105" i="23"/>
  <c r="O104" i="23"/>
  <c r="N104" i="23"/>
  <c r="O103" i="23"/>
  <c r="N103" i="23"/>
  <c r="O102" i="23"/>
  <c r="N102" i="23"/>
  <c r="O101" i="23"/>
  <c r="N101" i="23"/>
  <c r="O100" i="23"/>
  <c r="N100" i="23"/>
  <c r="O99" i="23"/>
  <c r="N99" i="23"/>
  <c r="O98" i="23"/>
  <c r="N98" i="23"/>
  <c r="O97" i="23"/>
  <c r="N97" i="23"/>
  <c r="O96" i="23"/>
  <c r="N96" i="23"/>
  <c r="O95" i="23"/>
  <c r="N95" i="23"/>
  <c r="O94" i="23"/>
  <c r="N94" i="23"/>
  <c r="O93" i="23"/>
  <c r="N93" i="23"/>
  <c r="O92" i="23"/>
  <c r="N92" i="23"/>
  <c r="O91" i="23"/>
  <c r="N91" i="23"/>
  <c r="O90" i="23"/>
  <c r="N90" i="23"/>
  <c r="O89" i="23"/>
  <c r="N89" i="23"/>
  <c r="F89" i="23"/>
  <c r="O88" i="23"/>
  <c r="N88" i="23"/>
  <c r="O87" i="23"/>
  <c r="N87" i="23"/>
  <c r="O86" i="23"/>
  <c r="N86" i="23"/>
  <c r="O85" i="23"/>
  <c r="N85" i="23"/>
  <c r="O84" i="23"/>
  <c r="N84" i="23"/>
  <c r="O83" i="23"/>
  <c r="N83" i="23"/>
  <c r="O82" i="23"/>
  <c r="N82" i="23"/>
  <c r="O81" i="23"/>
  <c r="N81" i="23"/>
  <c r="O80" i="23"/>
  <c r="N80" i="23"/>
  <c r="L80" i="23"/>
  <c r="I80" i="23"/>
  <c r="F80" i="23"/>
  <c r="O79" i="23"/>
  <c r="N79" i="23"/>
  <c r="O78" i="23"/>
  <c r="N78" i="23"/>
  <c r="O77" i="23"/>
  <c r="N77" i="23"/>
  <c r="O76" i="23"/>
  <c r="N76" i="23"/>
  <c r="O75" i="23"/>
  <c r="N75" i="23"/>
  <c r="O74" i="23"/>
  <c r="N74" i="23"/>
  <c r="O73" i="23"/>
  <c r="N73" i="23"/>
  <c r="O72" i="23"/>
  <c r="N72" i="23"/>
  <c r="O71" i="23"/>
  <c r="N71" i="23"/>
  <c r="O70" i="23"/>
  <c r="N70" i="23"/>
  <c r="O69" i="23"/>
  <c r="N69" i="23"/>
  <c r="O68" i="23"/>
  <c r="N68" i="23"/>
  <c r="O67" i="23"/>
  <c r="N67" i="23"/>
  <c r="I67" i="23"/>
  <c r="O66" i="23"/>
  <c r="N66" i="23"/>
  <c r="O65" i="23"/>
  <c r="N65" i="23"/>
  <c r="O64" i="23"/>
  <c r="N64" i="23"/>
  <c r="O63" i="23"/>
  <c r="N63" i="23"/>
  <c r="O62" i="23"/>
  <c r="O61" i="23"/>
  <c r="N61" i="23"/>
  <c r="L61" i="23"/>
  <c r="I61" i="23"/>
  <c r="F61" i="23"/>
  <c r="O60" i="23"/>
  <c r="N60" i="23"/>
  <c r="O59" i="23"/>
  <c r="N59" i="23"/>
  <c r="O58" i="23"/>
  <c r="N58" i="23"/>
  <c r="O57" i="23"/>
  <c r="N57" i="23"/>
  <c r="O56" i="23"/>
  <c r="N56" i="23"/>
  <c r="O55" i="23"/>
  <c r="N55" i="23"/>
  <c r="O54" i="23"/>
  <c r="N54" i="23"/>
  <c r="O53" i="23"/>
  <c r="N53" i="23"/>
  <c r="O52" i="23"/>
  <c r="N52" i="23"/>
  <c r="O51" i="23"/>
  <c r="N51" i="23"/>
  <c r="O50" i="23"/>
  <c r="N50" i="23"/>
  <c r="O49" i="23"/>
  <c r="N49" i="23"/>
  <c r="O48" i="23"/>
  <c r="N48" i="23"/>
  <c r="O47" i="23"/>
  <c r="N47" i="23"/>
  <c r="O46" i="23"/>
  <c r="N46" i="23"/>
  <c r="O45" i="23"/>
  <c r="N45" i="23"/>
  <c r="O44" i="23"/>
  <c r="N44" i="23"/>
  <c r="O43" i="23"/>
  <c r="N43" i="23"/>
  <c r="O42" i="23"/>
  <c r="N42" i="23"/>
  <c r="O41" i="23"/>
  <c r="N41" i="23"/>
  <c r="O40" i="23"/>
  <c r="N40" i="23"/>
  <c r="O39" i="23"/>
  <c r="N39" i="23"/>
  <c r="O38" i="23"/>
  <c r="N38" i="23"/>
  <c r="O37" i="23"/>
  <c r="N37" i="23"/>
  <c r="O36" i="23"/>
  <c r="N36" i="23"/>
  <c r="O35" i="23"/>
  <c r="N35" i="23"/>
  <c r="O34" i="23"/>
  <c r="N34" i="23"/>
  <c r="O33" i="23"/>
  <c r="N33" i="23"/>
  <c r="O32" i="23"/>
  <c r="N32" i="23"/>
  <c r="O31" i="23"/>
  <c r="N31" i="23"/>
  <c r="O30" i="23"/>
  <c r="N30" i="23"/>
  <c r="O29" i="23"/>
  <c r="N29" i="23"/>
  <c r="O28" i="23"/>
  <c r="N28" i="23"/>
  <c r="O27" i="23"/>
  <c r="N27" i="23"/>
  <c r="O26" i="23"/>
  <c r="N26" i="23"/>
  <c r="F22" i="23"/>
  <c r="F21" i="23"/>
  <c r="F20" i="23"/>
  <c r="O19" i="23"/>
  <c r="L19" i="23"/>
  <c r="I19" i="23"/>
  <c r="F19" i="23"/>
  <c r="O18" i="23"/>
  <c r="N18" i="23"/>
  <c r="L18" i="23"/>
  <c r="I18" i="23"/>
  <c r="F18" i="23"/>
  <c r="O17" i="23"/>
  <c r="N17" i="23"/>
  <c r="L17" i="23"/>
  <c r="I17" i="23"/>
  <c r="F17" i="23"/>
  <c r="O16" i="23"/>
  <c r="N16" i="23"/>
  <c r="L16" i="23"/>
  <c r="I16" i="23"/>
  <c r="F16" i="23"/>
  <c r="O15" i="23"/>
  <c r="N15" i="23"/>
  <c r="L15" i="23"/>
  <c r="I15" i="23"/>
  <c r="F15" i="23"/>
  <c r="O14" i="23"/>
  <c r="N14" i="23"/>
  <c r="L14" i="23"/>
  <c r="I14" i="23"/>
  <c r="F14" i="23"/>
  <c r="O13" i="23"/>
  <c r="N13" i="23"/>
  <c r="L13" i="23"/>
  <c r="I13" i="23"/>
  <c r="F13" i="23"/>
  <c r="O12" i="23"/>
  <c r="N12" i="23"/>
  <c r="L12" i="23"/>
  <c r="I12" i="23"/>
  <c r="F12" i="23"/>
  <c r="O11" i="23"/>
  <c r="N11" i="23"/>
  <c r="L11" i="23"/>
  <c r="I11" i="23"/>
  <c r="F11" i="23"/>
  <c r="O10" i="23"/>
  <c r="N10" i="23"/>
  <c r="L10" i="23"/>
  <c r="I10" i="23"/>
  <c r="A4" i="23"/>
  <c r="A3" i="23"/>
  <c r="A1" i="23"/>
  <c r="E43" i="17"/>
  <c r="D40" i="17"/>
  <c r="F40" i="17" s="1"/>
  <c r="H40" i="17" s="1"/>
  <c r="F39" i="17"/>
  <c r="H39" i="17" s="1"/>
  <c r="F38" i="17"/>
  <c r="H38" i="17" s="1"/>
  <c r="J34" i="17"/>
  <c r="H34" i="17"/>
  <c r="J33" i="17"/>
  <c r="H33" i="17"/>
  <c r="G32" i="17"/>
  <c r="H32" i="17" s="1"/>
  <c r="J32" i="17" s="1"/>
  <c r="J35" i="17" s="1"/>
  <c r="G26" i="16" s="1"/>
  <c r="I26" i="16" s="1"/>
  <c r="H28" i="17"/>
  <c r="H29" i="17" s="1"/>
  <c r="G25" i="16" s="1"/>
  <c r="I25" i="16" s="1"/>
  <c r="F28" i="17"/>
  <c r="F24" i="17"/>
  <c r="H24" i="17" s="1"/>
  <c r="F23" i="17"/>
  <c r="H23" i="17" s="1"/>
  <c r="F22" i="17"/>
  <c r="H22" i="17" s="1"/>
  <c r="E22" i="17"/>
  <c r="H21" i="17"/>
  <c r="F21" i="17"/>
  <c r="G13" i="17"/>
  <c r="H13" i="17" s="1"/>
  <c r="J13" i="17" s="1"/>
  <c r="H12" i="17"/>
  <c r="J12" i="17" s="1"/>
  <c r="G12" i="17"/>
  <c r="G11" i="17"/>
  <c r="H11" i="17" s="1"/>
  <c r="J11" i="17" s="1"/>
  <c r="H10" i="17"/>
  <c r="J10" i="17" s="1"/>
  <c r="G10" i="17"/>
  <c r="G9" i="17"/>
  <c r="H9" i="17" s="1"/>
  <c r="J9" i="17" s="1"/>
  <c r="H8" i="17"/>
  <c r="J8" i="17" s="1"/>
  <c r="G8" i="17"/>
  <c r="G7" i="17"/>
  <c r="H7" i="17" s="1"/>
  <c r="J7" i="17" s="1"/>
  <c r="H6" i="17"/>
  <c r="J6" i="17" s="1"/>
  <c r="G6" i="17"/>
  <c r="G5" i="17"/>
  <c r="H5" i="17" s="1"/>
  <c r="J5" i="17" s="1"/>
  <c r="I34" i="16"/>
  <c r="G30" i="16"/>
  <c r="I30" i="16" s="1"/>
  <c r="I34" i="15"/>
  <c r="I33" i="15"/>
  <c r="I32" i="15"/>
  <c r="I31" i="15"/>
  <c r="I30" i="15"/>
  <c r="I29" i="15"/>
  <c r="I28" i="15"/>
  <c r="I27" i="15"/>
  <c r="I26" i="15"/>
  <c r="I25" i="15"/>
  <c r="I23" i="15"/>
  <c r="I22" i="15"/>
  <c r="I21" i="15"/>
  <c r="G14" i="15"/>
  <c r="I14" i="15" s="1"/>
  <c r="G13" i="15"/>
  <c r="I13" i="15" s="1"/>
  <c r="I26" i="14"/>
  <c r="I40" i="14" s="1"/>
  <c r="I26" i="13"/>
  <c r="I25" i="13"/>
  <c r="I24" i="13"/>
  <c r="I23" i="13"/>
  <c r="I31" i="12"/>
  <c r="I30" i="12"/>
  <c r="I29" i="12"/>
  <c r="I28" i="12"/>
  <c r="I23" i="12"/>
  <c r="I22" i="12"/>
  <c r="I21" i="12"/>
  <c r="H42" i="18"/>
  <c r="H41" i="18"/>
  <c r="H40" i="18"/>
  <c r="H39" i="18"/>
  <c r="H38" i="18"/>
  <c r="H37" i="18"/>
  <c r="H34" i="18"/>
  <c r="H33" i="18"/>
  <c r="F33" i="18"/>
  <c r="J30" i="18"/>
  <c r="J29" i="18"/>
  <c r="H29" i="18"/>
  <c r="J28" i="18"/>
  <c r="H28" i="18"/>
  <c r="J27" i="18"/>
  <c r="H27" i="18"/>
  <c r="H24" i="18"/>
  <c r="H23" i="18"/>
  <c r="F23" i="18"/>
  <c r="H20" i="18"/>
  <c r="H19" i="18"/>
  <c r="F19" i="18"/>
  <c r="H18" i="18"/>
  <c r="F18" i="18"/>
  <c r="H17" i="18"/>
  <c r="F17" i="18"/>
  <c r="H16" i="18"/>
  <c r="F16" i="18"/>
  <c r="J12" i="18"/>
  <c r="J11" i="18"/>
  <c r="J9" i="18"/>
  <c r="J8" i="18"/>
  <c r="H8" i="18"/>
  <c r="G8" i="18"/>
  <c r="J7" i="18"/>
  <c r="H7" i="18"/>
  <c r="G7" i="18"/>
  <c r="J6" i="18"/>
  <c r="H6" i="18"/>
  <c r="G6" i="18"/>
  <c r="J5" i="18"/>
  <c r="H5" i="18"/>
  <c r="G5" i="18"/>
  <c r="I25" i="4"/>
  <c r="I24" i="4"/>
  <c r="I23" i="4"/>
  <c r="I22" i="4"/>
  <c r="I21" i="4"/>
  <c r="I20" i="4"/>
  <c r="I19" i="4"/>
  <c r="I13" i="4"/>
  <c r="I15" i="4" s="1"/>
  <c r="I36" i="4" s="1"/>
  <c r="I39" i="8"/>
  <c r="I14" i="8"/>
  <c r="I13" i="8"/>
  <c r="I38" i="8" s="1"/>
  <c r="I15" i="24"/>
  <c r="I14" i="24"/>
  <c r="I21" i="22"/>
  <c r="I33" i="22" s="1"/>
  <c r="I35" i="22" s="1"/>
  <c r="I12" i="22"/>
  <c r="I32" i="22" s="1"/>
  <c r="I355" i="21"/>
  <c r="I354" i="21"/>
  <c r="L353" i="21"/>
  <c r="I353" i="21"/>
  <c r="I351" i="21"/>
  <c r="I344" i="21"/>
  <c r="I343" i="21"/>
  <c r="I313" i="21"/>
  <c r="I312" i="21"/>
  <c r="L311" i="21"/>
  <c r="I311" i="21"/>
  <c r="I309" i="21"/>
  <c r="I301" i="21"/>
  <c r="I300" i="21"/>
  <c r="I271" i="21"/>
  <c r="I270" i="21"/>
  <c r="L269" i="21"/>
  <c r="I269" i="21"/>
  <c r="I267" i="21"/>
  <c r="I258" i="21"/>
  <c r="I257" i="21"/>
  <c r="I227" i="21"/>
  <c r="I226" i="21"/>
  <c r="L225" i="21"/>
  <c r="I223" i="21"/>
  <c r="I215" i="21"/>
  <c r="I214" i="21"/>
  <c r="I185" i="21"/>
  <c r="I184" i="21"/>
  <c r="L183" i="21"/>
  <c r="I183" i="21"/>
  <c r="I181" i="21"/>
  <c r="I172" i="21"/>
  <c r="I171" i="21"/>
  <c r="I142" i="21"/>
  <c r="I141" i="21"/>
  <c r="Q138" i="21"/>
  <c r="I138" i="21"/>
  <c r="I129" i="21"/>
  <c r="I128" i="21"/>
  <c r="I98" i="21"/>
  <c r="I97" i="21"/>
  <c r="H95" i="21"/>
  <c r="H139" i="21" s="1"/>
  <c r="I94" i="21"/>
  <c r="I85" i="21"/>
  <c r="I84" i="21"/>
  <c r="I58" i="21"/>
  <c r="I57" i="21"/>
  <c r="I55" i="21"/>
  <c r="I47" i="21"/>
  <c r="I46" i="21"/>
  <c r="I22" i="21"/>
  <c r="I21" i="21"/>
  <c r="I20" i="21"/>
  <c r="I19" i="21"/>
  <c r="M18" i="21"/>
  <c r="Q18" i="21" s="1"/>
  <c r="I11" i="21"/>
  <c r="I10" i="21"/>
  <c r="A44" i="3"/>
  <c r="A41" i="3"/>
  <c r="C37" i="3"/>
  <c r="C33" i="3"/>
  <c r="C26" i="3"/>
  <c r="J349" i="25"/>
  <c r="J348" i="25" s="1"/>
  <c r="F96" i="2" s="1"/>
  <c r="J96" i="2" s="1"/>
  <c r="J344" i="25"/>
  <c r="J343" i="25"/>
  <c r="C341" i="25"/>
  <c r="B341" i="25"/>
  <c r="J338" i="25"/>
  <c r="J337" i="25" s="1"/>
  <c r="F93" i="2" s="1"/>
  <c r="J334" i="25"/>
  <c r="J333" i="25" s="1"/>
  <c r="F92" i="2" s="1"/>
  <c r="J330" i="25"/>
  <c r="J329" i="25" s="1"/>
  <c r="F91" i="2" s="1"/>
  <c r="J326" i="25"/>
  <c r="J325" i="25" s="1"/>
  <c r="F90" i="2" s="1"/>
  <c r="J322" i="25"/>
  <c r="J321" i="25" s="1"/>
  <c r="F89" i="2" s="1"/>
  <c r="J89" i="2" s="1"/>
  <c r="J318" i="25"/>
  <c r="J317" i="25" s="1"/>
  <c r="F88" i="2" s="1"/>
  <c r="J310" i="25"/>
  <c r="J309" i="25" s="1"/>
  <c r="F86" i="2" s="1"/>
  <c r="J86" i="2" s="1"/>
  <c r="J305" i="25"/>
  <c r="J304" i="25" s="1"/>
  <c r="F84" i="2" s="1"/>
  <c r="J301" i="25"/>
  <c r="J300" i="25" s="1"/>
  <c r="F83" i="2" s="1"/>
  <c r="J297" i="25"/>
  <c r="J296" i="25" s="1"/>
  <c r="F82" i="2" s="1"/>
  <c r="J293" i="25"/>
  <c r="J292" i="25" s="1"/>
  <c r="F81" i="2" s="1"/>
  <c r="J289" i="25"/>
  <c r="J288" i="25" s="1"/>
  <c r="F80" i="2" s="1"/>
  <c r="J285" i="25"/>
  <c r="J284" i="25" s="1"/>
  <c r="F79" i="2" s="1"/>
  <c r="J281" i="25"/>
  <c r="J280" i="25" s="1"/>
  <c r="F78" i="2" s="1"/>
  <c r="J277" i="25"/>
  <c r="J276" i="25" s="1"/>
  <c r="F77" i="2" s="1"/>
  <c r="J273" i="25"/>
  <c r="J272" i="25" s="1"/>
  <c r="F76" i="2" s="1"/>
  <c r="J268" i="25"/>
  <c r="J267" i="25" s="1"/>
  <c r="F73" i="2" s="1"/>
  <c r="J73" i="2" s="1"/>
  <c r="J264" i="25"/>
  <c r="J263" i="25" s="1"/>
  <c r="F72" i="2" s="1"/>
  <c r="J72" i="2" s="1"/>
  <c r="J260" i="25"/>
  <c r="J259" i="25"/>
  <c r="F70" i="2"/>
  <c r="J70" i="2" s="1"/>
  <c r="J250" i="25"/>
  <c r="J248" i="25" s="1"/>
  <c r="B250" i="25"/>
  <c r="B248" i="25"/>
  <c r="J244" i="25"/>
  <c r="F69" i="2" s="1"/>
  <c r="J69" i="2" s="1"/>
  <c r="J230" i="25"/>
  <c r="H225" i="25"/>
  <c r="J225" i="25" s="1"/>
  <c r="J224" i="25"/>
  <c r="J183" i="25"/>
  <c r="J182" i="25" s="1"/>
  <c r="F55" i="2" s="1"/>
  <c r="J55" i="2" s="1"/>
  <c r="J155" i="25"/>
  <c r="F48" i="2" s="1"/>
  <c r="J152" i="25"/>
  <c r="F47" i="2" s="1"/>
  <c r="J147" i="25"/>
  <c r="J146" i="25" s="1"/>
  <c r="F43" i="2" s="1"/>
  <c r="I144" i="25"/>
  <c r="J144" i="25" s="1"/>
  <c r="J143" i="25" s="1"/>
  <c r="F42" i="2" s="1"/>
  <c r="R141" i="25"/>
  <c r="I110" i="25"/>
  <c r="J110" i="25" s="1"/>
  <c r="I104" i="25"/>
  <c r="J104" i="25" s="1"/>
  <c r="J103" i="25" s="1"/>
  <c r="F34" i="2" s="1"/>
  <c r="J82" i="25"/>
  <c r="J81" i="25" s="1"/>
  <c r="F27" i="2" s="1"/>
  <c r="J78" i="25"/>
  <c r="J77" i="25" s="1"/>
  <c r="F26" i="2" s="1"/>
  <c r="F25" i="2"/>
  <c r="J25" i="2" s="1"/>
  <c r="F24" i="2"/>
  <c r="F23" i="2"/>
  <c r="J55" i="25"/>
  <c r="J54" i="25" s="1"/>
  <c r="F22" i="2" s="1"/>
  <c r="F21" i="2"/>
  <c r="E47" i="25"/>
  <c r="J47" i="25" s="1"/>
  <c r="E46" i="25"/>
  <c r="J46" i="25" s="1"/>
  <c r="E45" i="25"/>
  <c r="J45" i="25" s="1"/>
  <c r="J40" i="25"/>
  <c r="J39" i="25"/>
  <c r="J35" i="25"/>
  <c r="J34" i="25" s="1"/>
  <c r="F17" i="2" s="1"/>
  <c r="J30" i="25"/>
  <c r="J29" i="25" s="1"/>
  <c r="F15" i="2" s="1"/>
  <c r="J26" i="25"/>
  <c r="J25" i="25" s="1"/>
  <c r="F14" i="2" s="1"/>
  <c r="J22" i="25"/>
  <c r="J21" i="25" s="1"/>
  <c r="F13" i="2" s="1"/>
  <c r="J17" i="25"/>
  <c r="J15" i="25" s="1"/>
  <c r="F12" i="2" s="1"/>
  <c r="F8" i="2"/>
  <c r="H68" i="2"/>
  <c r="I68" i="2" s="1"/>
  <c r="F68" i="2"/>
  <c r="H67" i="2"/>
  <c r="I67" i="2" s="1"/>
  <c r="F67" i="2"/>
  <c r="H66" i="2"/>
  <c r="I66" i="2" s="1"/>
  <c r="H65" i="2"/>
  <c r="I65" i="2" s="1"/>
  <c r="I58" i="2"/>
  <c r="I54" i="2"/>
  <c r="I51" i="2"/>
  <c r="H48" i="2"/>
  <c r="I48" i="2" s="1"/>
  <c r="H47" i="2"/>
  <c r="I47" i="2" s="1"/>
  <c r="H43" i="2"/>
  <c r="I43" i="2" s="1"/>
  <c r="H42" i="2"/>
  <c r="I42" i="2" s="1"/>
  <c r="H39" i="2"/>
  <c r="I39" i="2" s="1"/>
  <c r="H36" i="2"/>
  <c r="I36" i="2" s="1"/>
  <c r="H34" i="2"/>
  <c r="I34" i="2" s="1"/>
  <c r="H33" i="2"/>
  <c r="I33" i="2" s="1"/>
  <c r="F33" i="2"/>
  <c r="H32" i="2"/>
  <c r="I32" i="2" s="1"/>
  <c r="H27" i="2"/>
  <c r="I27" i="2" s="1"/>
  <c r="H26" i="2"/>
  <c r="I26" i="2" s="1"/>
  <c r="H24" i="2"/>
  <c r="I24" i="2" s="1"/>
  <c r="H23" i="2"/>
  <c r="I23" i="2" s="1"/>
  <c r="H22" i="2"/>
  <c r="I22" i="2" s="1"/>
  <c r="H21" i="2"/>
  <c r="I21" i="2" s="1"/>
  <c r="H20" i="2"/>
  <c r="I20" i="2" s="1"/>
  <c r="H18" i="2"/>
  <c r="I18" i="2" s="1"/>
  <c r="H17" i="2"/>
  <c r="I17" i="2" s="1"/>
  <c r="H15" i="2"/>
  <c r="I15" i="2" s="1"/>
  <c r="H14" i="2"/>
  <c r="I14" i="2" s="1"/>
  <c r="H13" i="2"/>
  <c r="I13" i="2" s="1"/>
  <c r="H12" i="2"/>
  <c r="I12" i="2" s="1"/>
  <c r="I50" i="14" l="1"/>
  <c r="I53" i="14" s="1"/>
  <c r="J16" i="17"/>
  <c r="G27" i="16" s="1"/>
  <c r="I27" i="16" s="1"/>
  <c r="J14" i="17"/>
  <c r="E16" i="17" s="1"/>
  <c r="J17" i="17"/>
  <c r="G28" i="16" s="1"/>
  <c r="I28" i="16" s="1"/>
  <c r="H25" i="17"/>
  <c r="G29" i="16" s="1"/>
  <c r="I29" i="16" s="1"/>
  <c r="H41" i="17"/>
  <c r="I27" i="4"/>
  <c r="I37" i="4" s="1"/>
  <c r="I40" i="4" s="1"/>
  <c r="I20" i="15"/>
  <c r="I46" i="15" s="1"/>
  <c r="I45" i="15"/>
  <c r="J108" i="25"/>
  <c r="J116" i="25" s="1"/>
  <c r="J117" i="25" s="1"/>
  <c r="J114" i="25" s="1"/>
  <c r="F38" i="2" s="1"/>
  <c r="J38" i="2" s="1"/>
  <c r="I134" i="21"/>
  <c r="I150" i="21" s="1"/>
  <c r="J97" i="2"/>
  <c r="S22" i="35" s="1"/>
  <c r="I18" i="24"/>
  <c r="I28" i="24" s="1"/>
  <c r="I31" i="24" s="1"/>
  <c r="I32" i="24" s="1"/>
  <c r="J44" i="25"/>
  <c r="F20" i="2" s="1"/>
  <c r="J20" i="2" s="1"/>
  <c r="I49" i="12"/>
  <c r="I52" i="12" s="1"/>
  <c r="I29" i="13"/>
  <c r="I39" i="13" s="1"/>
  <c r="I42" i="13" s="1"/>
  <c r="I43" i="13" s="1"/>
  <c r="I44" i="13" s="1"/>
  <c r="J58" i="2"/>
  <c r="J68" i="2"/>
  <c r="J51" i="2"/>
  <c r="J42" i="2"/>
  <c r="J12" i="2"/>
  <c r="J17" i="2"/>
  <c r="J23" i="2"/>
  <c r="J26" i="2"/>
  <c r="J47" i="2"/>
  <c r="J14" i="2"/>
  <c r="J33" i="2"/>
  <c r="J13" i="2"/>
  <c r="J38" i="25"/>
  <c r="F18" i="2" s="1"/>
  <c r="J18" i="2" s="1"/>
  <c r="J24" i="2"/>
  <c r="J27" i="2"/>
  <c r="J34" i="2"/>
  <c r="J48" i="2"/>
  <c r="J21" i="2"/>
  <c r="J67" i="2"/>
  <c r="J15" i="2"/>
  <c r="J22" i="2"/>
  <c r="J43" i="2"/>
  <c r="J54" i="2"/>
  <c r="J258" i="25"/>
  <c r="F71" i="2" s="1"/>
  <c r="J71" i="2" s="1"/>
  <c r="J228" i="25"/>
  <c r="F66" i="2" s="1"/>
  <c r="J66" i="2" s="1"/>
  <c r="J222" i="25"/>
  <c r="F65" i="2" s="1"/>
  <c r="J65" i="2" s="1"/>
  <c r="I14" i="21"/>
  <c r="I29" i="21" s="1"/>
  <c r="I177" i="21"/>
  <c r="I193" i="21" s="1"/>
  <c r="I42" i="8"/>
  <c r="F36" i="2"/>
  <c r="J36" i="2" s="1"/>
  <c r="I36" i="22"/>
  <c r="I37" i="22" s="1"/>
  <c r="I51" i="21"/>
  <c r="I67" i="21" s="1"/>
  <c r="I219" i="21"/>
  <c r="I235" i="21" s="1"/>
  <c r="I139" i="21"/>
  <c r="H182" i="21"/>
  <c r="I182" i="21" s="1"/>
  <c r="I90" i="21"/>
  <c r="I106" i="21" s="1"/>
  <c r="I95" i="21"/>
  <c r="I103" i="21" s="1"/>
  <c r="I107" i="21" s="1"/>
  <c r="I26" i="21"/>
  <c r="I30" i="21" s="1"/>
  <c r="I32" i="21" s="1"/>
  <c r="I347" i="21"/>
  <c r="I363" i="21" s="1"/>
  <c r="H186" i="21"/>
  <c r="I186" i="21" s="1"/>
  <c r="I143" i="21"/>
  <c r="I147" i="21"/>
  <c r="I151" i="21" s="1"/>
  <c r="I153" i="21" s="1"/>
  <c r="I154" i="21" s="1"/>
  <c r="I155" i="21" s="1"/>
  <c r="G79" i="2" s="1"/>
  <c r="I79" i="2" s="1"/>
  <c r="J79" i="2" s="1"/>
  <c r="I64" i="21"/>
  <c r="I68" i="21" s="1"/>
  <c r="I70" i="21" s="1"/>
  <c r="I71" i="21" s="1"/>
  <c r="I72" i="21" s="1"/>
  <c r="G77" i="2" s="1"/>
  <c r="I77" i="2" s="1"/>
  <c r="J77" i="2" s="1"/>
  <c r="I263" i="21"/>
  <c r="I279" i="21" s="1"/>
  <c r="I305" i="21"/>
  <c r="I321" i="21" s="1"/>
  <c r="I54" i="14" l="1"/>
  <c r="I49" i="15"/>
  <c r="U22" i="35"/>
  <c r="R22" i="35"/>
  <c r="X22" i="35" s="1"/>
  <c r="Y22" i="35"/>
  <c r="V22" i="35" s="1"/>
  <c r="G23" i="16"/>
  <c r="I23" i="16" s="1"/>
  <c r="I38" i="16" s="1"/>
  <c r="I48" i="16" s="1"/>
  <c r="I51" i="16" s="1"/>
  <c r="I52" i="16" s="1"/>
  <c r="I53" i="16" s="1"/>
  <c r="G93" i="2" s="1"/>
  <c r="I93" i="2" s="1"/>
  <c r="J93" i="2" s="1"/>
  <c r="H44" i="17"/>
  <c r="G24" i="16" s="1"/>
  <c r="I24" i="16" s="1"/>
  <c r="I41" i="4"/>
  <c r="I42" i="4" s="1"/>
  <c r="G91" i="2" s="1"/>
  <c r="I91" i="2" s="1"/>
  <c r="J91" i="2" s="1"/>
  <c r="C26" i="33"/>
  <c r="J25" i="33" s="1"/>
  <c r="J26" i="33" s="1"/>
  <c r="J49" i="2"/>
  <c r="S19" i="35" s="1"/>
  <c r="I33" i="24"/>
  <c r="G8" i="2" s="1"/>
  <c r="I8" i="2" s="1"/>
  <c r="J8" i="2" s="1"/>
  <c r="F39" i="2"/>
  <c r="J39" i="2" s="1"/>
  <c r="I53" i="12"/>
  <c r="I54" i="12" s="1"/>
  <c r="G88" i="2" s="1"/>
  <c r="I88" i="2" s="1"/>
  <c r="J88" i="2" s="1"/>
  <c r="J62" i="2"/>
  <c r="O20" i="35" s="1"/>
  <c r="J44" i="2"/>
  <c r="O18" i="35" s="1"/>
  <c r="J29" i="2"/>
  <c r="O16" i="35" s="1"/>
  <c r="I50" i="15"/>
  <c r="G92" i="2" s="1"/>
  <c r="I92" i="2" s="1"/>
  <c r="J92" i="2" s="1"/>
  <c r="I44" i="8"/>
  <c r="I43" i="8"/>
  <c r="I109" i="21"/>
  <c r="I110" i="21" s="1"/>
  <c r="I111" i="21" s="1"/>
  <c r="G78" i="2" s="1"/>
  <c r="I78" i="2" s="1"/>
  <c r="J78" i="2" s="1"/>
  <c r="H224" i="21"/>
  <c r="H268" i="21" s="1"/>
  <c r="H228" i="21"/>
  <c r="I228" i="21" s="1"/>
  <c r="I190" i="21"/>
  <c r="I194" i="21" s="1"/>
  <c r="I196" i="21" s="1"/>
  <c r="I197" i="21" s="1"/>
  <c r="I198" i="21" s="1"/>
  <c r="G80" i="2" s="1"/>
  <c r="I80" i="2" s="1"/>
  <c r="J80" i="2" s="1"/>
  <c r="I33" i="21"/>
  <c r="I34" i="21" s="1"/>
  <c r="G76" i="2" s="1"/>
  <c r="I76" i="2" s="1"/>
  <c r="J76" i="2" s="1"/>
  <c r="I55" i="14" l="1"/>
  <c r="G90" i="2" s="1"/>
  <c r="I90" i="2" s="1"/>
  <c r="J90" i="2" s="1"/>
  <c r="Y19" i="35"/>
  <c r="V19" i="35" s="1"/>
  <c r="R19" i="35"/>
  <c r="U19" i="35"/>
  <c r="Y16" i="35"/>
  <c r="R16" i="35"/>
  <c r="U16" i="35"/>
  <c r="Y18" i="35"/>
  <c r="U18" i="35"/>
  <c r="R18" i="35"/>
  <c r="X18" i="35" s="1"/>
  <c r="C14" i="33"/>
  <c r="C20" i="33"/>
  <c r="F19" i="33" s="1"/>
  <c r="F20" i="33" s="1"/>
  <c r="C18" i="33"/>
  <c r="F17" i="33" s="1"/>
  <c r="C22" i="33"/>
  <c r="J9" i="2"/>
  <c r="O15" i="35" s="1"/>
  <c r="I224" i="21"/>
  <c r="I232" i="21" s="1"/>
  <c r="I236" i="21" s="1"/>
  <c r="I238" i="21" s="1"/>
  <c r="I239" i="21" s="1"/>
  <c r="I240" i="21" s="1"/>
  <c r="G81" i="2" s="1"/>
  <c r="I81" i="2" s="1"/>
  <c r="J81" i="2" s="1"/>
  <c r="H272" i="21"/>
  <c r="I272" i="21" s="1"/>
  <c r="H310" i="21"/>
  <c r="I268" i="21"/>
  <c r="F21" i="33" l="1"/>
  <c r="G21" i="33"/>
  <c r="G29" i="33" s="1"/>
  <c r="G14" i="33"/>
  <c r="U15" i="35"/>
  <c r="R15" i="35"/>
  <c r="X15" i="35" s="1"/>
  <c r="Y15" i="35"/>
  <c r="V15" i="35" s="1"/>
  <c r="X16" i="35"/>
  <c r="X19" i="35"/>
  <c r="C12" i="33"/>
  <c r="E11" i="33"/>
  <c r="I276" i="21"/>
  <c r="I280" i="21" s="1"/>
  <c r="I282" i="21" s="1"/>
  <c r="I283" i="21" s="1"/>
  <c r="I284" i="21" s="1"/>
  <c r="G82" i="2" s="1"/>
  <c r="I82" i="2" s="1"/>
  <c r="J82" i="2" s="1"/>
  <c r="H314" i="21"/>
  <c r="I314" i="21" s="1"/>
  <c r="I310" i="21"/>
  <c r="H352" i="21"/>
  <c r="I352" i="21" s="1"/>
  <c r="H21" i="33" l="1"/>
  <c r="F22" i="33"/>
  <c r="E14" i="33"/>
  <c r="H22" i="33"/>
  <c r="H11" i="33"/>
  <c r="J11" i="33"/>
  <c r="I11" i="33"/>
  <c r="F11" i="33"/>
  <c r="E12" i="33"/>
  <c r="G12" i="33" s="1"/>
  <c r="G11" i="33"/>
  <c r="H356" i="21"/>
  <c r="I356" i="21" s="1"/>
  <c r="I360" i="21" s="1"/>
  <c r="I364" i="21" s="1"/>
  <c r="I366" i="21" s="1"/>
  <c r="I367" i="21" s="1"/>
  <c r="I368" i="21" s="1"/>
  <c r="G84" i="2" s="1"/>
  <c r="I84" i="2" s="1"/>
  <c r="J84" i="2" s="1"/>
  <c r="I318" i="21"/>
  <c r="I322" i="21" s="1"/>
  <c r="I324" i="21" s="1"/>
  <c r="I325" i="21" s="1"/>
  <c r="I326" i="21" s="1"/>
  <c r="G83" i="2" s="1"/>
  <c r="I83" i="2" s="1"/>
  <c r="J83" i="2" s="1"/>
  <c r="F32" i="2"/>
  <c r="J32" i="2" s="1"/>
  <c r="I12" i="33" l="1"/>
  <c r="L85" i="2"/>
  <c r="G22" i="33"/>
  <c r="H12" i="33"/>
  <c r="F12" i="33"/>
  <c r="J12" i="33"/>
  <c r="J40" i="2"/>
  <c r="O17" i="35" s="1"/>
  <c r="J94" i="2"/>
  <c r="J99" i="2" s="1"/>
  <c r="R17" i="35" l="1"/>
  <c r="U17" i="35"/>
  <c r="X17" i="35" s="1"/>
  <c r="Y17" i="35"/>
  <c r="C24" i="33"/>
  <c r="C16" i="33"/>
  <c r="E15" i="33" s="1"/>
  <c r="E29" i="33" l="1"/>
  <c r="E31" i="33" s="1"/>
  <c r="J23" i="33"/>
  <c r="I23" i="33"/>
  <c r="I29" i="33" s="1"/>
  <c r="H23" i="33"/>
  <c r="H29" i="33" s="1"/>
  <c r="F15" i="33"/>
  <c r="F29" i="33" s="1"/>
  <c r="E16" i="33"/>
  <c r="K32" i="2"/>
  <c r="J104" i="2"/>
  <c r="K9" i="2"/>
  <c r="K93" i="2"/>
  <c r="K23" i="2"/>
  <c r="K12" i="2"/>
  <c r="K57" i="2"/>
  <c r="K40" i="2"/>
  <c r="K44" i="2"/>
  <c r="K49" i="2"/>
  <c r="K51" i="2"/>
  <c r="K36" i="2"/>
  <c r="K43" i="2"/>
  <c r="K90" i="2"/>
  <c r="K20" i="2"/>
  <c r="K67" i="2"/>
  <c r="K88" i="2"/>
  <c r="K69" i="2"/>
  <c r="K83" i="2"/>
  <c r="K82" i="2"/>
  <c r="K8" i="2"/>
  <c r="K39" i="2"/>
  <c r="K58" i="2"/>
  <c r="K18" i="2"/>
  <c r="K77" i="2"/>
  <c r="K21" i="2"/>
  <c r="K33" i="2"/>
  <c r="K22" i="2"/>
  <c r="K25" i="2"/>
  <c r="K28" i="2"/>
  <c r="K84" i="2"/>
  <c r="K62" i="2"/>
  <c r="K54" i="2"/>
  <c r="K47" i="2"/>
  <c r="K65" i="2"/>
  <c r="K71" i="2"/>
  <c r="K72" i="2"/>
  <c r="K29" i="2"/>
  <c r="K92" i="2"/>
  <c r="K27" i="2"/>
  <c r="K14" i="2"/>
  <c r="K34" i="2"/>
  <c r="K79" i="2"/>
  <c r="K24" i="2"/>
  <c r="K48" i="2"/>
  <c r="K89" i="2"/>
  <c r="K55" i="2"/>
  <c r="K81" i="2"/>
  <c r="K80" i="2"/>
  <c r="K76" i="2"/>
  <c r="K78" i="2"/>
  <c r="K26" i="2"/>
  <c r="K66" i="2"/>
  <c r="K15" i="2"/>
  <c r="K68" i="2"/>
  <c r="K13" i="2"/>
  <c r="K38" i="2"/>
  <c r="K97" i="2"/>
  <c r="K91" i="2"/>
  <c r="K86" i="2"/>
  <c r="K87" i="2"/>
  <c r="K59" i="2"/>
  <c r="C28" i="33"/>
  <c r="D24" i="33" s="1"/>
  <c r="K42" i="2"/>
  <c r="K17" i="2"/>
  <c r="K96" i="2"/>
  <c r="K73" i="2"/>
  <c r="K70" i="2"/>
  <c r="K60" i="2"/>
  <c r="K52" i="2"/>
  <c r="K53" i="2"/>
  <c r="K56" i="2"/>
  <c r="K61" i="2"/>
  <c r="K45" i="2"/>
  <c r="K46" i="2"/>
  <c r="K94" i="2"/>
  <c r="J29" i="33" l="1"/>
  <c r="J24" i="33"/>
  <c r="AA36" i="35"/>
  <c r="S21" i="35" s="1"/>
  <c r="F16" i="33"/>
  <c r="H24" i="33"/>
  <c r="I30" i="33"/>
  <c r="H30" i="33"/>
  <c r="E30" i="33"/>
  <c r="D22" i="33"/>
  <c r="D12" i="33"/>
  <c r="D20" i="33"/>
  <c r="E32" i="33"/>
  <c r="D18" i="33"/>
  <c r="G30" i="33"/>
  <c r="D14" i="33"/>
  <c r="D26" i="33"/>
  <c r="D16" i="33"/>
  <c r="K99" i="2"/>
  <c r="F31" i="33"/>
  <c r="I24" i="33" l="1"/>
  <c r="J30" i="33"/>
  <c r="F30" i="33"/>
  <c r="D28" i="33"/>
  <c r="F32" i="33"/>
  <c r="G31" i="33"/>
  <c r="G32" i="33" l="1"/>
  <c r="H31" i="33"/>
  <c r="H32" i="33" l="1"/>
  <c r="I31" i="33"/>
  <c r="I32" i="33" l="1"/>
  <c r="J31" i="33"/>
  <c r="J32" i="33" s="1"/>
  <c r="U20" i="35" l="1"/>
  <c r="R20" i="35"/>
  <c r="Y20" i="35"/>
  <c r="V20" i="35" s="1"/>
  <c r="X20" i="35" l="1"/>
  <c r="S24" i="35"/>
  <c r="O21" i="35"/>
  <c r="O24" i="35" s="1"/>
  <c r="U21" i="35" l="1"/>
  <c r="R21" i="35"/>
  <c r="Y21" i="35"/>
  <c r="V21" i="35" l="1"/>
  <c r="V24" i="35" s="1"/>
  <c r="AB24" i="35" s="1"/>
  <c r="Y25" i="35" s="1"/>
  <c r="Y24" i="35"/>
  <c r="X21" i="35"/>
  <c r="U24" i="35" l="1"/>
  <c r="R24" i="35"/>
</calcChain>
</file>

<file path=xl/comments1.xml><?xml version="1.0" encoding="utf-8"?>
<comments xmlns="http://schemas.openxmlformats.org/spreadsheetml/2006/main">
  <authors>
    <author>caixa</author>
    <author>Cremilson Inácio de Souza</author>
    <author>c094707</author>
  </authors>
  <commentList>
    <comment ref="B3" authorId="0" shapeId="0">
      <text>
        <r>
          <rPr>
            <sz val="9"/>
            <color indexed="81"/>
            <rFont val="Segoe UI"/>
            <family val="2"/>
          </rPr>
          <t>Nome do Orgão  ou Empresa Executante</t>
        </r>
      </text>
    </comment>
    <comment ref="B9" authorId="1" shapeId="0">
      <text>
        <r>
          <rPr>
            <b/>
            <sz val="9"/>
            <color indexed="81"/>
            <rFont val="Tahoma"/>
            <family val="2"/>
          </rPr>
          <t>Escolha</t>
        </r>
        <r>
          <rPr>
            <sz val="9"/>
            <color indexed="81"/>
            <rFont val="Tahoma"/>
            <family val="2"/>
          </rPr>
          <t xml:space="preserve">
</t>
        </r>
      </text>
    </comment>
    <comment ref="B13" authorId="1" shapeId="0">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text>
        <r>
          <rPr>
            <sz val="10"/>
            <color indexed="81"/>
            <rFont val="Tahoma"/>
            <family val="2"/>
          </rPr>
          <t>COFINS (Contribuição para Financiamento da Seguridade Socia Financia a seguridade social pelo sistema S (SESC, SESI, SENAC, SENAI, SEST, SENAT, SENAR E SEBRAE).</t>
        </r>
      </text>
    </comment>
    <comment ref="C32" authorId="2" shapeId="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<sst xmlns="http://schemas.openxmlformats.org/spreadsheetml/2006/main" count="4635" uniqueCount="1222">
  <si>
    <t>RETIRADA DE MEIO-FIO DE CONCRETO</t>
  </si>
  <si>
    <t>DEMOLIÇÃO DE PAVIMENTO INTERTRAVADO, DE FORMA MANUAL, COM REAPROVEITAMENTO. AF_12/2017</t>
  </si>
  <si>
    <t>DEMOLIÇÃO PARCIAL DE PAVIMENTO ASFÁLTICO, DE FORMA MECANIZADA, SEM REAPROVEITAMENTO. AF_12/2017</t>
  </si>
  <si>
    <t>RETIRADA DE POSTE DE AÇO DE 4 A 6 M</t>
  </si>
  <si>
    <t>CORTE E DESTOCAMENTO DE ÁRVORES COM DIÂMETRO DE 15 CM</t>
  </si>
  <si>
    <t>CORTE E DESTOCAMENTO DE ÁRVORES COM DIÂMETRO SUPERIOR A 30 CM</t>
  </si>
  <si>
    <t>REMOÇÃO DO PONTO DE ÔNIBUS EXISTENTE</t>
  </si>
  <si>
    <t>LOCAÇÃO</t>
  </si>
  <si>
    <t>SUBTOTAL 01</t>
  </si>
  <si>
    <t>INSTALAÇÃO DO CANTEIRO DE OBRAS</t>
  </si>
  <si>
    <t>SUBTOTAL 02</t>
  </si>
  <si>
    <t>MOVIMENTO DE TERRA</t>
  </si>
  <si>
    <t>ESCAVAÇÕES</t>
  </si>
  <si>
    <t>REATERRO E COMPACTAÇÃO</t>
  </si>
  <si>
    <t>TRANSPORTES</t>
  </si>
  <si>
    <t>SUBTOTAL 03</t>
  </si>
  <si>
    <t>INSTALAÇÕES HIDRO-SANITÁRIAS</t>
  </si>
  <si>
    <t>ENTRADA DE ÁGUA</t>
  </si>
  <si>
    <t>PONTO DE TORNEIRA DE JARDIM (PARA PRAÇAS)</t>
  </si>
  <si>
    <t>SUBTOTAL 04</t>
  </si>
  <si>
    <t>INSTALAÇÕES ELÉTRICAS</t>
  </si>
  <si>
    <t>SERVIÇOS PRELIMINARES</t>
  </si>
  <si>
    <t>CHUMBADOR DE AÇO PARA FIXAÇÃO DE POSTE DE ACO RETO OU CURVO 7 A 9M COM FLANGE - FORNECIMENTO E INSTALACAO</t>
  </si>
  <si>
    <t>SUPORTE CENTRAL FABRICADO EM TUBOS DE AÇO, COM DIVERSAS DISPOSIÇÕES E ENCAIXE PARA POSTE CÔNICO RETO Ø60MM. ACABAMENTO GALVANIZADO A FOGO</t>
  </si>
  <si>
    <t>SUBTOTAL 05</t>
  </si>
  <si>
    <t>SERVIÇOS COMPLEMENTARES EXTERNOS</t>
  </si>
  <si>
    <t>PAVIMENTAÇÃO</t>
  </si>
  <si>
    <t>EXECUÇÃO DE PASSEIO EM PISO INTERTRAVADO, COM BLOCO RETANGULAR COLORIDO DE 20 X 10 CM, ESPESSURA 6 CM. AF_12/2015</t>
  </si>
  <si>
    <t>FORNECIMENTO E INSTALAÇÃO DE PISO DRENANTE,  SUPERFÍCIE ANTIDERRAPANTE,  ACABAMENTO POROSO, ESPESSURA DE 6 CM, DIMENSOES DE 40 X 40 CM , COR NATURAL , E RESISTÊNCIA A COMPRESSÃO MÍNIMA DE 20 MPA, ASSENTADOS SOBRE CAMADA DE AREIA GROSSA NA ESPESSURA DE 5 CM, PEDRISCO LAVADO 10 CM, SOLO COMPACTADO MANUALMENTE,MARCA DE REF.: PLACA DRENANTE 40 , FABRICANTE SALVADOR PREMOLDADOS OU SIMILAR.</t>
  </si>
  <si>
    <t>ASSENTAMENTO DE GUIA (MEIO-FIO) EM TRECHO RETO, CONFECCIONADA EM CONCRETO PRÉ-FABRICADO, DIMENSÕES 100X15X13X20 CM (COMPRIMENTO X BASE INFERIOR X BASE SUPERIOR X ALTURA), PARA URBANIZAÇÃO INTERNA DE EMPREENDIMENTOS. AF_06/2016_P</t>
  </si>
  <si>
    <t>ASSENTAMENTO DE GUIA (MEIO-FIO) EM TRECHO CURVO, CONFECCIONADA EM CONCRETO PRÉ-FABRICADO, DIMENSÕES 100X15X13X20 CM (COMPRIMENTO X BASE INFERIOR X BASE SUPERIOR X ALTURA), PARA URBANIZAÇÃO INTERNA DE EMPREENDIMENTOS. AF_06/2016_P</t>
  </si>
  <si>
    <t>EXECUÇÃO DE PASSEIO (CALÇADA) OU PISO DE CONCRETO COM CONCRETO MOLDADO IN LOCO, USINADO, ACABAMENTO CONVENCIONAL, ESPESSURA 6 CM, ARMADO. AF_07/2016</t>
  </si>
  <si>
    <t>PAISAGISMO</t>
  </si>
  <si>
    <t>FORNECIMENTO E PLANTIO DA PLUMERIA RUBRA (JASMIM MANGA)</t>
  </si>
  <si>
    <t>FORNECIMENTO E PLANTIO DA CLORÓFITO (GRAVATINHA)</t>
  </si>
  <si>
    <t xml:space="preserve">FORNECIMENTO E PLANTIO DA TIBOUCHINA MUTABILIS (QUARESMEIRA) </t>
  </si>
  <si>
    <t>FORNECIMENTO E PLANTIO DA DIETES BICOLOR (MORÉIA)</t>
  </si>
  <si>
    <t>FONECIMENTO E PLANTIO DA TRADESCANTIA SPATHACEA (ABACAXI-ROXO)</t>
  </si>
  <si>
    <t xml:space="preserve">FORNECIMENTO E PLANTIO DA TIBOUCHINA MUTABILIS (MANACÁ DA SERRA) </t>
  </si>
  <si>
    <t>FORNECIMENTO E PLANTIO DE MARANTA (MARANTA)</t>
  </si>
  <si>
    <t>DIVERSOS EXTERNOS</t>
  </si>
  <si>
    <t>TRATAMENTO, CONSERVAÇÃO E LIMPEZA</t>
  </si>
  <si>
    <t>LIMPEZA GERAL DE OBRAS (QUADRAS, PRAÇAS E JARDINS)</t>
  </si>
  <si>
    <t>PREFEITURA MUNICIPAL DE JOÃO NEIVA
SECRETARIA MUNICIPAL DE OBRAS E SERVIÇOS URBANOS</t>
  </si>
  <si>
    <t>PLANILHA ORÇAMENTÁRIA</t>
  </si>
  <si>
    <t>DESCRIÇÃO DOS SERIÇOS</t>
  </si>
  <si>
    <t>UNID.</t>
  </si>
  <si>
    <t>QUANT.</t>
  </si>
  <si>
    <t>%</t>
  </si>
  <si>
    <t>FONTE</t>
  </si>
  <si>
    <t>CÓDIGO</t>
  </si>
  <si>
    <t>ITEM</t>
  </si>
  <si>
    <t>OBRA: REFORMA DA PRAÇA NOSSA SENHORA DO LÍBANO</t>
  </si>
  <si>
    <t>LOCAL: CENTRO - JOÃO NEIVA/ES</t>
  </si>
  <si>
    <t>01</t>
  </si>
  <si>
    <t>DEMOLIÇÕES E RETIRADAS</t>
  </si>
  <si>
    <t>IOPES</t>
  </si>
  <si>
    <t>M2</t>
  </si>
  <si>
    <t>SINAPI</t>
  </si>
  <si>
    <t>DETALHAMENTO DO BDI</t>
  </si>
  <si>
    <t>PROPONENTE:</t>
  </si>
  <si>
    <t>OBRA:</t>
  </si>
  <si>
    <t>CONTRATO:</t>
  </si>
  <si>
    <t>1. Regime de Contribuição Previdenciária</t>
  </si>
  <si>
    <t>Com Desoneração</t>
  </si>
  <si>
    <t>2. Tipo de Intervenção</t>
  </si>
  <si>
    <t>Edificações</t>
  </si>
  <si>
    <t>3. Incidências sobre o custo</t>
  </si>
  <si>
    <r>
      <t>Administração Central -</t>
    </r>
    <r>
      <rPr>
        <b/>
        <sz val="10"/>
        <rFont val="Arial"/>
        <family val="2"/>
      </rPr>
      <t xml:space="preserve"> AC</t>
    </r>
  </si>
  <si>
    <r>
      <t>Riscos -</t>
    </r>
    <r>
      <rPr>
        <b/>
        <sz val="10"/>
        <rFont val="Arial"/>
        <family val="2"/>
      </rPr>
      <t xml:space="preserve"> R</t>
    </r>
  </si>
  <si>
    <r>
      <t>Seguros e Garantias Contratuais -</t>
    </r>
    <r>
      <rPr>
        <b/>
        <sz val="10"/>
        <rFont val="Arial"/>
        <family val="2"/>
      </rPr>
      <t xml:space="preserve"> S+G</t>
    </r>
  </si>
  <si>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</si>
  <si>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</si>
  <si>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</si>
  <si>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</si>
  <si>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Percentual da base de cálculo para o ISS:</t>
  </si>
  <si>
    <t>Alíquota do ISS (sobre a base de cálculo):</t>
  </si>
  <si>
    <t>COFINS</t>
  </si>
  <si>
    <t>PIS</t>
  </si>
  <si>
    <t>INSS</t>
  </si>
  <si>
    <t>5 – Demonstrativo de cálculo do BDI</t>
  </si>
  <si>
    <r>
      <t xml:space="preserve">BDI=    </t>
    </r>
    <r>
      <rPr>
        <u/>
        <sz val="10"/>
        <rFont val="Arial"/>
        <family val="2"/>
      </rPr>
      <t>(1+(AC+S+R+G))(1+DF)(1+L))</t>
    </r>
    <r>
      <rPr>
        <sz val="10"/>
        <rFont val="Arial"/>
        <family val="2"/>
      </rPr>
      <t xml:space="preserve">  -1 =</t>
    </r>
  </si>
  <si>
    <t>( 1- I )</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</si>
  <si>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</si>
  <si>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</si>
  <si>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</si>
  <si>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Engenheiro</t>
  </si>
  <si>
    <t>CREA/CAU:</t>
  </si>
  <si>
    <t>Responsável Tomador</t>
  </si>
  <si>
    <t>Nome</t>
  </si>
  <si>
    <t>Cargo</t>
  </si>
  <si>
    <t>Prefeitura Municipal de João Neiva</t>
  </si>
  <si>
    <t>Reforma da Praça Nossa Senhora do Líbano</t>
  </si>
  <si>
    <t>Laudicéia Sepulchro Henrique das Neves</t>
  </si>
  <si>
    <t xml:space="preserve"> 11.750/D Visto ES 20090422</t>
  </si>
  <si>
    <t>BDI (26,54%)</t>
  </si>
  <si>
    <t>P. UNIT.</t>
  </si>
  <si>
    <t>PREÇO UNITÁRIO COM BDI</t>
  </si>
  <si>
    <t>PREÇO TOTAL</t>
  </si>
  <si>
    <t>ESCAVACAO MECANICA DE MATERIAL 1A. CATEGORIA, PROVENIENTE DE CORTE DE SUBLEITO (C/TRATOR ESTEIRAS 160HP)</t>
  </si>
  <si>
    <t>EXECUÇÃO E COMPACTAÇÃO DE BASE E OU SUB BASE COM SOLO ESTABILIZADO GRANULOMETRICAMENTE - EXCLUSIVE ESCAVAÇÃO, CARGA E TRANSPORTE E SOLO. AF_09/2017</t>
  </si>
  <si>
    <t>74205/001</t>
  </si>
  <si>
    <r>
      <t xml:space="preserve">ENCARGOS SOCIAIS DESONERADOS: </t>
    </r>
    <r>
      <rPr>
        <sz val="10"/>
        <rFont val="Arial"/>
        <family val="2"/>
      </rPr>
      <t>89,54% (HORA)</t>
    </r>
  </si>
  <si>
    <t>M3</t>
  </si>
  <si>
    <t>UND</t>
  </si>
  <si>
    <t>M</t>
  </si>
  <si>
    <t>02.01</t>
  </si>
  <si>
    <t>02</t>
  </si>
  <si>
    <t xml:space="preserve">TAPUME COM TELHA METÁLICA. AF_05/2018 </t>
  </si>
  <si>
    <t>74209/001</t>
  </si>
  <si>
    <t xml:space="preserve">PLACA DE OBRA EM CHAPA DE ACO GALVANIZADO </t>
  </si>
  <si>
    <t>02.01.01</t>
  </si>
  <si>
    <t>73847/001</t>
  </si>
  <si>
    <t>MÊS</t>
  </si>
  <si>
    <t>02.02</t>
  </si>
  <si>
    <t>02.02.01</t>
  </si>
  <si>
    <t>02.03</t>
  </si>
  <si>
    <t>02.03.01</t>
  </si>
  <si>
    <t>ESCAVAÇÃO MANUAL DE VALA COM PROFUNDIDADE MENOR OU IGUAL A 1,30 M. AF_03/2016</t>
  </si>
  <si>
    <t>74151/001</t>
  </si>
  <si>
    <t>ESCAVACAO E CARGA MATERIAL 1A CATEGORIA, UTILIZANDO TRATOR DE ESTEIRAS DE 110 A 160HP COM LAMINA, PESO OPERACIONAL * 13T E PA CARREGADEIRA COM 170 HP.</t>
  </si>
  <si>
    <t>REATERRO MANUAL APILOADO COM SOQUETE. AF_10/2017</t>
  </si>
  <si>
    <t>Obra: REFORMA DA PRAÇA NOSSA SENHORA DO LÍBANO</t>
  </si>
  <si>
    <t>LS:</t>
  </si>
  <si>
    <t>BDI:</t>
  </si>
  <si>
    <t>Local: CENTRO - JOÃO NEIVA/ES</t>
  </si>
  <si>
    <t>COMPOSIÇÃO ANALÍTICA DE PREÇO UNITÁRIO</t>
  </si>
  <si>
    <t>Data-base</t>
  </si>
  <si>
    <t>SERVIÇO:</t>
  </si>
  <si>
    <t xml:space="preserve">UND: </t>
  </si>
  <si>
    <t>CÓD.</t>
  </si>
  <si>
    <t>ORGÃO</t>
  </si>
  <si>
    <t>DESCRIÇÃO</t>
  </si>
  <si>
    <t>COEF</t>
  </si>
  <si>
    <t>R$ UNIT.</t>
  </si>
  <si>
    <t>R$ PARCIAL</t>
  </si>
  <si>
    <t>KG</t>
  </si>
  <si>
    <t>TOTAL B</t>
  </si>
  <si>
    <t>MÃO-DE-OBRA</t>
  </si>
  <si>
    <t>TOTAL A</t>
  </si>
  <si>
    <t>EQUIPAMENTOS</t>
  </si>
  <si>
    <t>RESUMO</t>
  </si>
  <si>
    <t>TOTAL  A</t>
  </si>
  <si>
    <t>TOTAL E (BDI 26,54%)</t>
  </si>
  <si>
    <t>PREÇO DE VENDA</t>
  </si>
  <si>
    <t>ARMAÇÃO DE ESTRUTURAS DE CONCRETO ARMADO, EXCETO VIGAS, PILARES, LAJES E FUNDAÇÕES, UTILIZANDO AÇO CA-60 DE 5,0 MM - MONTAGEM. AF_12/2015</t>
  </si>
  <si>
    <t>REMOÇÃO DE TAPUME/ CHAPAS METÁLICAS E DE MADEIRA, DE FORMA MANUAL, SEM REAPROVEITAMENTO. AF_12/2017</t>
  </si>
  <si>
    <t>PT</t>
  </si>
  <si>
    <t>73855/001</t>
  </si>
  <si>
    <t>und</t>
  </si>
  <si>
    <t>TIPO</t>
  </si>
  <si>
    <t>UNIDADE</t>
  </si>
  <si>
    <t>AUXILIAR DE ELETRICISTA COM ENCARGOS COMPLEMENTARES</t>
  </si>
  <si>
    <t>H</t>
  </si>
  <si>
    <t>ELETRICISTA COM ENCARGOS COMPLEMENTARES</t>
  </si>
  <si>
    <t>SERVENTE COM ENCARGOS COMPLEMENTARES</t>
  </si>
  <si>
    <t>POSTE FERRO GALV FLANGEADO CURVO SIMPLES CONICO CONTINUO, C/ BASE H = 4,00M (PROPORÇÃO)</t>
  </si>
  <si>
    <t>LIXA P/ FERRO</t>
  </si>
  <si>
    <t>L</t>
  </si>
  <si>
    <t>ORÇAMENTISTA: Renata Ruy De Angeli</t>
  </si>
  <si>
    <t>MATERIAIS/ SERVIÇOS</t>
  </si>
  <si>
    <t>COTAÇÃO</t>
  </si>
  <si>
    <t>MERCADO</t>
  </si>
  <si>
    <t>TOTAL  B</t>
  </si>
  <si>
    <t>TOTAL C ( TOTAL A X LEIS SOCIAIS)</t>
  </si>
  <si>
    <t>TOTAL D (A+B)</t>
  </si>
  <si>
    <t>COTAÇÕES</t>
  </si>
  <si>
    <t>PINTURA DE LIGACAO COM EMULSAO RR-1C</t>
  </si>
  <si>
    <t>PAI-01</t>
  </si>
  <si>
    <t>PAI-02</t>
  </si>
  <si>
    <t>PAI-03</t>
  </si>
  <si>
    <t>PAI-04</t>
  </si>
  <si>
    <t>PAI-05</t>
  </si>
  <si>
    <t>PAI-06</t>
  </si>
  <si>
    <t>PAI-07</t>
  </si>
  <si>
    <t>PAI-08</t>
  </si>
  <si>
    <t>PAI-09</t>
  </si>
  <si>
    <t>LIX-01</t>
  </si>
  <si>
    <t>COMP-26</t>
  </si>
  <si>
    <t>73978/001</t>
  </si>
  <si>
    <t>PINTURA HIDROFUGANTE COM SILICONE SOBRE PISO CIMENTADO, UMA DEMAO</t>
  </si>
  <si>
    <t>TOTEM EM CONCRETO ARMADO FCK 25 MPA, REVESTIDO EM GRANITO CINZA ANDORINHA ESP= 2 CM, INCLUSIVE FUNDAÇÃO, ESCAVAÇÃO E REATERRO, CONFORME PROJETO</t>
  </si>
  <si>
    <t>FORNECIMENTO E INSTALAÇÃO DE PERGOLADO EM MADEIRA DE LEI, CONSTRUIDA COM PILARES DE SEÇÃO 20X20 CM  ENTRE VÃOS DE 3,30 M , ASSENTADOS E ENGASTADO SOB PILARETES E SAPATAS; INCLUSIVE ESCAVAÇÃO E REATERRO, BLOCO DE APOIO REVESTIDO EM GRANITO APICOADO COM APLICAÇÃO DE RESINA HIDROFUGANTE; TRAVESSAS DE MADEIRA  NAS PONTAS DIM. 15X6 CM COMP. 3,20M ; VIGAS DE MADEIRA LATERAL DIM. 23X6 CM , COMPR. 3,50 M ; TRAVESSAS DE MADEIRA 15X6 CM COMPR. 3,50 M ; MADEIRA APARELHADA E PINTADA COM ACABAMENTO STAIN OU SIMILAR, CONFORME PROJETO</t>
  </si>
  <si>
    <t>COMP-16</t>
  </si>
  <si>
    <t>COMP-17</t>
  </si>
  <si>
    <t>CALCETEIRO COM ENCARGOS COMPLEMENTARES</t>
  </si>
  <si>
    <t>h</t>
  </si>
  <si>
    <t>PISO DRENANTE TIPO PLACA E SUPERFÍCIE ANTIDERRAPANTE,  ACABAMENTO POROSO, ESPESSURA DE 6 CM, DIMENSOES DE 40 X 40 CM , COR NATURAL , E RESISTÊNCIA A COMPRESSÃO MÍNIMA DE 20 MPA</t>
  </si>
  <si>
    <t>AREIA MEDIA - POSTO JAZIDA/FORNECEDOR (RETIRADO NA JAZIDA, SEM TRANSPORTE)</t>
  </si>
  <si>
    <t>PO DE PEDRA (POSTO PEDREIRA/FORNECEDOR, SEM FRETE)</t>
  </si>
  <si>
    <t>PLACA VIBRATÓRIA REVERSÍVEL COM MOTOR 4 TEMPOS A GASOLINA, FORÇA CENTRÍFUGA DE 25 KN (2500 KGF), POTÊNCIA 5,5 CV - CHP DIURNO. AF_08/2015</t>
  </si>
  <si>
    <t>CHP</t>
  </si>
  <si>
    <t>PLACA VIBRATÓRIA REVERSÍVEL COM MOTOR 4 TEMPOS A GASOLINA, FORÇA CENTRÍFUGA DE 25 KN (2500 KGF), POTÊNCIA 5,5 CV - CHI DIURNO. AF_08/2015</t>
  </si>
  <si>
    <t>CHI</t>
  </si>
  <si>
    <t>CORTADORA DE PISO COM MOTOR 4 TEMPOS A GASOLINA, POTÊNCIA DE 13 HP, COM DISCO DE CORTE DIAMANTADO SEGMENTADO PARA CONCRETO, DIÂMETRO DE 350 MM, FURO DE 1" (14 X 1") - CHP DIURNO. AF_08/2015</t>
  </si>
  <si>
    <t>CORTADORA DE PISO COM MOTOR 4 TEMPOS A GASOLINA, POTÊNCIA DE 13 HP, COM DISCO DE CORTE DIAMANTADO SEGMENTADO PARA CONCRETO, DIÂMETRO DE 350 MM, FURO DE 1" (14 X 1") - CHI DIURNO. AF_08/2015</t>
  </si>
  <si>
    <t>TOTAL C</t>
  </si>
  <si>
    <t>PISO DRENANT TIPO PLACA E SUPERFÍCIE ANTIDERRAPANTE,  ACABAMENTO POROSO, ESPESSURA DE 6 CM, DIMENSOES DE 40 X 40 CM , COR GRAFITE , E RESISTÊNCIA A COMPRESSÃO MÍNIMA DE 20 MPA</t>
  </si>
  <si>
    <t>PEDREIRO COM ENCARGOS COMPLEMENTARES</t>
  </si>
  <si>
    <t>Fornecimento e Plantio de JASMIN MANGA (Plumeria Rubra)</t>
  </si>
  <si>
    <t>UND:  und</t>
  </si>
  <si>
    <t>Jardineiro</t>
  </si>
  <si>
    <t>Servente</t>
  </si>
  <si>
    <t>Fornecimento de JASMIN MANGA (Plumeria Rubra)</t>
  </si>
  <si>
    <t>Terra Vegetal</t>
  </si>
  <si>
    <t>Escav. man. valetas e cavas de fundação mat.1ªcat. 1,50m (B2-001-00) (I0-004-00)</t>
  </si>
  <si>
    <t>m³</t>
  </si>
  <si>
    <t>kg</t>
  </si>
  <si>
    <t xml:space="preserve">Areia média </t>
  </si>
  <si>
    <t>Calcario Dolomítico</t>
  </si>
  <si>
    <t xml:space="preserve">Fornecimento e Plantio de  CLORÓFITO (GRAVATINHA) (chlorofhitum comosum) </t>
  </si>
  <si>
    <t xml:space="preserve">Fornecimento de  CLORÓFITO (GRAVATINHA) (chlorofhitum comosum) </t>
  </si>
  <si>
    <t>Fornecimento e Plantio de DRACENA VERMELHA (Cordyline Terminalis)</t>
  </si>
  <si>
    <t>Fornecimento e Plantio de DRACENA ROXA (Cordyline Rubra)</t>
  </si>
  <si>
    <t xml:space="preserve"> </t>
  </si>
  <si>
    <t>Data Base</t>
  </si>
  <si>
    <t>Fornecimento e Plantio de QUARESMEIRA (Tibouchina mutabilis)</t>
  </si>
  <si>
    <t>Fornecimento de QUARESMEIRA (tibouchina mutabilis)</t>
  </si>
  <si>
    <t>Fornecimento e Plantio de MORÉIA (Dietes Bicolor)</t>
  </si>
  <si>
    <t>Fornecimento e Plantio do Abacaxi-Roxo (Tradescantia Spathacea)</t>
  </si>
  <si>
    <t>Fornecimento e Plantio de  Abacaxi-Roxo (Tradescantia Spathacea)</t>
  </si>
  <si>
    <t>Fornecimento e Plantio de Manaca da Serra (Tibouchina mutabilis)</t>
  </si>
  <si>
    <t>Fornecimento e Plantio de Maranta (Maranta)</t>
  </si>
  <si>
    <t>Fornecimento e Plantio de PALMEIRA RABO DE RAPOSA (Wodyetia bifurcata)</t>
  </si>
  <si>
    <t>Fornecimento e Plantio de Palmeira Rabo de Raposa (Wodyetia bifurcata)</t>
  </si>
  <si>
    <t>PEDRA BRITADA N. 2 (19 A 38 MM) POSTO PEDREIRA/FORNECEDOR, SEM FRETE</t>
  </si>
  <si>
    <t>PRANCHAO DE MADEIRA APARELHADA *7,5 X 23* CM (3 X 9 ") MACARANDUBA, ANGELIM OU EQUIVALENTE DA REGIAO</t>
  </si>
  <si>
    <t>PARAFUSO ZINCADO, SEXTAVADO, COM ROSCA SOBERBA, DIAMETRO 3/8", COMPRIMENTO 80 MM</t>
  </si>
  <si>
    <t>PARAFUSO ZINCADO ROSCA SOBERBA, CABECA SEXTAVADA, 5/16 " X 180 MM, PARA FIXACAO DE TELHA EM MADEIRA</t>
  </si>
  <si>
    <t>TELHADISTA COM ENCARGOS COMPLEMENTARES</t>
  </si>
  <si>
    <t>18L</t>
  </si>
  <si>
    <t>CENTO</t>
  </si>
  <si>
    <t>MANTA ALUMINIZADA NAS DUAS FACES, PARA SUBCOBERTURA, E = *2* MM</t>
  </si>
  <si>
    <t>TELHA GALVALUME COM ISOLAMENTO TERMOACUSTICO EM ESPUMA RIGIDA DE POLIURETANO (PU) INJETADO, E = 30 MM, DENSIDADE 35 KG/M3, COM DUAS FACES TRAPEZOIDAIS (NAO INCLUI ACESSORIOS DE FIXACAO) (COLETADO CAIXA)</t>
  </si>
  <si>
    <t>TUBO QUADRADRO GALVANIZADO A FOGO DIMENSÕES  50X50X3,00X6000 MM E= 3,00 , PESO 26,86 KG/M</t>
  </si>
  <si>
    <t>TUBO QUADRADRO GALVANIZADO A FOGO DIMENSÕES  100X50X3,00X6000 MM E= 3,00 , PESO 55,04 KG/M</t>
  </si>
  <si>
    <t xml:space="preserve">
</t>
  </si>
  <si>
    <t>CONCRETAGEM DE PILARES, FCK = 25 MPA, COM USO DE BALDES EM EDIFICAÇÃO COM SEÇÃO MÉDIA DE PILARES MENOR OU IGUAL A 0,25 M² - LANÇAMENTO, ADENSAMENTO E ACABAMENTO. AF_12/2015</t>
  </si>
  <si>
    <t>Aço</t>
  </si>
  <si>
    <t>N</t>
  </si>
  <si>
    <t xml:space="preserve">   Ø(mm)</t>
  </si>
  <si>
    <t>QUANT</t>
  </si>
  <si>
    <t xml:space="preserve">QUANT </t>
  </si>
  <si>
    <t>COMPRIMENTO(m)</t>
  </si>
  <si>
    <t>Total (kg)</t>
  </si>
  <si>
    <t>TOTAL</t>
  </si>
  <si>
    <t>unitário</t>
  </si>
  <si>
    <t>Total/und</t>
  </si>
  <si>
    <t>total geral</t>
  </si>
  <si>
    <t>kg/m</t>
  </si>
  <si>
    <t>50A</t>
  </si>
  <si>
    <t>10</t>
  </si>
  <si>
    <t>4</t>
  </si>
  <si>
    <t>60B</t>
  </si>
  <si>
    <t>11</t>
  </si>
  <si>
    <t>3</t>
  </si>
  <si>
    <t>18</t>
  </si>
  <si>
    <t>5</t>
  </si>
  <si>
    <t>6</t>
  </si>
  <si>
    <t>2</t>
  </si>
  <si>
    <t>7</t>
  </si>
  <si>
    <t>31</t>
  </si>
  <si>
    <t>8</t>
  </si>
  <si>
    <t>22</t>
  </si>
  <si>
    <t>9</t>
  </si>
  <si>
    <t>Sub-Total=</t>
  </si>
  <si>
    <t>VOLUME CONCRETO</t>
  </si>
  <si>
    <t>A (m)</t>
  </si>
  <si>
    <t>B(m)</t>
  </si>
  <si>
    <t>H(m)</t>
  </si>
  <si>
    <t xml:space="preserve">SAPATAS </t>
  </si>
  <si>
    <t>PILARES</t>
  </si>
  <si>
    <t>VIGA V1-V2</t>
  </si>
  <si>
    <t>VIGA V3-V6</t>
  </si>
  <si>
    <t>FORMA</t>
  </si>
  <si>
    <t>A(m)</t>
  </si>
  <si>
    <t>C(m)</t>
  </si>
  <si>
    <t>D(m)</t>
  </si>
  <si>
    <t>COMP(m)</t>
  </si>
  <si>
    <t>ÁREA</t>
  </si>
  <si>
    <t>TOTAL(m²)</t>
  </si>
  <si>
    <t>QUADRO DE FERRAGEM DA ESTRUTURA DO ABRIGO PARA PONTO DE ÔNIBUS</t>
  </si>
  <si>
    <t>8.0MM</t>
  </si>
  <si>
    <t>TOTAL=</t>
  </si>
  <si>
    <t>5.0MM</t>
  </si>
  <si>
    <t>ESCAVAÇÃO</t>
  </si>
  <si>
    <t>SAPATAS</t>
  </si>
  <si>
    <t>VOLUME CONCRETO MAGRO</t>
  </si>
  <si>
    <t>TOTAL(m3)</t>
  </si>
  <si>
    <t>VOL(m3)</t>
  </si>
  <si>
    <t>LASTRO DE CONCRETO MAGRO, APLICADO EM BLOCOS DE COROAMENTO OU SAPATAS.AF_08/2017</t>
  </si>
  <si>
    <t>VIGAS V1-V2</t>
  </si>
  <si>
    <t>VIGAS V3-V6</t>
  </si>
  <si>
    <t>PILARETE</t>
  </si>
  <si>
    <t>REATERRO</t>
  </si>
  <si>
    <t>ARMAÇÃO DE PILAR OU VIGA DE UMA ESTRUTURA CONVENCIONAL DE CONCRETO ARMADO EM UMA EDIFICAÇÃO TÉRREA OU SOBRADO UTILIZANDO AÇO CA-60 DE 5,0 MM - MONTAGEM. AF_12/2015</t>
  </si>
  <si>
    <r>
      <t xml:space="preserve">BDI: </t>
    </r>
    <r>
      <rPr>
        <sz val="10"/>
        <rFont val="Arial"/>
        <family val="2"/>
      </rPr>
      <t>26,54% - Serviços (materiais e instalações)</t>
    </r>
    <r>
      <rPr>
        <b/>
        <sz val="10"/>
        <rFont val="Arial"/>
        <family val="2"/>
      </rPr>
      <t xml:space="preserve">
PRAZO DA OBRA: </t>
    </r>
    <r>
      <rPr>
        <sz val="10"/>
        <rFont val="Arial"/>
        <family val="2"/>
      </rPr>
      <t>180 dias</t>
    </r>
    <r>
      <rPr>
        <b/>
        <sz val="10"/>
        <rFont val="Arial"/>
        <family val="2"/>
      </rPr>
      <t xml:space="preserve">
DATA BASE: </t>
    </r>
    <r>
      <rPr>
        <sz val="10"/>
        <rFont val="Arial"/>
        <family val="2"/>
      </rPr>
      <t>Agosto/2018</t>
    </r>
  </si>
  <si>
    <t>ADMINISTRAÇÃO LOCAL</t>
  </si>
  <si>
    <t>EQUIPE DE OBRA, INCLUINDO ENGENHEIRO JUNIOR, TECNICO DE SEGUNDO GRAU</t>
  </si>
  <si>
    <t>73992/001</t>
  </si>
  <si>
    <t>LOCACAO CONVENCIONAL DE OBRA, ATRAVÉS DE GABARITO DE TABUAS CORRIDAS PONTALETADAS A CADA 1,50M, SEM REAPROVEITAMENTO</t>
  </si>
  <si>
    <t>02.01.02</t>
  </si>
  <si>
    <t>02.01.03</t>
  </si>
  <si>
    <t>02.01.04</t>
  </si>
  <si>
    <t>02.02.02</t>
  </si>
  <si>
    <t>ÍNDICE DE PREÇO PARA REMOÇÃO DE ENTULHO DECORRENTE DA EXECUÇÃO DE OBRAS (CLASSE A CONAMA – NBR 10.004 - CLASSE II-B), INCLUINDO ALUGUEL DA CAÇAMBA, CARGA, TRANSPORTE E DESCARGA EM ÁREA LICENCIADA</t>
  </si>
  <si>
    <t>02.03.02</t>
  </si>
  <si>
    <t>02.03.03</t>
  </si>
  <si>
    <t>02.03.05</t>
  </si>
  <si>
    <t>02.03.06</t>
  </si>
  <si>
    <t>02.03.07</t>
  </si>
  <si>
    <t>02.03.09</t>
  </si>
  <si>
    <t>03</t>
  </si>
  <si>
    <t>03.01</t>
  </si>
  <si>
    <t>03.01.01</t>
  </si>
  <si>
    <t>03.01.02</t>
  </si>
  <si>
    <t>03.02</t>
  </si>
  <si>
    <t>04</t>
  </si>
  <si>
    <t>03.03</t>
  </si>
  <si>
    <t>TORNEIRA PARA JARDIM DE 3/4" MARCAS DE REFERÊNCIA FABRIMAR, DECA OU DOCOL</t>
  </si>
  <si>
    <t>FABRICACAO/EXECUCAO DE CBUQ/PRE-MISTURADOS</t>
  </si>
  <si>
    <t>03.02.02</t>
  </si>
  <si>
    <t>03.03.01</t>
  </si>
  <si>
    <t>03.03.02</t>
  </si>
  <si>
    <t>05</t>
  </si>
  <si>
    <t>05.01</t>
  </si>
  <si>
    <t>05.01.01</t>
  </si>
  <si>
    <t>05.01.02</t>
  </si>
  <si>
    <t>06</t>
  </si>
  <si>
    <t>CAIXA DE PASSAGEM DE ALVENARIA DE BLOCOS DE CONCRETO 9X19X39CM, DIMENSÕES DE 30X30X50CM, COM REVESTIMENTO INTERNO EM CHAPISCO E REBOCO, TAMPA DE CONCRETO ESP.5CM E LASTRO DE BRITA 5 CM</t>
  </si>
  <si>
    <t>07</t>
  </si>
  <si>
    <t>07.01.01</t>
  </si>
  <si>
    <t>07.01</t>
  </si>
  <si>
    <t>06.01.01</t>
  </si>
  <si>
    <t>FORNECIMENTO E ASSENTAMENTO DE LADRILHO HIDRÁULICO PASTILHADO, VERMELHO, DIM. 20X20 CM, ESP. 1.5CM, ASSENTADO COM PASTA DE CIMENTO COLANTE, EXCLUSIVE REGULARIZAÇÃO E LASTRO</t>
  </si>
  <si>
    <t>FORNECIMENTO E ASSENTAMENTO DE LADRILHO HIDRÁULICO RANHURADO, VERMELHO, DIM. 20X20 CM, ESP. 1.5CM, ASSENTADO COM PASTA DE CIMENTO COLANTE, EXCLUSIVE REGULARIZAÇÃO E LASTRO</t>
  </si>
  <si>
    <t>07.01.02</t>
  </si>
  <si>
    <t>07.01.03</t>
  </si>
  <si>
    <t>07.01.04</t>
  </si>
  <si>
    <t>07.01.05</t>
  </si>
  <si>
    <t>07.01.06</t>
  </si>
  <si>
    <t>07.01.07</t>
  </si>
  <si>
    <t>07.01.08</t>
  </si>
  <si>
    <t>07.01.09</t>
  </si>
  <si>
    <t>07.02</t>
  </si>
  <si>
    <t>07.02.01</t>
  </si>
  <si>
    <t>07.02.02</t>
  </si>
  <si>
    <t>07.02.03</t>
  </si>
  <si>
    <t>07.02.04</t>
  </si>
  <si>
    <t>07.02.05</t>
  </si>
  <si>
    <t>07.02.06</t>
  </si>
  <si>
    <t>07.02.07</t>
  </si>
  <si>
    <t>07.02.08</t>
  </si>
  <si>
    <t>07.02.09</t>
  </si>
  <si>
    <t>BANCO DE CONCRETO ARMADO APARENTE FCK=15 MPA, COM APOIOS DE CONCRETO, LARGURA DE 45CM, ESPESSURA DE 7CM E ALTURA DE 45CM</t>
  </si>
  <si>
    <t>07.03</t>
  </si>
  <si>
    <t>07.03.01</t>
  </si>
  <si>
    <t>07.03.02</t>
  </si>
  <si>
    <t>07.03.03</t>
  </si>
  <si>
    <t>07.03.04</t>
  </si>
  <si>
    <t>07.03.05</t>
  </si>
  <si>
    <t>07.03.06</t>
  </si>
  <si>
    <t>07.03.07</t>
  </si>
  <si>
    <t>07.03.08</t>
  </si>
  <si>
    <t>07.03.09</t>
  </si>
  <si>
    <t>08</t>
  </si>
  <si>
    <t>CHAPISCO APLICADO EM ALVENARIA (SEM PRESENÇA DE VÃOS) E ESTRUTURAS DE CONCRETO DE FACHADA, COM COLHER DE PEDREIRO. ARGAMASSA TRAÇO 1:3 COM PREPARO EM BETONEIRA 400L. AF_06/2014</t>
  </si>
  <si>
    <t>REBOCO TIPO PAULISTA DE ARGAMASSA DE CIMENTO, CAL HIDRATADA CH1 E AREIA MÉDIA OU GROSSA LAVADA NO TRAÇO 1:0.5:6, ESPESSURA 25 MM</t>
  </si>
  <si>
    <t xml:space="preserve">PILARES </t>
  </si>
  <si>
    <t>L(m)</t>
  </si>
  <si>
    <t>A(m2)</t>
  </si>
  <si>
    <t>QUADRO DE FERRAGEM DA ESTRUTURA DO TÓTEM</t>
  </si>
  <si>
    <t>BASE PILAR 1</t>
  </si>
  <si>
    <t>BASE PILAR 2</t>
  </si>
  <si>
    <t>FACE SUPERIOR PILAR</t>
  </si>
  <si>
    <t>FACE SUPERIOR BASES</t>
  </si>
  <si>
    <t>PILAR</t>
  </si>
  <si>
    <t>RADIER</t>
  </si>
  <si>
    <t>CONSTRUÇÃO DE PAVIMENTO COM APLICAÇÃO DE CONCRETO BETUMINOSO USINADO A QUENTE (CBUQ), CAMADA DE ROLAMENTO, COM ESPESSURA DE 4,0 CM - EXCLUSIVE TRANSPORTE. AF_03/2017</t>
  </si>
  <si>
    <t>MOBILIZAÇÃO E DESMOBILIZAÇÃO DE CONTEINER LOCADO PARA BARRACÃO DE OBRA</t>
  </si>
  <si>
    <t>1</t>
  </si>
  <si>
    <t>15</t>
  </si>
  <si>
    <t>10.0MM</t>
  </si>
  <si>
    <t>TAXA AÇO/ M3</t>
  </si>
  <si>
    <t>ARMAÇÃO DE PILAR OU VIGA DE UMA ESTRUTURA CONVENCIONAL DE CONCRETO ARMADO EM UMA EDIFICAÇÃO TÉRREA OU SOBRADO UTILIZANDO AÇO CA-50 DE 8,0 MM
- MONTAGEM. AF_12/2015</t>
  </si>
  <si>
    <t>APLICAÇÃO MANUAL DE PINTURA COM TINTA LÁTEX ACRÍLICA EM PAREDES, DUAS DEMÃOS. AF_06/2014</t>
  </si>
  <si>
    <t>MONTAGEM E DESMONTAGEM DE FÔRMA DE PILARES RETANGULARES E ESTRUTURAS SIMILARES COM ÁREA MÉDIA DAS SEÇÕES MENOR OU IGUAL A 0,25 M², PÉ-DIREITO SIMPLES, EM CHAPA DE MADEIRA COMPENSADA PLASTIFICADA, 12 UTILIZAÇÕES. AF_12/2015</t>
  </si>
  <si>
    <t>ARMAÇÃO DE PILAR OU VIGA DE UMA ESTRUTURA CONVENCIONAL DE CONCRETO ARMADO EM UMA EDIFICAÇÃO TÉRREA OU SOBRADO UTILIZANDO AÇO CA-50 DE 6,3 MM- MONTAGEM. AF_12/2015</t>
  </si>
  <si>
    <t>ARMAÇÃO DE PILAR OU VIGA DE UMA ESTRUTURA CONVENCIONAL DE CONCRETO ARMADO EM UMA EDIFICAÇÃO TÉRREA OU SOBRADO UTILIZANDO AÇO CA-50 DE 10,0 MM - MONTAGEM. AF_12/2015</t>
  </si>
  <si>
    <t>PINTURA</t>
  </si>
  <si>
    <t>AREIA GROSSA - POSTO JAZIDA/FORNECEDOR (RETIRADO NA JAZIDA, SEM TRANSPORTE)</t>
  </si>
  <si>
    <t>TOTAL D ( TOTAL A X LEIS SOCIAIS)</t>
  </si>
  <si>
    <t>TOTAL E (A+B+C)</t>
  </si>
  <si>
    <t>TOTAL F (BDI 26,54%)</t>
  </si>
  <si>
    <t>ARGILA OU BARRO PARA ATERRO/REATERRO (COM TRANSPORTE ATE 10 KM)</t>
  </si>
  <si>
    <t>ALVENARIA</t>
  </si>
  <si>
    <t>79500/002</t>
  </si>
  <si>
    <t xml:space="preserve"> PINTURA ACRILICA EM PISO CIMENTADO, TRES DEMAOS</t>
  </si>
  <si>
    <t>PINTURA IMPERMEABILIZANTE COM IGOLFLEX OU EQUIVALENTE A 3 DEMÃOS</t>
  </si>
  <si>
    <t>BDI INCLUSO NA COMPOSIÇÃO</t>
  </si>
  <si>
    <t>MONTAGEM E DESMONTAGEM DE FÔRMA DE PILARES RETANGULARES E ESTRUTURAS SIMILARES COM ÁREA MÉDIA DAS SEÇÕES MENOR OU IGUAL A 0,25 M², PÉ-DIREITO SIMPLES, EM CHAPA DE MADEIRA COMPENSADA PLASTIFICADA, 12 UTILIZAÇÕES . AF_12/2015</t>
  </si>
  <si>
    <t>MARMORISTA/GRANITEIRO COM ENCARGOS COMPLEMENTARES</t>
  </si>
  <si>
    <t>ARGAMASSA COLANTE TIPO ACIII</t>
  </si>
  <si>
    <t>PINTURA ACRILICA EM PISO CIMENTADO, TRES DEMAOS</t>
  </si>
  <si>
    <t xml:space="preserve">PINTURA COM VERNIZ POLIURETANO, 2 DEMAOS </t>
  </si>
  <si>
    <t>MARCENEIRO COM ENCARGOS COMPLEMENTARES</t>
  </si>
  <si>
    <t>AJUDANTE ESPECIALIZADO COM ENCARGOS COMPLEMENTARES</t>
  </si>
  <si>
    <t>VIGA DE MADEIRA APARELHADA *6 X 16* CM, MACARANDUBA, ANGELIM OU EQUIVALENTE DA REGIAO</t>
  </si>
  <si>
    <r>
      <t xml:space="preserve">LS: </t>
    </r>
    <r>
      <rPr>
        <sz val="11"/>
        <color indexed="8"/>
        <rFont val="Calibri"/>
        <family val="2"/>
      </rPr>
      <t>89,54%</t>
    </r>
  </si>
  <si>
    <r>
      <t xml:space="preserve">BDI: </t>
    </r>
    <r>
      <rPr>
        <sz val="11"/>
        <color indexed="8"/>
        <rFont val="Calibri"/>
        <family val="2"/>
      </rPr>
      <t>26,54%</t>
    </r>
  </si>
  <si>
    <t>Orçamentos</t>
  </si>
  <si>
    <t>Flores e fardins / JN</t>
  </si>
  <si>
    <t>Sempre Verde</t>
  </si>
  <si>
    <t>Polen Garden</t>
  </si>
  <si>
    <t>99501-1569</t>
  </si>
  <si>
    <t>(27) 3203-8500</t>
  </si>
  <si>
    <t>(27) 3325-0301</t>
  </si>
  <si>
    <t>?</t>
  </si>
  <si>
    <t>Colect Vitória</t>
  </si>
  <si>
    <t>Só Lixeiras</t>
  </si>
  <si>
    <t>(27) 3421-7082 / 98152-9700|</t>
  </si>
  <si>
    <t>(17) 3463-9221</t>
  </si>
  <si>
    <t>www.solixeiras.com</t>
  </si>
  <si>
    <t>Central Condomínios</t>
  </si>
  <si>
    <t>(27) 3337-8019 / 3337-3563</t>
  </si>
  <si>
    <t>http://www.centralcondominios.com</t>
  </si>
  <si>
    <t>QUANTIDADE</t>
  </si>
  <si>
    <t>COTAÇÕES EFETUADAS</t>
  </si>
  <si>
    <t>LIMITE MÉDIA (R$) V. UNT.</t>
  </si>
  <si>
    <t>PREÇO MÉDIO - 
 VALOR UNIT. (R$)</t>
  </si>
  <si>
    <t>OBSERVAÇÕES</t>
  </si>
  <si>
    <t>FORNECEDOR 01</t>
  </si>
  <si>
    <t>PREÇO 01</t>
  </si>
  <si>
    <t>DATA PREÇO 01</t>
  </si>
  <si>
    <t>FORNECEDOR 02</t>
  </si>
  <si>
    <t>PREÇO 02</t>
  </si>
  <si>
    <t>DATA PREÇO 02</t>
  </si>
  <si>
    <t>FORNECEDOR 03</t>
  </si>
  <si>
    <t>PREÇO 03</t>
  </si>
  <si>
    <t>DATA PREÇO 03</t>
  </si>
  <si>
    <t xml:space="preserve"> JASMIN MANGA (Plumeria Rubra)</t>
  </si>
  <si>
    <t>Flores e fardins / JN 99501-1569</t>
  </si>
  <si>
    <t>Sempre Verde / Vitória  (27) 3203-8500</t>
  </si>
  <si>
    <t>Polen Garden / Vila Velha (27) 3325-0301</t>
  </si>
  <si>
    <t xml:space="preserve">CLORÓFITO (GRAVATINHA) (chlorofhitum comosum) </t>
  </si>
  <si>
    <t>Flores e fardins / JN 99501-1570</t>
  </si>
  <si>
    <t>Sempre Verde / Vitória  (27) 3203-8501</t>
  </si>
  <si>
    <t>Polen Garden / Vila Velha (27) 3325-0302</t>
  </si>
  <si>
    <t>DRACENA ROXA (Cordyline Rubra)</t>
  </si>
  <si>
    <t>Flores e fardins / JN 99501-1571</t>
  </si>
  <si>
    <t>Sempre Verde / Vitória  (27) 3203-8502</t>
  </si>
  <si>
    <t>Polen Garden / Vila Velha (27) 3325-0303</t>
  </si>
  <si>
    <t>QUARESMEIRA (tibouchina mutabilis)</t>
  </si>
  <si>
    <t>Flores e fardins / JN 99501-1572</t>
  </si>
  <si>
    <t>Sempre Verde / Vitória  (27) 3203-8503</t>
  </si>
  <si>
    <t>Polen Garden / Vila Velha (27) 3325-0304</t>
  </si>
  <si>
    <t>MORÉIA (Dietes Bicolor)</t>
  </si>
  <si>
    <t>Flores e fardins / JN 99501-1573</t>
  </si>
  <si>
    <t>Sempre Verde / Vitória  (27) 3203-8504</t>
  </si>
  <si>
    <t>Polen Garden / Vila Velha (27) 3325-0305</t>
  </si>
  <si>
    <t>Abacaxi-Roxo (Tradescantia Spathacea)</t>
  </si>
  <si>
    <t>Flores e fardins / JN 99501-1574</t>
  </si>
  <si>
    <t>Sempre Verde / Vitória  (27) 3203-8505</t>
  </si>
  <si>
    <t>Polen Garden / Vila Velha (27) 3325-0306</t>
  </si>
  <si>
    <t>Manaca da Serra (Tibouchina mutabilis)</t>
  </si>
  <si>
    <t>Flores e fardins / JN 99501-1575</t>
  </si>
  <si>
    <t>Sempre Verde / Vitória  (27) 3203-8506</t>
  </si>
  <si>
    <t>Polen Garden / Vila Velha (27) 3325-0307</t>
  </si>
  <si>
    <t>Maranta (Maranta)</t>
  </si>
  <si>
    <t>Flores e fardins / JN 99501-1576</t>
  </si>
  <si>
    <t>Sempre Verde / Vitória  (27) 3203-8507</t>
  </si>
  <si>
    <t>Polen Garden / Vila Velha (27) 3325-0308</t>
  </si>
  <si>
    <t>Palmeira Rabo de Raposa (Wodyetia bifurcata)</t>
  </si>
  <si>
    <t>Flores e fardins / JN 99501-1577</t>
  </si>
  <si>
    <t>Sempre Verde / Vitória  (27) 3203-8508</t>
  </si>
  <si>
    <t>Polen Garden / Vila Velha (27) 3325-0309</t>
  </si>
  <si>
    <t>LIX - 01</t>
  </si>
  <si>
    <t>Lixeira 50l</t>
  </si>
  <si>
    <t>Colect Vitória / (27) 3421-7082 / 98152-9700</t>
  </si>
  <si>
    <t>Só Lixeiras / (17) 3463-9221 www.solixeiras.com</t>
  </si>
  <si>
    <t>Central Condomínios / (27) 3337-8019 / 3337-3563 www.centralcondominios.com</t>
  </si>
  <si>
    <t>SALVADOR PRÉ-MOLDADOS / (27) 99963-5218 / 3298-8000</t>
  </si>
  <si>
    <t>Obs: Dep. Comercial, Pedro Batista. Só pegamos esta cotação, por ser o único do Estado do ES a produzir o material.</t>
  </si>
  <si>
    <t>SALVADOR PRÉ-MOLDADOS / (27) 99963-5218 / 3298-8001</t>
  </si>
  <si>
    <t>COMP-19</t>
  </si>
  <si>
    <t>PISO TÁTIL ALERTA DIRECIONAL OU PONTILHADO 20X20 NATURAL OU VERMELHO</t>
  </si>
  <si>
    <t>M4</t>
  </si>
  <si>
    <t>SALVADOR PRÉ-MOLDADOS / (27) 99963-5218 / 3298-8002</t>
  </si>
  <si>
    <t>C-ARQ-035</t>
  </si>
  <si>
    <t>BLOCOS PRÉ MOLDADOS DE CONCRETO DRENANTE, NAS DIMENSÕES DE 40X40CM, NA COR CONCRETO NATURAL, ESPESSURA DE 6CM,ASSENTADOS SOBRE COLCHÃO DE AREIA NA ESPESSURA DE 10 CM</t>
  </si>
  <si>
    <t>EMPRESAS CITY</t>
  </si>
  <si>
    <t>RHINO PISOS</t>
  </si>
  <si>
    <t>C-ARQ-036</t>
  </si>
  <si>
    <t>BLOCOS PRÉ MOLDADOS DE CONCRETO DRENANTE, NAS DIMENSÕES DE 40X40CM, NA COR GRAFITE, ESPESSURA DE 6CM,ASSENTADOS SOBRE COLCHÃO DE AREIA NA ESPESSURA DE 10 CM</t>
  </si>
  <si>
    <t>C-ARQ-037</t>
  </si>
  <si>
    <t>BANCO PRÉ-MOLDADO DE CONCRETO COM APOIO RETO SEM ENCOSTO</t>
  </si>
  <si>
    <t>CF MOLDART</t>
  </si>
  <si>
    <t>PREMOARTE</t>
  </si>
  <si>
    <t>NEOREX</t>
  </si>
  <si>
    <t>C-ARQ-038</t>
  </si>
  <si>
    <t>FRETE PARA BANCO PRÉ-MOLDADO DE CONCRETO COM APOIO RETO SEM ENCOSTO</t>
  </si>
  <si>
    <t>FIOROT</t>
  </si>
  <si>
    <t>ROMADELI TRANSPORTES</t>
  </si>
  <si>
    <t>C-ARQ-039</t>
  </si>
  <si>
    <t>CHAPA DE ACO GALVANIZADO, NO 26 (0,50MM)</t>
  </si>
  <si>
    <t>SCO RIO
MAT030400</t>
  </si>
  <si>
    <t>C-ARQ-040</t>
  </si>
  <si>
    <t>PECA DE MADEIRA SERRADA, SECAO (7,5CM X 7,5CM / 3" X 3") - GRUPO II</t>
  </si>
  <si>
    <t>SCO RIO
MAT096800</t>
  </si>
  <si>
    <t>C-ARQ-041</t>
  </si>
  <si>
    <t>PREGO COM CABECA, DE (18X30)</t>
  </si>
  <si>
    <t>SCO RIO
MAT112150</t>
  </si>
  <si>
    <t>C-ARQ-042</t>
  </si>
  <si>
    <t>PREGO GALVANIZADO, COM CABECA, DE (17X27), PARA FIXACAO DE TELHAS ONDULINE OU SIMILAR</t>
  </si>
  <si>
    <t>UNS</t>
  </si>
  <si>
    <t>SCO RIO
MAT112350</t>
  </si>
  <si>
    <t>C-ARQ-043</t>
  </si>
  <si>
    <t>TINTA - ESMALTE CORALIT ACETINADO, SEMI FOSCO, BR 001, CORAL OU SIMILAR</t>
  </si>
  <si>
    <t>LATA</t>
  </si>
  <si>
    <t>SCO RIO
MAT136650</t>
  </si>
  <si>
    <t>C-ARQ-044</t>
  </si>
  <si>
    <t>PISO EM LADRILHO HIDRAULICO TRATADO 25 DADOS (20X20)CM, NA COR CINZA</t>
  </si>
  <si>
    <t>SCO RIO
MAT097600</t>
  </si>
  <si>
    <t>C-ARQ-045</t>
  </si>
  <si>
    <t>BLOCO DE CONCRETO PARA PAVIMENTO INTERTRAVADO, COLORIDO, RESISTENCIA DE 35MPA, ESPESSURA DE 6CM</t>
  </si>
  <si>
    <t>SCO RIO
MAT013300</t>
  </si>
  <si>
    <t>C-EQP-006</t>
  </si>
  <si>
    <t>LIXEIRA TIPO BARCELONA EM AÇO</t>
  </si>
  <si>
    <t>GOLONI</t>
  </si>
  <si>
    <t>FUNILAR</t>
  </si>
  <si>
    <t>C-EQP-007</t>
  </si>
  <si>
    <t>FRETE DE LIXEIRA TIPO BARCELONA EM AÇO</t>
  </si>
  <si>
    <t>JAMEF</t>
  </si>
  <si>
    <t>C-ELE-006</t>
  </si>
  <si>
    <t>DISJUNTOR EM CAIXA MOLDADA DE BAIXA TENSÃO TRIPOLAR, 600V  63A, CAPACIDADE DE RUPTURA 25KA, TIPO TED OU TECNICAMENTE EQUIVALENTE</t>
  </si>
  <si>
    <t>DOUTOR ELÉTRICA</t>
  </si>
  <si>
    <t>ELÉTRICA PAULISTA</t>
  </si>
  <si>
    <t>C-ELE-007</t>
  </si>
  <si>
    <t>QUADRO FABRICADO EM CHAPA DE AÇO ABNT  1010/1020, COMPOSTO POR CAIXA E PLACA DE MONTAGEM COM TRATAMENTO ANTICORROSIVO PELO SISTEMA DE BANHO QUÍMICO, DESENGRAXE E FOSFATIZAÇÃO,  PINTADOS PELO SISTEMA ELETROSTÁTICO EPÓXI A PÓ NA COR CINZA (RAL 7032). CAMADA MÉDIA 80 MÍCRONS, DIM. (0,80X0,50X0,35) M</t>
  </si>
  <si>
    <t>COMERCIAL ALTERNATIVA MAT. ELÉTRICO</t>
  </si>
  <si>
    <t>C-ELE-008</t>
  </si>
  <si>
    <t>ISOLADOR DE POLIESTER PARALELO PARA BAIXA TENSÃO Ø40MM, ALTURA 80MM , ROSCA 3/8”</t>
  </si>
  <si>
    <t xml:space="preserve">ISOLET </t>
  </si>
  <si>
    <t xml:space="preserve">SUPERFIBRA </t>
  </si>
  <si>
    <t xml:space="preserve">ELETROMIL </t>
  </si>
  <si>
    <t>C-ELE-009</t>
  </si>
  <si>
    <t>ISOLADOR DE POLIESTER BUJÃO PARA BAIXA TENSÃO Ø57MM, ALTURA 60MM , ROSCA 3/8”</t>
  </si>
  <si>
    <t>C-ELE-010</t>
  </si>
  <si>
    <t>CHAPA DE ACRÍLICO TRANSPARENTE DIM. 500X350X50MM</t>
  </si>
  <si>
    <t>ACRIL SINALIZAÇÃO (1000x2000mm)</t>
  </si>
  <si>
    <t>LOJA SAVION (1000x2000mm)</t>
  </si>
  <si>
    <t>C-ELE-011</t>
  </si>
  <si>
    <t>PARAFUSO INOX DE CABEÇA SEXTAVADA Ø3/8”, COMP. 10MM</t>
  </si>
  <si>
    <t>http://roscarilo.com.br/</t>
  </si>
  <si>
    <t>http://bemfixa.produto.rakuten.com.br/</t>
  </si>
  <si>
    <t>C-ELE-012</t>
  </si>
  <si>
    <t>ARRUELA LISA INOX Ø3/8”</t>
  </si>
  <si>
    <t>www.royalmaquinas.com.br</t>
  </si>
  <si>
    <t>www.decorecenter.com.br</t>
  </si>
  <si>
    <t>www.limaparafusos.com.br</t>
  </si>
  <si>
    <t>C-ELE-013</t>
  </si>
  <si>
    <t>ARRUELA DE PRESSÃO INOX Ø3/8”</t>
  </si>
  <si>
    <t>www.lojastamoyo.com.br</t>
  </si>
  <si>
    <t>roscarilo.com.br</t>
  </si>
  <si>
    <t>C-ELE-014</t>
  </si>
  <si>
    <t>DISJUNTOR EM CAIXA MOLDADA DE BAIXA TENSÃO TRIPOLAR NORMA IEC, 480V 63A, CAPACIDADE DE RUPTURA 25KA, TIPO TED OU TECNICAMENTE EQUIVALENTE</t>
  </si>
  <si>
    <t>www.tendtudo.com.br</t>
  </si>
  <si>
    <t>www.controleeautomacao.net</t>
  </si>
  <si>
    <t>C-ELE-015</t>
  </si>
  <si>
    <t>CONTATOR DE POTÊNCIA, CATEGORIA DE EMPREGO AC-3/AC-2, CORRENTE NOMINAL DE SERVIÇO 50A</t>
  </si>
  <si>
    <t>www.lojaeletrica.com.br</t>
  </si>
  <si>
    <t>www.eletropiresshop.com.br</t>
  </si>
  <si>
    <t>sultronicdobrasil.com.br</t>
  </si>
  <si>
    <t>C-ELE-016</t>
  </si>
  <si>
    <t>DISJUNTOR MINI- NORMA DIN - TRIPOLAR 6A CURVA C</t>
  </si>
  <si>
    <t>Labor 044768
08/2014</t>
  </si>
  <si>
    <t>C-ELE-017</t>
  </si>
  <si>
    <t>INTERRUPTOR DE COMANDO COM CAIXA- 10A, 250V</t>
  </si>
  <si>
    <t>http://mutter.com.br</t>
  </si>
  <si>
    <t>C-ELE-018</t>
  </si>
  <si>
    <t>FUTURA SISTEMAS</t>
  </si>
  <si>
    <t>TRÓPICO</t>
  </si>
  <si>
    <t>ILUMATIC</t>
  </si>
  <si>
    <t>C-ELE-019</t>
  </si>
  <si>
    <t>PROJETOR DE EMBUTIR NO SOLO PARA ILUMINAÇÃO PÚBLICA, TECNOLOGIA LED VERSÃO MONOCROMÁTICA, COM FOTOMETRIA ASSIMÉTRICA POTÊNCIA CONSUMIDA 40W, TENSÃO NOMINAL 230 V, CORPO FABRICADO EM ALUMÍNIO, DIFUSOR EM VIDRO RUGOSO FOSCO TEMPERADO COM UMA ESPESSURA  DE  15MM PARA CARGA ESTÁTICA DE 2.000 KG, GRAU DE ESTANQUICIDADE IP 67</t>
  </si>
  <si>
    <t>HDA ILUMINAÇÃO LED</t>
  </si>
  <si>
    <t>CONEXLED</t>
  </si>
  <si>
    <t>C-ELE-020</t>
  </si>
  <si>
    <t>PROJETOR PARA ILUMINAÇÃO PÚBLICA, TECNOLOGIA LED POTÊNCIA 103W, FLUXO LUMINOSO 12.000 LUMENS, TENSÃO NOMINAL 230 V, COMPOSTO POR UM CORPO DE DUAS PEÇAS EM LIGA DE ALUMÍNIO INJETADO PINTADO, DIFUSOR EM VIDRO TEMPERADO SELADO NA TAMPA ATRAVÉS DE JUNTA DE SILICONE.O GARFO DE FIXAÇÃO POSSUI UM DISCO GRADUADO QUE PERMITE A REGULAÇÃO PRECISA DA ORIENTAÇÃO NO LOCAL, GRAU DE ESTANQUICIDADE IP66</t>
  </si>
  <si>
    <t>ILUMINATIC</t>
  </si>
  <si>
    <t>C-ELE-021</t>
  </si>
  <si>
    <t>BASE PARA RELE FOTOELETRICO, UNIVERSAL</t>
  </si>
  <si>
    <t>SCO RIO
MAT012050</t>
  </si>
  <si>
    <t>C-ELE-022</t>
  </si>
  <si>
    <t>LUMINÁRIA PARA ILUMINAÇÃO PÚBLICA, TECNOLOGIA LED COM FLUXO LUMINOSO NOMINAL DE 6.800 LUMENS, POTÊNCIA CONSUMIDA 54W, TENSÃO NOMINAL 230 V, BASE E CORPO FABRICADOS EM ALUMÍNIO, DIFUSOR DE POLICABORNATO, GRAU DE ESTANQUICIDADE IP 66, PARA SER INSTALADA EM POSTE DE 4,00M DE ALTURA E DIÂMETRO DE TOPO 60MM</t>
  </si>
  <si>
    <t>ELETROMIL</t>
  </si>
  <si>
    <t>C-ARQ-001</t>
  </si>
  <si>
    <t>CORTE/DESTOCAMENTO/TRASNSPORTE ÁRVORE DIÂM. 30 A 100CM</t>
  </si>
  <si>
    <t>RSR CONSTRUTORA LTDA ME
(27) 9 9883-0910</t>
  </si>
  <si>
    <t>C-ARQ-002</t>
  </si>
  <si>
    <t>TINTA LATEX ACRILICA COR VERMELHO FOSCO 383 PARA PISO</t>
  </si>
  <si>
    <t>REPÚBLICA MAT. DE CONS.
(27) 3327-4413</t>
  </si>
  <si>
    <t>CONSTRUFÁCIL COMÉR. DE MATE. DE CONS.
3327-1160</t>
  </si>
  <si>
    <t>Eletrotintas
(27) 3335-3300</t>
  </si>
  <si>
    <t>C-ARQ-003</t>
  </si>
  <si>
    <t>TINTA LATEX ACRILICA COR AZUL OU VERMELHO FOSCO 383 PARA PISO</t>
  </si>
  <si>
    <t>C-ARQ-004</t>
  </si>
  <si>
    <t>ACQÜELLA STONE</t>
  </si>
  <si>
    <t>Politintas
(27) 3325-4541</t>
  </si>
  <si>
    <t>C-ARQ-005</t>
  </si>
  <si>
    <t>SOLEIRA EM GRANITO E=3CM</t>
  </si>
  <si>
    <t xml:space="preserve">COOPERGRAN GRANITOS E MÁRMORES LTDA 
28-3520-4922 </t>
  </si>
  <si>
    <t>C-ARQ-006</t>
  </si>
  <si>
    <t>PISO ECOLÓGICO EMBORRACHADO MARCA DE REF.: AUBICON, IMPACTSOFT PLAY 25 COLADOS NO CONTRAPISO COM COLA DE PU (POLIURETANO), PLACAS DE 1X1M, ESPESSURA 25MM, NA COR CINZA</t>
  </si>
  <si>
    <t>AUBICON
(27) 3315-0921</t>
  </si>
  <si>
    <t>CVT Pisos e Revestimentos
(11) 4114-8224</t>
  </si>
  <si>
    <t>CortiLuz
(11) 5032-1002</t>
  </si>
  <si>
    <t>C-ARQ-007</t>
  </si>
  <si>
    <t>BLOCOS INTERTRAVADOS DE CONCRETO, MARCA DE REF.: CIDADE ENGENHARIA LINHA LINEFORT NA COR VERMELHA, ESPESSURA DE 6 CM, DIMENSÕES DE 10 X 20 CM E RESISTÊNCIA A COMPRESSÃO MÍNIMA DE 35MPA, ASSENTADOS SOBRE COLCHÃO DE AREIA NA ESPESSURA DE 10 CM</t>
  </si>
  <si>
    <t>CIDADE ENGENHARIA
3200-8500</t>
  </si>
  <si>
    <t>Bela Vista
(27) 3341-2517</t>
  </si>
  <si>
    <t>C-ARQ-008</t>
  </si>
  <si>
    <t>BLOCOS INTERTRAVADOS DE CONCRETO, MARCA DE REF.: CIDADE ENGENHARIA LINHA LINEFORT NA COR CINZA, ESPESSURA DE 6 CM, DIMENSÕES DE 10 X 20 CM E RESISTÊNCIA A COMPRESSÃO MÍNIMA DE 35MPA, ASSENTADOS SOBRE COLCHÃO DE AREIA NA ESPESSURA DE 10 CM</t>
  </si>
  <si>
    <t>Bela Vista
(27) 3341-2516</t>
  </si>
  <si>
    <t>Prensar
(27) 3226-7400</t>
  </si>
  <si>
    <t>C-ARQ-009</t>
  </si>
  <si>
    <t>BLOCOS INTERTRAVADOS DE CONCRETO, MARCA DE REF.: CIDADE ENGENHARIA LINHA PODOFORT NA COR VERMELHA, ESPESSURA DE 6 CM, DIMENSOES DE 10 X 20 CM E RESISTÊNCIA A COMPRESSÃO MÍNIMA DE 35MPA, ASSENTADOS SOBRE COLCHÃO DE AREIA NA ESPESSURA DE 10 CM</t>
  </si>
  <si>
    <t>Bela Vista
(27) 3341-2518</t>
  </si>
  <si>
    <t>C-ARQ-010</t>
  </si>
  <si>
    <t>FORNECIMENTO E PLANTIO DE AGAVE DRAGÃO (AGAVE ATTENUATA), COM ALTURA DE 30 Á 50 CM, INCLUSIVE FORNECIMENTO DE TERRA VEGETAL</t>
  </si>
  <si>
    <t>POLLEN GARDEN
(27) 3325-0301</t>
  </si>
  <si>
    <t>SEMPRE VERDE COMÉRCIO LTDA
(27) 3203-8503</t>
  </si>
  <si>
    <t xml:space="preserve">Shopping dasplantas
27 9 9858-4369 </t>
  </si>
  <si>
    <t>C-ARQ-011</t>
  </si>
  <si>
    <t>FORNECIMENTO E PLANTIO DE AVE DO PARAISO (STRELITZIA REGINAE), INCLUSIVE FORNECIMENTO DE TERRA VEGETAL</t>
  </si>
  <si>
    <t>C-ARQ-012</t>
  </si>
  <si>
    <t>FORNECIMENTO E PLANTIO DE LAMBARI ROXO (TRADESCANTIA ZEBRINA), INCLUSIVE FORNECIMENTO DE TERRA VEGETAL</t>
  </si>
  <si>
    <t>C-ARQ-013</t>
  </si>
  <si>
    <t>FORNECIMENTO E PLANTIO DE HELICÔNIA (HELICONIA PSITTACORUM), INCLUSIVE FORNECIMENTO DE TERRA VEGETAL</t>
  </si>
  <si>
    <t>C-ARQ-014</t>
  </si>
  <si>
    <t>FORNECIMENTO E PLANTIO DE IXORA (IXORA COCCINEA), COM ALTURA DE 40 Á 60 CM, INCLUSIVE FORNECIMENTO DE TERRA VEGETAL</t>
  </si>
  <si>
    <t>SEMPRE VERDE COMÉRCIO LTDA
(27) 3203-8500</t>
  </si>
  <si>
    <t xml:space="preserve">Ajaplantas
(32) 34531145 \ 34531465 </t>
  </si>
  <si>
    <t>C-ARQ-015</t>
  </si>
  <si>
    <t>FORNECIMENTO E PLANTIO DE IXORA-COMPACTADA (IXORA COCCINEA), INCLUSIVE FORNECIMENTO DE TERRA VEGETAL</t>
  </si>
  <si>
    <t>C-ARQ-016</t>
  </si>
  <si>
    <t>FORNECIMENTO E PLANTIO DE ÁRVORE SIBIPIRUNA(CAESALPINIA PELTOPHOROIDES), COM ALTURA DE 3,0M E DIAMETRO DE 0,10M, INCLUSIVE FORNECIMENTO DE TERRA VEGETAL</t>
  </si>
  <si>
    <t>C-ARQ-017</t>
  </si>
  <si>
    <t>FITILHO DE NYLON, REDONDO, NA COR BRANCA</t>
  </si>
  <si>
    <t>SCO-RIO
MAT059800</t>
  </si>
  <si>
    <t>C-ARQ-018</t>
  </si>
  <si>
    <t>FORNECIMENTO E PLANTIO DE ARVORE IPÊ AMARELO CASCUDO (TABEBUIA CHRYSOTRICHA), COM ALTURA DE 2,5M E DIÂMETRO DE 0,10M, INCLUSIVE FORNECIMENTO DE TERRA VEGETAL</t>
  </si>
  <si>
    <t>C-ARQ-019</t>
  </si>
  <si>
    <t>FORNECIMENTO E PLANTIO DE ARVORE QUARESMEIRA (TIBOUCHINA GRANULOSA), COM ALTURA DE 2,5M E DIÂMETRO DE 0,10M, INCLUSIVE FORNECIMENTO DE TERRA VEGETAL</t>
  </si>
  <si>
    <t>C-ARQ-020</t>
  </si>
  <si>
    <t>JERIVÁ (SYAGRUS ROMANZOFFIANA)</t>
  </si>
  <si>
    <t>5 M</t>
  </si>
  <si>
    <t>SHOP DAS PLANTAS (27) 3289-5615</t>
  </si>
  <si>
    <t>C-ARQ-021</t>
  </si>
  <si>
    <t>CHAPA DE ACO GALVANIZADO, N° 14 (1,95MM)</t>
  </si>
  <si>
    <t>SCO-RIO
MAT030200</t>
  </si>
  <si>
    <t>C-ARQ-022</t>
  </si>
  <si>
    <t>ADESIVO PARA PLACA ORIENTATIVA</t>
  </si>
  <si>
    <t>Copyshow
(27) 3319-8585</t>
  </si>
  <si>
    <t>CopyGlória
(27) 3299-0424</t>
  </si>
  <si>
    <t>Copiadora Canal
(27) 3322-2121</t>
  </si>
  <si>
    <t>C-ARQ-023</t>
  </si>
  <si>
    <t>SUPORTE TOALHA DE PAPEL HOTEL CR 2076 -
DECA</t>
  </si>
  <si>
    <t>BALAROTI</t>
  </si>
  <si>
    <t>ifcommerce</t>
  </si>
  <si>
    <t>C-ARQ-024</t>
  </si>
  <si>
    <t xml:space="preserve">COBOGO DE CONCRETO TIPO VENEZIANA 10 X 40 X 40 CM </t>
  </si>
  <si>
    <t>REDE CONSTRUIR</t>
  </si>
  <si>
    <t>FK COMERCIO</t>
  </si>
  <si>
    <t>C-ARQ-025</t>
  </si>
  <si>
    <t>BARRA DE APOIO EM AÇO INOXIDÁVEL 40 CM COM ACABAMENTO CROMADO REF DOCOL</t>
  </si>
  <si>
    <t>BRASUTIL</t>
  </si>
  <si>
    <t>CONDEC</t>
  </si>
  <si>
    <t>TAQI</t>
  </si>
  <si>
    <t>FORNECIMENTO E INSTALAÇÃO DE BRISE TIPO COMOVENT COM ALETAS PVC TRANSLÚCIDO COR BRANCO NEVE E MONTANTES DE ALUMÍNIO NATURAL, ALTURA= 1,50 M</t>
  </si>
  <si>
    <t>C-ARQ-026</t>
  </si>
  <si>
    <t>COBERTURA EM POLICARBONATO DO TIPO ALVEOLAR, ESP.=8MM, COR CRISTAL, VEDADO COM FITA ADESIVA ALUMINIZADA E PERFIL "U" DE ALUMÍNIO ANODIZADO COR NATURAL, SOBRE ESTRUTURA TAMBÉM EM ALUMÍNIO ANODIZADO COM PINTURA ELETROSTÁTICA COR BRANCA</t>
  </si>
  <si>
    <t>ORSE</t>
  </si>
  <si>
    <t>C-ARQ-027</t>
  </si>
  <si>
    <t>VENTVALE CALHAS E VENEZIANA INDUSTRIAIS</t>
  </si>
  <si>
    <t>POLYSOLUTION</t>
  </si>
  <si>
    <t>GB SOLUÇÕES INDUSTRIAIS</t>
  </si>
  <si>
    <t>C-ARQ-028</t>
  </si>
  <si>
    <t>FORNECIMENTO E INSTALAÇÃO DE ESTRUT. METÁLICA P/ QUADRA POLIESP. COBERTA CONSTITUÍDA POR PERFIS FORMADOS A FRIO, AÇO ESTRUTURAL ASTM A-36 (TERÇAS, CONTRAVENTAMENTO, TIRANTES E TRELIÇAS DA COBERTURA) SAE 1020 (BARRAS REDONDAS, DEMAIS PERFIS) C/ O SISTEMA DE TRATAMENTO E PINTURA CONFORME PROJETO</t>
  </si>
  <si>
    <t>ART METAL Estruturas Metálicas Ltda.       (27)3200-7012</t>
  </si>
  <si>
    <t>DELTAFER METALÚRGICA Ltda Me.                                                 (27) 3326-9713
(27) 3244-3771</t>
  </si>
  <si>
    <t>METAL BRASIL COMÉRCIO E INDÚSTRIA DE ESTRUTURAS METÁLICAS                                  (27) 3319-7944</t>
  </si>
  <si>
    <t>C-ARQ-029</t>
  </si>
  <si>
    <t>IPE ROXO (TABEBUIA IMPETIGINOSA), COM ALTURA DE 3 M</t>
  </si>
  <si>
    <t>3 M</t>
  </si>
  <si>
    <t>C-ARQ-030</t>
  </si>
  <si>
    <t>PEITORIL EM GRANITO,CINZA ANDORINHA ESP 2CM, COM PINGADEIRA</t>
  </si>
  <si>
    <t>MARMONITO</t>
  </si>
  <si>
    <t>C-ARQ-031</t>
  </si>
  <si>
    <t>ELETRODO COM DIAMETRO DE 4MM (5/32"), AWSE E-7018</t>
  </si>
  <si>
    <t>SCO RIO
MAT050650</t>
  </si>
  <si>
    <t>C-ARQ-032</t>
  </si>
  <si>
    <t>ELETRODO COM DIAMETRO DE 5MM (3/16"), E-7018-6 G</t>
  </si>
  <si>
    <t>SCO RIO
MAT050700</t>
  </si>
  <si>
    <t>C-ARQ-033</t>
  </si>
  <si>
    <t>Soleira de granito esp. 2cm e largura de 10 cm, acabamento serrado</t>
  </si>
  <si>
    <t>GVS GRANITOS</t>
  </si>
  <si>
    <t>C-ARQ-034</t>
  </si>
  <si>
    <t>FORNECIMENTO DE MATERIAIS E MÃO-DE-OBRA PARA EXECUÇÃO DE PERGOLADO, CONFORME PROJETO</t>
  </si>
  <si>
    <t>HOFFMAN TELHADOS (27) 2122-3800</t>
  </si>
  <si>
    <t>C-EQP-001</t>
  </si>
  <si>
    <t>FORNECIMENTO DE  PAR COMPLETO DAS ESTRUTURAS DAS TABELAS  DE BASQUETE , INCLUINDO  ESTRUTURA E AÇO GALVANIZADO DE 8" PARA FIXAÇÃO ENRIJECEDORAS E BASE CHAPA 5/8", À SER CHUMBADA EM FUNDAÇÃO DE CONCRETO ARMADO  CONFORME PROJETO, INCLUSIVE SISTEMA DE ENCAIXE PARA TUBO DE 8" EM TUBO EM AÇO GALVANIZADO MAIOR COM 50CM DE PROFUNDIDADE E TAMPÃO, EXCLUSIVE  CHUMBADORES E FUNDAÇÃO (ESCAVAÇÃO, CONCRETO MAGRO, FORMA, CONCRETO, AÇO, DESFORMA E REATERRO COMPACTADO)</t>
  </si>
  <si>
    <t>PAR</t>
  </si>
  <si>
    <t>AGMATEC Industrial Ltda
(27) 3359-5454
(27) 9969-6909</t>
  </si>
  <si>
    <t>Sportin
Fax: (27) 3239.2477
Tel: (11) 4347-7111</t>
  </si>
  <si>
    <t>C-EQP-002</t>
  </si>
  <si>
    <t>FORNECIMENTO DE PAR COMPLETO DAS TABELAS DE BASQUETE FABRICADO COM VIDRO TEMPERADO DE 10 MM, CANTONEIRA DUPLA EMBORRACHADA E RECORTE CENTRAL PARA O ARO DE MOLAS DE FERRO MACIÇO DE 5/8,REDE DE CHUÁ NYLON SEDA FIO 8 MM . MEDIDA OFICIAL 1,80 X 1,05, CONFORME PROJETO</t>
  </si>
  <si>
    <t xml:space="preserve">Kenna Sports Comercio e Manutenção – Ltda
 (11) 2311-4602    </t>
  </si>
  <si>
    <t>Powersports
(11) 2992-6297</t>
  </si>
  <si>
    <t>C-EQP-003</t>
  </si>
  <si>
    <t>FORNECIMENTO DE LIXEIRA SELETIVA 50 LITROS NA COR CINZA COM SUPORTE MODELO POSTE, CONFORME PROJETO</t>
  </si>
  <si>
    <t>Belosch</t>
  </si>
  <si>
    <t>Agrotama
(11) 5904-7600</t>
  </si>
  <si>
    <t>C-EQP-004</t>
  </si>
  <si>
    <t>FORNECIMENTO DE CONJUNTO PARA COLETA SELETIVA NAS CORES (VERMELHO, AMARELO, VERDE E AZUL) COM SUPORTE, CONFORME PROJETO</t>
  </si>
  <si>
    <t>AGLOBAL DISTRIBUIDORA
(11)2769-0932</t>
  </si>
  <si>
    <t>RDL Clean
(11)2649-5821</t>
  </si>
  <si>
    <t>Colect Vitória
27 3421-7082</t>
  </si>
  <si>
    <t>C-EQP-005</t>
  </si>
  <si>
    <t>TRAVE PARA FUTEBOL DE AREIA  COM DIMENSÕES 5,00X2,20M</t>
  </si>
  <si>
    <t xml:space="preserve">KENNA SPORTS COMERCIO E MANUTENÇÃO </t>
  </si>
  <si>
    <t>C-EST-001</t>
  </si>
  <si>
    <t>SIKAFLEX T-68 NS, SELANTE A BASE DE ALCATRÃO E POLIURETANO, (TRATAMENTO DE JUNTAS DE 5X5MM), JUNSTAS DE MOVIMENTÃO DE QUADROS DE 3X3M</t>
  </si>
  <si>
    <t>5KG</t>
  </si>
  <si>
    <t>Fio e Ferro
27-3334-6100</t>
  </si>
  <si>
    <t>C-EST-002</t>
  </si>
  <si>
    <t>TARUGO DE ESPUMA DE POLIETILENO PARA PRENCHIMENTO DAS JUNTAS DE MOVIMENTAÇÃO DE DIÂMETRO DE 6MM</t>
  </si>
  <si>
    <t>Fio e Ferro
27-3334-6101</t>
  </si>
  <si>
    <t>Doce Lar - Material de Construção
27-3320-0507</t>
  </si>
  <si>
    <t>C-EST-003</t>
  </si>
  <si>
    <t>SIKAFLEX T-68 NS, SELANTE A BASE DE ALCATRÃO E POLIURETANO, (TRATAMENTO DE JUNTAS DE 5X4MM)</t>
  </si>
  <si>
    <t>Fio e Ferro
27-3334-6102</t>
  </si>
  <si>
    <t>C-EST-004</t>
  </si>
  <si>
    <t>Motoniveladora 15000 kg com escarificador (cat - 140M - 185,0 hp ou equivalente)</t>
  </si>
  <si>
    <t>C-EST-005</t>
  </si>
  <si>
    <t>Rolo liso a. prop. 10,0 t (dynapac - ca 25d - 118,0 hp)</t>
  </si>
  <si>
    <t>C-EST-006</t>
  </si>
  <si>
    <t>TELA BELFOFIX</t>
  </si>
  <si>
    <t>CX</t>
  </si>
  <si>
    <t>100 UND</t>
  </si>
  <si>
    <t>TELAS UNIAO COMERCIO E SERVICOS LTDA (27) 3316-0085</t>
  </si>
  <si>
    <t>C-TRP-001</t>
  </si>
  <si>
    <t>AQUISIÇÃO DE AREIA LAVADA MÉDIA</t>
  </si>
  <si>
    <t>RIBETTI AREIA                     (27) 3228-4765</t>
  </si>
  <si>
    <t>LABOR 20503</t>
  </si>
  <si>
    <t>C-ELE-001</t>
  </si>
  <si>
    <t>POSTE AÇO GALV. FLANGEADO CONICO RETO C/SUPORTE P/LUMINÁRIA H=4,00 PINT.EPOXI</t>
  </si>
  <si>
    <t>FABEM</t>
  </si>
  <si>
    <t>DER</t>
  </si>
  <si>
    <t>C-ELE-002</t>
  </si>
  <si>
    <t>LUMINÁRIA DECORATIVA PARA LÂMPADA DE LED 90W REF. ILUMATIC EGEU LEDS COM POSTE CÔNICO EM AÇO GALVANIZADO, H = 4M;</t>
  </si>
  <si>
    <t>SOTECES</t>
  </si>
  <si>
    <t>Descartou-se do cálculo do preço médio o orçamento da Soteces pois esse apresentava valor bastante superior ao da Ilumatic</t>
  </si>
  <si>
    <t>C-ELE-003</t>
  </si>
  <si>
    <t>QUADRO DE COMANDO EM AÇO CARBONO DIMENSÕES MÍNIMAS 750X600X300MM COMPLETO COM PLACA DE MONTAGEM, DISJUNTORES, CONTATOR , TRILHO, CANALETA DE PVC E BARRAS DE COBRE CONFORME DETALHE EM PROJETO</t>
  </si>
  <si>
    <t>MECATEL</t>
  </si>
  <si>
    <t>C-ELE-004</t>
  </si>
  <si>
    <t>CONECTOR MINI-GAR EM BRONZE ESTANHADO PARA CONEXÃO ENTRE CABO DE 16MM² A 35MM² E VERGALHÃO ATÉ ∅3/8"  REF.: TEL-583</t>
  </si>
  <si>
    <t>TERMOTÉCNICA</t>
  </si>
  <si>
    <t>MONTAL</t>
  </si>
  <si>
    <t>C-ELE-005</t>
  </si>
  <si>
    <t>SPOT BLINDADO EMBUTIR PISO +LÂMPADA LED PAR 20 7W=70W [BIVOLT]</t>
  </si>
  <si>
    <t>Ponto Quatro</t>
  </si>
  <si>
    <t>Rehlus</t>
  </si>
  <si>
    <t>C-ELE-023</t>
  </si>
  <si>
    <t>C-ELE-024</t>
  </si>
  <si>
    <t>C-ELE-025</t>
  </si>
  <si>
    <t>BLOCOS INTERTRAVADOS DE CONCRETO, MARCA DE REF.: CIDADE ENGENHARIA LINHA LINEFORT NA COR CINZA, ESPESSURA DE 10 CM, DIMENSÕES DE 10 X 20 CM E RESISTÊNCIA A COMPRESSÃO MÍNIMA DE 35MPA, ASSENTADOS SOBRE COLCHÃO DE AREIA NA ESPESSURA DE 10 CM</t>
  </si>
  <si>
    <t>RDG AÇOS DO BRASIL  (27)2103-3408     angelitas@rdgacosdobrasil.com.br</t>
  </si>
  <si>
    <t>Obs: Vendedor Angelita Colodeti, cotamos com essa filial, por ser de Linhares e mais próxima do Município de João Neiva.</t>
  </si>
  <si>
    <t>PISO DE CIMENTADO CAMURÇADO EXECUTADO COM ARGAMASSA DE CIMENTO E AREIA NO TRAÇO 1:3, ESP. 3.0CM</t>
  </si>
  <si>
    <t>ENGENHEIRO CIVIL DE OBRA JUNIOR COM ENCARGOS COMPLEMENTARES</t>
  </si>
  <si>
    <t>AUXILIAR TÉCNICO DE ENGENHARIA COM ENCARGOS COMPLEMENTARES</t>
  </si>
  <si>
    <t xml:space="preserve">  =coeficiente de referência *área do pergolado</t>
  </si>
  <si>
    <t>PINTURA COM TINTA PROTETORA ACABAMENTO GRAFITE ESMALTE SOBRE SUPERFICIE METALICA, 2 DEMAOS</t>
  </si>
  <si>
    <t>MEMÓRIA DE CÁLCULO</t>
  </si>
  <si>
    <t>DESCRIÇÃO SERVIÇO</t>
  </si>
  <si>
    <t>C (m)</t>
  </si>
  <si>
    <t>L (m)</t>
  </si>
  <si>
    <t>H (m)</t>
  </si>
  <si>
    <t>Qnt</t>
  </si>
  <si>
    <t>QUANT.  DO SERVIÇO</t>
  </si>
  <si>
    <t>Local</t>
  </si>
  <si>
    <t>Obs¹.: Ver croqui orientativo</t>
  </si>
  <si>
    <t>03.01.03</t>
  </si>
  <si>
    <t>04.01.01</t>
  </si>
  <si>
    <t>Canteiro da Palmeira</t>
  </si>
  <si>
    <t>04.01.02</t>
  </si>
  <si>
    <t>Retirada de Meio Fio</t>
  </si>
  <si>
    <t>Demolição de Alvenaria - apoios dos Bancos</t>
  </si>
  <si>
    <t>Árvores e Arbustos (5 CAÇAMBAS DE 6 M3)</t>
  </si>
  <si>
    <t>06.01.03</t>
  </si>
  <si>
    <t>06.03.11</t>
  </si>
  <si>
    <t>Ponto de ônibus</t>
  </si>
  <si>
    <t>Estacionamento</t>
  </si>
  <si>
    <t>ALUGUEL CONTAINER/ESCRIT INCL INST ELET LARG=2,20 COMP=6,20M ALT=2,50M CHAPA ACO C/NERV TRAPEZ FORRO C/ISOL TERMO/ACUSTICO CHASSIS REFORC PISO COMPENS NAVAL EXC TRANSP/CARGA/DESCARGA</t>
  </si>
  <si>
    <t>Para acompanhamento da obra</t>
  </si>
  <si>
    <t>Considerado em todos os lados da praça</t>
  </si>
  <si>
    <t>Placa com as informações da obra</t>
  </si>
  <si>
    <t>Para o canteiro de obras</t>
  </si>
  <si>
    <t>Após o término da obra</t>
  </si>
  <si>
    <t>Locação da obra</t>
  </si>
  <si>
    <t>Retirada do container</t>
  </si>
  <si>
    <t>Meio fio canteiro gola das árvores</t>
  </si>
  <si>
    <t>Meio fio canteiro interno</t>
  </si>
  <si>
    <t>Meio fio perimetral</t>
  </si>
  <si>
    <t>Retirada de todos os blocos intertravados da praça</t>
  </si>
  <si>
    <t>DEMOLIÇÃO MANUAL DE CONCRETO ARMADO (EMOP 05.001.033)</t>
  </si>
  <si>
    <t xml:space="preserve">Demolição dos bancos de concreto da praça </t>
  </si>
  <si>
    <t>Nota: Medidas levantadas in loco</t>
  </si>
  <si>
    <t>Área a ser aumentada da praça</t>
  </si>
  <si>
    <t>V(m3)</t>
  </si>
  <si>
    <t>Remoção do ponto de ônibus da praça</t>
  </si>
  <si>
    <t>Para rega dos canteiros da praça</t>
  </si>
  <si>
    <t>SUBTOTAL 06</t>
  </si>
  <si>
    <t>SUBTOTAL 07</t>
  </si>
  <si>
    <t>Postes para iluminação da praça</t>
  </si>
  <si>
    <t>INSTALAÇÕES HIDROSSANITÁRIAS</t>
  </si>
  <si>
    <t>METALON</t>
  </si>
  <si>
    <t xml:space="preserve">METALON </t>
  </si>
  <si>
    <t>50X50X2,5MM</t>
  </si>
  <si>
    <t>100x50x3MM</t>
  </si>
  <si>
    <t>CANTONEIRA DE ABAS IGUAIS</t>
  </si>
  <si>
    <t>2"X2"X1/8"</t>
  </si>
  <si>
    <t xml:space="preserve">LEVANTAMENTO DE QUANTITATIVOS DA ESTRUTURA METÁLICA PARA O ABRIDO PARA PONTO DE ÔNIBUS </t>
  </si>
  <si>
    <t>DIMENSÃO</t>
  </si>
  <si>
    <t>TUBO DIN 2440</t>
  </si>
  <si>
    <t>1 1/2"X3,25MM</t>
  </si>
  <si>
    <t>PARABOLT</t>
  </si>
  <si>
    <t>3/8X100</t>
  </si>
  <si>
    <t>QTD</t>
  </si>
  <si>
    <t>CHAPA AÇO GALVANIZADO</t>
  </si>
  <si>
    <t>1,00X2,00X0,35MM</t>
  </si>
  <si>
    <t>PÇ</t>
  </si>
  <si>
    <t>ELETRODO REVESTIDO AWS</t>
  </si>
  <si>
    <t>DIÂM. 4MM</t>
  </si>
  <si>
    <t>3"X3"X3/4"</t>
  </si>
  <si>
    <t xml:space="preserve">METALON GALVANIZADO </t>
  </si>
  <si>
    <t>50X75X18MM</t>
  </si>
  <si>
    <t>Conforme projeto paisagístico</t>
  </si>
  <si>
    <t>Conforme projeto</t>
  </si>
  <si>
    <t xml:space="preserve">Área total da obra </t>
  </si>
  <si>
    <t>Realocação do container durante a obra</t>
  </si>
  <si>
    <t>Para revestimento asfáltico, devido estreitamento da praça</t>
  </si>
  <si>
    <t>Considerando 10km de transporte, conforme croqui</t>
  </si>
  <si>
    <t>Área do estreitamento da praça (reforma)</t>
  </si>
  <si>
    <t>Área do estreitamento da praça</t>
  </si>
  <si>
    <t xml:space="preserve">Área das rampas </t>
  </si>
  <si>
    <t>Perímetro da praça</t>
  </si>
  <si>
    <t>Pavimentação da praça (cor grafite)</t>
  </si>
  <si>
    <t>Piso tátil perimetral a praça e às rampas (ranhurado)</t>
  </si>
  <si>
    <t>Pavimentação da praça (cor natural)</t>
  </si>
  <si>
    <t>Para recebimento de ladrilho hidráulico (piso tátil)</t>
  </si>
  <si>
    <t>Canteiros</t>
  </si>
  <si>
    <t>Perímetro da praça (borda curva)</t>
  </si>
  <si>
    <t>Cor Amarela</t>
  </si>
  <si>
    <t>Ao redor do mosaico (conforme projeto)</t>
  </si>
  <si>
    <t>Cor Vermelha</t>
  </si>
  <si>
    <t>Área central de circulação (conforme projeto)</t>
  </si>
  <si>
    <t>PREÇO ATUALIAZADO PELO INCC PARA DATA BASE DE AGOSTO/2018</t>
  </si>
  <si>
    <t xml:space="preserve">PREÇO 01 </t>
  </si>
  <si>
    <t>Fertilizante NPK - 4: 14: 8</t>
  </si>
  <si>
    <t>Obs.: Coeficiente baseado no item SINAPI 98511 - PLANTIO DE ÁRVORE ORNAMENTAL COM ALTURA DE MUDA MAIOR QUE 2,00 M E MENOR OU IGUAL A 4,00 M. AF_05/2018</t>
  </si>
  <si>
    <t xml:space="preserve">SINAPI </t>
  </si>
  <si>
    <t>Obs.: Coeficiente baseado no item SINAPI - 98510 PLANTIO DE ÁRVORE ORNAMENTAL COM ALTURA DE MUDA MENOR OU IGUAL A 2,00 M. AF_05/2018</t>
  </si>
  <si>
    <t>Obs.: Coeficiente baseado no item SINAPI - 98509 PLANTIO DE ARBUSTO OU CERCA VIVA. AF_05/2018</t>
  </si>
  <si>
    <t>Fertilizante orgânico composto, Classe A</t>
  </si>
  <si>
    <t xml:space="preserve">7694 </t>
  </si>
  <si>
    <t>TUBO ACO GALVANIZADO COM COSTURA, CLASSE MEDIA, DN 3", E = *4,05* MM, PESO *8,47* KG/M (NBR 5580)</t>
  </si>
  <si>
    <t>Lixeira 50L</t>
  </si>
  <si>
    <t xml:space="preserve"> LIXEIRA 50L</t>
  </si>
  <si>
    <t>SERRALHEIRO COM ENCARGOS COMPLEMENTARES</t>
  </si>
  <si>
    <t>CONCRETO FCK = 25MPA, TRAÇO 1:2,3:2,7 (CIMENTO/ AREIA MÉDIA/ BRITA 1) - PREPARO MECÂNICO COM BETONEIRA 400 L. AF_07/2016</t>
  </si>
  <si>
    <t>ESCAVAÇÃO MANUAL DE VALA COM PROFUNDIDADE MENOR OU IGUAL A 1,30 M. AF_ 
03/2016</t>
  </si>
  <si>
    <t>Obs.: Coeficientes baseados no item DER-ES - 40145 Sinalização vertical, inclusive transporte de placa sinalização e madeira e SICRO 5213851 Fornecimento e implantação de suporte metálico galvanizado para placa de regulamentação - D = 0,60 m</t>
  </si>
  <si>
    <t>FORNECIMENTO E PLANTIO DA CORDYLINE TERMINALIS (DRACENA VERMELHA)</t>
  </si>
  <si>
    <t>Obs.: Coeficientes baseados no item SINAPI - 93680 EXECUÇÃO DE PÁTIO/ESTACIONAMENTO EM PISO INTERTRAVADO, COM BLOCO RETANGULAR COLORIDO DE 20 X 10 CM, ESPESSURA 6 CM. AF_12/2015</t>
  </si>
  <si>
    <t>PISO DRENANTE TIPO PLACA E SUPERFÍCIE ANTIDERRAPANTE,  ACABAMENTO POROSO, ESPESSURA DE 6 CM, DIMENSOES DE 40 X 40 CM , COR GRAFITE , E RESISTÊNCIA A COMPRESSÃO MÍNIMA DE 20 MPA</t>
  </si>
  <si>
    <t>POSTE CONICO CONTINUO EM ACO GALVANIZADO, RETO, FLANGEADO, H = 3 M, DIAMETRO INFERIOR = *95* MM</t>
  </si>
  <si>
    <t>Obs.: Coeficientes baseados no item SINAPI 86895 BANCADA DE GRANITO CINZA POLIDO PARA LAVATÓRIO 0,50 X 0,60 M - FORNECIMENT O E INSTALAÇÃO. AF_12/2013</t>
  </si>
  <si>
    <t>73794/001</t>
  </si>
  <si>
    <t>ESCAVAÇÃO MANUAL DE VALA COM PROFUNDIDADE MENOR OU IGUAL A 1,30 M. AF_ 03/2016</t>
  </si>
  <si>
    <t>COMP-01</t>
  </si>
  <si>
    <t>Nota: Conforme área do projeto</t>
  </si>
  <si>
    <t>Nota: Conforme indicado em projeto</t>
  </si>
  <si>
    <t xml:space="preserve">Retirada dos postes de iluminação existentes na praça </t>
  </si>
  <si>
    <t>Retirada das placas de sinalização existentes na praça</t>
  </si>
  <si>
    <t>Volume Total Existente</t>
  </si>
  <si>
    <t>Volume Total (Projeto de reforma)</t>
  </si>
  <si>
    <t>Volume total a retirar (Volume Total Existente - Volume que consta no projeto de reforma)</t>
  </si>
  <si>
    <t>NOTA: A área da raspagem considera a praça como um retângulo</t>
  </si>
  <si>
    <t xml:space="preserve"> Escavação do canteiro da palmeira </t>
  </si>
  <si>
    <t>06.01.02</t>
  </si>
  <si>
    <t>06.01.05</t>
  </si>
  <si>
    <t>06.01.06</t>
  </si>
  <si>
    <t>06.01.07</t>
  </si>
  <si>
    <t>06.01.08</t>
  </si>
  <si>
    <t>06.01.09</t>
  </si>
  <si>
    <t xml:space="preserve">Bancos tipo 1, conforme projeto (paginação de piso) prancha 03/06  </t>
  </si>
  <si>
    <t>Conforme projeto paisagístico, prancha 03/06</t>
  </si>
  <si>
    <t xml:space="preserve">Conforme projeto (paginação de piso) prancha 05/06  </t>
  </si>
  <si>
    <t>Obs.: Coeficientes baseados no item SINAPI - 73769/001 POSTE ACO CONICO CONTINUO CURVO SIMPLES SEM BASE C/JANELA 9M (INSPECAO) - FORNECIMENTO E INSTALACAO, no item SINAPI - 93043 LÂMPADA LED 10 W BIVOLT BRANCA, FORMATO TRADICIONAL (BASE E27) - FORNECIMENTO E INSTALAÇÃO</t>
  </si>
  <si>
    <t>ALVENARIA DE BLOCOS DE CONCRETO ESTRUTURAL 14X19X29 CM, (ESPESSURA 14 CM) FBK = 14,0 MPA, PARA PAREDES COM ÁREA LÍQUIDA MAIOR OU IGUAL A 6M², SEM VÃOS, UTILIZANDO COLHER DE PEDREIRO. AF_12/2014</t>
  </si>
  <si>
    <t>CONCRETO MAGRO</t>
  </si>
  <si>
    <t>CHAPISCO/REBOCO</t>
  </si>
  <si>
    <t>PINTURA IGOLFLEX</t>
  </si>
  <si>
    <t>PINTURA ACRILICA</t>
  </si>
  <si>
    <t>Piso tátil da rampa do ponto de ônibus (pastilhado)</t>
  </si>
  <si>
    <t>FORNECIMENTO E PLANTIO DA WODYETIA BIFURCATA (PALMEIRA RABO DE RAPOSA)</t>
  </si>
  <si>
    <t>PRANCHAO DE MADEIRA APARELHADA *7,5 X 23* CM (3 X 9") MACARANDUBA, ANGELIM OU EQUIVALENTE DA REGIAO</t>
  </si>
  <si>
    <t>PARAFUSO, ASTM A307 - GRAU A, SEXTAVADO, ZINCADO, DIAMETRO 3/8" (9,52 MM), COMPRIMENTO 1 " (25,4 MM)</t>
  </si>
  <si>
    <t>Obs.: Considerando base de concreto para bancos e mesa com profundidade de 0,15m</t>
  </si>
  <si>
    <t>Escavação para base de concreto da lixeira</t>
  </si>
  <si>
    <t>Escavação para base de concreto do poste</t>
  </si>
  <si>
    <t>Escavação para base de concreto do tótem</t>
  </si>
  <si>
    <t>Escavação para base de concreto do canteiro tipo 3</t>
  </si>
  <si>
    <t>Escavação para base de concreto do canteiro tipo 4</t>
  </si>
  <si>
    <t>Escavação sapatas canteiro tipo 5</t>
  </si>
  <si>
    <t>Escavação sapatas pergolado (volume de escavação - volume do reaterro)</t>
  </si>
  <si>
    <t>Escavação sapatas ponto de ônibus (volume de escavação - volume do reaterro)</t>
  </si>
  <si>
    <t>CABO DE COBRE FLEXÍVEL ISOLADO, 2,5 MM², ANTI-CHAMA 0,6/1,0 KV, PARA CIRCUITOS TERMINAIS - FORNECIMENTO E INSTALAÇÃO. AF_12/2015</t>
  </si>
  <si>
    <t>JP Metal Mecânica - Aracruz</t>
  </si>
  <si>
    <t xml:space="preserve">S.A. Fabricação e Serviços LTDA ME - João Neiva </t>
  </si>
  <si>
    <t>FG LIUTH Serviços Industriais, João Neiva</t>
  </si>
  <si>
    <t>FITA ADESIVA ALUMINIZADA, PARA INSTALACAO DE MANTAS DE SUBCOBERTURA, L = *5* CM</t>
  </si>
  <si>
    <t>VIGA DE MADEIRA APARELHADA *6 X 12* CM, MACARANDUBA, ANGELIM OU EQUIVALENTE DA REGIAO</t>
  </si>
  <si>
    <t>ARMAÇÃO DE PILAR OU VIGA DE UMA ESTRUTURA CONVENCIONAL DE CONCRETO ARMADO EM UMA EDIFICAÇÃO TÉRREA OU SOBRADO UTILIZANDO AÇO CA-50 DE 8,0 MM - MONTAGEM. AF_12/2015</t>
  </si>
  <si>
    <t xml:space="preserve">SERVENTE COM ENCARGOS COMPLEMENTARES </t>
  </si>
  <si>
    <t xml:space="preserve">Obs.: Considerando base de concreto com dimensões 0,40x0,40x0,50M </t>
  </si>
  <si>
    <t xml:space="preserve">REMOCAO DE VIDRO COMUM </t>
  </si>
  <si>
    <t>REMOÇÃO DE TELHAS, DE FIBROCIMENTO, METÁLICA E CERÂMICA, DE FORMA MANUAL, SEM REAPROVEITAMENTO. AF_12/2017</t>
  </si>
  <si>
    <t>REMOÇÃO DE TRAMA METÁLICA PARA COBERTURA, DE FORMA MANUAL, SEM REAPROVEITAMENTO. AF_12/2017</t>
  </si>
  <si>
    <t>COBERTURA</t>
  </si>
  <si>
    <t>ASSENTO</t>
  </si>
  <si>
    <t xml:space="preserve">Demolição dos tóténs </t>
  </si>
  <si>
    <t>Bmenor 0,12</t>
  </si>
  <si>
    <t>Bmaior 0,24</t>
  </si>
  <si>
    <t>Bmenor 0,63</t>
  </si>
  <si>
    <t>Bmaior 0,78</t>
  </si>
  <si>
    <t>Base dos tótens</t>
  </si>
  <si>
    <t>DER-ES (jan-18)</t>
  </si>
  <si>
    <t xml:space="preserve">Obs. 1: Coeficiente de referência baseado no item DER-ES  41222 Suporte de placa de sinalização vertical em madeira de 1ª qualidade, pintada, fornecimento e
instalação                                                                                                Obs.2: Atualização do preço para a data base de agosto-18 pelo INCC (Índice Nacional de Custo da Construção) no site &lt;http://calculoexato.com.br/parprima.aspx?codMenu=FinanAtualizaIndiceJuros&gt;. </t>
  </si>
  <si>
    <t>COMP-02</t>
  </si>
  <si>
    <t>COMP-03</t>
  </si>
  <si>
    <t>ELE-01</t>
  </si>
  <si>
    <t>COMP-04</t>
  </si>
  <si>
    <t>COMP-05</t>
  </si>
  <si>
    <t>COMP-06</t>
  </si>
  <si>
    <t>COMP-07</t>
  </si>
  <si>
    <t>COM-07</t>
  </si>
  <si>
    <t>COMP-08</t>
  </si>
  <si>
    <t>COMP-09</t>
  </si>
  <si>
    <t>COMP-10</t>
  </si>
  <si>
    <t>COMP-11</t>
  </si>
  <si>
    <t xml:space="preserve">CABO DE COBRE NU 16MM2 - FORNECIMENTO E INSTALACAO </t>
  </si>
  <si>
    <t>CONECTOR DE PARAFUSO FENDIDO EM LIGA DE COBRE COM SEPARADOR DE CABOS PARA CABO 50 MM2 - FORNECIMENTO E INSTALACAO</t>
  </si>
  <si>
    <t>HASTE DE ATERRAMENTO 5/8 PARA SPDA - FORNECIMENTO E INSTALAÇÃO. AF_12 /2017</t>
  </si>
  <si>
    <t>OLHAL FERRO GALVANIZADO COM PARAFUSO
16X150MM</t>
  </si>
  <si>
    <t>ATERRAMENTO DOS POSTES METÁLICOS, CONSIDERANDO HASTE DE ATERRAMENTO, CONECTORES, CABO DE COBRE NÚ E OLHAL DE FERRO GALVANIZADO COM PARAFUSO 16X150MM</t>
  </si>
  <si>
    <t xml:space="preserve">Para interligação das caixas de passagem até as lâmpadas no topo do poste </t>
  </si>
  <si>
    <t xml:space="preserve">Obs.: Considerando a altura de 3m (poste), a distância do poste até a caixa de passagem 1m e uma sobra de 0,60m </t>
  </si>
  <si>
    <t>Qtd de cabos (und)</t>
  </si>
  <si>
    <t>Aterramento para cada poste</t>
  </si>
  <si>
    <t>ATERRAMENTO DO QUADRO DE COMANDO, CONSIDERANDO HASTE DE ATERRAMENTO, CONECTORES, CABO DE COBRE NÚ E OLHAL DE FERRO GALVANIZADO COM PARAFUSO 16X150MM</t>
  </si>
  <si>
    <t>Aterramento do quadro de comando</t>
  </si>
  <si>
    <t xml:space="preserve">Caixa de passagem dos postes P1 ao P7 </t>
  </si>
  <si>
    <t>Envelopamento dos eletrodutos PEAD, do poste P1 ao P7</t>
  </si>
  <si>
    <t xml:space="preserve">CABO DE COBRE FLEXÍVEL ISOLADO, 4 MM², ANTI-CHAMA 0,6/1,0 KV, PARA CIRCUITOS TERMINAIS - FORNECIMENTO E INSTALAÇÃO. AF_12/2015 </t>
  </si>
  <si>
    <t>ENVELOPAMENTO DE CONCRETO SIMPLES COM CONSUMO MÍNIMO DE CIMENTO DE 250KG/M3, INCLUSIVE ESCAVAÇÃO PARA PROFUNDIDADE MÍNIMA DO ELETRODUTO DE 50 CM, DE 25 X 25 CM, PARA 1 ELETRODUTO</t>
  </si>
  <si>
    <t>P1-P2</t>
  </si>
  <si>
    <t>P2-P6</t>
  </si>
  <si>
    <t>P6-P7</t>
  </si>
  <si>
    <t>P2-P4</t>
  </si>
  <si>
    <t>P4-P5</t>
  </si>
  <si>
    <t>P2-P3</t>
  </si>
  <si>
    <t>Considerando folga de 1m de cabo em cada caixa de passagem</t>
  </si>
  <si>
    <t>Para passagem dos fios e cabos dos postes</t>
  </si>
  <si>
    <t>06.01.04</t>
  </si>
  <si>
    <t>ELETRODUTO PEAD, COR PRETA, DIAM. 1.1/2", MARCA REF. KANAFLEX OU EQUIVALENTE</t>
  </si>
  <si>
    <t>Considerando subida da caixa de passagem CX1 até o quadro de comando com folga de 1m</t>
  </si>
  <si>
    <t>Considerando 1,80m de sobra (1m p/ caixa de passagem CX1 e 0,80m p/ o quadro de comando)</t>
  </si>
  <si>
    <t>Alimentação (vem da rede elétrica, desce pelo poste de 7m até a CX1, sobre até o quadro de comando h=2,70m)</t>
  </si>
  <si>
    <t>CABO DE COBRE FLEXÍVEL ISOLADO, 4 MM², ANTI-CHAMA 0,6/1,0 KV, PARA CIRCUITOS TERMINAIS - FORNECIMENTO E INSTALAÇÃO. AF_12/2015</t>
  </si>
  <si>
    <t>ELETRODUTO DE AÇO GALVANIZADO, CLASSE SEMI PESADO, DN 40 MM (1 1/2 ), APARENTE, INSTALADO EM PAREDE - FORNECIMENTO E INSTALAÇÃO. AF_11/2016_P</t>
  </si>
  <si>
    <t>06.01.10</t>
  </si>
  <si>
    <t>CABO DE COBRE FLEXÍVEL ISOLADO, 10 MM², ANTI-CHAMA 0,6/1,0 KV, PARA CIRCUITOS TERMINAIS - FORNECIMENTO E INSTALAÇÃO. AF_12/2015</t>
  </si>
  <si>
    <t>Para passagem de cabos e fios pelo poste de concreto (da caixa de passagem CX1 até o quadro de comando)</t>
  </si>
  <si>
    <t>06.01.11</t>
  </si>
  <si>
    <t>Para passagem de cabos e fios pelo poste de concreto (da rede aérea de alimentação até a caixa de passagem CX1)</t>
  </si>
  <si>
    <t>01.01.01</t>
  </si>
  <si>
    <t>Demolição de Alvenaria - tótens</t>
  </si>
  <si>
    <t>Escavação área geral da Praça - proveniente da raspagem de terra</t>
  </si>
  <si>
    <t>Quadro de comando para iluminação da praça</t>
  </si>
  <si>
    <t>Escavação para envelopamento dos eletrodutos (passagem de fiação)</t>
  </si>
  <si>
    <t>Considerando um empolamento de 30%</t>
  </si>
  <si>
    <t>Total</t>
  </si>
  <si>
    <t>ELE-02</t>
  </si>
  <si>
    <t>ELE-03</t>
  </si>
  <si>
    <t>ELE-04</t>
  </si>
  <si>
    <t>FORNECIMENTO E INSTALAÇÃO DE PISO DRENANTE,  SUPERFÍCIE ANTIDERRAPANTE,  ACABAMENTO POROSO, ESPESSURA DE 6 CM, DIMENSOES DE 40 X 40 CM , COR GRAFITE , E RESISTÊNCIA A COMPRESSÃO MÍNIMA DE 20 MPA, ASSENTADOS SOBRE CAMADA DE AREIA MÉDIA NA ESPESSURA DE 5 CM, PEDRISCO LAVADO 10 CM, SOLO COMPACTADO MANUALMENTE. MARCA DE REF.: PLACA DRENANTE 40 , FABRICANTE SALVADOR PREMOLDADOS OU SIMILAR.</t>
  </si>
  <si>
    <t>FORNECIMENTO E INSTALAÇÃO DE PISO DRENANTE,  SUPERFÍCIE ANTIDERRAPANTE,  ACABAMENTO POROSO, ESPESSURA DE 6 CM, DIMENSOES DE 40 X 40 CM , COR NATURAL, E RESISTÊNCIA A COMPRESSÃO MÍNIMA DE 20 MPA, ASSENTADOS SOBRE CAMADA DE AREIA MÉDIA NA ESPESSURA DE 5 CM, PEDRISCO LAVADO 10 CM, SOLO COMPACTADO MANUALMENTE. MARCA DE REF.: PLACA DRENANTE 40 , FABRICANTE SALVADOR PREMOLDADOS OU SIMILAR.</t>
  </si>
  <si>
    <t>FORNECIMENTO E INSTALAÇÃO DE PERGOLADO EM MADEIRA DE LEI, CONSTRUIDA COM PILARES DE SEÇÃO 20X20 CM  ENTRE VÃOS DE 3,30 M, ASSENTADOS E ENGASTADO SOB PILARETES E SAPATAS; INCLUSIVE ESCAVAÇÃO E REATERRO, BLOCO DE APOIO REVESTIDO EM GRANITO APICOADO COM APLICAÇÃO DE RESINA HIDROFUGANTE; TRAVESSAS DE MADEIRA  NAS PONTAS DIM. 15X6 CM COMP. 3,20M; VIGAS DE MADEIRA LATERAL DIM. 23X6 CM, COMPR. 3,50 M; TRAVESSAS DE MADEIRA 15X6 CM COMPR. 3,50 M; MADEIRA APARELHADA E PINTADA COM ACABAMENTO STAIN OU SIMILAR, CONFORME PROJETO</t>
  </si>
  <si>
    <t>REMOÇÃO DE PONTO DE ÔNIBUS EXISTENTE</t>
  </si>
  <si>
    <t>FORNECIMENTO E INSTALAÇÃO DE PISO DRENANTE,  SUPERFÍCIE ANTIDERRAPANTE,  ACABAMENTO POROSO, ESPESSURA DE 6 CM, DIMENSOES DE 40 X 40 CM , COR GRAFITE , E RESISTÊNCIA A COMPRESSÃO MÍNIMA DE 20 MPA, ASSENTADOS SOBRE CAMADA DE AREIA GROSSA NA ESPESSURA DE 5 CM, PEDRISCO LAVADO 10 CM, SOLO COMPACTADO MANUALMENTE. MARCA DE REF.: PLACA DRENANTE 40 , FABRICANTE SALVADOR PREMOLDADOS OU SIMILAR.</t>
  </si>
  <si>
    <t>CRONOGRAMA FÍSICO E FINANCEIRO</t>
  </si>
  <si>
    <t>SERVIÇO</t>
  </si>
  <si>
    <t>VALORES DO ITEM</t>
  </si>
  <si>
    <t>30 dias</t>
  </si>
  <si>
    <t>60 dias</t>
  </si>
  <si>
    <t>90 dias</t>
  </si>
  <si>
    <t>120 dias</t>
  </si>
  <si>
    <t>150 dias</t>
  </si>
  <si>
    <t>180 dias</t>
  </si>
  <si>
    <t>R$</t>
  </si>
  <si>
    <t>TOTAL GERAL</t>
  </si>
  <si>
    <t>VALOR DO SERVIÇO EXECUTADO NO MÊS</t>
  </si>
  <si>
    <t>PORCENTAGEM</t>
  </si>
  <si>
    <t xml:space="preserve">VALOR ACUMULADO DOS SERVIÇOS EXECUTADOS </t>
  </si>
  <si>
    <t>PORCENTAGEM ACUMULADO</t>
  </si>
  <si>
    <t>SUBTOTAL 08</t>
  </si>
  <si>
    <t>TXKM</t>
  </si>
  <si>
    <t>TRANSPORTE DE MATERIAL ASFALTICO, COM CAMINHÃO COM CAPACIDADE DE 20000L EM RODOVIA PAVIMENTADA PARA DISTÂNCIAS MÉDIAS DE TRANSPORTE IGUAL O
U INFERIOR A 100 KM. AF_02/2016</t>
  </si>
  <si>
    <t>Peso específico (T/M3)</t>
  </si>
  <si>
    <t>RETIRADA  E COLOCAÇÃO DE PLACAS DE SINALIZAÇÃO EXISTENTES NA PRAÇA, PLACAS DE MONUMENTOS,  INCLUSIVE ESTOCAGEM PARA ÁREA INDICADA PELA SEMOSU</t>
  </si>
  <si>
    <t>=coeficiente de referência* 2,00 (retirada e colocação)</t>
  </si>
  <si>
    <t>POSTE CÔNICO CONTÍNUO FLANGEADO, RETO, EM AÇO GALVANIZADO, PINTADO COM TINTA PROTETORA NA COR GRAFITE, ALTURA ÚTIL 3,00M, DIÂMETRO DA BASE 95MM, COM LUMINÁRIA DECORATIVA COM LEDS POTÊNCIA 100W REF. ILUMATIC EGEU LEDS E BASE DE CONCRETO PARA FIXAÇÃO DO POSTE COM DIMENSÕES 40X40X50CM</t>
  </si>
  <si>
    <t>Obs.: Coeficientes baseados no item SINAPI - 74131/001 QUADRO DE DISTRIBUICAO DE ENERGIA DE EMBUTIR, EM CHAPA METALICA, PARA 3 DISJUNTORES TERMOMAGNETICOS MONOPOLARES SEM BARRAMENTO FORNECIMENTO E INSTALACAO</t>
  </si>
  <si>
    <t>LUMILUZ (Cláudio) (27) 3203-6600  Vitória</t>
  </si>
  <si>
    <t>ELETROMIL (Gilson) (27) 3357-1000</t>
  </si>
  <si>
    <t>DME (Leonardo)      (27) 3348-8100</t>
  </si>
  <si>
    <t>ABRAÇADEIRA DE AÇO FITA (ROLO DE 25M) COM CURSOR</t>
  </si>
  <si>
    <t xml:space="preserve">CURVA DE AÇO  GALVANIZADO, PESADO 90º 1 1/2" COM 2 LUVAS </t>
  </si>
  <si>
    <t xml:space="preserve">FORNECIMENTO E INSTALAÇÃO DE QUADRO DE COMANDO </t>
  </si>
  <si>
    <t>CURVA DE AÇO  GALVANIZADO, PESADO 90º 1 1/2" COM 2 LUVAS</t>
  </si>
  <si>
    <t>FABRICAÇÃO, MONTAGEM E INSTALAÇÃO DE ABRIGO PARA PONTO DE ÔNIBUS EM ESTRUTURA METÁLICA (MATERIAL ASTM A-36 / SAE 1020), DESCRIÇÕES CONFORME PROJETO, COM TRATAMENTO ANTICORROSIVO, PINTURA LÍQUIDA INDUSTRIAL, PINTURA PRIMER EPÓXI, PINTURA DE ACABAMENTO METÁLICO, DE 1ª LINHA (3 DEMÃOS) E COBERTURA EM TELHA TRAPEZOIDAL LR 40, PRÉ PINTADA BRANCO, ESP 0,50MM, CONSIDERANDO MOBILIZAÇÃO E DESMOBILIZAÇÃO DE PESSOAL E EQUIPAMENTOS</t>
  </si>
  <si>
    <t>Obs.: Coeficientes baseados no item do IOPES 090101 - Estrutura de madeira de lei tipo Paraju, peroba mica, angelim pedra ou equivalente para telhado de telha cerâmica tipo
capa e canal, com pontaletes, terças, caibros e ripas, inclusive tratamento com cupinicida, exclusive telhas e no item SINAPI  94226 - SUBCOBERTURA COM MANTA PLÁSTICA REVESTIDA POR PELÍCULA DE ALUMÍNO, INCLUSO TRANSPORTE VERTICAL. AF_06/2016</t>
  </si>
  <si>
    <t>=coeficiente de referência (IOPES)*área dos bancos de madeira do ponto de ônibus</t>
  </si>
  <si>
    <t>FORNECIMENTO E MONTAGEM DE QUADRO DE COMANDO</t>
  </si>
  <si>
    <t>Área geral da praça, para assentamento do piso drenante</t>
  </si>
  <si>
    <t xml:space="preserve">Considerando raspagem da base (aproximadamente 10 cm de altura), exceto área do canteiro da palmeira e área do mosaico existente </t>
  </si>
  <si>
    <t>Para material recomposição asfáltica, devido estreitamento da praça</t>
  </si>
  <si>
    <t>TOTEM EM CONCRETO ARMADO FCK 25 MPA, CONSIDERANDO  ASSENTAMENTO E REAPROVEITAMENTO DA PLACA EM GRANITO EXISTENTE, INCLUSIVE FUNDAÇÃO E ESCAVAÇÃO</t>
  </si>
  <si>
    <t>CANTEIRO TIPO 4, CONSTRUÍDO EM BLOCO DE CONCRETO ESTRUTURAL, CHEIO, DIMENSÕES 14x19x29CM, CHAPISCADO E REBOCADO, APLICAÇÃO DE PINTURA ACRÍLICA, INCLUSIVE CANTEIRO DE PLANTAS IMPERMEABILIZADO INTERNAMENTE COM IGOLFLEX, NAS DIMENSÕES INDICADAS EM PROJETO, FUNDAÇÃO (ESCAVAÇÃO, REATERRO)</t>
  </si>
  <si>
    <t>FORNECIMENTO E INSTALAÇÃO DE PERGOLADO EM MADEIRA DE LEI, CONSTRUIDA COM PILARES DE SEÇÃO 20X20 CM  ENTRE VÃOS DE 3,30 M , ASSENTADOS E ENGASTADO SOB PILARETES E SAPATAS; INCLUSIVE ESCAVAÇÃO E REATERRO, BLOCO DE APOIO, COM PINTURA ACRÍLICA; TRAVESSAS DE MADEIRA  NAS PONTAS DIM. 16X6 CM COMP. 3,20M ; VIGAS DE MADEIRA LATERAL DIM. 23X7,5 CM, COMPR. 3,50 M ; TRAVESSAS DE MADEIRA 16X6 CM COMPR. 3,50 M ; MADEIRA APARELHADA E PINTADA COM VERNIZ POLIURETANO 2 DEMÃOS, CONFORME PROJETO</t>
  </si>
  <si>
    <t xml:space="preserve">M2 </t>
  </si>
  <si>
    <t>FORNECIMENTO E INSTALAÇÃO DE LIXEIRA SELETIVA 50 LITROS, COM SUPORTE TUBULAR EM AÇO GALVANIZADO, DN 3", INCLUINDO CHUMBAMENTO EM BASE DE CONCRETO, FUNDAÇÃO (ESCAVAÇÃO, REATERRO)</t>
  </si>
  <si>
    <t>02.03.04</t>
  </si>
  <si>
    <t>02.03.08</t>
  </si>
  <si>
    <t>03.02.01</t>
  </si>
  <si>
    <t>08.01.01</t>
  </si>
  <si>
    <t>LUMILUZ (Cláudio Araújo) (27) 3203-6600  Vitória</t>
  </si>
  <si>
    <t>Obs².: Serviço necessário, pois a obra se encontra no centro da cidade, em frente a uma Escola onde tem saída e entrada de crianças, e nesta praça se encontra também um dos ponstos de ônibus mais importantes da cidade.</t>
  </si>
  <si>
    <t>obs: Demolição do canteiro existente de contorno com toco de tora de eucalípto.</t>
  </si>
  <si>
    <t xml:space="preserve">Remoção do ponto de ônibus </t>
  </si>
  <si>
    <t>4,00x1,95= 7,80</t>
  </si>
  <si>
    <t xml:space="preserve">Rampas menores-trapezoidal </t>
  </si>
  <si>
    <t>Rampa maior-retangular</t>
  </si>
  <si>
    <t>MONTAGEM E DESMONTAGEM DE FÔRMA DE PILARES RETANGULARES E ESTRUTURAS SIMILARES COM ÁREA MÉDIA DAS SEÇÕES MENOR OU IGUAL A 0,25 M², PÉ-DIREITO SIMPLES, EM CHAPA DE MADEIRA COMPENSADA RESINADA, 2 UTILIZAÇÕES. AF_
12/2015</t>
  </si>
  <si>
    <t>VERNIZ POLIURETANO BRILHANTE EM CONCRETO OU TIJOLO, TRES DEMAOS</t>
  </si>
  <si>
    <t>FABRICAÇÃO, MONTAGEM E INSTALAÇÃO DE ABRIGO PARA PONTO DE ÔNIBUS EM ESTRUTURA METÁLICA (MATERIAL ASTM A-36 / SAE 1020), DESCRIÇÕES CONFORME PROJETO, COM TRATAMENTO ANTICORROSIVO, PINTURA LÍQUIDA INDUSTRIAL, PINTURA PRIMER EPÓXI, PINTURA DE ACABAMENTO METÁLICO, DE 1ª LINHA (3 DEMÃOS) E COBERTURA EM TELHA TRAPEZOIDAL LR 40, PRÉ PINTADA BRANCO, ESP 0,50MM. PILARES EM CONCRETO ARMADO APARENTE E PINTADOS COM VERNIZ POLIURETANO, TRÊS DEMÃOS, ALÉM DE FUNDAÇÃO (ESCAVAÇÃO, REATERRO), CONSIDERANDO MOBILIZAÇÃO E DESMOBILIZAÇÃO DE PESSOAL E EQUIPAMENTOS</t>
  </si>
  <si>
    <t>CANTEIRO TIPO 3, BANCO E MESA EM MADEIRA DE LEI E CANTEIRO EM BLOCO DE CONCRETO ESTRUTURAL, DIMENSÕES 14x19x29CM, CHEIO, CHAPISCADO E REBOCADO, COM APLICAÇÃO PINTURA ACRÍLICA,  INCLUSIVE CANTEIRO DE PLANTAS COM CAMADA DE BRITA 2, AREIA GROSSA E TERRA, COM ESPESSURA DE 15 CM CADA, IMPERMEABILIZAÇÃO INTERNA COM IGOLFLEX,  CONFORME DIMENSÕES INDICADAS EM PROJETO, INCLUSIVE PINTURA E VERNIZ NA MADEIRA</t>
  </si>
  <si>
    <t>CANTEIRO TIPO 5,  COM BANCOS CONSTRUÍDOS EM CONCRETO ARMADO, COM ACABAMENTO EM CONCRETO APARENTE E ALVENARIA DE BLOCOS DE CONCRETO CHAPISCADOS E REBOCADOS, COM PINTURA IMPERMEABILIZANTE HIDROFUGANTE E PINTURA ACRÍLICA 3 DEMÃOS, INCLUSIVE CANTEIRO DE PLANTAS COM CAMADA DE BRITA 2, AREIA GROSSA E TERRA, COM ESPESSURA DE 15 CM CADA, IMPERMEABILIZAÇÃO INTERNA COM IGOLFLEX, NAS DIMENSÕES INDICADAS EM PROJETO, FUNDAÇÃO (ESCAVAÇÃO, REATERRO), CONFORME PROJETO</t>
  </si>
  <si>
    <t>Obs.: Quantitativos da estrutura do tótem, conforme anexo A</t>
  </si>
  <si>
    <t>ANEXO A - QUADRO ESTRUTURAL DO TOTEM</t>
  </si>
  <si>
    <t>ARMAÇÃO DE PILAR OU VIGA DE UMA ESTRUTURA CONVENCIONAL DE CONCRETO ARMADO EM UMA EDIFICAÇÃO TÉRREA OU SOBRADO UTILIZANDO AÇO CA-50 DE 10,0 M
M - MONTAGEM. AF_12/2015</t>
  </si>
  <si>
    <t>ANEXO B - QUADRO ESTRUTURAL DO ABRIGO PARA PONTO DE ÔNIBUS</t>
  </si>
  <si>
    <t>Obs.: Coeficientes de mão de obra baseados no item do IOPES 090101 - Estrutura de madeira de lei tipo Paraju, peroba mica, angelim pedra ou equivalente para telhado de telha cerâmica tipo
capa e canal, com pontaletes, terças, caibros e ripas, inclusive tratamento com cupinicida, exclusive telhas</t>
  </si>
  <si>
    <t>Obs.: Quantitativos da estrutura do abrigo para ponto de ônibus, conforme anexo B</t>
  </si>
  <si>
    <t>CANTEIRO TIPO 3, BANCO E MESA EM MADEIRA DE LEI E CANTEIRO EM BLOCO DE CONCRETO ESTRUTURAL, CHEIO, DIMENSÕES 14x19x29CM, CHAPISCADO E REBOCADO, COM APLICAÇÃO PINTURA ACRÍLICA,  INCLUSIVE CANTEIRO DE PLANTAS COM CAMADA DE BRITA 2, AREIA GROSSA E TERRA, COM ESPESSURA DE 15 CM CADA, IMPERMEABILIZAÇÃO INTERNA COM IGOLFLEX,  CONFORME DIMENSÕES INDICADAS EM PROJETO, INCLUSIVE PINTURA E VERNIZ NA MADEIRA</t>
  </si>
  <si>
    <t xml:space="preserve">Árvores com diâmetro superior a 30 cm, conforme planta de demolição </t>
  </si>
  <si>
    <t>Árvores com diâmetro de até 15 cm, conforme planta de demolição</t>
  </si>
  <si>
    <r>
      <t xml:space="preserve">CONVÊNIO Nº: </t>
    </r>
    <r>
      <rPr>
        <sz val="10"/>
        <rFont val="Arial"/>
        <family val="2"/>
      </rPr>
      <t>869913/2018</t>
    </r>
  </si>
  <si>
    <r>
      <t xml:space="preserve">BDI: </t>
    </r>
    <r>
      <rPr>
        <sz val="10"/>
        <rFont val="Arial"/>
        <family val="2"/>
      </rPr>
      <t>26,54% - Serviços(materiais e instalações)</t>
    </r>
    <r>
      <rPr>
        <b/>
        <sz val="10"/>
        <rFont val="Arial"/>
        <family val="2"/>
      </rPr>
      <t xml:space="preserve">
PRAZO DA OBRA: </t>
    </r>
    <r>
      <rPr>
        <sz val="10"/>
        <rFont val="Arial"/>
        <family val="2"/>
      </rPr>
      <t>180 dias</t>
    </r>
    <r>
      <rPr>
        <b/>
        <sz val="10"/>
        <rFont val="Arial"/>
        <family val="2"/>
      </rPr>
      <t xml:space="preserve">
DATA BASE:</t>
    </r>
    <r>
      <rPr>
        <sz val="10"/>
        <rFont val="Arial"/>
        <family val="2"/>
      </rPr>
      <t xml:space="preserve"> Agosto/2018</t>
    </r>
  </si>
  <si>
    <t>869913/2018</t>
  </si>
  <si>
    <t>Otávio Abreu Xavier</t>
  </si>
  <si>
    <t>Prefeito Municipal</t>
  </si>
  <si>
    <t>QCI - Quadro de Composição do Investimento</t>
  </si>
  <si>
    <t>Número contrato de repasse</t>
  </si>
  <si>
    <t>Proponente/Tomador</t>
  </si>
  <si>
    <t>Município/UF</t>
  </si>
  <si>
    <t>Empreendimento</t>
  </si>
  <si>
    <t xml:space="preserve">Aprovação  </t>
  </si>
  <si>
    <t>PREFEITURA MUN. DE JOÃO NEIVA/ES</t>
  </si>
  <si>
    <t>JOÃO NEIVA</t>
  </si>
  <si>
    <t>ES</t>
  </si>
  <si>
    <t>Operação</t>
  </si>
  <si>
    <t>Programa/Modalidade/Ação</t>
  </si>
  <si>
    <t>Financiamento</t>
  </si>
  <si>
    <t>X</t>
  </si>
  <si>
    <t>Repassse</t>
  </si>
  <si>
    <t>Ocultar</t>
  </si>
  <si>
    <t>OCULTAR</t>
  </si>
  <si>
    <t>Limite</t>
  </si>
  <si>
    <t>Discriminação</t>
  </si>
  <si>
    <t>Contrapartida</t>
  </si>
  <si>
    <t>Execução</t>
  </si>
  <si>
    <t>Item</t>
  </si>
  <si>
    <t>Descição</t>
  </si>
  <si>
    <t>Quant./unid</t>
  </si>
  <si>
    <t>Superior</t>
  </si>
  <si>
    <t>Inferior</t>
  </si>
  <si>
    <t>VERIFIC USO REP</t>
  </si>
  <si>
    <t>SOMENTE CP</t>
  </si>
  <si>
    <t>Próprios       (R$)</t>
  </si>
  <si>
    <t>CONTA PREENCH</t>
  </si>
  <si>
    <t>(%)</t>
  </si>
  <si>
    <t>Outros            (R$)</t>
  </si>
  <si>
    <t>Total %</t>
  </si>
  <si>
    <t xml:space="preserve"> R$</t>
  </si>
  <si>
    <t>EF ou AD</t>
  </si>
  <si>
    <t>OS ou FIN</t>
  </si>
  <si>
    <t>01/VB</t>
  </si>
  <si>
    <t>EF</t>
  </si>
  <si>
    <t>FIN</t>
  </si>
  <si>
    <t>Forma de execução: AD = Administração Direta pelo Tomador</t>
  </si>
  <si>
    <t xml:space="preserve">ou EF se execução e/ou fornecimento a contratar/contrado. </t>
  </si>
  <si>
    <t>Tipo de contrapartida: FIN = Financeira; OS = em Obras e Serviços.</t>
  </si>
  <si>
    <t>_______________________________________</t>
  </si>
  <si>
    <t>RESPONSÁVEL TÉCNICO</t>
  </si>
  <si>
    <t>LAUDICÉIA S H DAS NEVES</t>
  </si>
  <si>
    <t>ENGª CIVIL - CREA/AM 11.750</t>
  </si>
  <si>
    <t>REFORMA DA PRAÇA NOSSA SENHORA DO LÍBANO</t>
  </si>
  <si>
    <t>MCIDADES</t>
  </si>
  <si>
    <t>João Neiva, Dezembro de 2018</t>
  </si>
  <si>
    <t>FORNECIMENTO E INSTALAÇÃO DE PISO DRENANTE,  SUPERFÍCIE ANTIDERRAPANTE,  ACABAMENTO POROSO, ESPESSURA DE 6 CM, DIMENSOES DE 40 X 40 CM , COR NATURAL , E RESISTÊNCIA A COMPRESSÃO MÍNIMA DE 20 MPA, ASSENTADOS SOBRE CAMADA DE AREIA GROSSA NA ESPESSURA DE 5 CM, PEDRISCO LAVADO 10 CM, SOLO COMPACTADO MANUALMENTE. MARCA DE REF.: PLACA DRENANTE 40, FABRICANTE SALVADOR PREMOLDADOS OU SIMILAR.</t>
  </si>
  <si>
    <t>TRANSPORTE DE MATERIAL ASFALTICO, COM CAMINHÃO COM CAPACIDADE DE 20000L EM RODOVIA PAVIMENTADA PARA DISTÂNCIAS MÉDIAS DE TRANSPORTE IGUAL OU INFERIOR A 100 KM. AF_02/2016</t>
  </si>
  <si>
    <t xml:space="preserve">Obs.: Preços atualizados ou retroagidos pelo INCC (Índice Nacional de Custo da Construção) no site &lt;http://calculoexato.com.br/parprima.aspx?codMenu=FinanAtualizaIndiceJuros&gt;. </t>
  </si>
  <si>
    <t xml:space="preserve">Obs 1.: Dep. Comercial, Pedro Batista. Só pegamos esta cotação, por ser o único do Estado do ES a produzir o material.                                                        Obs 2.: Preços atualizados ou retroagidos pelo INCC (Índice Nacional de Custo da Construção) no site &lt;http://calculoexato.com.br/parprima.aspx?codMenu=FinanAtualizaIndiceJuros&gt;. </t>
  </si>
  <si>
    <t xml:space="preserve">Obs: Dep. Comercial, Pedro Batista. Só pegamos esta cotação, por ser o único do Estado do ES a produzir o material.                                                                  Obs 2.: Preços atualizados ou retroagidos pelo INCC (Índice Nacional de Custo da Construção) no site &lt;http://calculoexato.com.br/parprima.aspx?codMenu=FinanAtualizaIndiceJuros&gt;. </t>
  </si>
  <si>
    <t>QUADRO DE COMANDO EM AÇO INOX, COM DISJUNTORES, CONTATOR, DISPOSITIVOS DE PROTEÇÃO CONTRA SURTO, RELÉ, CONFORME DETALHES EM PROJETO</t>
  </si>
  <si>
    <t>FORNECIMENTO E INSTALAÇÃO DE QUADRO DE COMANDO EM AÇO INOX, COM DISJUNTORES, CONTATOR, DISPOSITIVOS DE PROTEÇÃO CONTRA SURTO, RELÉ, CONFORME DETALHES EM PROJETO</t>
  </si>
  <si>
    <t>1º MÊS</t>
  </si>
  <si>
    <t>2º MÊS</t>
  </si>
  <si>
    <t>3º MÊS</t>
  </si>
  <si>
    <t>4º MÊS</t>
  </si>
  <si>
    <t>5º MÊS</t>
  </si>
  <si>
    <t>6º MÊS</t>
  </si>
  <si>
    <t>PREFEITURA MUNICIPAL DE JOÃO NEIVA</t>
  </si>
  <si>
    <r>
      <t xml:space="preserve">LS: </t>
    </r>
    <r>
      <rPr>
        <sz val="10"/>
        <rFont val="Arial"/>
        <family val="2"/>
      </rPr>
      <t xml:space="preserve"> 89,54%</t>
    </r>
  </si>
  <si>
    <t>Túlio's Representações Ltda (Micheli Rygo) (27) 3340-0399</t>
  </si>
  <si>
    <t>Eletrical Elétrica Comercial Ltda (Willians Pratti)      (27) 2104-6577</t>
  </si>
  <si>
    <t>PILAR DE MADEIRA NAO APARELHADA *20 X 20* CM, MACARANDUBA, ANGELIM OU EQUIVALENTE DA REGIAO</t>
  </si>
  <si>
    <t>Ver projeto do pergolado</t>
  </si>
  <si>
    <t>Volume (m3)</t>
  </si>
  <si>
    <t>Área (m2)</t>
  </si>
  <si>
    <t>Canteiro</t>
  </si>
  <si>
    <t>Base de concreto para pés dos bancos</t>
  </si>
  <si>
    <t>Base de concreto para pés das mesas</t>
  </si>
  <si>
    <t>Qtd</t>
  </si>
  <si>
    <t>MEMÓRIA DE CÁLCULO CANTEIRO TIPO 3 (COMP-06)</t>
  </si>
  <si>
    <t>Ver detalhe abaixo</t>
  </si>
  <si>
    <t>Perímetro canteiro externo</t>
  </si>
  <si>
    <t>Perímetro canteiro interno</t>
  </si>
  <si>
    <t>Perímetro canteiro superior</t>
  </si>
  <si>
    <t>Área de reboco = Área de chapisco</t>
  </si>
  <si>
    <t xml:space="preserve">Pintura impermeabilizante para a parte interna do canteiro </t>
  </si>
  <si>
    <t>Pintura acrílica na parte externa do canteiro</t>
  </si>
  <si>
    <t>Parafusos para fixação das peças de madeira</t>
  </si>
  <si>
    <t>Comp. Total(m)</t>
  </si>
  <si>
    <t>Assento/Banco da mesa</t>
  </si>
  <si>
    <t>Assento/Banco</t>
  </si>
  <si>
    <t>Tampo/Mesa</t>
  </si>
  <si>
    <t>Pés/Banco</t>
  </si>
  <si>
    <t>Pés/Banco da mesa</t>
  </si>
  <si>
    <t>Pés/Mesa</t>
  </si>
  <si>
    <t>Paredes canteiro</t>
  </si>
  <si>
    <t>Considerando 0,20m enterrados</t>
  </si>
  <si>
    <t>Madeira dimensões 6x12</t>
  </si>
  <si>
    <t>Madeira dimensões 7,5x23</t>
  </si>
  <si>
    <t xml:space="preserve">SERVENTE </t>
  </si>
  <si>
    <t>010146</t>
  </si>
  <si>
    <t>Obs.: Coeficientes de mão de obra, baseados no item do IOPES 030211 - Reaterro de valas, exclusive compactação (Servente) e IOPES cód. 090101 - Estrutura de madeira de lei tipo Paraju, peroba mica, angelim pedra ou equivalente para telhado de telha cerâmica tipo
capa e canal, com pontaletes, terças, caibros e ripas, inclusive tratamento com cupinicida, exclusive telhas (Marceneiro e Ajudante especializado)</t>
  </si>
  <si>
    <t xml:space="preserve">Faces laterais das peças (6x12) </t>
  </si>
  <si>
    <t xml:space="preserve">Faces laterais das peças (7,5x23) </t>
  </si>
  <si>
    <t>Obs.: Coeficientes de mão de obra, baseados no item do IOPES 030211 - Reaterro de valas, exclusive compactação (Servente)</t>
  </si>
  <si>
    <t xml:space="preserve"> =coeficiente de referência * volume de material                              =coeficiente de referência *área do banco e mesa (para marceneiro e ajudante especializado)</t>
  </si>
  <si>
    <t xml:space="preserve"> =coeficiente de referência * volume de material   </t>
  </si>
  <si>
    <t>Ver projeto do canteiro tipo 5</t>
  </si>
  <si>
    <t>Obs.: Os blocos deverão ser assentados deitados</t>
  </si>
  <si>
    <t>LASLED (Luminária Decorativa Jupiter 113 Watts
Lumens - 13.876 lm (110lm/w) COD. PUBDJ113  (Ana Julia)</t>
  </si>
  <si>
    <t>Conforme projeto estrutural</t>
  </si>
  <si>
    <t>S1=S3=S4=S6</t>
  </si>
  <si>
    <t>S2=S5</t>
  </si>
  <si>
    <t>Sapatas S1=S3=S4=S6</t>
  </si>
  <si>
    <t>Sapatas S2=S5</t>
  </si>
  <si>
    <t>Vigas V1=V2</t>
  </si>
  <si>
    <t>Vigas V3=V4=V5</t>
  </si>
  <si>
    <t>Laje L1=L2=L3=L4</t>
  </si>
  <si>
    <t>Pilaretes</t>
  </si>
  <si>
    <t>Pilares</t>
  </si>
  <si>
    <t>Volume de reaterro  = Volume escavado - volume de concretagem (sapatas + pilaretes)</t>
  </si>
  <si>
    <t>Volume escavado</t>
  </si>
  <si>
    <t>Volume concretado (sapatas + pilaretes)</t>
  </si>
  <si>
    <t xml:space="preserve">Conforme projeto estrutural (gerado automaticamente pelo programa) </t>
  </si>
  <si>
    <t>Área total</t>
  </si>
  <si>
    <t>Área Total (m2)</t>
  </si>
  <si>
    <t xml:space="preserve">Medida externa </t>
  </si>
  <si>
    <t>Medida interna</t>
  </si>
  <si>
    <t>Perímetro superior</t>
  </si>
  <si>
    <t>Área a descontar (laje-assento)</t>
  </si>
  <si>
    <t>Sobre laje dos assentos</t>
  </si>
  <si>
    <t>Parte interna do canteiro</t>
  </si>
  <si>
    <t xml:space="preserve">Parte externa do canteiro </t>
  </si>
  <si>
    <t>Área total (m2)</t>
  </si>
  <si>
    <t>Parte inferior da laje dos assentos</t>
  </si>
  <si>
    <t xml:space="preserve">Obs.: Preços atualizados pelo INCC (Índice Nacional de Custo da Construção) no site &lt;http://calculoexato.com.br/parprima.aspx?codMenu=FinanAtualizaIndiceJuros&gt;. </t>
  </si>
  <si>
    <t xml:space="preserve">FIBROMETAL (Rogério Silva) (LUMINÁRIA JACAREI LED 112 WATTS – 16240 LUMENS) </t>
  </si>
  <si>
    <t>REEME (Bárbara Fiori) (LUMINÁRIA PÚBLICA DECORATIVA LED SÉRIE ZE-165 Potência 112W)</t>
  </si>
  <si>
    <t>POSTE CÔNICO CONTÍNUO FLANGEADO, RETO, EM AÇO GALVANIZADO, PINTADO COM TINTA PROTETORA NA COR GRAFITE, ALTURA ÚTIL 3,00M, DIÂMETRO DA BASE 95MM, COM LUMINÁRIA DECORATIVA LED PARA ILUMINAÇÃO PÚBLICA, ACABAMENTO COM PINTURA ELETROSTATICA, POTÊNCIA 112W A 113W  E BASE DE CONCRETO PARA FIXAÇÃO DO POSTE COM DIMENSÕES 40X40X50CM</t>
  </si>
  <si>
    <t>LUMINÁRIA DECORATIVA LED PARA ILUMINAÇÃO PÚBLICA, ACABAMENTO COM PINTURA ELETROSTATICA, POTÊNCIA 112W A 113W</t>
  </si>
  <si>
    <t>VIGAS V3=V4=V5</t>
  </si>
  <si>
    <t>LAJE L1=L2=L3=L4 E VIGAS V1=V2</t>
  </si>
</sst>
</file>

<file path=xl/styles.xml><?xml version="1.0" encoding="utf-8"?>
<styleSheet xmlns="http://schemas.openxmlformats.org/spreadsheetml/2006/main" xmlns:mc="http://schemas.openxmlformats.org/markup-compatibility/2006" xmlns:x14ac="http://schemas.microsoft.com/office/spreadsheetml/2009/9/ac" mc:Ignorable="x14ac">
  <numFmts count="26">
    <numFmt numFmtId="44" formatCode="_-&quot;R$&quot;\ * #,##0.00_-;\-&quot;R$&quot;\ * #,##0.00_-;_-&quot;R$&quot;\ * &quot;-&quot;??_-;_-@_-"/>
    <numFmt numFmtId="43" formatCode="_-* #,##0.00_-;\-* #,##0.00_-;_-* &quot;-&quot;??_-;_-@_-"/>
    <numFmt numFmtId="164" formatCode="0.0%"/>
    <numFmt numFmtId="165" formatCode="0.000"/>
    <numFmt numFmtId="166" formatCode="&quot;R$ &quot;#,##0.00"/>
    <numFmt numFmtId="167" formatCode="_(* #,##0.00_);_(* \(#,##0.00\);_(* &quot;-&quot;??_);_(@_)"/>
    <numFmt numFmtId="168" formatCode="_(&quot;R$ &quot;* #,##0.00_);_(&quot;R$ &quot;* \(#,##0.00\);_(&quot;R$ &quot;* &quot;-&quot;??_);_(@_)"/>
    <numFmt numFmtId="169" formatCode="0.0000"/>
    <numFmt numFmtId="170" formatCode="_(* #,##0.000_);_(* \(#,##0.000\);_(* &quot;-&quot;??_);_(@_)"/>
    <numFmt numFmtId="171" formatCode="_-* #,##0.0000_-;\-* #,##0.0000_-;_-* &quot;-&quot;??_-;_-@_-"/>
    <numFmt numFmtId="172" formatCode="0.0000000"/>
    <numFmt numFmtId="173" formatCode="[$-416]mmmm\-yy;@"/>
    <numFmt numFmtId="174" formatCode="#,##0.0000"/>
    <numFmt numFmtId="175" formatCode="&quot;R$ &quot;#,##0.000"/>
    <numFmt numFmtId="176" formatCode="&quot;R$ &quot;#,##0.0000"/>
    <numFmt numFmtId="177" formatCode="0.000%"/>
    <numFmt numFmtId="178" formatCode="_(* #,##0.00_);_(* \(#,##0.00\);_(* \-??_);_(@_)"/>
    <numFmt numFmtId="179" formatCode="_(* #,##0.0000_);_(* \(#,##0.0000\);_(* &quot;-&quot;??_);_(@_)"/>
    <numFmt numFmtId="180" formatCode="General_)"/>
    <numFmt numFmtId="181" formatCode="_([$€-2]* #,##0.00_);_([$€-2]* \(#,##0.00\);_([$€-2]* &quot;-&quot;??_)"/>
    <numFmt numFmtId="182" formatCode="_([$€-2]* #,##0.00_);_([$€-2]* \(#,##0.00\);_([$€-2]* \-??_)"/>
    <numFmt numFmtId="183" formatCode="_(&quot;R$ &quot;* #,##0.00_);_(&quot;R$ &quot;* \(#,##0.00\);_(&quot;R$ &quot;* \-??_);_(@_)"/>
    <numFmt numFmtId="184" formatCode="#,##0.00\ ;&quot; (&quot;#,##0.00\);&quot; -&quot;#\ ;@\ "/>
    <numFmt numFmtId="185" formatCode="_-&quot;€ &quot;* #,##0.00_-;&quot;-€ &quot;* #,##0.00_-;_-&quot;€ &quot;* \-??_-;_-@_-"/>
    <numFmt numFmtId="186" formatCode="#,##0.000"/>
    <numFmt numFmtId="187" formatCode="_-&quot;R$&quot;\ * #,##0.0000_-;\-&quot;R$&quot;\ * #,##0.0000_-;_-&quot;R$&quot;\ * &quot;-&quot;??_-;_-@_-"/>
  </numFmts>
  <fonts count="116">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0"/>
      <name val="Arial"/>
      <family val="2"/>
    </font>
    <font>
      <b/>
      <sz val="14"/>
      <name val="Arial"/>
      <family val="2"/>
    </font>
    <font>
      <b/>
      <sz val="12"/>
      <name val="Arial"/>
      <family val="2"/>
    </font>
    <font>
      <sz val="11"/>
      <color rgb="FFFF0000"/>
      <name val="Calibri"/>
      <family val="2"/>
      <scheme val="minor"/>
    </font>
    <font>
      <b/>
      <sz val="12"/>
      <color indexed="8"/>
      <name val="Arial"/>
      <family val="2"/>
    </font>
    <font>
      <b/>
      <sz val="10"/>
      <color indexed="8"/>
      <name val="Arial"/>
      <family val="2"/>
    </font>
    <font>
      <sz val="8"/>
      <color indexed="8"/>
      <name val="Arial"/>
      <family val="2"/>
    </font>
    <font>
      <sz val="10"/>
      <color indexed="8"/>
      <name val="Arial"/>
      <family val="2"/>
    </font>
    <font>
      <sz val="3"/>
      <name val="Arial"/>
      <family val="2"/>
    </font>
    <font>
      <b/>
      <sz val="3"/>
      <name val="Arial"/>
      <family val="2"/>
    </font>
    <font>
      <i/>
      <sz val="10"/>
      <name val="Arial"/>
      <family val="2"/>
    </font>
    <font>
      <u/>
      <sz val="10"/>
      <name val="Arial"/>
      <family val="2"/>
    </font>
    <font>
      <b/>
      <i/>
      <sz val="14"/>
      <name val="Arial"/>
      <family val="2"/>
    </font>
    <font>
      <sz val="10"/>
      <color indexed="8"/>
      <name val="Calibri"/>
      <family val="2"/>
    </font>
    <font>
      <sz val="8"/>
      <name val="Arial"/>
      <family val="2"/>
    </font>
    <font>
      <sz val="9"/>
      <name val="Arial"/>
      <family val="2"/>
    </font>
    <font>
      <b/>
      <sz val="9"/>
      <name val="Arial"/>
      <family val="2"/>
    </font>
    <font>
      <sz val="9"/>
      <color indexed="81"/>
      <name val="Segoe UI"/>
      <family val="2"/>
    </font>
    <font>
      <b/>
      <sz val="9"/>
      <color indexed="81"/>
      <name val="Tahoma"/>
      <family val="2"/>
    </font>
    <font>
      <sz val="9"/>
      <color indexed="81"/>
      <name val="Tahoma"/>
      <family val="2"/>
    </font>
    <font>
      <sz val="10"/>
      <color indexed="81"/>
      <name val="Tahoma"/>
      <family val="2"/>
    </font>
    <font>
      <b/>
      <sz val="10"/>
      <color indexed="81"/>
      <name val="Tahoma"/>
      <family val="2"/>
    </font>
    <font>
      <sz val="11"/>
      <name val="Calibri"/>
      <family val="2"/>
      <scheme val="minor"/>
    </font>
    <font>
      <sz val="10"/>
      <color theme="1"/>
      <name val="Calibri"/>
      <family val="2"/>
      <scheme val="minor"/>
    </font>
    <font>
      <b/>
      <sz val="11"/>
      <color indexed="8"/>
      <name val="Calibri"/>
      <family val="2"/>
    </font>
    <font>
      <u/>
      <sz val="11"/>
      <color theme="10"/>
      <name val="Calibri"/>
      <family val="2"/>
      <scheme val="minor"/>
    </font>
    <font>
      <sz val="11"/>
      <color indexed="8"/>
      <name val="Calibri"/>
      <family val="2"/>
    </font>
    <font>
      <sz val="11"/>
      <color theme="1"/>
      <name val="Calibri"/>
      <family val="2"/>
    </font>
    <font>
      <sz val="11"/>
      <name val="Calibri"/>
      <family val="2"/>
    </font>
    <font>
      <sz val="11"/>
      <color rgb="FFFF0000"/>
      <name val="Calibri"/>
      <family val="2"/>
    </font>
    <font>
      <b/>
      <sz val="12"/>
      <color indexed="8"/>
      <name val="Calibri"/>
      <family val="2"/>
    </font>
    <font>
      <b/>
      <sz val="11"/>
      <name val="Arial"/>
      <family val="2"/>
    </font>
    <font>
      <b/>
      <sz val="12"/>
      <color theme="1"/>
      <name val="Calibri"/>
      <family val="2"/>
      <scheme val="minor"/>
    </font>
    <font>
      <b/>
      <sz val="9"/>
      <name val="Calibri"/>
      <family val="2"/>
    </font>
    <font>
      <b/>
      <sz val="10.5"/>
      <color theme="1"/>
      <name val="Calibri"/>
      <family val="2"/>
      <scheme val="minor"/>
    </font>
    <font>
      <b/>
      <sz val="10"/>
      <color theme="1"/>
      <name val="Calibri"/>
      <family val="2"/>
      <scheme val="minor"/>
    </font>
    <font>
      <b/>
      <sz val="9"/>
      <color theme="1"/>
      <name val="Arial"/>
      <family val="2"/>
    </font>
    <font>
      <b/>
      <sz val="11"/>
      <color theme="1"/>
      <name val="Arial"/>
      <family val="2"/>
    </font>
    <font>
      <sz val="11"/>
      <color theme="1"/>
      <name val="Arial"/>
      <family val="2"/>
    </font>
    <font>
      <sz val="10"/>
      <color theme="1"/>
      <name val="Arial"/>
      <family val="2"/>
    </font>
    <font>
      <b/>
      <sz val="10"/>
      <color theme="1"/>
      <name val="Arial"/>
      <family val="2"/>
    </font>
    <font>
      <u/>
      <sz val="10"/>
      <color theme="10"/>
      <name val="Arial"/>
      <family val="2"/>
    </font>
    <font>
      <i/>
      <sz val="11"/>
      <color theme="1"/>
      <name val="Calibri"/>
      <family val="2"/>
      <scheme val="minor"/>
    </font>
    <font>
      <b/>
      <sz val="11"/>
      <name val="Calibri"/>
      <family val="2"/>
    </font>
    <font>
      <b/>
      <sz val="10"/>
      <color rgb="FF5A5A5A"/>
      <name val="Trebuchet MS"/>
      <family val="2"/>
    </font>
    <font>
      <b/>
      <sz val="16"/>
      <color theme="1"/>
      <name val="Calibri"/>
      <family val="2"/>
      <scheme val="minor"/>
    </font>
    <font>
      <sz val="10"/>
      <color rgb="FF000000"/>
      <name val="Calibri"/>
      <family val="2"/>
      <scheme val="minor"/>
    </font>
    <font>
      <b/>
      <sz val="10"/>
      <name val="Calibri"/>
      <family val="2"/>
      <scheme val="minor"/>
    </font>
    <font>
      <sz val="10"/>
      <name val="Calibri"/>
      <family val="2"/>
      <scheme val="minor"/>
    </font>
    <font>
      <b/>
      <sz val="12"/>
      <color theme="1"/>
      <name val="Arial"/>
      <family val="2"/>
    </font>
    <font>
      <sz val="11"/>
      <color theme="2"/>
      <name val="Calibri"/>
      <family val="2"/>
      <scheme val="minor"/>
    </font>
    <font>
      <i/>
      <sz val="11"/>
      <color theme="1"/>
      <name val="Calibri"/>
      <family val="2"/>
    </font>
    <font>
      <b/>
      <sz val="18"/>
      <color theme="1"/>
      <name val="Calibri"/>
      <family val="2"/>
      <scheme val="minor"/>
    </font>
    <font>
      <i/>
      <sz val="11"/>
      <name val="Calibri"/>
      <family val="2"/>
    </font>
    <font>
      <i/>
      <sz val="11"/>
      <name val="Calibri"/>
      <family val="2"/>
      <scheme val="minor"/>
    </font>
    <font>
      <sz val="1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2"/>
      <name val="Swis721 Md BT"/>
      <family val="2"/>
    </font>
    <font>
      <sz val="9"/>
      <color indexed="8"/>
      <name val="Arial"/>
      <family val="2"/>
    </font>
    <font>
      <sz val="9"/>
      <color indexed="12"/>
      <name val="Arial"/>
      <family val="2"/>
    </font>
    <font>
      <b/>
      <sz val="9"/>
      <color indexed="10"/>
      <name val="Arial"/>
      <family val="2"/>
    </font>
    <font>
      <sz val="10"/>
      <color rgb="FF000000"/>
      <name val="Segoe UI"/>
      <family val="2"/>
    </font>
    <font>
      <sz val="9"/>
      <color indexed="22"/>
      <name val="Arial"/>
      <family val="2"/>
    </font>
    <font>
      <b/>
      <sz val="18"/>
      <color theme="3"/>
      <name val="Calibri Light"/>
      <family val="2"/>
      <scheme val="major"/>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5"/>
      <color indexed="62"/>
      <name val="Calibri"/>
      <family val="2"/>
    </font>
    <font>
      <b/>
      <sz val="18"/>
      <name val="Times New Roman"/>
      <family val="1"/>
    </font>
    <font>
      <b/>
      <sz val="8"/>
      <name val="Arial"/>
      <family val="2"/>
    </font>
    <font>
      <i/>
      <sz val="8"/>
      <color indexed="12"/>
      <name val="Arial"/>
      <family val="2"/>
    </font>
    <font>
      <sz val="10"/>
      <name val="SimSun"/>
      <family val="2"/>
    </font>
    <font>
      <sz val="10"/>
      <name val="Courier New"/>
      <family val="3"/>
    </font>
    <font>
      <sz val="11"/>
      <color rgb="FF000000"/>
      <name val="Calibri"/>
      <family val="2"/>
      <charset val="204"/>
    </font>
    <font>
      <sz val="11"/>
      <color rgb="FF000000"/>
      <name val="Calibri"/>
      <family val="2"/>
      <charset val="1"/>
    </font>
    <font>
      <u/>
      <sz val="10"/>
      <color indexed="12"/>
      <name val="Arial"/>
      <family val="2"/>
    </font>
    <font>
      <sz val="8"/>
      <color indexed="8"/>
      <name val="Arial Narrow"/>
      <family val="2"/>
    </font>
    <font>
      <sz val="11"/>
      <color rgb="FF000000"/>
      <name val="Calibri"/>
      <family val="2"/>
      <scheme val="minor"/>
    </font>
    <font>
      <b/>
      <sz val="9"/>
      <color rgb="FF6E6C6C"/>
      <name val="Arial"/>
      <family val="2"/>
    </font>
    <font>
      <b/>
      <i/>
      <sz val="12"/>
      <color theme="1"/>
      <name val="Calibri"/>
      <family val="2"/>
      <scheme val="minor"/>
    </font>
    <font>
      <b/>
      <sz val="11"/>
      <color rgb="FFFF0000"/>
      <name val="Calibri"/>
      <family val="2"/>
      <scheme val="minor"/>
    </font>
    <font>
      <b/>
      <i/>
      <sz val="11"/>
      <color theme="1"/>
      <name val="Calibri"/>
      <family val="2"/>
      <scheme val="minor"/>
    </font>
    <font>
      <sz val="12"/>
      <color theme="1"/>
      <name val="Calibri"/>
      <family val="2"/>
      <scheme val="minor"/>
    </font>
    <font>
      <sz val="12"/>
      <color rgb="FF000000"/>
      <name val="Calibri"/>
      <family val="2"/>
      <scheme val="minor"/>
    </font>
    <font>
      <b/>
      <sz val="12"/>
      <name val="Calibri"/>
      <family val="2"/>
      <scheme val="minor"/>
    </font>
    <font>
      <sz val="12"/>
      <name val="Calibri"/>
      <family val="2"/>
      <scheme val="minor"/>
    </font>
    <font>
      <sz val="10.5"/>
      <name val="Calibri"/>
      <family val="2"/>
      <scheme val="minor"/>
    </font>
    <font>
      <b/>
      <sz val="10.5"/>
      <name val="Calibri"/>
      <family val="2"/>
      <scheme val="minor"/>
    </font>
  </fonts>
  <fills count="96">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indexed="26"/>
        <bgColor indexed="64"/>
      </patternFill>
    </fill>
    <fill>
      <patternFill patternType="solid">
        <fgColor indexed="55"/>
        <bgColor indexed="64"/>
      </patternFill>
    </fill>
    <fill>
      <patternFill patternType="solid">
        <fgColor indexed="9"/>
        <bgColor indexed="64"/>
      </patternFill>
    </fill>
    <fill>
      <patternFill patternType="solid">
        <fgColor theme="0" tint="-0.14999847407452621"/>
        <bgColor indexed="64"/>
      </patternFill>
    </fill>
    <fill>
      <patternFill patternType="solid">
        <fgColor theme="0"/>
        <bgColor rgb="FF000000"/>
      </patternFill>
    </fill>
    <fill>
      <patternFill patternType="solid">
        <fgColor theme="2"/>
        <bgColor indexed="64"/>
      </patternFill>
    </fill>
    <fill>
      <patternFill patternType="solid">
        <fgColor rgb="FF92D050"/>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2"/>
        <bgColor indexed="64"/>
      </patternFill>
    </fill>
    <fill>
      <patternFill patternType="lightUp">
        <bgColor theme="0" tint="-4.9989318521683403E-2"/>
      </patternFill>
    </fill>
    <fill>
      <patternFill patternType="solid">
        <fgColor indexed="31"/>
        <bgColor indexed="64"/>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7"/>
      </patternFill>
    </fill>
    <fill>
      <patternFill patternType="solid">
        <fgColor indexed="26"/>
      </patternFill>
    </fill>
    <fill>
      <patternFill patternType="solid">
        <fgColor indexed="4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22"/>
      </patternFill>
    </fill>
    <fill>
      <patternFill patternType="solid">
        <fgColor indexed="4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27"/>
        <bgColor indexed="41"/>
      </patternFill>
    </fill>
    <fill>
      <patternFill patternType="solid">
        <fgColor indexed="47"/>
        <bgColor indexed="22"/>
      </patternFill>
    </fill>
    <fill>
      <patternFill patternType="gray0625"/>
    </fill>
    <fill>
      <patternFill patternType="solid">
        <fgColor indexed="31"/>
      </patternFill>
    </fill>
    <fill>
      <patternFill patternType="solid">
        <fgColor indexed="45"/>
      </patternFill>
    </fill>
    <fill>
      <patternFill patternType="solid">
        <fgColor indexed="46"/>
      </patternFill>
    </fill>
    <fill>
      <patternFill patternType="solid">
        <fgColor indexed="2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rgb="FFFFFF00"/>
        <bgColor indexed="64"/>
      </patternFill>
    </fill>
  </fills>
  <borders count="189">
    <border>
      <left/>
      <right/>
      <top/>
      <bottom/>
      <diagonal/>
    </border>
    <border>
      <left style="thin">
        <color indexed="64"/>
      </left>
      <right style="thin">
        <color indexed="64"/>
      </right>
      <top style="hair">
        <color indexed="64"/>
      </top>
      <bottom style="hair">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medium">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right style="thin">
        <color indexed="64"/>
      </right>
      <top style="hair">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style="thin">
        <color indexed="64"/>
      </right>
      <top style="hair">
        <color indexed="64"/>
      </top>
      <bottom style="medium">
        <color indexed="64"/>
      </bottom>
      <diagonal/>
    </border>
    <border>
      <left/>
      <right style="thin">
        <color indexed="64"/>
      </right>
      <top style="thin">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style="thin">
        <color indexed="64"/>
      </right>
      <top/>
      <bottom/>
      <diagonal/>
    </border>
    <border>
      <left style="hair">
        <color indexed="64"/>
      </left>
      <right style="medium">
        <color indexed="64"/>
      </right>
      <top/>
      <bottom style="hair">
        <color indexed="64"/>
      </bottom>
      <diagonal/>
    </border>
    <border>
      <left style="thin">
        <color indexed="64"/>
      </left>
      <right/>
      <top style="hair">
        <color indexed="64"/>
      </top>
      <bottom style="hair">
        <color indexed="64"/>
      </bottom>
      <diagonal/>
    </border>
    <border>
      <left style="medium">
        <color indexed="64"/>
      </left>
      <right style="thin">
        <color indexed="64"/>
      </right>
      <top/>
      <bottom/>
      <diagonal/>
    </border>
    <border>
      <left style="thin">
        <color indexed="64"/>
      </left>
      <right/>
      <top style="medium">
        <color indexed="64"/>
      </top>
      <bottom style="medium">
        <color indexed="64"/>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medium">
        <color indexed="64"/>
      </bottom>
      <diagonal/>
    </border>
    <border>
      <left style="medium">
        <color indexed="64"/>
      </left>
      <right style="thin">
        <color indexed="64"/>
      </right>
      <top/>
      <bottom style="thin">
        <color indexed="64"/>
      </bottom>
      <diagonal/>
    </border>
    <border>
      <left style="hair">
        <color indexed="64"/>
      </left>
      <right style="hair">
        <color indexed="64"/>
      </right>
      <top/>
      <bottom/>
      <diagonal/>
    </border>
    <border>
      <left style="hair">
        <color indexed="64"/>
      </left>
      <right style="medium">
        <color indexed="64"/>
      </right>
      <top/>
      <bottom/>
      <diagonal/>
    </border>
    <border>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style="thin">
        <color indexed="62"/>
      </top>
      <bottom style="double">
        <color indexed="62"/>
      </bottom>
      <diagonal/>
    </border>
    <border>
      <left style="double">
        <color indexed="8"/>
      </left>
      <right style="thin">
        <color indexed="8"/>
      </right>
      <top style="double">
        <color indexed="8"/>
      </top>
      <bottom/>
      <diagonal/>
    </border>
    <border>
      <left/>
      <right/>
      <top/>
      <bottom style="thick">
        <color indexed="56"/>
      </bottom>
      <diagonal/>
    </border>
    <border>
      <left/>
      <right/>
      <top/>
      <bottom style="thick">
        <color indexed="49"/>
      </bottom>
      <diagonal/>
    </border>
    <border>
      <left style="thin">
        <color indexed="64"/>
      </left>
      <right style="thin">
        <color indexed="64"/>
      </right>
      <top style="medium">
        <color indexed="64"/>
      </top>
      <bottom/>
      <diagonal/>
    </border>
    <border>
      <left style="hair">
        <color indexed="23"/>
      </left>
      <right style="hair">
        <color indexed="23"/>
      </right>
      <top style="hair">
        <color indexed="23"/>
      </top>
      <bottom style="hair">
        <color indexed="23"/>
      </bottom>
      <diagonal/>
    </border>
    <border>
      <left style="hair">
        <color auto="1"/>
      </left>
      <right style="hair">
        <color auto="1"/>
      </right>
      <top style="hair">
        <color auto="1"/>
      </top>
      <bottom/>
      <diagonal/>
    </border>
    <border>
      <left style="hair">
        <color indexed="64"/>
      </left>
      <right style="medium">
        <color indexed="64"/>
      </right>
      <top style="hair">
        <color indexed="64"/>
      </top>
      <bottom/>
      <diagonal/>
    </border>
    <border>
      <left/>
      <right style="hair">
        <color auto="1"/>
      </right>
      <top style="hair">
        <color auto="1"/>
      </top>
      <bottom style="hair">
        <color auto="1"/>
      </bottom>
      <diagonal/>
    </border>
    <border>
      <left/>
      <right style="medium">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style="hair">
        <color auto="1"/>
      </top>
      <bottom style="hair">
        <color auto="1"/>
      </bottom>
      <diagonal/>
    </border>
    <border>
      <left style="thin">
        <color indexed="64"/>
      </left>
      <right style="hair">
        <color indexed="64"/>
      </right>
      <top style="hair">
        <color indexed="64"/>
      </top>
      <bottom/>
      <diagonal/>
    </border>
    <border>
      <left style="thin">
        <color indexed="64"/>
      </left>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right style="thin">
        <color indexed="64"/>
      </right>
      <top style="medium">
        <color indexed="64"/>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
      <left/>
      <right style="hair">
        <color indexed="64"/>
      </right>
      <top style="thin">
        <color indexed="64"/>
      </top>
      <bottom/>
      <diagonal/>
    </border>
    <border>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right/>
      <top style="hair">
        <color indexed="64"/>
      </top>
      <bottom/>
      <diagonal/>
    </border>
    <border>
      <left style="hair">
        <color indexed="64"/>
      </left>
      <right/>
      <top style="hair">
        <color indexed="64"/>
      </top>
      <bottom/>
      <diagonal/>
    </border>
    <border>
      <left/>
      <right/>
      <top/>
      <bottom style="hair">
        <color indexed="64"/>
      </bottom>
      <diagonal/>
    </border>
    <border>
      <left/>
      <right style="hair">
        <color indexed="64"/>
      </right>
      <top/>
      <bottom/>
      <diagonal/>
    </border>
    <border>
      <left/>
      <right style="hair">
        <color indexed="64"/>
      </right>
      <top style="hair">
        <color indexed="64"/>
      </top>
      <bottom style="thin">
        <color indexed="64"/>
      </bottom>
      <diagonal/>
    </border>
    <border>
      <left/>
      <right style="hair">
        <color indexed="64"/>
      </right>
      <top style="hair">
        <color indexed="64"/>
      </top>
      <bottom/>
      <diagonal/>
    </border>
    <border>
      <left style="hair">
        <color indexed="64"/>
      </left>
      <right/>
      <top/>
      <bottom/>
      <diagonal/>
    </border>
    <border>
      <left style="hair">
        <color indexed="64"/>
      </left>
      <right/>
      <top style="thin">
        <color indexed="64"/>
      </top>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auto="1"/>
      </left>
      <right style="hair">
        <color auto="1"/>
      </right>
      <top style="thin">
        <color indexed="64"/>
      </top>
      <bottom/>
      <diagonal/>
    </border>
    <border>
      <left style="hair">
        <color indexed="64"/>
      </left>
      <right/>
      <top/>
      <bottom style="thin">
        <color indexed="64"/>
      </bottom>
      <diagonal/>
    </border>
    <border>
      <left style="hair">
        <color indexed="64"/>
      </left>
      <right/>
      <top style="hair">
        <color indexed="64"/>
      </top>
      <bottom style="hair">
        <color indexed="64"/>
      </bottom>
      <diagonal/>
    </border>
    <border>
      <left/>
      <right style="hair">
        <color auto="1"/>
      </right>
      <top/>
      <bottom style="hair">
        <color auto="1"/>
      </bottom>
      <diagonal/>
    </border>
    <border>
      <left style="medium">
        <color indexed="64"/>
      </left>
      <right/>
      <top style="thin">
        <color indexed="64"/>
      </top>
      <bottom style="hair">
        <color indexed="64"/>
      </bottom>
      <diagonal/>
    </border>
    <border>
      <left style="medium">
        <color indexed="64"/>
      </left>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top style="hair">
        <color indexed="64"/>
      </top>
      <bottom/>
      <diagonal/>
    </border>
    <border>
      <left style="medium">
        <color indexed="64"/>
      </left>
      <right/>
      <top style="hair">
        <color auto="1"/>
      </top>
      <bottom style="hair">
        <color auto="1"/>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bottom style="hair">
        <color indexed="64"/>
      </bottom>
      <diagonal/>
    </border>
    <border>
      <left/>
      <right style="medium">
        <color indexed="64"/>
      </right>
      <top/>
      <bottom style="hair">
        <color auto="1"/>
      </bottom>
      <diagonal/>
    </border>
    <border>
      <left style="hair">
        <color indexed="64"/>
      </left>
      <right style="medium">
        <color indexed="64"/>
      </right>
      <top/>
      <bottom style="thin">
        <color indexed="64"/>
      </bottom>
      <diagonal/>
    </border>
    <border>
      <left/>
      <right style="medium">
        <color indexed="64"/>
      </right>
      <top style="hair">
        <color auto="1"/>
      </top>
      <bottom style="medium">
        <color indexed="64"/>
      </bottom>
      <diagonal/>
    </border>
  </borders>
  <cellStyleXfs count="2184">
    <xf numFmtId="0" fontId="0" fillId="0" borderId="0"/>
    <xf numFmtId="44" fontId="1" fillId="0" borderId="0" applyFont="0" applyFill="0" applyBorder="0" applyAlignment="0" applyProtection="0"/>
    <xf numFmtId="0" fontId="3" fillId="0" borderId="0"/>
    <xf numFmtId="9"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1" fillId="0" borderId="0"/>
    <xf numFmtId="0" fontId="29" fillId="0" borderId="0" applyNumberFormat="0" applyFill="0" applyBorder="0" applyAlignment="0" applyProtection="0"/>
    <xf numFmtId="168" fontId="30" fillId="0" borderId="0" applyFont="0" applyFill="0" applyBorder="0" applyAlignment="0" applyProtection="0"/>
    <xf numFmtId="43" fontId="1" fillId="0" borderId="0" applyFont="0" applyFill="0" applyBorder="0" applyAlignment="0" applyProtection="0"/>
    <xf numFmtId="0" fontId="11" fillId="0" borderId="0">
      <alignment vertical="top"/>
    </xf>
    <xf numFmtId="43" fontId="1" fillId="0" borderId="0" applyFont="0" applyFill="0" applyBorder="0" applyAlignment="0" applyProtection="0"/>
    <xf numFmtId="43" fontId="1" fillId="0" borderId="0" applyFont="0" applyFill="0" applyBorder="0" applyAlignment="0" applyProtection="0"/>
    <xf numFmtId="167"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7" fontId="3" fillId="0" borderId="0" applyFont="0" applyFill="0" applyBorder="0" applyAlignment="0" applyProtection="0"/>
    <xf numFmtId="9" fontId="3" fillId="0" borderId="0" applyFont="0" applyFill="0" applyBorder="0" applyAlignment="0" applyProtection="0"/>
    <xf numFmtId="0" fontId="30" fillId="48" borderId="0" applyNumberFormat="0" applyBorder="0" applyProtection="0">
      <alignment vertical="top"/>
    </xf>
    <xf numFmtId="0" fontId="30" fillId="49" borderId="0" applyNumberFormat="0" applyBorder="0" applyProtection="0">
      <alignment vertical="top"/>
    </xf>
    <xf numFmtId="0" fontId="30" fillId="50" borderId="0" applyNumberFormat="0" applyBorder="0" applyProtection="0">
      <alignment vertical="top"/>
    </xf>
    <xf numFmtId="0" fontId="30" fillId="51" borderId="0" applyNumberFormat="0" applyBorder="0" applyProtection="0">
      <alignment vertical="top"/>
    </xf>
    <xf numFmtId="0" fontId="30" fillId="52" borderId="0" applyNumberFormat="0" applyBorder="0" applyProtection="0">
      <alignment vertical="top"/>
    </xf>
    <xf numFmtId="0" fontId="30" fillId="53" borderId="0" applyNumberFormat="0" applyBorder="0" applyProtection="0">
      <alignment vertical="top"/>
    </xf>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42" borderId="0" applyNumberFormat="0" applyBorder="0" applyAlignment="0" applyProtection="0"/>
    <xf numFmtId="0" fontId="30" fillId="57" borderId="0" applyNumberFormat="0" applyBorder="0" applyProtection="0">
      <alignment vertical="top"/>
    </xf>
    <xf numFmtId="0" fontId="30" fillId="58" borderId="0" applyNumberFormat="0" applyBorder="0" applyProtection="0">
      <alignment vertical="top"/>
    </xf>
    <xf numFmtId="0" fontId="30" fillId="59" borderId="0" applyNumberFormat="0" applyBorder="0" applyProtection="0">
      <alignment vertical="top"/>
    </xf>
    <xf numFmtId="0" fontId="30" fillId="51" borderId="0" applyNumberFormat="0" applyBorder="0" applyProtection="0">
      <alignment vertical="top"/>
    </xf>
    <xf numFmtId="0" fontId="30" fillId="57" borderId="0" applyNumberFormat="0" applyBorder="0" applyProtection="0">
      <alignment vertical="top"/>
    </xf>
    <xf numFmtId="0" fontId="30" fillId="60" borderId="0" applyNumberFormat="0" applyBorder="0" applyProtection="0">
      <alignment vertical="top"/>
    </xf>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80" fillId="63" borderId="0" applyNumberFormat="0" applyBorder="0" applyProtection="0">
      <alignment vertical="top"/>
    </xf>
    <xf numFmtId="0" fontId="80" fillId="58" borderId="0" applyNumberFormat="0" applyBorder="0" applyProtection="0">
      <alignment vertical="top"/>
    </xf>
    <xf numFmtId="0" fontId="80" fillId="59" borderId="0" applyNumberFormat="0" applyBorder="0" applyProtection="0">
      <alignment vertical="top"/>
    </xf>
    <xf numFmtId="0" fontId="80" fillId="64" borderId="0" applyNumberFormat="0" applyBorder="0" applyProtection="0">
      <alignment vertical="top"/>
    </xf>
    <xf numFmtId="0" fontId="80" fillId="65" borderId="0" applyNumberFormat="0" applyBorder="0" applyProtection="0">
      <alignment vertical="top"/>
    </xf>
    <xf numFmtId="0" fontId="80" fillId="66" borderId="0" applyNumberFormat="0" applyBorder="0" applyProtection="0">
      <alignment vertical="top"/>
    </xf>
    <xf numFmtId="0" fontId="72" fillId="24" borderId="0" applyNumberFormat="0" applyBorder="0" applyAlignment="0" applyProtection="0"/>
    <xf numFmtId="0" fontId="72" fillId="28" borderId="0" applyNumberFormat="0" applyBorder="0" applyAlignment="0" applyProtection="0"/>
    <xf numFmtId="0" fontId="72" fillId="32" borderId="0" applyNumberFormat="0" applyBorder="0" applyAlignment="0" applyProtection="0"/>
    <xf numFmtId="0" fontId="72" fillId="36" borderId="0" applyNumberFormat="0" applyBorder="0" applyAlignment="0" applyProtection="0"/>
    <xf numFmtId="0" fontId="72" fillId="40" borderId="0" applyNumberFormat="0" applyBorder="0" applyAlignment="0" applyProtection="0"/>
    <xf numFmtId="0" fontId="72" fillId="44" borderId="0" applyNumberFormat="0" applyBorder="0" applyAlignment="0" applyProtection="0"/>
    <xf numFmtId="0" fontId="80" fillId="67" borderId="0" applyNumberFormat="0" applyBorder="0" applyProtection="0">
      <alignment vertical="top"/>
    </xf>
    <xf numFmtId="0" fontId="80" fillId="68" borderId="0" applyNumberFormat="0" applyBorder="0" applyProtection="0">
      <alignment vertical="top"/>
    </xf>
    <xf numFmtId="0" fontId="80" fillId="69" borderId="0" applyNumberFormat="0" applyBorder="0" applyProtection="0">
      <alignment vertical="top"/>
    </xf>
    <xf numFmtId="0" fontId="80" fillId="64" borderId="0" applyNumberFormat="0" applyBorder="0" applyProtection="0">
      <alignment vertical="top"/>
    </xf>
    <xf numFmtId="0" fontId="80" fillId="65" borderId="0" applyNumberFormat="0" applyBorder="0" applyProtection="0">
      <alignment vertical="top"/>
    </xf>
    <xf numFmtId="0" fontId="80" fillId="70" borderId="0" applyNumberFormat="0" applyBorder="0" applyProtection="0">
      <alignment vertical="top"/>
    </xf>
    <xf numFmtId="0" fontId="86" fillId="49" borderId="0" applyNumberFormat="0" applyBorder="0" applyProtection="0">
      <alignment vertical="top"/>
    </xf>
    <xf numFmtId="0" fontId="81" fillId="56" borderId="0" applyNumberFormat="0" applyBorder="0" applyAlignment="0" applyProtection="0"/>
    <xf numFmtId="0" fontId="60" fillId="0" borderId="109" applyNumberFormat="0" applyFill="0" applyAlignment="0" applyProtection="0"/>
    <xf numFmtId="0" fontId="61" fillId="0" borderId="110" applyNumberFormat="0" applyFill="0" applyAlignment="0" applyProtection="0"/>
    <xf numFmtId="0" fontId="62" fillId="0" borderId="111" applyNumberFormat="0" applyFill="0" applyAlignment="0" applyProtection="0"/>
    <xf numFmtId="0" fontId="62" fillId="0" borderId="0" applyNumberFormat="0" applyFill="0" applyBorder="0" applyAlignment="0" applyProtection="0"/>
    <xf numFmtId="0" fontId="82" fillId="71" borderId="119" applyNumberFormat="0" applyProtection="0">
      <alignment vertical="top"/>
    </xf>
    <xf numFmtId="0" fontId="82" fillId="61" borderId="119" applyNumberFormat="0" applyAlignment="0" applyProtection="0"/>
    <xf numFmtId="0" fontId="68" fillId="18" borderId="112" applyNumberFormat="0" applyAlignment="0" applyProtection="0"/>
    <xf numFmtId="0" fontId="83" fillId="72" borderId="120" applyNumberFormat="0" applyAlignment="0" applyProtection="0"/>
    <xf numFmtId="0" fontId="69" fillId="0" borderId="114" applyNumberFormat="0" applyFill="0" applyAlignment="0" applyProtection="0"/>
    <xf numFmtId="0" fontId="83" fillId="73" borderId="120" applyNumberFormat="0" applyProtection="0">
      <alignment vertical="top"/>
    </xf>
    <xf numFmtId="0" fontId="72" fillId="21" borderId="0" applyNumberFormat="0" applyBorder="0" applyAlignment="0" applyProtection="0"/>
    <xf numFmtId="0" fontId="72" fillId="25" borderId="0" applyNumberFormat="0" applyBorder="0" applyAlignment="0" applyProtection="0"/>
    <xf numFmtId="0" fontId="72" fillId="29" borderId="0" applyNumberFormat="0" applyBorder="0" applyAlignment="0" applyProtection="0"/>
    <xf numFmtId="0" fontId="72" fillId="33" borderId="0" applyNumberFormat="0" applyBorder="0" applyAlignment="0" applyProtection="0"/>
    <xf numFmtId="0" fontId="72" fillId="37" borderId="0" applyNumberFormat="0" applyBorder="0" applyAlignment="0" applyProtection="0"/>
    <xf numFmtId="0" fontId="72" fillId="41" borderId="0" applyNumberFormat="0" applyBorder="0" applyAlignment="0" applyProtection="0"/>
    <xf numFmtId="0" fontId="63" fillId="14" borderId="0" applyNumberFormat="0" applyBorder="0" applyAlignment="0" applyProtection="0"/>
    <xf numFmtId="0" fontId="85" fillId="54" borderId="119" applyNumberFormat="0" applyAlignment="0" applyProtection="0"/>
    <xf numFmtId="0" fontId="66" fillId="17" borderId="112" applyNumberFormat="0" applyAlignment="0" applyProtection="0"/>
    <xf numFmtId="0" fontId="11" fillId="0" borderId="0">
      <alignment vertical="top"/>
    </xf>
    <xf numFmtId="0" fontId="90" fillId="0" borderId="0" applyNumberFormat="0" applyFill="0" applyBorder="0" applyProtection="0">
      <alignment vertical="top"/>
    </xf>
    <xf numFmtId="0" fontId="81" fillId="50" borderId="0" applyNumberFormat="0" applyBorder="0" applyProtection="0">
      <alignment vertical="top"/>
    </xf>
    <xf numFmtId="0" fontId="91" fillId="0" borderId="0" applyNumberFormat="0" applyFill="0" applyBorder="0" applyProtection="0">
      <alignment vertical="top"/>
    </xf>
    <xf numFmtId="0" fontId="93" fillId="0" borderId="118" applyNumberFormat="0" applyFill="0" applyProtection="0">
      <alignment vertical="top"/>
    </xf>
    <xf numFmtId="0" fontId="94" fillId="0" borderId="122" applyNumberFormat="0" applyFill="0" applyProtection="0">
      <alignment vertical="top"/>
    </xf>
    <xf numFmtId="0" fontId="94" fillId="0" borderId="0" applyNumberFormat="0" applyFill="0" applyBorder="0" applyProtection="0">
      <alignment vertical="top"/>
    </xf>
    <xf numFmtId="0" fontId="64" fillId="15" borderId="0" applyNumberFormat="0" applyBorder="0" applyAlignment="0" applyProtection="0"/>
    <xf numFmtId="0" fontId="85" fillId="53" borderId="119" applyNumberFormat="0" applyProtection="0">
      <alignment vertical="top"/>
    </xf>
    <xf numFmtId="0" fontId="84" fillId="0" borderId="121" applyNumberFormat="0" applyFill="0" applyProtection="0">
      <alignment vertical="top"/>
    </xf>
    <xf numFmtId="0" fontId="87" fillId="62" borderId="0" applyNumberFormat="0" applyBorder="0" applyAlignment="0" applyProtection="0"/>
    <xf numFmtId="0" fontId="87" fillId="74" borderId="0" applyNumberFormat="0" applyBorder="0" applyProtection="0">
      <alignment vertical="top"/>
    </xf>
    <xf numFmtId="0" fontId="65" fillId="16" borderId="0" applyNumberFormat="0" applyBorder="0" applyAlignment="0" applyProtection="0"/>
    <xf numFmtId="0" fontId="1" fillId="0" borderId="0"/>
    <xf numFmtId="0" fontId="3" fillId="0" borderId="0">
      <alignment vertical="top"/>
    </xf>
    <xf numFmtId="0" fontId="3" fillId="0" borderId="0">
      <alignment vertical="top"/>
    </xf>
    <xf numFmtId="0" fontId="3" fillId="55" borderId="123" applyNumberFormat="0" applyFont="0" applyAlignment="0" applyProtection="0"/>
    <xf numFmtId="0" fontId="1" fillId="20" borderId="116" applyNumberFormat="0" applyFont="0" applyAlignment="0" applyProtection="0"/>
    <xf numFmtId="0" fontId="11" fillId="75" borderId="123" applyNumberFormat="0" applyProtection="0">
      <alignment vertical="top"/>
    </xf>
    <xf numFmtId="0" fontId="88" fillId="71" borderId="124" applyNumberFormat="0" applyProtection="0">
      <alignment vertical="top"/>
    </xf>
    <xf numFmtId="9" fontId="11" fillId="0" borderId="0" applyFill="0" applyBorder="0" applyProtection="0">
      <alignment vertical="top"/>
    </xf>
    <xf numFmtId="0" fontId="88" fillId="61" borderId="124" applyNumberFormat="0" applyAlignment="0" applyProtection="0"/>
    <xf numFmtId="0" fontId="67" fillId="18" borderId="113" applyNumberFormat="0" applyAlignment="0" applyProtection="0"/>
    <xf numFmtId="43" fontId="3" fillId="0" borderId="0" applyFont="0" applyFill="0" applyBorder="0" applyAlignment="0" applyProtection="0"/>
    <xf numFmtId="0" fontId="89" fillId="0" borderId="0" applyNumberFormat="0" applyFill="0" applyBorder="0" applyAlignment="0" applyProtection="0"/>
    <xf numFmtId="0" fontId="7" fillId="0" borderId="0" applyNumberFormat="0" applyFill="0" applyBorder="0" applyAlignment="0" applyProtection="0"/>
    <xf numFmtId="0" fontId="90" fillId="0" borderId="0" applyNumberFormat="0" applyFill="0" applyBorder="0" applyAlignment="0" applyProtection="0"/>
    <xf numFmtId="0" fontId="71" fillId="0" borderId="0" applyNumberFormat="0" applyFill="0" applyBorder="0" applyAlignment="0" applyProtection="0"/>
    <xf numFmtId="0" fontId="91" fillId="0" borderId="0" applyNumberFormat="0" applyFill="0" applyBorder="0" applyAlignment="0" applyProtection="0"/>
    <xf numFmtId="0" fontId="92" fillId="0" borderId="125" applyNumberFormat="0" applyFill="0" applyProtection="0">
      <alignment vertical="top"/>
    </xf>
    <xf numFmtId="0" fontId="79" fillId="0" borderId="0" applyNumberFormat="0" applyFill="0" applyBorder="0" applyAlignment="0" applyProtection="0"/>
    <xf numFmtId="0" fontId="28" fillId="0" borderId="126" applyNumberFormat="0" applyFill="0" applyProtection="0">
      <alignment vertical="top"/>
    </xf>
    <xf numFmtId="0" fontId="2" fillId="0" borderId="117" applyNumberFormat="0" applyFill="0" applyAlignment="0" applyProtection="0"/>
    <xf numFmtId="0" fontId="70" fillId="19" borderId="115" applyNumberFormat="0" applyAlignment="0" applyProtection="0"/>
    <xf numFmtId="0" fontId="89" fillId="0" borderId="0" applyNumberFormat="0" applyFill="0" applyBorder="0" applyProtection="0">
      <alignment vertical="top"/>
    </xf>
    <xf numFmtId="0" fontId="30" fillId="48" borderId="0" applyNumberFormat="0" applyBorder="0" applyAlignment="0" applyProtection="0"/>
    <xf numFmtId="0" fontId="30" fillId="48" borderId="0" applyNumberFormat="0" applyBorder="0" applyAlignment="0" applyProtection="0"/>
    <xf numFmtId="0" fontId="30" fillId="48" borderId="0" applyNumberFormat="0" applyBorder="0" applyAlignment="0" applyProtection="0"/>
    <xf numFmtId="0" fontId="30" fillId="48" borderId="0" applyNumberFormat="0" applyBorder="0" applyAlignment="0" applyProtection="0"/>
    <xf numFmtId="0" fontId="30" fillId="48" borderId="0" applyNumberFormat="0" applyBorder="0" applyAlignment="0" applyProtection="0"/>
    <xf numFmtId="0" fontId="30" fillId="48" borderId="0" applyNumberFormat="0" applyBorder="0" applyAlignment="0" applyProtection="0"/>
    <xf numFmtId="0" fontId="30" fillId="48" borderId="0" applyNumberFormat="0" applyBorder="0" applyAlignment="0" applyProtection="0"/>
    <xf numFmtId="0" fontId="30" fillId="48" borderId="0" applyNumberFormat="0" applyBorder="0" applyAlignment="0" applyProtection="0"/>
    <xf numFmtId="0" fontId="30" fillId="49" borderId="0" applyNumberFormat="0" applyBorder="0" applyAlignment="0" applyProtection="0"/>
    <xf numFmtId="0" fontId="30" fillId="49" borderId="0" applyNumberFormat="0" applyBorder="0" applyAlignment="0" applyProtection="0"/>
    <xf numFmtId="0" fontId="30" fillId="49" borderId="0" applyNumberFormat="0" applyBorder="0" applyAlignment="0" applyProtection="0"/>
    <xf numFmtId="0" fontId="30" fillId="49" borderId="0" applyNumberFormat="0" applyBorder="0" applyAlignment="0" applyProtection="0"/>
    <xf numFmtId="0" fontId="30" fillId="49" borderId="0" applyNumberFormat="0" applyBorder="0" applyAlignment="0" applyProtection="0"/>
    <xf numFmtId="0" fontId="30" fillId="49" borderId="0" applyNumberFormat="0" applyBorder="0" applyAlignment="0" applyProtection="0"/>
    <xf numFmtId="0" fontId="30" fillId="49" borderId="0" applyNumberFormat="0" applyBorder="0" applyAlignment="0" applyProtection="0"/>
    <xf numFmtId="0" fontId="30" fillId="49"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76" borderId="0" applyNumberFormat="0" applyBorder="0" applyAlignment="0" applyProtection="0"/>
    <xf numFmtId="0" fontId="30" fillId="76" borderId="0" applyNumberFormat="0" applyBorder="0" applyAlignment="0" applyProtection="0"/>
    <xf numFmtId="0" fontId="30" fillId="76" borderId="0" applyNumberFormat="0" applyBorder="0" applyAlignment="0" applyProtection="0"/>
    <xf numFmtId="0" fontId="30" fillId="76" borderId="0" applyNumberFormat="0" applyBorder="0" applyAlignment="0" applyProtection="0"/>
    <xf numFmtId="0" fontId="30" fillId="76" borderId="0" applyNumberFormat="0" applyBorder="0" applyAlignment="0" applyProtection="0"/>
    <xf numFmtId="0" fontId="30" fillId="76" borderId="0" applyNumberFormat="0" applyBorder="0" applyAlignment="0" applyProtection="0"/>
    <xf numFmtId="0" fontId="30" fillId="76" borderId="0" applyNumberFormat="0" applyBorder="0" applyAlignment="0" applyProtection="0"/>
    <xf numFmtId="0" fontId="30" fillId="76" borderId="0" applyNumberFormat="0" applyBorder="0" applyAlignment="0" applyProtection="0"/>
    <xf numFmtId="0" fontId="30" fillId="77" borderId="0" applyNumberFormat="0" applyBorder="0" applyAlignment="0" applyProtection="0"/>
    <xf numFmtId="0" fontId="30" fillId="77" borderId="0" applyNumberFormat="0" applyBorder="0" applyAlignment="0" applyProtection="0"/>
    <xf numFmtId="0" fontId="30" fillId="77" borderId="0" applyNumberFormat="0" applyBorder="0" applyAlignment="0" applyProtection="0"/>
    <xf numFmtId="0" fontId="30" fillId="77" borderId="0" applyNumberFormat="0" applyBorder="0" applyAlignment="0" applyProtection="0"/>
    <xf numFmtId="0" fontId="30" fillId="77" borderId="0" applyNumberFormat="0" applyBorder="0" applyAlignment="0" applyProtection="0"/>
    <xf numFmtId="0" fontId="30" fillId="77" borderId="0" applyNumberFormat="0" applyBorder="0" applyAlignment="0" applyProtection="0"/>
    <xf numFmtId="0" fontId="30" fillId="77" borderId="0" applyNumberFormat="0" applyBorder="0" applyAlignment="0" applyProtection="0"/>
    <xf numFmtId="0" fontId="30" fillId="7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80" fillId="63" borderId="0" applyNumberFormat="0" applyBorder="0" applyAlignment="0" applyProtection="0"/>
    <xf numFmtId="0" fontId="80" fillId="58" borderId="0" applyNumberFormat="0" applyBorder="0" applyAlignment="0" applyProtection="0"/>
    <xf numFmtId="0" fontId="80" fillId="59" borderId="0" applyNumberFormat="0" applyBorder="0" applyAlignment="0" applyProtection="0"/>
    <xf numFmtId="0" fontId="80" fillId="64" borderId="0" applyNumberFormat="0" applyBorder="0" applyAlignment="0" applyProtection="0"/>
    <xf numFmtId="0" fontId="80" fillId="65" borderId="0" applyNumberFormat="0" applyBorder="0" applyAlignment="0" applyProtection="0"/>
    <xf numFmtId="0" fontId="80" fillId="66" borderId="0" applyNumberFormat="0" applyBorder="0" applyAlignment="0" applyProtection="0"/>
    <xf numFmtId="0" fontId="81" fillId="50" borderId="0" applyNumberFormat="0" applyBorder="0" applyAlignment="0" applyProtection="0"/>
    <xf numFmtId="0" fontId="82" fillId="71" borderId="119" applyNumberFormat="0" applyAlignment="0" applyProtection="0"/>
    <xf numFmtId="0" fontId="83" fillId="73" borderId="120" applyNumberFormat="0" applyAlignment="0" applyProtection="0"/>
    <xf numFmtId="0" fontId="84" fillId="0" borderId="121" applyNumberFormat="0" applyFill="0" applyAlignment="0" applyProtection="0"/>
    <xf numFmtId="180" fontId="96" fillId="0" borderId="0" applyNumberFormat="0" applyFill="0" applyBorder="0">
      <alignment horizontal="left" vertical="center"/>
      <protection locked="0"/>
    </xf>
    <xf numFmtId="180" fontId="97" fillId="78" borderId="0" applyNumberFormat="0" applyBorder="0">
      <alignment horizontal="center" vertical="center"/>
    </xf>
    <xf numFmtId="180" fontId="97" fillId="78" borderId="0" applyNumberFormat="0" applyBorder="0">
      <alignment horizontal="center" vertical="center"/>
    </xf>
    <xf numFmtId="180" fontId="98" fillId="78" borderId="94" applyNumberFormat="0" applyFill="0" applyBorder="0" applyProtection="0">
      <alignment horizontal="left"/>
      <protection locked="0"/>
    </xf>
    <xf numFmtId="0" fontId="80" fillId="67" borderId="0" applyNumberFormat="0" applyBorder="0" applyAlignment="0" applyProtection="0"/>
    <xf numFmtId="0" fontId="80" fillId="68" borderId="0" applyNumberFormat="0" applyBorder="0" applyAlignment="0" applyProtection="0"/>
    <xf numFmtId="0" fontId="80" fillId="69" borderId="0" applyNumberFormat="0" applyBorder="0" applyAlignment="0" applyProtection="0"/>
    <xf numFmtId="0" fontId="80" fillId="64" borderId="0" applyNumberFormat="0" applyBorder="0" applyAlignment="0" applyProtection="0"/>
    <xf numFmtId="0" fontId="80" fillId="65" borderId="0" applyNumberFormat="0" applyBorder="0" applyAlignment="0" applyProtection="0"/>
    <xf numFmtId="0" fontId="80" fillId="70" borderId="0" applyNumberFormat="0" applyBorder="0" applyAlignment="0" applyProtection="0"/>
    <xf numFmtId="0" fontId="85" fillId="77" borderId="119"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2" fontId="99" fillId="0" borderId="0" applyFill="0" applyBorder="0" applyAlignment="0" applyProtection="0"/>
    <xf numFmtId="181" fontId="3" fillId="0" borderId="0" applyFont="0" applyFill="0" applyBorder="0" applyAlignment="0" applyProtection="0"/>
    <xf numFmtId="0" fontId="86" fillId="49" borderId="0" applyNumberFormat="0" applyBorder="0" applyAlignment="0" applyProtection="0"/>
    <xf numFmtId="0" fontId="3" fillId="0" borderId="0">
      <alignment horizontal="centerContinuous" vertical="justify"/>
    </xf>
    <xf numFmtId="0" fontId="3" fillId="0" borderId="0">
      <alignment horizontal="centerContinuous" vertical="justify"/>
    </xf>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44"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44"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83" fontId="99" fillId="0" borderId="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83" fontId="99" fillId="0" borderId="0" applyFill="0" applyBorder="0" applyAlignment="0" applyProtection="0"/>
    <xf numFmtId="168" fontId="3" fillId="0" borderId="0" applyFont="0" applyFill="0" applyBorder="0" applyAlignment="0" applyProtection="0"/>
    <xf numFmtId="183" fontId="3" fillId="0" borderId="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83" fontId="3" fillId="0" borderId="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83" fontId="99" fillId="0" borderId="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83" fontId="99" fillId="0" borderId="0" applyFill="0" applyBorder="0" applyAlignment="0" applyProtection="0"/>
    <xf numFmtId="168"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83" fontId="3" fillId="0" borderId="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83" fontId="3" fillId="0" borderId="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84" fontId="3" fillId="0" borderId="0" applyFill="0" applyBorder="0" applyAlignment="0" applyProtection="0"/>
    <xf numFmtId="184" fontId="3" fillId="0" borderId="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87" fillId="7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0" borderId="0"/>
    <xf numFmtId="0" fontId="30" fillId="0" borderId="0"/>
    <xf numFmtId="0" fontId="3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0" borderId="0"/>
    <xf numFmtId="0" fontId="30" fillId="0" borderId="0"/>
    <xf numFmtId="0" fontId="30" fillId="0" borderId="0"/>
    <xf numFmtId="0" fontId="3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 fillId="0" borderId="0"/>
    <xf numFmtId="0" fontId="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 fillId="0" borderId="0"/>
    <xf numFmtId="0" fontId="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 fillId="0" borderId="0"/>
    <xf numFmtId="0" fontId="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4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0"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3" fillId="0" borderId="0"/>
    <xf numFmtId="0" fontId="3"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3" fillId="0" borderId="0"/>
    <xf numFmtId="0" fontId="3"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100" fillId="0" borderId="0"/>
    <xf numFmtId="0" fontId="3" fillId="0" borderId="0"/>
    <xf numFmtId="0" fontId="3" fillId="0" borderId="0"/>
    <xf numFmtId="0" fontId="100" fillId="0" borderId="0"/>
    <xf numFmtId="0" fontId="100" fillId="0" borderId="0"/>
    <xf numFmtId="0" fontId="100" fillId="0" borderId="0"/>
    <xf numFmtId="0" fontId="100" fillId="0" borderId="0"/>
    <xf numFmtId="0" fontId="10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75" borderId="123" applyNumberFormat="0" applyAlignment="0" applyProtection="0"/>
    <xf numFmtId="0" fontId="3" fillId="75" borderId="123" applyNumberFormat="0" applyAlignment="0" applyProtection="0"/>
    <xf numFmtId="0" fontId="30" fillId="20" borderId="116" applyNumberFormat="0" applyFont="0" applyAlignment="0" applyProtection="0"/>
    <xf numFmtId="0" fontId="30" fillId="20" borderId="116" applyNumberFormat="0" applyFont="0" applyAlignment="0" applyProtection="0"/>
    <xf numFmtId="0" fontId="30" fillId="20" borderId="116" applyNumberFormat="0" applyFont="0" applyAlignment="0" applyProtection="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0" applyNumberFormat="0" applyBorder="0" applyAlignment="0"/>
    <xf numFmtId="0" fontId="3" fillId="0" borderId="0" applyNumberFormat="0" applyBorder="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0" fontId="3" fillId="0" borderId="127" applyNumberFormat="0" applyFont="0" applyAlignment="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99" fillId="0" borderId="0" applyFill="0" applyBorder="0" applyAlignment="0" applyProtection="0"/>
    <xf numFmtId="9" fontId="3" fillId="0" borderId="0" applyFont="0" applyFill="0" applyBorder="0" applyAlignment="0" applyProtection="0"/>
    <xf numFmtId="9" fontId="3" fillId="0" borderId="0" applyFill="0" applyBorder="0" applyAlignment="0" applyProtection="0"/>
    <xf numFmtId="9" fontId="3" fillId="0" borderId="0" applyFill="0" applyBorder="0" applyAlignment="0" applyProtection="0"/>
    <xf numFmtId="9" fontId="99" fillId="0" borderId="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99" fillId="0" borderId="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99" fillId="0" borderId="0" applyFill="0" applyBorder="0" applyAlignment="0" applyProtection="0"/>
    <xf numFmtId="9" fontId="3" fillId="0" borderId="0" applyFont="0" applyFill="0" applyBorder="0" applyAlignment="0" applyProtection="0"/>
    <xf numFmtId="9" fontId="3" fillId="0" borderId="0" applyFill="0" applyBorder="0" applyAlignment="0" applyProtection="0"/>
    <xf numFmtId="9" fontId="3" fillId="0" borderId="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99" fillId="0" borderId="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ill="0" applyAlignment="0" applyProtection="0"/>
    <xf numFmtId="9" fontId="3" fillId="0" borderId="0" applyFill="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88" fillId="71" borderId="124"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8" fontId="99"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8" fontId="99" fillId="0" borderId="0" applyFill="0" applyBorder="0" applyAlignment="0" applyProtection="0"/>
    <xf numFmtId="43" fontId="3" fillId="0" borderId="0" applyFont="0" applyFill="0" applyBorder="0" applyAlignment="0" applyProtection="0"/>
    <xf numFmtId="178"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8"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78" fontId="99" fillId="0" borderId="0" applyFill="0" applyBorder="0" applyAlignment="0" applyProtection="0"/>
    <xf numFmtId="44" fontId="3" fillId="0" borderId="0" applyFill="0" applyBorder="0" applyAlignment="0" applyProtection="0"/>
    <xf numFmtId="44" fontId="3" fillId="0" borderId="0" applyFill="0" applyBorder="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184" fontId="3" fillId="0" borderId="0" applyFill="0" applyAlignment="0" applyProtection="0"/>
    <xf numFmtId="44" fontId="3" fillId="0" borderId="0" applyFill="0" applyBorder="0" applyAlignment="0" applyProtection="0"/>
    <xf numFmtId="44"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02" fillId="0" borderId="0"/>
    <xf numFmtId="0" fontId="89" fillId="0" borderId="0" applyNumberFormat="0" applyFill="0" applyBorder="0" applyAlignment="0" applyProtection="0"/>
    <xf numFmtId="0" fontId="90" fillId="0" borderId="0" applyNumberFormat="0" applyFill="0" applyBorder="0" applyAlignment="0" applyProtection="0"/>
    <xf numFmtId="0" fontId="95" fillId="0" borderId="129" applyNumberFormat="0" applyFill="0" applyAlignment="0" applyProtection="0"/>
    <xf numFmtId="0" fontId="95" fillId="0" borderId="128" applyNumberFormat="0" applyFill="0" applyAlignment="0" applyProtection="0"/>
    <xf numFmtId="0" fontId="92" fillId="0" borderId="125" applyNumberFormat="0" applyFill="0" applyAlignment="0" applyProtection="0"/>
    <xf numFmtId="0" fontId="95" fillId="0" borderId="129"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2" fillId="0" borderId="125" applyNumberFormat="0" applyFill="0" applyAlignment="0" applyProtection="0"/>
    <xf numFmtId="0" fontId="91" fillId="0" borderId="0" applyNumberFormat="0" applyFill="0" applyBorder="0" applyAlignment="0" applyProtection="0"/>
    <xf numFmtId="0" fontId="93" fillId="0" borderId="118" applyNumberFormat="0" applyFill="0" applyAlignment="0" applyProtection="0"/>
    <xf numFmtId="0" fontId="94" fillId="0" borderId="122" applyNumberFormat="0" applyFill="0" applyAlignment="0" applyProtection="0"/>
    <xf numFmtId="0" fontId="94" fillId="0" borderId="0" applyNumberFormat="0" applyFill="0" applyBorder="0" applyAlignment="0" applyProtection="0"/>
    <xf numFmtId="0" fontId="91" fillId="0" borderId="0" applyNumberFormat="0" applyFill="0" applyBorder="0" applyAlignment="0" applyProtection="0"/>
    <xf numFmtId="0" fontId="28" fillId="0" borderId="126" applyNumberFormat="0" applyFill="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81" fillId="56" borderId="0" applyNumberFormat="0" applyBorder="0" applyAlignment="0" applyProtection="0"/>
    <xf numFmtId="0" fontId="68" fillId="18" borderId="112" applyNumberFormat="0" applyAlignment="0" applyProtection="0"/>
    <xf numFmtId="0" fontId="83" fillId="72" borderId="120" applyNumberFormat="0" applyAlignment="0" applyProtection="0"/>
    <xf numFmtId="0" fontId="66" fillId="17" borderId="112" applyNumberFormat="0" applyAlignment="0" applyProtection="0"/>
    <xf numFmtId="0" fontId="11" fillId="0" borderId="0">
      <alignment vertical="top"/>
    </xf>
    <xf numFmtId="44" fontId="3" fillId="0" borderId="0" applyFont="0" applyFill="0" applyBorder="0" applyAlignment="0" applyProtection="0"/>
    <xf numFmtId="0" fontId="87" fillId="62" borderId="0" applyNumberFormat="0" applyBorder="0" applyAlignment="0" applyProtection="0"/>
    <xf numFmtId="0" fontId="1" fillId="0" borderId="0"/>
    <xf numFmtId="0" fontId="3" fillId="0" borderId="0">
      <alignment vertical="top"/>
    </xf>
    <xf numFmtId="0" fontId="3" fillId="0" borderId="0">
      <alignment vertical="top"/>
    </xf>
    <xf numFmtId="0" fontId="11" fillId="0" borderId="0">
      <alignment vertical="top"/>
    </xf>
    <xf numFmtId="0" fontId="1" fillId="20" borderId="116" applyNumberFormat="0" applyFont="0" applyAlignment="0" applyProtection="0"/>
    <xf numFmtId="0" fontId="3" fillId="55" borderId="123" applyNumberFormat="0" applyFont="0" applyAlignment="0" applyProtection="0"/>
    <xf numFmtId="9" fontId="3" fillId="0" borderId="0" applyFont="0" applyFill="0" applyBorder="0" applyAlignment="0" applyProtection="0"/>
    <xf numFmtId="9" fontId="11" fillId="0" borderId="0" applyFill="0" applyBorder="0" applyProtection="0">
      <alignment vertical="top"/>
    </xf>
    <xf numFmtId="0" fontId="67" fillId="18" borderId="113" applyNumberFormat="0" applyAlignment="0" applyProtection="0"/>
    <xf numFmtId="43" fontId="1"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0" fontId="7" fillId="0" borderId="0" applyNumberFormat="0" applyFill="0" applyBorder="0" applyAlignment="0" applyProtection="0"/>
    <xf numFmtId="0" fontId="71" fillId="0" borderId="0" applyNumberFormat="0" applyFill="0" applyBorder="0" applyAlignment="0" applyProtection="0"/>
    <xf numFmtId="0" fontId="92" fillId="0" borderId="125" applyNumberFormat="0" applyFill="0" applyProtection="0">
      <alignment vertical="top"/>
    </xf>
    <xf numFmtId="0" fontId="79" fillId="0" borderId="0" applyNumberFormat="0" applyFill="0" applyBorder="0" applyAlignment="0" applyProtection="0"/>
    <xf numFmtId="0" fontId="2" fillId="0" borderId="117" applyNumberFormat="0" applyFill="0" applyAlignment="0" applyProtection="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2" fillId="0" borderId="117" applyNumberFormat="0" applyFill="0" applyAlignment="0" applyProtection="0"/>
    <xf numFmtId="0" fontId="79" fillId="0" borderId="0" applyNumberFormat="0" applyFill="0" applyBorder="0" applyAlignment="0" applyProtection="0"/>
    <xf numFmtId="0" fontId="92" fillId="0" borderId="125" applyNumberFormat="0" applyFill="0" applyProtection="0">
      <alignment vertical="top"/>
    </xf>
    <xf numFmtId="0" fontId="71" fillId="0" borderId="0" applyNumberFormat="0" applyFill="0" applyBorder="0" applyAlignment="0" applyProtection="0"/>
    <xf numFmtId="0" fontId="7" fillId="0" borderId="0" applyNumberFormat="0" applyFill="0" applyBorder="0" applyAlignment="0" applyProtection="0"/>
    <xf numFmtId="0" fontId="67" fillId="18" borderId="113" applyNumberFormat="0" applyAlignment="0" applyProtection="0"/>
    <xf numFmtId="9" fontId="11" fillId="0" borderId="0" applyFill="0" applyBorder="0" applyProtection="0">
      <alignment vertical="top"/>
    </xf>
    <xf numFmtId="0" fontId="1" fillId="20" borderId="116" applyNumberFormat="0" applyFont="0" applyAlignment="0" applyProtection="0"/>
    <xf numFmtId="0" fontId="3" fillId="55" borderId="123" applyNumberFormat="0" applyFont="0" applyAlignment="0" applyProtection="0"/>
    <xf numFmtId="0" fontId="3" fillId="0" borderId="0">
      <alignment vertical="top"/>
    </xf>
    <xf numFmtId="0" fontId="3" fillId="0" borderId="0">
      <alignment vertical="top"/>
    </xf>
    <xf numFmtId="0" fontId="1" fillId="0" borderId="0"/>
    <xf numFmtId="0" fontId="87" fillId="62" borderId="0" applyNumberFormat="0" applyBorder="0" applyAlignment="0" applyProtection="0"/>
    <xf numFmtId="0" fontId="11" fillId="0" borderId="0">
      <alignment vertical="top"/>
    </xf>
    <xf numFmtId="0" fontId="66" fillId="17" borderId="112" applyNumberFormat="0" applyAlignment="0" applyProtection="0"/>
    <xf numFmtId="0" fontId="83" fillId="72" borderId="120" applyNumberFormat="0" applyAlignment="0" applyProtection="0"/>
    <xf numFmtId="0" fontId="68" fillId="18" borderId="112" applyNumberFormat="0" applyAlignment="0" applyProtection="0"/>
    <xf numFmtId="0" fontId="81" fillId="56" borderId="0" applyNumberFormat="0" applyBorder="0" applyAlignment="0" applyProtection="0"/>
    <xf numFmtId="0" fontId="11" fillId="0" borderId="0">
      <alignment vertical="top"/>
    </xf>
    <xf numFmtId="43" fontId="3" fillId="0" borderId="0" applyFont="0" applyFill="0" applyBorder="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ill="0" applyBorder="0" applyAlignment="0" applyProtection="0"/>
    <xf numFmtId="44" fontId="3" fillId="0" borderId="0" applyFill="0" applyBorder="0" applyAlignment="0" applyProtection="0"/>
    <xf numFmtId="44" fontId="3" fillId="0" borderId="0" applyFill="0" applyBorder="0" applyAlignment="0" applyProtection="0"/>
    <xf numFmtId="44"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103" fillId="0" borderId="0" applyNumberForma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0" fontId="3" fillId="0" borderId="0"/>
    <xf numFmtId="0" fontId="30" fillId="79" borderId="0" applyNumberFormat="0" applyBorder="0" applyAlignment="0" applyProtection="0"/>
    <xf numFmtId="0" fontId="30" fillId="80" borderId="0" applyNumberFormat="0" applyBorder="0" applyAlignment="0" applyProtection="0"/>
    <xf numFmtId="0" fontId="30" fillId="56" borderId="0" applyNumberFormat="0" applyBorder="0" applyAlignment="0" applyProtection="0"/>
    <xf numFmtId="0" fontId="30" fillId="81" borderId="0" applyNumberFormat="0" applyBorder="0" applyAlignment="0" applyProtection="0"/>
    <xf numFmtId="0" fontId="30" fillId="82" borderId="0" applyNumberFormat="0" applyBorder="0" applyAlignment="0" applyProtection="0"/>
    <xf numFmtId="0" fontId="30" fillId="54" borderId="0" applyNumberFormat="0" applyBorder="0" applyAlignment="0" applyProtection="0"/>
    <xf numFmtId="0" fontId="30" fillId="83" borderId="0" applyNumberFormat="0" applyBorder="0" applyAlignment="0" applyProtection="0"/>
    <xf numFmtId="0" fontId="30" fillId="84" borderId="0" applyNumberFormat="0" applyBorder="0" applyAlignment="0" applyProtection="0"/>
    <xf numFmtId="0" fontId="30" fillId="85" borderId="0" applyNumberFormat="0" applyBorder="0" applyAlignment="0" applyProtection="0"/>
    <xf numFmtId="0" fontId="30" fillId="81" borderId="0" applyNumberFormat="0" applyBorder="0" applyAlignment="0" applyProtection="0"/>
    <xf numFmtId="0" fontId="30" fillId="83" borderId="0" applyNumberFormat="0" applyBorder="0" applyAlignment="0" applyProtection="0"/>
    <xf numFmtId="0" fontId="30" fillId="86" borderId="0" applyNumberFormat="0" applyBorder="0" applyAlignment="0" applyProtection="0"/>
    <xf numFmtId="0" fontId="80" fillId="87" borderId="0" applyNumberFormat="0" applyBorder="0" applyAlignment="0" applyProtection="0"/>
    <xf numFmtId="0" fontId="80" fillId="84" borderId="0" applyNumberFormat="0" applyBorder="0" applyAlignment="0" applyProtection="0"/>
    <xf numFmtId="0" fontId="80" fillId="85" borderId="0" applyNumberFormat="0" applyBorder="0" applyAlignment="0" applyProtection="0"/>
    <xf numFmtId="0" fontId="80" fillId="88" borderId="0" applyNumberFormat="0" applyBorder="0" applyAlignment="0" applyProtection="0"/>
    <xf numFmtId="0" fontId="80" fillId="89" borderId="0" applyNumberFormat="0" applyBorder="0" applyAlignment="0" applyProtection="0"/>
    <xf numFmtId="0" fontId="80" fillId="90" borderId="0" applyNumberFormat="0" applyBorder="0" applyAlignment="0" applyProtection="0"/>
    <xf numFmtId="0" fontId="80" fillId="91" borderId="0" applyNumberFormat="0" applyBorder="0" applyAlignment="0" applyProtection="0"/>
    <xf numFmtId="0" fontId="80" fillId="92" borderId="0" applyNumberFormat="0" applyBorder="0" applyAlignment="0" applyProtection="0"/>
    <xf numFmtId="0" fontId="80" fillId="93" borderId="0" applyNumberFormat="0" applyBorder="0" applyAlignment="0" applyProtection="0"/>
    <xf numFmtId="0" fontId="80" fillId="88" borderId="0" applyNumberFormat="0" applyBorder="0" applyAlignment="0" applyProtection="0"/>
    <xf numFmtId="0" fontId="80" fillId="89" borderId="0" applyNumberFormat="0" applyBorder="0" applyAlignment="0" applyProtection="0"/>
    <xf numFmtId="0" fontId="80" fillId="94" borderId="0" applyNumberFormat="0" applyBorder="0" applyAlignment="0" applyProtection="0"/>
    <xf numFmtId="0" fontId="104" fillId="0" borderId="17" applyNumberFormat="0" applyFont="0" applyAlignment="0">
      <alignment horizontal="left" vertical="top" indent="1"/>
    </xf>
    <xf numFmtId="0" fontId="86" fillId="80" borderId="0" applyNumberFormat="0" applyBorder="0" applyAlignment="0" applyProtection="0"/>
    <xf numFmtId="0" fontId="82" fillId="61" borderId="119" applyNumberFormat="0" applyAlignment="0" applyProtection="0"/>
    <xf numFmtId="0" fontId="83" fillId="72" borderId="120" applyNumberFormat="0" applyAlignment="0" applyProtection="0"/>
    <xf numFmtId="178" fontId="3" fillId="0" borderId="0" applyFill="0" applyBorder="0" applyAlignment="0" applyProtection="0"/>
    <xf numFmtId="185" fontId="3" fillId="0" borderId="0" applyFill="0" applyBorder="0" applyAlignment="0" applyProtection="0"/>
    <xf numFmtId="0" fontId="90" fillId="0" borderId="0" applyNumberFormat="0" applyFill="0" applyBorder="0" applyAlignment="0" applyProtection="0"/>
    <xf numFmtId="0" fontId="81" fillId="56" borderId="0" applyNumberFormat="0" applyBorder="0" applyAlignment="0" applyProtection="0"/>
    <xf numFmtId="0" fontId="92" fillId="0" borderId="125" applyNumberFormat="0" applyFill="0" applyAlignment="0" applyProtection="0"/>
    <xf numFmtId="0" fontId="93" fillId="0" borderId="118" applyNumberFormat="0" applyFill="0" applyAlignment="0" applyProtection="0"/>
    <xf numFmtId="0" fontId="94" fillId="0" borderId="122" applyNumberFormat="0" applyFill="0" applyAlignment="0" applyProtection="0"/>
    <xf numFmtId="0" fontId="94" fillId="0" borderId="0" applyNumberFormat="0" applyFill="0" applyBorder="0" applyAlignment="0" applyProtection="0"/>
    <xf numFmtId="0" fontId="85" fillId="54" borderId="119" applyNumberFormat="0" applyAlignment="0" applyProtection="0"/>
    <xf numFmtId="0" fontId="84" fillId="0" borderId="121" applyNumberFormat="0" applyFill="0" applyAlignment="0" applyProtection="0"/>
    <xf numFmtId="168" fontId="30" fillId="0" borderId="0" applyFont="0" applyFill="0" applyBorder="0" applyAlignment="0" applyProtection="0"/>
    <xf numFmtId="0" fontId="87" fillId="62" borderId="0" applyNumberFormat="0" applyBorder="0" applyAlignment="0" applyProtection="0"/>
    <xf numFmtId="0" fontId="30" fillId="0" borderId="0"/>
    <xf numFmtId="0" fontId="3" fillId="55" borderId="123" applyNumberFormat="0" applyFont="0" applyAlignment="0" applyProtection="0"/>
    <xf numFmtId="0" fontId="88" fillId="61" borderId="124" applyNumberFormat="0" applyAlignment="0" applyProtection="0"/>
    <xf numFmtId="9" fontId="3" fillId="0" borderId="0" applyFill="0" applyBorder="0" applyAlignment="0" applyProtection="0"/>
    <xf numFmtId="43" fontId="30" fillId="0" borderId="0" applyFon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2" fillId="0" borderId="125" applyNumberFormat="0" applyFill="0" applyAlignment="0" applyProtection="0"/>
    <xf numFmtId="0" fontId="89" fillId="0" borderId="0" applyNumberFormat="0" applyFill="0" applyBorder="0" applyAlignment="0" applyProtection="0"/>
    <xf numFmtId="0" fontId="1" fillId="0" borderId="0"/>
    <xf numFmtId="0" fontId="1" fillId="0" borderId="0"/>
    <xf numFmtId="43" fontId="3" fillId="0" borderId="0" applyFont="0" applyFill="0" applyBorder="0" applyAlignment="0" applyProtection="0"/>
    <xf numFmtId="43" fontId="3" fillId="0" borderId="0" applyFont="0" applyFill="0" applyBorder="0" applyAlignment="0" applyProtection="0"/>
    <xf numFmtId="178" fontId="3" fillId="0" borderId="0" applyFill="0" applyBorder="0" applyAlignment="0" applyProtection="0"/>
    <xf numFmtId="185" fontId="3" fillId="0" borderId="0" applyFill="0" applyBorder="0" applyAlignment="0" applyProtection="0"/>
    <xf numFmtId="0" fontId="3" fillId="55" borderId="123" applyNumberFormat="0" applyFont="0" applyAlignment="0" applyProtection="0"/>
    <xf numFmtId="9" fontId="3" fillId="0" borderId="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1" fillId="0" borderId="0">
      <alignment vertical="top"/>
    </xf>
    <xf numFmtId="0" fontId="1" fillId="0" borderId="0"/>
    <xf numFmtId="0" fontId="105" fillId="0" borderId="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43" fontId="3"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0" fillId="48" borderId="0" applyNumberFormat="0" applyBorder="0" applyProtection="0">
      <alignment vertical="top"/>
    </xf>
    <xf numFmtId="0" fontId="30" fillId="49" borderId="0" applyNumberFormat="0" applyBorder="0" applyProtection="0">
      <alignment vertical="top"/>
    </xf>
    <xf numFmtId="0" fontId="30" fillId="50" borderId="0" applyNumberFormat="0" applyBorder="0" applyProtection="0">
      <alignment vertical="top"/>
    </xf>
    <xf numFmtId="0" fontId="30" fillId="51" borderId="0" applyNumberFormat="0" applyBorder="0" applyProtection="0">
      <alignment vertical="top"/>
    </xf>
    <xf numFmtId="0" fontId="30" fillId="52" borderId="0" applyNumberFormat="0" applyBorder="0" applyProtection="0">
      <alignment vertical="top"/>
    </xf>
    <xf numFmtId="0" fontId="30" fillId="53" borderId="0" applyNumberFormat="0" applyBorder="0" applyProtection="0">
      <alignment vertical="top"/>
    </xf>
    <xf numFmtId="0" fontId="30" fillId="57" borderId="0" applyNumberFormat="0" applyBorder="0" applyProtection="0">
      <alignment vertical="top"/>
    </xf>
    <xf numFmtId="0" fontId="30" fillId="58" borderId="0" applyNumberFormat="0" applyBorder="0" applyProtection="0">
      <alignment vertical="top"/>
    </xf>
    <xf numFmtId="0" fontId="30" fillId="59" borderId="0" applyNumberFormat="0" applyBorder="0" applyProtection="0">
      <alignment vertical="top"/>
    </xf>
    <xf numFmtId="0" fontId="30" fillId="51" borderId="0" applyNumberFormat="0" applyBorder="0" applyProtection="0">
      <alignment vertical="top"/>
    </xf>
    <xf numFmtId="0" fontId="30" fillId="57" borderId="0" applyNumberFormat="0" applyBorder="0" applyProtection="0">
      <alignment vertical="top"/>
    </xf>
    <xf numFmtId="0" fontId="30" fillId="60" borderId="0" applyNumberFormat="0" applyBorder="0" applyProtection="0">
      <alignment vertical="top"/>
    </xf>
    <xf numFmtId="0" fontId="80" fillId="63" borderId="0" applyNumberFormat="0" applyBorder="0" applyProtection="0">
      <alignment vertical="top"/>
    </xf>
    <xf numFmtId="0" fontId="80" fillId="58" borderId="0" applyNumberFormat="0" applyBorder="0" applyProtection="0">
      <alignment vertical="top"/>
    </xf>
    <xf numFmtId="0" fontId="80" fillId="59" borderId="0" applyNumberFormat="0" applyBorder="0" applyProtection="0">
      <alignment vertical="top"/>
    </xf>
    <xf numFmtId="0" fontId="80" fillId="64" borderId="0" applyNumberFormat="0" applyBorder="0" applyProtection="0">
      <alignment vertical="top"/>
    </xf>
    <xf numFmtId="0" fontId="80" fillId="65" borderId="0" applyNumberFormat="0" applyBorder="0" applyProtection="0">
      <alignment vertical="top"/>
    </xf>
    <xf numFmtId="0" fontId="80" fillId="66" borderId="0" applyNumberFormat="0" applyBorder="0" applyProtection="0">
      <alignment vertical="top"/>
    </xf>
    <xf numFmtId="0" fontId="80" fillId="67" borderId="0" applyNumberFormat="0" applyBorder="0" applyProtection="0">
      <alignment vertical="top"/>
    </xf>
    <xf numFmtId="0" fontId="80" fillId="68" borderId="0" applyNumberFormat="0" applyBorder="0" applyProtection="0">
      <alignment vertical="top"/>
    </xf>
    <xf numFmtId="0" fontId="80" fillId="69" borderId="0" applyNumberFormat="0" applyBorder="0" applyProtection="0">
      <alignment vertical="top"/>
    </xf>
    <xf numFmtId="0" fontId="80" fillId="64" borderId="0" applyNumberFormat="0" applyBorder="0" applyProtection="0">
      <alignment vertical="top"/>
    </xf>
    <xf numFmtId="0" fontId="80" fillId="65" borderId="0" applyNumberFormat="0" applyBorder="0" applyProtection="0">
      <alignment vertical="top"/>
    </xf>
    <xf numFmtId="0" fontId="80" fillId="70" borderId="0" applyNumberFormat="0" applyBorder="0" applyProtection="0">
      <alignment vertical="top"/>
    </xf>
    <xf numFmtId="0" fontId="86" fillId="49" borderId="0" applyNumberFormat="0" applyBorder="0" applyProtection="0">
      <alignment vertical="top"/>
    </xf>
    <xf numFmtId="0" fontId="82" fillId="71" borderId="119" applyNumberFormat="0" applyProtection="0">
      <alignment vertical="top"/>
    </xf>
    <xf numFmtId="0" fontId="83" fillId="73" borderId="120" applyNumberFormat="0" applyProtection="0">
      <alignment vertical="top"/>
    </xf>
    <xf numFmtId="0" fontId="90" fillId="0" borderId="0" applyNumberFormat="0" applyFill="0" applyBorder="0" applyProtection="0">
      <alignment vertical="top"/>
    </xf>
    <xf numFmtId="0" fontId="81" fillId="50" borderId="0" applyNumberFormat="0" applyBorder="0" applyProtection="0">
      <alignment vertical="top"/>
    </xf>
    <xf numFmtId="0" fontId="91" fillId="0" borderId="0" applyNumberFormat="0" applyFill="0" applyBorder="0" applyProtection="0">
      <alignment vertical="top"/>
    </xf>
    <xf numFmtId="0" fontId="93" fillId="0" borderId="118" applyNumberFormat="0" applyFill="0" applyProtection="0">
      <alignment vertical="top"/>
    </xf>
    <xf numFmtId="0" fontId="94" fillId="0" borderId="122" applyNumberFormat="0" applyFill="0" applyProtection="0">
      <alignment vertical="top"/>
    </xf>
    <xf numFmtId="0" fontId="94" fillId="0" borderId="0" applyNumberFormat="0" applyFill="0" applyBorder="0" applyProtection="0">
      <alignment vertical="top"/>
    </xf>
    <xf numFmtId="0" fontId="85" fillId="53" borderId="119" applyNumberFormat="0" applyProtection="0">
      <alignment vertical="top"/>
    </xf>
    <xf numFmtId="0" fontId="84" fillId="0" borderId="121" applyNumberFormat="0" applyFill="0" applyProtection="0">
      <alignment vertical="top"/>
    </xf>
    <xf numFmtId="0" fontId="87" fillId="74" borderId="0" applyNumberFormat="0" applyBorder="0" applyProtection="0">
      <alignment vertical="top"/>
    </xf>
    <xf numFmtId="0" fontId="11" fillId="75" borderId="123" applyNumberFormat="0" applyProtection="0">
      <alignment vertical="top"/>
    </xf>
    <xf numFmtId="0" fontId="88" fillId="71" borderId="124" applyNumberFormat="0" applyProtection="0">
      <alignment vertical="top"/>
    </xf>
    <xf numFmtId="43" fontId="3" fillId="0" borderId="0" applyFont="0" applyFill="0" applyBorder="0" applyAlignment="0" applyProtection="0"/>
    <xf numFmtId="0" fontId="89" fillId="0" borderId="0" applyNumberFormat="0" applyFill="0" applyBorder="0" applyProtection="0">
      <alignment vertical="top"/>
    </xf>
    <xf numFmtId="181" fontId="3" fillId="0" borderId="0" applyFont="0" applyFill="0" applyBorder="0" applyAlignment="0" applyProtection="0"/>
    <xf numFmtId="181" fontId="3" fillId="0" borderId="0" applyFont="0" applyFill="0" applyBorder="0" applyAlignment="0" applyProtection="0"/>
    <xf numFmtId="168"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99" fillId="0" borderId="0" applyFill="0" applyBorder="0" applyAlignment="0" applyProtection="0"/>
    <xf numFmtId="9"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4" fontId="3" fillId="0" borderId="0" applyFill="0" applyAlignment="0" applyProtection="0"/>
    <xf numFmtId="44" fontId="3" fillId="0" borderId="0" applyFill="0" applyBorder="0" applyAlignment="0" applyProtection="0"/>
    <xf numFmtId="44" fontId="3" fillId="0" borderId="0" applyFill="0" applyBorder="0" applyAlignment="0" applyProtection="0"/>
    <xf numFmtId="184" fontId="3" fillId="0" borderId="0" applyFill="0" applyAlignment="0" applyProtection="0"/>
    <xf numFmtId="44" fontId="3" fillId="0" borderId="0" applyFill="0" applyBorder="0" applyAlignment="0" applyProtection="0"/>
    <xf numFmtId="44"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95" fillId="0" borderId="128" applyNumberFormat="0" applyFill="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4" fontId="3"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1" fillId="0" borderId="0" applyFont="0" applyFill="0" applyBorder="0" applyAlignment="0" applyProtection="0"/>
  </cellStyleXfs>
  <cellXfs count="1717">
    <xf numFmtId="0" fontId="0" fillId="0" borderId="0" xfId="0"/>
    <xf numFmtId="0" fontId="4" fillId="0" borderId="1" xfId="0" applyFont="1" applyFill="1" applyBorder="1" applyAlignment="1">
      <alignment horizontal="justify" vertical="center"/>
    </xf>
    <xf numFmtId="0" fontId="4" fillId="2" borderId="0" xfId="0" applyFont="1" applyFill="1" applyBorder="1" applyAlignment="1">
      <alignment horizontal="center" vertical="center" wrapText="1"/>
    </xf>
    <xf numFmtId="0" fontId="0" fillId="0" borderId="3" xfId="0" applyBorder="1"/>
    <xf numFmtId="0" fontId="0" fillId="0" borderId="3" xfId="0" applyBorder="1" applyAlignment="1">
      <alignment horizontal="center"/>
    </xf>
    <xf numFmtId="49" fontId="4" fillId="0" borderId="3" xfId="2" applyNumberFormat="1" applyFont="1" applyFill="1" applyBorder="1" applyAlignment="1">
      <alignment horizontal="center" vertical="center"/>
    </xf>
    <xf numFmtId="0" fontId="4" fillId="0" borderId="3" xfId="2" applyFont="1" applyFill="1" applyBorder="1" applyAlignment="1">
      <alignment horizontal="justify" vertical="center"/>
    </xf>
    <xf numFmtId="0" fontId="4" fillId="0" borderId="3" xfId="2" applyFont="1" applyBorder="1" applyAlignment="1">
      <alignment horizontal="justify" vertical="center"/>
    </xf>
    <xf numFmtId="0" fontId="0" fillId="0" borderId="3" xfId="0" applyBorder="1" applyAlignment="1">
      <alignment horizontal="center" vertical="center"/>
    </xf>
    <xf numFmtId="0" fontId="9" fillId="0" borderId="0" xfId="0" applyNumberFormat="1" applyFont="1" applyBorder="1" applyAlignment="1">
      <alignment horizontal="center"/>
    </xf>
    <xf numFmtId="0" fontId="10" fillId="0" borderId="0" xfId="0" applyNumberFormat="1" applyFont="1" applyBorder="1" applyAlignment="1">
      <alignment horizontal="right" vertical="center"/>
    </xf>
    <xf numFmtId="10" fontId="9" fillId="4" borderId="0" xfId="0" applyNumberFormat="1" applyFont="1" applyFill="1" applyBorder="1" applyAlignment="1" applyProtection="1">
      <alignment horizontal="left" vertical="center" wrapText="1"/>
      <protection locked="0"/>
    </xf>
    <xf numFmtId="0" fontId="11" fillId="0" borderId="0" xfId="0" applyNumberFormat="1" applyFont="1" applyFill="1" applyBorder="1" applyAlignment="1">
      <alignment horizontal="right" vertical="center"/>
    </xf>
    <xf numFmtId="10" fontId="9" fillId="0" borderId="0" xfId="0" applyNumberFormat="1" applyFont="1" applyFill="1" applyBorder="1" applyAlignment="1">
      <alignment horizontal="left" vertical="center"/>
    </xf>
    <xf numFmtId="0" fontId="9" fillId="0" borderId="0" xfId="0" applyNumberFormat="1" applyFont="1" applyAlignment="1">
      <alignment horizontal="center" wrapText="1"/>
    </xf>
    <xf numFmtId="0" fontId="9" fillId="0" borderId="0" xfId="0" applyNumberFormat="1" applyFont="1" applyAlignment="1">
      <alignment wrapText="1"/>
    </xf>
    <xf numFmtId="0" fontId="12" fillId="0" borderId="0" xfId="4" applyFont="1" applyProtection="1"/>
    <xf numFmtId="0" fontId="13" fillId="0" borderId="0" xfId="4" applyFont="1" applyAlignment="1" applyProtection="1"/>
    <xf numFmtId="0" fontId="4" fillId="0" borderId="0" xfId="4" applyFont="1" applyAlignment="1" applyProtection="1">
      <alignment horizontal="center"/>
    </xf>
    <xf numFmtId="0" fontId="4" fillId="0" borderId="0" xfId="4" applyFont="1" applyFill="1" applyAlignment="1" applyProtection="1"/>
    <xf numFmtId="0" fontId="3" fillId="0" borderId="0" xfId="4" applyFont="1" applyProtection="1"/>
    <xf numFmtId="0" fontId="3" fillId="4" borderId="0" xfId="4" applyFont="1" applyFill="1" applyAlignment="1" applyProtection="1">
      <protection locked="0"/>
    </xf>
    <xf numFmtId="0" fontId="3" fillId="0" borderId="0" xfId="4" applyFont="1" applyAlignment="1" applyProtection="1"/>
    <xf numFmtId="0" fontId="12" fillId="0" borderId="0" xfId="4" applyFont="1" applyAlignment="1" applyProtection="1"/>
    <xf numFmtId="0" fontId="13" fillId="0" borderId="0" xfId="4" applyFont="1" applyAlignment="1" applyProtection="1">
      <alignment horizontal="center"/>
    </xf>
    <xf numFmtId="0" fontId="13" fillId="0" borderId="0" xfId="4" applyFont="1" applyFill="1" applyAlignment="1" applyProtection="1"/>
    <xf numFmtId="0" fontId="3" fillId="0" borderId="0" xfId="4" applyFont="1" applyAlignment="1" applyProtection="1">
      <alignment horizontal="center"/>
    </xf>
    <xf numFmtId="0" fontId="3" fillId="0" borderId="0" xfId="4" applyFont="1" applyFill="1" applyAlignment="1" applyProtection="1">
      <alignment horizontal="center"/>
    </xf>
    <xf numFmtId="0" fontId="13" fillId="0" borderId="0" xfId="4" applyFont="1" applyFill="1" applyAlignment="1" applyProtection="1">
      <alignment horizontal="center"/>
    </xf>
    <xf numFmtId="0" fontId="3" fillId="0" borderId="0" xfId="4" applyFont="1" applyAlignment="1" applyProtection="1">
      <alignment horizontal="right"/>
    </xf>
    <xf numFmtId="0" fontId="3" fillId="0" borderId="13" xfId="4" applyFont="1" applyBorder="1" applyAlignment="1" applyProtection="1">
      <alignment horizontal="justify" vertical="top" wrapText="1"/>
    </xf>
    <xf numFmtId="2" fontId="3" fillId="4" borderId="14" xfId="4" applyNumberFormat="1" applyFont="1" applyFill="1" applyBorder="1" applyAlignment="1" applyProtection="1">
      <alignment horizontal="center" vertical="top" wrapText="1"/>
      <protection locked="0"/>
    </xf>
    <xf numFmtId="0" fontId="3" fillId="0" borderId="15" xfId="4" applyFont="1" applyFill="1" applyBorder="1" applyAlignment="1" applyProtection="1">
      <alignment horizontal="center" vertical="top" wrapText="1"/>
    </xf>
    <xf numFmtId="0" fontId="3" fillId="0" borderId="0" xfId="4" applyFont="1" applyBorder="1" applyProtection="1"/>
    <xf numFmtId="0" fontId="14" fillId="0" borderId="16" xfId="4" applyFont="1" applyBorder="1" applyAlignment="1" applyProtection="1">
      <alignment horizontal="justify" vertical="top" wrapText="1"/>
    </xf>
    <xf numFmtId="2" fontId="3" fillId="0" borderId="16" xfId="4" applyNumberFormat="1" applyFont="1" applyFill="1" applyBorder="1" applyAlignment="1" applyProtection="1">
      <alignment horizontal="center" vertical="top" wrapText="1"/>
    </xf>
    <xf numFmtId="0" fontId="3" fillId="0" borderId="16" xfId="4" applyFont="1" applyFill="1" applyBorder="1" applyAlignment="1" applyProtection="1">
      <alignment horizontal="center" vertical="top" wrapText="1"/>
    </xf>
    <xf numFmtId="0" fontId="3" fillId="0" borderId="0" xfId="4" applyFont="1" applyBorder="1" applyAlignment="1" applyProtection="1">
      <alignment horizontal="center"/>
    </xf>
    <xf numFmtId="0" fontId="3" fillId="0" borderId="0" xfId="4" applyFont="1" applyFill="1" applyBorder="1" applyAlignment="1" applyProtection="1">
      <alignment horizontal="center"/>
    </xf>
    <xf numFmtId="0" fontId="4" fillId="0" borderId="0" xfId="4" applyFont="1" applyAlignment="1" applyProtection="1"/>
    <xf numFmtId="0" fontId="4" fillId="0" borderId="13" xfId="4" applyFont="1" applyBorder="1" applyAlignment="1" applyProtection="1">
      <alignment horizontal="justify"/>
    </xf>
    <xf numFmtId="2" fontId="4" fillId="0" borderId="14" xfId="4" applyNumberFormat="1" applyFont="1" applyBorder="1" applyAlignment="1" applyProtection="1">
      <alignment horizontal="center"/>
    </xf>
    <xf numFmtId="0" fontId="4" fillId="0" borderId="15" xfId="4" applyFont="1" applyFill="1" applyBorder="1" applyAlignment="1" applyProtection="1">
      <alignment horizontal="center" vertical="top" wrapText="1"/>
    </xf>
    <xf numFmtId="0" fontId="14" fillId="0" borderId="13" xfId="4" applyFont="1" applyBorder="1" applyAlignment="1" applyProtection="1">
      <alignment horizontal="left" vertical="top" wrapText="1" indent="2"/>
    </xf>
    <xf numFmtId="0" fontId="13" fillId="0" borderId="0" xfId="4" applyFont="1" applyBorder="1" applyAlignment="1" applyProtection="1">
      <alignment horizontal="center"/>
    </xf>
    <xf numFmtId="0" fontId="13" fillId="0" borderId="0" xfId="4" applyFont="1" applyFill="1" applyBorder="1" applyAlignment="1" applyProtection="1">
      <alignment horizontal="center"/>
    </xf>
    <xf numFmtId="2" fontId="3" fillId="0" borderId="14" xfId="4" applyNumberFormat="1" applyFont="1" applyFill="1" applyBorder="1" applyAlignment="1" applyProtection="1">
      <alignment horizontal="center" vertical="top" wrapText="1"/>
    </xf>
    <xf numFmtId="2" fontId="3" fillId="0" borderId="15" xfId="4" applyNumberFormat="1" applyFont="1" applyFill="1" applyBorder="1" applyAlignment="1" applyProtection="1">
      <alignment horizontal="center" vertical="top" wrapText="1"/>
    </xf>
    <xf numFmtId="164" fontId="17" fillId="0" borderId="0" xfId="5" applyNumberFormat="1" applyFont="1" applyAlignment="1" applyProtection="1">
      <alignment horizontal="center"/>
    </xf>
    <xf numFmtId="0" fontId="3" fillId="0" borderId="0" xfId="4" applyFont="1" applyFill="1" applyProtection="1"/>
    <xf numFmtId="0" fontId="18" fillId="0" borderId="0" xfId="4" applyFont="1" applyAlignment="1" applyProtection="1">
      <alignment horizontal="left"/>
    </xf>
    <xf numFmtId="0" fontId="18" fillId="0" borderId="0" xfId="0" applyFont="1" applyFill="1" applyBorder="1" applyAlignment="1">
      <alignment vertical="center"/>
    </xf>
    <xf numFmtId="0" fontId="4" fillId="0" borderId="0" xfId="0" applyFont="1" applyFill="1" applyBorder="1" applyAlignment="1">
      <alignment vertical="center"/>
    </xf>
    <xf numFmtId="0" fontId="19" fillId="0" borderId="0" xfId="0" applyFont="1" applyFill="1" applyBorder="1" applyAlignment="1">
      <alignment vertical="center"/>
    </xf>
    <xf numFmtId="0" fontId="20" fillId="4" borderId="4" xfId="0" applyFont="1" applyFill="1" applyBorder="1" applyAlignment="1" applyProtection="1">
      <alignment horizontal="center" vertical="center"/>
      <protection locked="0"/>
    </xf>
    <xf numFmtId="0" fontId="19" fillId="4" borderId="0" xfId="0" applyFont="1" applyFill="1" applyBorder="1" applyAlignment="1" applyProtection="1">
      <alignment horizontal="center" vertical="center"/>
      <protection locked="0"/>
    </xf>
    <xf numFmtId="0" fontId="2" fillId="0" borderId="3" xfId="0" applyFont="1" applyBorder="1" applyAlignment="1">
      <alignment horizontal="center"/>
    </xf>
    <xf numFmtId="0" fontId="4" fillId="0" borderId="3" xfId="0" applyFont="1" applyFill="1" applyBorder="1" applyAlignment="1">
      <alignment horizontal="justify" vertical="center"/>
    </xf>
    <xf numFmtId="0" fontId="2" fillId="0" borderId="3" xfId="0" applyFont="1" applyBorder="1" applyAlignment="1">
      <alignment vertical="center"/>
    </xf>
    <xf numFmtId="10" fontId="0" fillId="0" borderId="3" xfId="0" applyNumberFormat="1" applyBorder="1" applyAlignment="1">
      <alignment horizontal="center" vertical="center"/>
    </xf>
    <xf numFmtId="0" fontId="30" fillId="2" borderId="24" xfId="7" applyFont="1" applyFill="1" applyBorder="1" applyAlignment="1">
      <alignment horizontal="center"/>
    </xf>
    <xf numFmtId="0" fontId="30" fillId="2" borderId="24" xfId="7" applyFont="1" applyFill="1" applyBorder="1"/>
    <xf numFmtId="165" fontId="30" fillId="2" borderId="24" xfId="7" applyNumberFormat="1" applyFont="1" applyFill="1" applyBorder="1" applyAlignment="1">
      <alignment horizontal="center"/>
    </xf>
    <xf numFmtId="166" fontId="30" fillId="2" borderId="24" xfId="7" applyNumberFormat="1" applyFont="1" applyFill="1" applyBorder="1" applyAlignment="1"/>
    <xf numFmtId="0" fontId="4" fillId="0" borderId="1" xfId="0" applyFont="1" applyFill="1" applyBorder="1" applyAlignment="1">
      <alignment horizontal="center"/>
    </xf>
    <xf numFmtId="0" fontId="28" fillId="2" borderId="0" xfId="7" applyFont="1" applyFill="1" applyBorder="1" applyAlignment="1">
      <alignment vertical="center" wrapText="1"/>
    </xf>
    <xf numFmtId="0" fontId="34" fillId="2" borderId="0" xfId="7" applyFont="1" applyFill="1" applyBorder="1" applyAlignment="1">
      <alignment vertical="center" wrapText="1"/>
    </xf>
    <xf numFmtId="0" fontId="2" fillId="0" borderId="3" xfId="0" applyFont="1" applyBorder="1"/>
    <xf numFmtId="0" fontId="6" fillId="6" borderId="28" xfId="6" applyFont="1" applyFill="1" applyBorder="1" applyAlignment="1">
      <alignment vertical="center" wrapText="1"/>
    </xf>
    <xf numFmtId="0" fontId="6" fillId="6" borderId="9" xfId="6" applyFont="1" applyFill="1" applyBorder="1" applyAlignment="1">
      <alignment vertical="center" wrapText="1"/>
    </xf>
    <xf numFmtId="0" fontId="28" fillId="2" borderId="2" xfId="7" applyFont="1" applyFill="1" applyBorder="1" applyAlignment="1">
      <alignment vertical="center" wrapText="1"/>
    </xf>
    <xf numFmtId="17" fontId="28" fillId="2" borderId="29" xfId="7" applyNumberFormat="1" applyFont="1" applyFill="1" applyBorder="1" applyAlignment="1">
      <alignment horizontal="center" vertical="center" wrapText="1"/>
    </xf>
    <xf numFmtId="0" fontId="26" fillId="2" borderId="29" xfId="8" applyFont="1" applyFill="1" applyBorder="1" applyAlignment="1">
      <alignment horizontal="center" vertical="center" wrapText="1"/>
    </xf>
    <xf numFmtId="1" fontId="30" fillId="2" borderId="2" xfId="7" applyNumberFormat="1" applyFont="1" applyFill="1" applyBorder="1" applyAlignment="1">
      <alignment vertical="top"/>
    </xf>
    <xf numFmtId="1" fontId="30" fillId="2" borderId="2" xfId="7" applyNumberFormat="1" applyFont="1" applyFill="1" applyBorder="1" applyAlignment="1"/>
    <xf numFmtId="1" fontId="30" fillId="2" borderId="2" xfId="7" applyNumberFormat="1" applyFont="1" applyFill="1" applyBorder="1" applyAlignment="1">
      <alignment horizontal="center"/>
    </xf>
    <xf numFmtId="0" fontId="30" fillId="2" borderId="31" xfId="7" applyFont="1" applyFill="1" applyBorder="1" applyAlignment="1"/>
    <xf numFmtId="0" fontId="2" fillId="0" borderId="30" xfId="0" applyFont="1" applyBorder="1" applyAlignment="1">
      <alignment horizontal="center"/>
    </xf>
    <xf numFmtId="0" fontId="2" fillId="0" borderId="29" xfId="0" applyFont="1" applyBorder="1" applyAlignment="1">
      <alignment horizontal="center"/>
    </xf>
    <xf numFmtId="0" fontId="0" fillId="0" borderId="30" xfId="0" applyBorder="1" applyAlignment="1">
      <alignment horizontal="center"/>
    </xf>
    <xf numFmtId="0" fontId="0" fillId="0" borderId="29" xfId="0" applyBorder="1"/>
    <xf numFmtId="0" fontId="0" fillId="0" borderId="30" xfId="0" applyBorder="1"/>
    <xf numFmtId="0" fontId="2" fillId="0" borderId="30" xfId="0" applyFont="1" applyBorder="1" applyAlignment="1">
      <alignment horizontal="center" vertical="center"/>
    </xf>
    <xf numFmtId="0" fontId="2" fillId="0" borderId="29" xfId="0" applyFont="1" applyBorder="1" applyAlignment="1">
      <alignment horizontal="center" vertical="center"/>
    </xf>
    <xf numFmtId="10" fontId="1" fillId="0" borderId="3" xfId="3" applyNumberFormat="1" applyFont="1" applyBorder="1" applyAlignment="1">
      <alignment horizontal="center" vertical="center" wrapText="1"/>
    </xf>
    <xf numFmtId="0" fontId="6" fillId="6" borderId="26" xfId="6" applyFont="1" applyFill="1" applyBorder="1" applyAlignment="1">
      <alignment vertical="center" wrapText="1"/>
    </xf>
    <xf numFmtId="0" fontId="6" fillId="6" borderId="2" xfId="6" applyFont="1" applyFill="1" applyBorder="1" applyAlignment="1">
      <alignment vertical="center" wrapText="1"/>
    </xf>
    <xf numFmtId="0" fontId="0" fillId="0" borderId="0" xfId="0" applyBorder="1"/>
    <xf numFmtId="167" fontId="37" fillId="0" borderId="3" xfId="14" applyFont="1" applyFill="1" applyBorder="1" applyAlignment="1">
      <alignment vertical="center"/>
    </xf>
    <xf numFmtId="167" fontId="20" fillId="0" borderId="3" xfId="14" applyFont="1" applyFill="1" applyBorder="1" applyAlignment="1">
      <alignment vertical="center"/>
    </xf>
    <xf numFmtId="49" fontId="19" fillId="0" borderId="44" xfId="14" applyNumberFormat="1" applyFont="1" applyFill="1" applyBorder="1" applyAlignment="1">
      <alignment horizontal="center" vertical="center"/>
    </xf>
    <xf numFmtId="167" fontId="19" fillId="0" borderId="45" xfId="14" applyFont="1" applyFill="1" applyBorder="1" applyAlignment="1">
      <alignment horizontal="right" vertical="center"/>
    </xf>
    <xf numFmtId="49" fontId="19" fillId="0" borderId="45" xfId="14" applyNumberFormat="1" applyFont="1" applyFill="1" applyBorder="1" applyAlignment="1">
      <alignment horizontal="center" vertical="center"/>
    </xf>
    <xf numFmtId="49" fontId="19" fillId="0" borderId="46" xfId="14" applyNumberFormat="1" applyFont="1" applyFill="1" applyBorder="1" applyAlignment="1">
      <alignment horizontal="center" vertical="center"/>
    </xf>
    <xf numFmtId="167" fontId="19" fillId="0" borderId="45" xfId="14" applyFont="1" applyFill="1" applyBorder="1" applyAlignment="1">
      <alignment vertical="center"/>
    </xf>
    <xf numFmtId="170" fontId="19" fillId="8" borderId="45" xfId="14" applyNumberFormat="1" applyFont="1" applyFill="1" applyBorder="1" applyAlignment="1">
      <alignment vertical="center"/>
    </xf>
    <xf numFmtId="167" fontId="19" fillId="0" borderId="46" xfId="14" applyFont="1" applyFill="1" applyBorder="1" applyAlignment="1">
      <alignment horizontal="right" vertical="center"/>
    </xf>
    <xf numFmtId="167" fontId="19" fillId="0" borderId="46" xfId="14" applyFont="1" applyFill="1" applyBorder="1" applyAlignment="1">
      <alignment horizontal="center" vertical="center"/>
    </xf>
    <xf numFmtId="167" fontId="19" fillId="7" borderId="46" xfId="14" applyFont="1" applyFill="1" applyBorder="1" applyAlignment="1">
      <alignment horizontal="right" vertical="center"/>
    </xf>
    <xf numFmtId="170" fontId="19" fillId="0" borderId="46" xfId="14" applyNumberFormat="1" applyFont="1" applyFill="1" applyBorder="1" applyAlignment="1">
      <alignment horizontal="center" vertical="center"/>
    </xf>
    <xf numFmtId="0" fontId="0" fillId="0" borderId="2" xfId="0" applyBorder="1"/>
    <xf numFmtId="0" fontId="0" fillId="0" borderId="9" xfId="0" applyBorder="1"/>
    <xf numFmtId="0" fontId="38" fillId="7" borderId="30" xfId="0" applyFont="1" applyFill="1" applyBorder="1"/>
    <xf numFmtId="0" fontId="2" fillId="7" borderId="3" xfId="0" applyFont="1" applyFill="1" applyBorder="1"/>
    <xf numFmtId="0" fontId="39" fillId="2" borderId="30" xfId="0" applyFont="1" applyFill="1" applyBorder="1" applyAlignment="1">
      <alignment horizontal="center"/>
    </xf>
    <xf numFmtId="0" fontId="39" fillId="0" borderId="3" xfId="0" applyFont="1" applyBorder="1" applyAlignment="1">
      <alignment horizontal="center"/>
    </xf>
    <xf numFmtId="43" fontId="0" fillId="0" borderId="3" xfId="15" applyFont="1" applyBorder="1"/>
    <xf numFmtId="43" fontId="0" fillId="0" borderId="3" xfId="10" applyFont="1" applyBorder="1"/>
    <xf numFmtId="0" fontId="39" fillId="0" borderId="30" xfId="0" applyFont="1" applyBorder="1" applyAlignment="1">
      <alignment horizontal="center"/>
    </xf>
    <xf numFmtId="43" fontId="2" fillId="0" borderId="3" xfId="0" applyNumberFormat="1" applyFont="1" applyBorder="1"/>
    <xf numFmtId="43" fontId="0" fillId="0" borderId="29" xfId="15" applyFont="1" applyBorder="1"/>
    <xf numFmtId="0" fontId="0" fillId="0" borderId="35" xfId="0" applyBorder="1"/>
    <xf numFmtId="0" fontId="0" fillId="0" borderId="36" xfId="0" applyBorder="1"/>
    <xf numFmtId="0" fontId="2" fillId="0" borderId="36" xfId="0" applyFont="1" applyBorder="1"/>
    <xf numFmtId="43" fontId="2" fillId="0" borderId="37" xfId="0" applyNumberFormat="1" applyFont="1" applyBorder="1"/>
    <xf numFmtId="43" fontId="0" fillId="0" borderId="0" xfId="0" applyNumberFormat="1"/>
    <xf numFmtId="0" fontId="0" fillId="0" borderId="20" xfId="0" applyBorder="1"/>
    <xf numFmtId="43" fontId="2" fillId="0" borderId="47" xfId="10" applyFont="1" applyBorder="1"/>
    <xf numFmtId="49" fontId="19" fillId="0" borderId="48" xfId="14" applyNumberFormat="1" applyFont="1" applyFill="1" applyBorder="1" applyAlignment="1">
      <alignment horizontal="center" vertical="center"/>
    </xf>
    <xf numFmtId="170" fontId="19" fillId="8" borderId="49" xfId="14" applyNumberFormat="1" applyFont="1" applyFill="1" applyBorder="1" applyAlignment="1">
      <alignment vertical="center"/>
    </xf>
    <xf numFmtId="0" fontId="2" fillId="0" borderId="19" xfId="0" applyFont="1" applyBorder="1"/>
    <xf numFmtId="49" fontId="20" fillId="0" borderId="0" xfId="14" applyNumberFormat="1" applyFont="1" applyFill="1" applyBorder="1" applyAlignment="1">
      <alignment horizontal="center" vertical="center"/>
    </xf>
    <xf numFmtId="43" fontId="0" fillId="0" borderId="0" xfId="0" applyNumberFormat="1" applyBorder="1"/>
    <xf numFmtId="0" fontId="2" fillId="7" borderId="3" xfId="0" applyFont="1" applyFill="1" applyBorder="1" applyAlignment="1">
      <alignment horizontal="center"/>
    </xf>
    <xf numFmtId="2" fontId="0" fillId="0" borderId="3" xfId="0" applyNumberFormat="1" applyBorder="1"/>
    <xf numFmtId="43" fontId="0" fillId="0" borderId="9" xfId="0" applyNumberFormat="1" applyBorder="1"/>
    <xf numFmtId="2" fontId="0" fillId="0" borderId="0" xfId="0" applyNumberFormat="1"/>
    <xf numFmtId="0" fontId="2" fillId="7" borderId="30" xfId="0" applyFont="1" applyFill="1" applyBorder="1" applyAlignment="1">
      <alignment horizontal="center"/>
    </xf>
    <xf numFmtId="0" fontId="39" fillId="7" borderId="29" xfId="0" applyFont="1" applyFill="1" applyBorder="1"/>
    <xf numFmtId="169" fontId="0" fillId="0" borderId="0" xfId="0" applyNumberFormat="1"/>
    <xf numFmtId="0" fontId="0" fillId="0" borderId="30" xfId="0" applyBorder="1" applyAlignment="1">
      <alignment horizontal="center" vertical="center"/>
    </xf>
    <xf numFmtId="0" fontId="30" fillId="2" borderId="4" xfId="7" applyFont="1" applyFill="1" applyBorder="1" applyAlignment="1">
      <alignment horizontal="center" vertical="center"/>
    </xf>
    <xf numFmtId="2" fontId="30" fillId="2" borderId="3" xfId="7" applyNumberFormat="1" applyFont="1" applyFill="1" applyBorder="1" applyAlignment="1">
      <alignment horizontal="center" vertical="center"/>
    </xf>
    <xf numFmtId="166" fontId="30" fillId="2" borderId="4" xfId="7" applyNumberFormat="1" applyFont="1" applyFill="1" applyBorder="1" applyAlignment="1">
      <alignment vertical="center"/>
    </xf>
    <xf numFmtId="44" fontId="0" fillId="0" borderId="29" xfId="1" applyFont="1" applyBorder="1" applyAlignment="1">
      <alignment horizontal="center" vertical="center"/>
    </xf>
    <xf numFmtId="166" fontId="30" fillId="2" borderId="3" xfId="7" applyNumberFormat="1" applyFont="1" applyFill="1" applyBorder="1" applyAlignment="1">
      <alignment vertical="center"/>
    </xf>
    <xf numFmtId="2" fontId="30" fillId="2" borderId="17" xfId="7" applyNumberFormat="1" applyFont="1" applyFill="1" applyBorder="1" applyAlignment="1">
      <alignment horizontal="center" vertical="center"/>
    </xf>
    <xf numFmtId="49" fontId="30" fillId="2" borderId="17" xfId="7" applyNumberFormat="1" applyFont="1" applyFill="1" applyBorder="1" applyAlignment="1">
      <alignment horizontal="center" vertical="center" wrapText="1"/>
    </xf>
    <xf numFmtId="2" fontId="31" fillId="2" borderId="17" xfId="7" applyNumberFormat="1" applyFont="1" applyFill="1" applyBorder="1" applyAlignment="1">
      <alignment horizontal="center" vertical="center" wrapText="1"/>
    </xf>
    <xf numFmtId="2" fontId="31" fillId="2" borderId="25" xfId="7" applyNumberFormat="1" applyFont="1" applyFill="1" applyBorder="1" applyAlignment="1">
      <alignment horizontal="center" vertical="center" wrapText="1"/>
    </xf>
    <xf numFmtId="49" fontId="31" fillId="2" borderId="17" xfId="7" applyNumberFormat="1" applyFont="1" applyFill="1" applyBorder="1" applyAlignment="1">
      <alignment horizontal="center" vertical="center" wrapText="1"/>
    </xf>
    <xf numFmtId="0" fontId="30" fillId="2" borderId="17" xfId="7" applyFont="1" applyFill="1" applyBorder="1" applyAlignment="1">
      <alignment horizontal="center" vertical="center"/>
    </xf>
    <xf numFmtId="44" fontId="7" fillId="0" borderId="29" xfId="1" applyFont="1" applyBorder="1" applyAlignment="1">
      <alignment horizontal="center" vertical="center"/>
    </xf>
    <xf numFmtId="0" fontId="4" fillId="0" borderId="23" xfId="2" applyFont="1" applyBorder="1" applyAlignment="1">
      <alignment horizontal="left" vertical="center"/>
    </xf>
    <xf numFmtId="0" fontId="4" fillId="0" borderId="23" xfId="2" applyFont="1" applyBorder="1" applyAlignment="1">
      <alignment horizontal="center" vertical="center"/>
    </xf>
    <xf numFmtId="4" fontId="4" fillId="0" borderId="23" xfId="2" applyNumberFormat="1" applyFont="1" applyFill="1" applyBorder="1" applyAlignment="1">
      <alignment horizontal="center" vertical="center"/>
    </xf>
    <xf numFmtId="0" fontId="3" fillId="0" borderId="23" xfId="2" applyFont="1" applyBorder="1" applyAlignment="1">
      <alignment horizontal="left" vertical="center" wrapText="1"/>
    </xf>
    <xf numFmtId="0" fontId="3" fillId="0" borderId="23" xfId="2" applyFont="1" applyBorder="1" applyAlignment="1">
      <alignment horizontal="center" vertical="center"/>
    </xf>
    <xf numFmtId="4" fontId="3" fillId="0" borderId="23" xfId="2" applyNumberFormat="1" applyFont="1" applyFill="1" applyBorder="1" applyAlignment="1">
      <alignment horizontal="center" vertical="center"/>
    </xf>
    <xf numFmtId="0" fontId="4" fillId="9" borderId="50" xfId="2" applyFont="1" applyFill="1" applyBorder="1" applyAlignment="1">
      <alignment horizontal="center" vertical="center"/>
    </xf>
    <xf numFmtId="0" fontId="4" fillId="9" borderId="51" xfId="0" applyFont="1" applyFill="1" applyBorder="1" applyAlignment="1">
      <alignment horizontal="justify" vertical="center"/>
    </xf>
    <xf numFmtId="0" fontId="4" fillId="9" borderId="51" xfId="2" applyFont="1" applyFill="1" applyBorder="1" applyAlignment="1">
      <alignment horizontal="center" vertical="center"/>
    </xf>
    <xf numFmtId="4" fontId="4" fillId="9" borderId="51" xfId="2" applyNumberFormat="1" applyFont="1" applyFill="1" applyBorder="1" applyAlignment="1">
      <alignment horizontal="center" vertical="center"/>
    </xf>
    <xf numFmtId="0" fontId="40" fillId="3" borderId="5" xfId="0" applyFont="1" applyFill="1" applyBorder="1" applyAlignment="1">
      <alignment horizontal="center" vertical="center"/>
    </xf>
    <xf numFmtId="0" fontId="41" fillId="3" borderId="5" xfId="0" applyFont="1" applyFill="1" applyBorder="1" applyAlignment="1">
      <alignment horizontal="center" vertical="center" wrapText="1"/>
    </xf>
    <xf numFmtId="0" fontId="42" fillId="0" borderId="3" xfId="0" applyFont="1" applyBorder="1" applyAlignment="1">
      <alignment horizontal="center" vertical="center"/>
    </xf>
    <xf numFmtId="0" fontId="42" fillId="0" borderId="0" xfId="0" applyFont="1" applyAlignment="1">
      <alignment horizontal="center" vertical="center"/>
    </xf>
    <xf numFmtId="0" fontId="43" fillId="0" borderId="3" xfId="0" applyFont="1" applyBorder="1" applyAlignment="1">
      <alignment horizontal="center" vertical="center"/>
    </xf>
    <xf numFmtId="0" fontId="3" fillId="0" borderId="23" xfId="2" applyFont="1" applyBorder="1" applyAlignment="1">
      <alignment horizontal="center" vertical="center" wrapText="1"/>
    </xf>
    <xf numFmtId="0" fontId="4" fillId="9" borderId="51" xfId="0" applyFont="1" applyFill="1" applyBorder="1" applyAlignment="1">
      <alignment horizontal="center" vertical="center"/>
    </xf>
    <xf numFmtId="0" fontId="44" fillId="3" borderId="5" xfId="0" applyFont="1" applyFill="1" applyBorder="1" applyAlignment="1">
      <alignment horizontal="center" vertical="center"/>
    </xf>
    <xf numFmtId="0" fontId="44" fillId="0" borderId="3" xfId="0" applyFont="1" applyBorder="1" applyAlignment="1">
      <alignment horizontal="center" vertical="center"/>
    </xf>
    <xf numFmtId="0" fontId="43" fillId="0" borderId="0" xfId="0" applyFont="1" applyAlignment="1">
      <alignment horizontal="center" vertical="center"/>
    </xf>
    <xf numFmtId="44" fontId="4" fillId="0" borderId="23" xfId="1" applyFont="1" applyBorder="1" applyAlignment="1">
      <alignment horizontal="center" vertical="center" wrapText="1"/>
    </xf>
    <xf numFmtId="44" fontId="3" fillId="0" borderId="23" xfId="1" applyFont="1" applyBorder="1" applyAlignment="1">
      <alignment horizontal="center" vertical="center" wrapText="1"/>
    </xf>
    <xf numFmtId="44" fontId="4" fillId="9" borderId="51" xfId="1" applyFont="1" applyFill="1" applyBorder="1" applyAlignment="1">
      <alignment horizontal="center" vertical="center" wrapText="1"/>
    </xf>
    <xf numFmtId="44" fontId="43" fillId="0" borderId="3" xfId="1" applyFont="1" applyBorder="1" applyAlignment="1">
      <alignment horizontal="center" vertical="center"/>
    </xf>
    <xf numFmtId="44" fontId="43" fillId="0" borderId="0" xfId="1" applyFont="1" applyAlignment="1">
      <alignment horizontal="center" vertical="center"/>
    </xf>
    <xf numFmtId="49" fontId="3" fillId="0" borderId="3" xfId="2" applyNumberFormat="1" applyFont="1" applyBorder="1" applyAlignment="1">
      <alignment horizontal="center" vertical="center"/>
    </xf>
    <xf numFmtId="0" fontId="43" fillId="0" borderId="3" xfId="0" applyFont="1" applyBorder="1" applyAlignment="1">
      <alignment vertical="center" wrapText="1"/>
    </xf>
    <xf numFmtId="0" fontId="43" fillId="0" borderId="3" xfId="0" applyFont="1" applyBorder="1" applyAlignment="1">
      <alignment horizontal="center" vertical="center" wrapText="1"/>
    </xf>
    <xf numFmtId="44" fontId="44" fillId="3" borderId="5" xfId="1" applyFont="1" applyFill="1" applyBorder="1" applyAlignment="1">
      <alignment horizontal="center" vertical="center" wrapText="1"/>
    </xf>
    <xf numFmtId="0" fontId="39" fillId="2" borderId="30" xfId="0" applyFont="1" applyFill="1" applyBorder="1" applyAlignment="1">
      <alignment horizontal="center" wrapText="1"/>
    </xf>
    <xf numFmtId="43" fontId="0" fillId="0" borderId="3" xfId="0" applyNumberFormat="1" applyBorder="1"/>
    <xf numFmtId="49" fontId="19" fillId="0" borderId="53" xfId="14" applyNumberFormat="1" applyFont="1" applyFill="1" applyBorder="1" applyAlignment="1">
      <alignment horizontal="center" vertical="center"/>
    </xf>
    <xf numFmtId="167" fontId="19" fillId="0" borderId="54" xfId="14" applyFont="1" applyFill="1" applyBorder="1" applyAlignment="1">
      <alignment horizontal="right" vertical="center"/>
    </xf>
    <xf numFmtId="49" fontId="19" fillId="0" borderId="54" xfId="14" applyNumberFormat="1" applyFont="1" applyFill="1" applyBorder="1" applyAlignment="1">
      <alignment horizontal="center" vertical="center"/>
    </xf>
    <xf numFmtId="167" fontId="19" fillId="0" borderId="54" xfId="14" applyFont="1" applyFill="1" applyBorder="1" applyAlignment="1">
      <alignment vertical="center"/>
    </xf>
    <xf numFmtId="167" fontId="19" fillId="7" borderId="54" xfId="14" applyFont="1" applyFill="1" applyBorder="1" applyAlignment="1">
      <alignment horizontal="right" vertical="center"/>
    </xf>
    <xf numFmtId="170" fontId="19" fillId="8" borderId="54" xfId="14" applyNumberFormat="1" applyFont="1" applyFill="1" applyBorder="1" applyAlignment="1">
      <alignment vertical="center"/>
    </xf>
    <xf numFmtId="167" fontId="19" fillId="0" borderId="49" xfId="14" applyFont="1" applyFill="1" applyBorder="1" applyAlignment="1">
      <alignment vertical="center"/>
    </xf>
    <xf numFmtId="0" fontId="0" fillId="0" borderId="17" xfId="0" applyBorder="1" applyAlignment="1">
      <alignment horizontal="center" vertical="center"/>
    </xf>
    <xf numFmtId="0" fontId="0" fillId="0" borderId="56" xfId="0" applyBorder="1"/>
    <xf numFmtId="0" fontId="0" fillId="0" borderId="27" xfId="0" applyBorder="1"/>
    <xf numFmtId="0" fontId="0" fillId="0" borderId="28" xfId="0" applyBorder="1"/>
    <xf numFmtId="0" fontId="0" fillId="0" borderId="6" xfId="0" applyBorder="1"/>
    <xf numFmtId="0" fontId="0" fillId="0" borderId="7" xfId="0" applyBorder="1"/>
    <xf numFmtId="0" fontId="0" fillId="0" borderId="8" xfId="0" applyBorder="1"/>
    <xf numFmtId="44" fontId="0" fillId="0" borderId="29" xfId="0" applyNumberFormat="1" applyBorder="1"/>
    <xf numFmtId="44" fontId="2" fillId="0" borderId="29" xfId="0" applyNumberFormat="1" applyFont="1" applyBorder="1"/>
    <xf numFmtId="0" fontId="2" fillId="0" borderId="26" xfId="0" applyFont="1" applyBorder="1"/>
    <xf numFmtId="0" fontId="2" fillId="0" borderId="0" xfId="0" applyFont="1" applyBorder="1"/>
    <xf numFmtId="0" fontId="0" fillId="0" borderId="32" xfId="0" applyBorder="1" applyAlignment="1">
      <alignment horizontal="center"/>
    </xf>
    <xf numFmtId="0" fontId="2" fillId="0" borderId="2" xfId="0" applyFont="1" applyBorder="1"/>
    <xf numFmtId="0" fontId="2" fillId="0" borderId="7" xfId="0" applyFont="1" applyBorder="1"/>
    <xf numFmtId="0" fontId="43" fillId="0" borderId="3" xfId="0" applyFont="1" applyBorder="1" applyAlignment="1">
      <alignment vertical="center"/>
    </xf>
    <xf numFmtId="0" fontId="4" fillId="2" borderId="7" xfId="0" applyFont="1" applyFill="1" applyBorder="1" applyAlignment="1">
      <alignment horizontal="center" vertical="center" wrapText="1"/>
    </xf>
    <xf numFmtId="2" fontId="44" fillId="3" borderId="5" xfId="1" applyNumberFormat="1" applyFont="1" applyFill="1" applyBorder="1" applyAlignment="1">
      <alignment horizontal="center" vertical="center"/>
    </xf>
    <xf numFmtId="44" fontId="44" fillId="3" borderId="5" xfId="1" applyFont="1" applyFill="1" applyBorder="1" applyAlignment="1">
      <alignment horizontal="center" vertical="center"/>
    </xf>
    <xf numFmtId="44" fontId="45" fillId="0" borderId="23" xfId="1" applyFont="1" applyBorder="1" applyAlignment="1">
      <alignment horizontal="center" vertical="center" wrapText="1"/>
    </xf>
    <xf numFmtId="44" fontId="45" fillId="9" borderId="51" xfId="1" applyFont="1" applyFill="1" applyBorder="1" applyAlignment="1">
      <alignment horizontal="center" vertical="center" wrapText="1"/>
    </xf>
    <xf numFmtId="44" fontId="43" fillId="0" borderId="3" xfId="1" applyFont="1" applyBorder="1" applyAlignment="1">
      <alignment horizontal="center" vertical="center" wrapText="1"/>
    </xf>
    <xf numFmtId="44" fontId="0" fillId="0" borderId="29" xfId="1" applyFont="1" applyBorder="1"/>
    <xf numFmtId="44" fontId="0" fillId="0" borderId="29" xfId="1" applyFont="1" applyBorder="1" applyAlignment="1">
      <alignment vertical="center"/>
    </xf>
    <xf numFmtId="2" fontId="31" fillId="2" borderId="3" xfId="7" applyNumberFormat="1" applyFont="1" applyFill="1" applyBorder="1" applyAlignment="1">
      <alignment horizontal="center" vertical="center" wrapText="1"/>
    </xf>
    <xf numFmtId="44" fontId="0" fillId="0" borderId="3" xfId="1" applyFont="1" applyBorder="1" applyAlignment="1">
      <alignment horizontal="center" vertical="center"/>
    </xf>
    <xf numFmtId="44" fontId="30" fillId="2" borderId="3" xfId="1" applyFont="1" applyFill="1" applyBorder="1" applyAlignment="1">
      <alignment vertical="center"/>
    </xf>
    <xf numFmtId="44" fontId="0" fillId="0" borderId="0" xfId="1" applyFont="1"/>
    <xf numFmtId="0" fontId="0" fillId="0" borderId="0" xfId="1" applyNumberFormat="1" applyFont="1"/>
    <xf numFmtId="49" fontId="31" fillId="2" borderId="3" xfId="7" applyNumberFormat="1" applyFont="1" applyFill="1" applyBorder="1" applyAlignment="1">
      <alignment horizontal="center" vertical="center" wrapText="1"/>
    </xf>
    <xf numFmtId="44" fontId="2" fillId="0" borderId="3" xfId="1" applyFont="1" applyBorder="1" applyAlignment="1">
      <alignment vertical="center"/>
    </xf>
    <xf numFmtId="44" fontId="30" fillId="2" borderId="24" xfId="1" applyFont="1" applyFill="1" applyBorder="1" applyAlignment="1"/>
    <xf numFmtId="44" fontId="2" fillId="0" borderId="3" xfId="1" applyFont="1" applyBorder="1" applyAlignment="1">
      <alignment horizontal="center"/>
    </xf>
    <xf numFmtId="44" fontId="0" fillId="0" borderId="3" xfId="1" applyFont="1" applyBorder="1" applyAlignment="1">
      <alignment horizontal="center"/>
    </xf>
    <xf numFmtId="44" fontId="0" fillId="0" borderId="3" xfId="1" applyFont="1" applyBorder="1"/>
    <xf numFmtId="44" fontId="30" fillId="2" borderId="4" xfId="1" applyFont="1" applyFill="1" applyBorder="1" applyAlignment="1">
      <alignment vertical="center"/>
    </xf>
    <xf numFmtId="44" fontId="2" fillId="0" borderId="3" xfId="1" applyFont="1" applyBorder="1" applyAlignment="1">
      <alignment horizontal="center" vertical="center"/>
    </xf>
    <xf numFmtId="49" fontId="32" fillId="2" borderId="3" xfId="7" applyNumberFormat="1" applyFont="1" applyFill="1" applyBorder="1" applyAlignment="1">
      <alignment horizontal="center" vertical="center" wrapText="1"/>
    </xf>
    <xf numFmtId="2" fontId="32" fillId="2" borderId="17" xfId="7" applyNumberFormat="1" applyFont="1" applyFill="1" applyBorder="1" applyAlignment="1">
      <alignment horizontal="center" vertical="center" wrapText="1"/>
    </xf>
    <xf numFmtId="44" fontId="32" fillId="2" borderId="3" xfId="1" applyFont="1" applyFill="1" applyBorder="1" applyAlignment="1">
      <alignment vertical="center"/>
    </xf>
    <xf numFmtId="44" fontId="26" fillId="0" borderId="29" xfId="1" applyFont="1" applyBorder="1" applyAlignment="1">
      <alignment horizontal="center" vertical="center"/>
    </xf>
    <xf numFmtId="1" fontId="32" fillId="2" borderId="30" xfId="7" applyNumberFormat="1" applyFont="1" applyFill="1" applyBorder="1" applyAlignment="1">
      <alignment horizontal="center" vertical="center" wrapText="1"/>
    </xf>
    <xf numFmtId="2" fontId="0" fillId="0" borderId="3" xfId="0" applyNumberFormat="1" applyBorder="1" applyAlignment="1">
      <alignment horizontal="center"/>
    </xf>
    <xf numFmtId="0" fontId="46" fillId="0" borderId="3" xfId="0" applyFont="1" applyBorder="1" applyAlignment="1">
      <alignment horizontal="center" vertical="center" wrapText="1"/>
    </xf>
    <xf numFmtId="0" fontId="0" fillId="0" borderId="0" xfId="0" applyFill="1"/>
    <xf numFmtId="17" fontId="47" fillId="0" borderId="59" xfId="0" applyNumberFormat="1" applyFont="1" applyFill="1" applyBorder="1" applyAlignment="1">
      <alignment horizontal="center" vertical="center" wrapText="1"/>
    </xf>
    <xf numFmtId="1" fontId="30" fillId="0" borderId="2" xfId="0" applyNumberFormat="1" applyFont="1" applyFill="1" applyBorder="1" applyAlignment="1">
      <alignment vertical="top"/>
    </xf>
    <xf numFmtId="0" fontId="28" fillId="0" borderId="29" xfId="0" applyFont="1" applyFill="1" applyBorder="1" applyAlignment="1">
      <alignment horizontal="left" vertical="top" wrapText="1"/>
    </xf>
    <xf numFmtId="1" fontId="30" fillId="0" borderId="2" xfId="0" applyNumberFormat="1" applyFont="1" applyFill="1" applyBorder="1" applyAlignment="1"/>
    <xf numFmtId="0" fontId="30" fillId="0" borderId="0" xfId="0" applyFont="1" applyFill="1" applyBorder="1" applyAlignment="1">
      <alignment horizontal="left" vertical="top"/>
    </xf>
    <xf numFmtId="0" fontId="28" fillId="0" borderId="29" xfId="0" applyFont="1" applyFill="1" applyBorder="1" applyAlignment="1">
      <alignment horizontal="left" vertical="top"/>
    </xf>
    <xf numFmtId="43" fontId="32" fillId="0" borderId="24" xfId="12" applyFont="1" applyFill="1" applyBorder="1" applyAlignment="1">
      <alignment horizontal="right"/>
    </xf>
    <xf numFmtId="169" fontId="32" fillId="0" borderId="24" xfId="0" applyNumberFormat="1" applyFont="1" applyFill="1" applyBorder="1" applyAlignment="1">
      <alignment horizontal="center"/>
    </xf>
    <xf numFmtId="166" fontId="32" fillId="0" borderId="24" xfId="0" applyNumberFormat="1" applyFont="1" applyFill="1" applyBorder="1" applyAlignment="1"/>
    <xf numFmtId="0" fontId="32" fillId="0" borderId="31" xfId="0" applyFont="1" applyFill="1" applyBorder="1" applyAlignment="1"/>
    <xf numFmtId="0" fontId="32" fillId="2" borderId="0" xfId="0" applyFont="1" applyFill="1"/>
    <xf numFmtId="1" fontId="32" fillId="0" borderId="30" xfId="0" applyNumberFormat="1" applyFont="1" applyFill="1" applyBorder="1" applyAlignment="1">
      <alignment horizontal="center"/>
    </xf>
    <xf numFmtId="169" fontId="32" fillId="0" borderId="3" xfId="0" applyNumberFormat="1" applyFont="1" applyFill="1" applyBorder="1" applyAlignment="1">
      <alignment horizontal="center"/>
    </xf>
    <xf numFmtId="166" fontId="32" fillId="0" borderId="3" xfId="0" applyNumberFormat="1" applyFont="1" applyFill="1" applyBorder="1" applyAlignment="1"/>
    <xf numFmtId="0" fontId="32" fillId="0" borderId="29" xfId="0" applyFont="1" applyFill="1" applyBorder="1" applyAlignment="1"/>
    <xf numFmtId="0" fontId="32" fillId="0" borderId="0" xfId="0" applyFont="1"/>
    <xf numFmtId="1" fontId="32" fillId="0" borderId="34" xfId="0" applyNumberFormat="1" applyFont="1" applyFill="1" applyBorder="1" applyAlignment="1">
      <alignment horizontal="center" vertical="top" wrapText="1"/>
    </xf>
    <xf numFmtId="49" fontId="32" fillId="0" borderId="17" xfId="0" applyNumberFormat="1" applyFont="1" applyFill="1" applyBorder="1" applyAlignment="1">
      <alignment horizontal="center" vertical="top" wrapText="1"/>
    </xf>
    <xf numFmtId="169" fontId="32" fillId="0" borderId="17" xfId="0" applyNumberFormat="1" applyFont="1" applyFill="1" applyBorder="1" applyAlignment="1">
      <alignment horizontal="right" vertical="top" wrapText="1"/>
    </xf>
    <xf numFmtId="4" fontId="31" fillId="0" borderId="17" xfId="0" applyNumberFormat="1" applyFont="1" applyFill="1" applyBorder="1" applyAlignment="1">
      <alignment horizontal="right" vertical="top" wrapText="1"/>
    </xf>
    <xf numFmtId="166" fontId="32" fillId="0" borderId="59" xfId="0" applyNumberFormat="1" applyFont="1" applyFill="1" applyBorder="1" applyAlignment="1">
      <alignment horizontal="right" vertical="top" wrapText="1"/>
    </xf>
    <xf numFmtId="1" fontId="31" fillId="0" borderId="34" xfId="0" applyNumberFormat="1" applyFont="1" applyFill="1" applyBorder="1" applyAlignment="1">
      <alignment horizontal="center" vertical="top" wrapText="1"/>
    </xf>
    <xf numFmtId="49" fontId="31" fillId="0" borderId="17" xfId="0" applyNumberFormat="1" applyFont="1" applyFill="1" applyBorder="1" applyAlignment="1">
      <alignment horizontal="center" vertical="top" wrapText="1"/>
    </xf>
    <xf numFmtId="169" fontId="31" fillId="0" borderId="17" xfId="0" applyNumberFormat="1" applyFont="1" applyFill="1" applyBorder="1" applyAlignment="1">
      <alignment horizontal="right" vertical="top" wrapText="1"/>
    </xf>
    <xf numFmtId="166" fontId="31" fillId="0" borderId="59" xfId="0" applyNumberFormat="1" applyFont="1" applyFill="1" applyBorder="1" applyAlignment="1">
      <alignment horizontal="right" vertical="top" wrapText="1"/>
    </xf>
    <xf numFmtId="0" fontId="31" fillId="0" borderId="0" xfId="0" applyFont="1"/>
    <xf numFmtId="169" fontId="31" fillId="0" borderId="17" xfId="0" applyNumberFormat="1" applyFont="1" applyFill="1" applyBorder="1" applyAlignment="1">
      <alignment horizontal="center" vertical="top" wrapText="1"/>
    </xf>
    <xf numFmtId="43" fontId="30" fillId="0" borderId="29" xfId="0" applyNumberFormat="1" applyFont="1" applyFill="1" applyBorder="1" applyAlignment="1"/>
    <xf numFmtId="1" fontId="30" fillId="0" borderId="2" xfId="0" applyNumberFormat="1" applyFont="1" applyFill="1" applyBorder="1" applyAlignment="1">
      <alignment horizontal="center"/>
    </xf>
    <xf numFmtId="0" fontId="30" fillId="0" borderId="0" xfId="0" applyFont="1" applyFill="1" applyBorder="1" applyAlignment="1">
      <alignment horizontal="center"/>
    </xf>
    <xf numFmtId="169" fontId="30" fillId="0" borderId="0" xfId="0" applyNumberFormat="1" applyFont="1" applyFill="1" applyBorder="1" applyAlignment="1">
      <alignment horizontal="center"/>
    </xf>
    <xf numFmtId="166" fontId="30" fillId="0" borderId="0" xfId="0" applyNumberFormat="1" applyFont="1" applyFill="1" applyBorder="1" applyAlignment="1"/>
    <xf numFmtId="0" fontId="30" fillId="0" borderId="33" xfId="0" applyFont="1" applyFill="1" applyBorder="1" applyAlignment="1"/>
    <xf numFmtId="0" fontId="30" fillId="6" borderId="0" xfId="0" applyFont="1" applyFill="1"/>
    <xf numFmtId="0" fontId="33" fillId="0" borderId="0" xfId="0" applyFont="1"/>
    <xf numFmtId="0" fontId="30" fillId="0" borderId="0" xfId="0" applyFont="1"/>
    <xf numFmtId="1" fontId="30" fillId="0" borderId="30" xfId="0" applyNumberFormat="1" applyFont="1" applyFill="1" applyBorder="1" applyAlignment="1">
      <alignment horizontal="center"/>
    </xf>
    <xf numFmtId="0" fontId="30" fillId="0" borderId="16" xfId="0" applyFont="1" applyFill="1" applyBorder="1" applyAlignment="1">
      <alignment horizontal="center"/>
    </xf>
    <xf numFmtId="169" fontId="30" fillId="0" borderId="3" xfId="0" applyNumberFormat="1" applyFont="1" applyFill="1" applyBorder="1" applyAlignment="1">
      <alignment horizontal="center"/>
    </xf>
    <xf numFmtId="166" fontId="30" fillId="0" borderId="16" xfId="0" applyNumberFormat="1" applyFont="1" applyFill="1" applyBorder="1" applyAlignment="1"/>
    <xf numFmtId="0" fontId="30" fillId="0" borderId="29" xfId="0" applyFont="1" applyFill="1" applyBorder="1" applyAlignment="1"/>
    <xf numFmtId="1" fontId="30" fillId="0" borderId="30" xfId="0" applyNumberFormat="1" applyFont="1" applyFill="1" applyBorder="1" applyAlignment="1">
      <alignment horizontal="center" vertical="center" wrapText="1"/>
    </xf>
    <xf numFmtId="1" fontId="30" fillId="0" borderId="17" xfId="0" applyNumberFormat="1" applyFont="1" applyFill="1" applyBorder="1" applyAlignment="1">
      <alignment horizontal="center" vertical="center" wrapText="1"/>
    </xf>
    <xf numFmtId="49" fontId="0" fillId="0" borderId="17" xfId="0" applyNumberFormat="1" applyFont="1" applyFill="1" applyBorder="1" applyAlignment="1">
      <alignment horizontal="center" vertical="top" wrapText="1"/>
    </xf>
    <xf numFmtId="169" fontId="0" fillId="0" borderId="17" xfId="0" applyNumberFormat="1" applyFont="1" applyFill="1" applyBorder="1" applyAlignment="1">
      <alignment vertical="top" wrapText="1"/>
    </xf>
    <xf numFmtId="4" fontId="30" fillId="0" borderId="3" xfId="0" applyNumberFormat="1" applyFont="1" applyFill="1" applyBorder="1" applyAlignment="1">
      <alignment vertical="top" wrapText="1"/>
    </xf>
    <xf numFmtId="43" fontId="32" fillId="0" borderId="0" xfId="12" applyFont="1"/>
    <xf numFmtId="43" fontId="32" fillId="0" borderId="0" xfId="0" applyNumberFormat="1" applyFont="1"/>
    <xf numFmtId="49" fontId="30" fillId="0" borderId="17" xfId="0" applyNumberFormat="1" applyFont="1" applyFill="1" applyBorder="1" applyAlignment="1">
      <alignment horizontal="center" vertical="top" wrapText="1"/>
    </xf>
    <xf numFmtId="1" fontId="32" fillId="0" borderId="30" xfId="0" applyNumberFormat="1" applyFont="1" applyFill="1" applyBorder="1" applyAlignment="1">
      <alignment horizontal="center" vertical="center" wrapText="1"/>
    </xf>
    <xf numFmtId="1" fontId="32" fillId="0" borderId="3" xfId="0" applyNumberFormat="1" applyFont="1" applyFill="1" applyBorder="1" applyAlignment="1">
      <alignment horizontal="center" vertical="top" wrapText="1"/>
    </xf>
    <xf numFmtId="169" fontId="32" fillId="0" borderId="3" xfId="0" applyNumberFormat="1" applyFont="1" applyFill="1" applyBorder="1" applyAlignment="1">
      <alignment vertical="top" wrapText="1"/>
    </xf>
    <xf numFmtId="4" fontId="32" fillId="0" borderId="3" xfId="0" applyNumberFormat="1" applyFont="1" applyFill="1" applyBorder="1" applyAlignment="1">
      <alignment vertical="top" wrapText="1"/>
    </xf>
    <xf numFmtId="172" fontId="32" fillId="6" borderId="0" xfId="0" applyNumberFormat="1" applyFont="1" applyFill="1" applyBorder="1" applyAlignment="1">
      <alignment vertical="center"/>
    </xf>
    <xf numFmtId="2" fontId="31" fillId="2" borderId="0" xfId="1" applyNumberFormat="1" applyFont="1" applyFill="1"/>
    <xf numFmtId="2" fontId="31" fillId="0" borderId="0" xfId="0" applyNumberFormat="1" applyFont="1" applyAlignment="1">
      <alignment horizontal="left" vertical="center"/>
    </xf>
    <xf numFmtId="43" fontId="31" fillId="0" borderId="0" xfId="16" applyFont="1" applyAlignment="1">
      <alignment vertical="center"/>
    </xf>
    <xf numFmtId="1" fontId="32" fillId="0" borderId="30" xfId="0" applyNumberFormat="1" applyFont="1" applyFill="1" applyBorder="1" applyAlignment="1">
      <alignment horizontal="center" vertical="top" wrapText="1"/>
    </xf>
    <xf numFmtId="166" fontId="32" fillId="0" borderId="3" xfId="0" applyNumberFormat="1" applyFont="1" applyFill="1" applyBorder="1" applyAlignment="1">
      <alignment horizontal="center" vertical="top" wrapText="1"/>
    </xf>
    <xf numFmtId="0" fontId="32" fillId="0" borderId="30" xfId="0" applyNumberFormat="1" applyFont="1" applyFill="1" applyBorder="1" applyAlignment="1">
      <alignment horizontal="center" vertical="center" wrapText="1"/>
    </xf>
    <xf numFmtId="169" fontId="32" fillId="0" borderId="3" xfId="0" applyNumberFormat="1" applyFont="1" applyFill="1" applyBorder="1" applyAlignment="1">
      <alignment horizontal="center" vertical="top" wrapText="1"/>
    </xf>
    <xf numFmtId="4" fontId="31" fillId="0" borderId="3" xfId="0" applyNumberFormat="1" applyFont="1" applyFill="1" applyBorder="1" applyAlignment="1">
      <alignment vertical="top" wrapText="1"/>
    </xf>
    <xf numFmtId="166" fontId="32" fillId="0" borderId="59" xfId="0" applyNumberFormat="1" applyFont="1" applyFill="1" applyBorder="1" applyAlignment="1">
      <alignment vertical="top" wrapText="1"/>
    </xf>
    <xf numFmtId="1" fontId="32" fillId="0" borderId="32" xfId="0" applyNumberFormat="1" applyFont="1" applyFill="1" applyBorder="1" applyAlignment="1">
      <alignment horizontal="center" vertical="center" wrapText="1"/>
    </xf>
    <xf numFmtId="0" fontId="32" fillId="6" borderId="0" xfId="0" applyFont="1" applyFill="1"/>
    <xf numFmtId="166" fontId="30" fillId="0" borderId="29" xfId="0" applyNumberFormat="1" applyFont="1" applyFill="1" applyBorder="1" applyAlignment="1">
      <alignment vertical="top" wrapText="1"/>
    </xf>
    <xf numFmtId="43" fontId="30" fillId="0" borderId="59" xfId="0" applyNumberFormat="1" applyFont="1" applyFill="1" applyBorder="1" applyAlignment="1"/>
    <xf numFmtId="43" fontId="30" fillId="0" borderId="63" xfId="0" applyNumberFormat="1" applyFont="1" applyFill="1" applyBorder="1" applyAlignment="1"/>
    <xf numFmtId="168" fontId="28" fillId="0" borderId="37" xfId="9" applyFont="1" applyFill="1" applyBorder="1" applyAlignment="1"/>
    <xf numFmtId="0" fontId="30" fillId="2" borderId="0" xfId="0" applyFont="1" applyFill="1"/>
    <xf numFmtId="17" fontId="28" fillId="0" borderId="59" xfId="0" applyNumberFormat="1" applyFont="1" applyFill="1" applyBorder="1" applyAlignment="1">
      <alignment horizontal="center" vertical="center" wrapText="1"/>
    </xf>
    <xf numFmtId="43" fontId="32" fillId="0" borderId="24" xfId="13" applyFont="1" applyFill="1" applyBorder="1" applyAlignment="1">
      <alignment horizontal="right"/>
    </xf>
    <xf numFmtId="2" fontId="32" fillId="0" borderId="24" xfId="0" applyNumberFormat="1" applyFont="1" applyFill="1" applyBorder="1" applyAlignment="1">
      <alignment horizontal="center"/>
    </xf>
    <xf numFmtId="2" fontId="30" fillId="0" borderId="3" xfId="0" applyNumberFormat="1" applyFont="1" applyFill="1" applyBorder="1" applyAlignment="1">
      <alignment horizontal="center"/>
    </xf>
    <xf numFmtId="166" fontId="30" fillId="0" borderId="3" xfId="0" applyNumberFormat="1" applyFont="1" applyFill="1" applyBorder="1" applyAlignment="1"/>
    <xf numFmtId="0" fontId="31" fillId="2" borderId="0" xfId="0" applyFont="1" applyFill="1"/>
    <xf numFmtId="2" fontId="31" fillId="0" borderId="17" xfId="0" applyNumberFormat="1" applyFont="1" applyFill="1" applyBorder="1" applyAlignment="1">
      <alignment horizontal="center" vertical="top" wrapText="1"/>
    </xf>
    <xf numFmtId="2" fontId="30" fillId="0" borderId="0" xfId="0" applyNumberFormat="1" applyFont="1" applyFill="1" applyBorder="1" applyAlignment="1">
      <alignment horizontal="center"/>
    </xf>
    <xf numFmtId="4" fontId="31" fillId="0" borderId="17" xfId="0" applyNumberFormat="1" applyFont="1" applyFill="1" applyBorder="1" applyAlignment="1">
      <alignment vertical="top" wrapText="1"/>
    </xf>
    <xf numFmtId="43" fontId="31" fillId="0" borderId="0" xfId="13" applyFont="1"/>
    <xf numFmtId="43" fontId="31" fillId="0" borderId="0" xfId="0" applyNumberFormat="1" applyFont="1"/>
    <xf numFmtId="166" fontId="0" fillId="0" borderId="59" xfId="0" applyNumberFormat="1" applyFont="1" applyFill="1" applyBorder="1" applyAlignment="1">
      <alignment horizontal="right" vertical="top" wrapText="1"/>
    </xf>
    <xf numFmtId="2" fontId="31" fillId="2" borderId="0" xfId="0" applyNumberFormat="1" applyFont="1" applyFill="1"/>
    <xf numFmtId="2" fontId="32" fillId="0" borderId="3" xfId="0" applyNumberFormat="1" applyFont="1" applyFill="1" applyBorder="1" applyAlignment="1">
      <alignment horizontal="center" vertical="top" wrapText="1"/>
    </xf>
    <xf numFmtId="9" fontId="30" fillId="0" borderId="0" xfId="0" applyNumberFormat="1" applyFont="1"/>
    <xf numFmtId="43" fontId="30" fillId="0" borderId="0" xfId="0" applyNumberFormat="1" applyFont="1"/>
    <xf numFmtId="0" fontId="0" fillId="2" borderId="0" xfId="0" applyFill="1"/>
    <xf numFmtId="169" fontId="0" fillId="0" borderId="17" xfId="0" applyNumberFormat="1" applyFont="1" applyFill="1" applyBorder="1" applyAlignment="1">
      <alignment horizontal="right" vertical="top" wrapText="1"/>
    </xf>
    <xf numFmtId="17" fontId="28" fillId="2" borderId="59" xfId="0" applyNumberFormat="1" applyFont="1" applyFill="1" applyBorder="1" applyAlignment="1">
      <alignment horizontal="center" vertical="center" wrapText="1"/>
    </xf>
    <xf numFmtId="1" fontId="30" fillId="2" borderId="2" xfId="0" applyNumberFormat="1" applyFont="1" applyFill="1" applyBorder="1" applyAlignment="1">
      <alignment vertical="top"/>
    </xf>
    <xf numFmtId="0" fontId="28" fillId="2" borderId="29" xfId="0" applyFont="1" applyFill="1" applyBorder="1" applyAlignment="1">
      <alignment horizontal="left" vertical="top" wrapText="1"/>
    </xf>
    <xf numFmtId="1" fontId="30" fillId="2" borderId="2" xfId="0" applyNumberFormat="1" applyFont="1" applyFill="1" applyBorder="1" applyAlignment="1"/>
    <xf numFmtId="0" fontId="28" fillId="2" borderId="29" xfId="0" applyFont="1" applyFill="1" applyBorder="1" applyAlignment="1">
      <alignment horizontal="left" vertical="top"/>
    </xf>
    <xf numFmtId="0" fontId="32" fillId="2" borderId="24" xfId="0" applyFont="1" applyFill="1" applyBorder="1"/>
    <xf numFmtId="43" fontId="32" fillId="2" borderId="24" xfId="10" applyFont="1" applyFill="1" applyBorder="1" applyAlignment="1">
      <alignment horizontal="right"/>
    </xf>
    <xf numFmtId="2" fontId="32" fillId="2" borderId="24" xfId="0" applyNumberFormat="1" applyFont="1" applyFill="1" applyBorder="1" applyAlignment="1">
      <alignment horizontal="center"/>
    </xf>
    <xf numFmtId="166" fontId="32" fillId="2" borderId="24" xfId="0" applyNumberFormat="1" applyFont="1" applyFill="1" applyBorder="1" applyAlignment="1"/>
    <xf numFmtId="0" fontId="32" fillId="2" borderId="31" xfId="0" applyFont="1" applyFill="1" applyBorder="1" applyAlignment="1"/>
    <xf numFmtId="1" fontId="30" fillId="2" borderId="2" xfId="0" applyNumberFormat="1" applyFont="1" applyFill="1" applyBorder="1" applyAlignment="1">
      <alignment horizontal="center"/>
    </xf>
    <xf numFmtId="0" fontId="30" fillId="2" borderId="24" xfId="0" applyFont="1" applyFill="1" applyBorder="1" applyAlignment="1">
      <alignment horizontal="center"/>
    </xf>
    <xf numFmtId="0" fontId="30" fillId="2" borderId="24" xfId="0" applyFont="1" applyFill="1" applyBorder="1"/>
    <xf numFmtId="165" fontId="30" fillId="2" borderId="24" xfId="0" applyNumberFormat="1" applyFont="1" applyFill="1" applyBorder="1" applyAlignment="1">
      <alignment horizontal="center"/>
    </xf>
    <xf numFmtId="166" fontId="30" fillId="2" borderId="24" xfId="0" applyNumberFormat="1" applyFont="1" applyFill="1" applyBorder="1" applyAlignment="1"/>
    <xf numFmtId="0" fontId="30" fillId="2" borderId="31" xfId="0" applyFont="1" applyFill="1" applyBorder="1" applyAlignment="1"/>
    <xf numFmtId="1" fontId="30" fillId="2" borderId="30" xfId="0" applyNumberFormat="1" applyFont="1" applyFill="1" applyBorder="1" applyAlignment="1">
      <alignment horizontal="center"/>
    </xf>
    <xf numFmtId="165" fontId="30" fillId="2" borderId="3" xfId="0" applyNumberFormat="1" applyFont="1" applyFill="1" applyBorder="1" applyAlignment="1">
      <alignment horizontal="center"/>
    </xf>
    <xf numFmtId="166" fontId="30" fillId="2" borderId="3" xfId="0" applyNumberFormat="1" applyFont="1" applyFill="1" applyBorder="1" applyAlignment="1"/>
    <xf numFmtId="0" fontId="30" fillId="2" borderId="29" xfId="0" applyFont="1" applyFill="1" applyBorder="1" applyAlignment="1"/>
    <xf numFmtId="1" fontId="31" fillId="2" borderId="34" xfId="0" applyNumberFormat="1" applyFont="1" applyFill="1" applyBorder="1" applyAlignment="1">
      <alignment horizontal="center" vertical="top" wrapText="1"/>
    </xf>
    <xf numFmtId="49" fontId="31" fillId="2" borderId="17" xfId="0" applyNumberFormat="1" applyFont="1" applyFill="1" applyBorder="1" applyAlignment="1">
      <alignment horizontal="center" vertical="top" wrapText="1"/>
    </xf>
    <xf numFmtId="165" fontId="31" fillId="2" borderId="17" xfId="0" applyNumberFormat="1" applyFont="1" applyFill="1" applyBorder="1" applyAlignment="1">
      <alignment horizontal="center" vertical="top" wrapText="1"/>
    </xf>
    <xf numFmtId="4" fontId="31" fillId="2" borderId="17" xfId="0" applyNumberFormat="1" applyFont="1" applyFill="1" applyBorder="1" applyAlignment="1">
      <alignment horizontal="right" vertical="top" wrapText="1"/>
    </xf>
    <xf numFmtId="166" fontId="31" fillId="2" borderId="59" xfId="0" applyNumberFormat="1" applyFont="1" applyFill="1" applyBorder="1" applyAlignment="1">
      <alignment horizontal="right" vertical="top" wrapText="1"/>
    </xf>
    <xf numFmtId="0" fontId="30" fillId="2" borderId="0" xfId="0" applyFont="1" applyFill="1" applyBorder="1" applyAlignment="1">
      <alignment horizontal="center"/>
    </xf>
    <xf numFmtId="0" fontId="30" fillId="2" borderId="0" xfId="0" applyFont="1" applyFill="1" applyBorder="1"/>
    <xf numFmtId="165" fontId="30" fillId="2" borderId="0" xfId="0" applyNumberFormat="1" applyFont="1" applyFill="1" applyBorder="1" applyAlignment="1">
      <alignment horizontal="center"/>
    </xf>
    <xf numFmtId="166" fontId="30" fillId="2" borderId="0" xfId="0" applyNumberFormat="1" applyFont="1" applyFill="1" applyBorder="1" applyAlignment="1"/>
    <xf numFmtId="0" fontId="30" fillId="2" borderId="33" xfId="0" applyFont="1" applyFill="1" applyBorder="1" applyAlignment="1"/>
    <xf numFmtId="0" fontId="30" fillId="2" borderId="16" xfId="0" applyFont="1" applyFill="1" applyBorder="1" applyAlignment="1">
      <alignment horizontal="center"/>
    </xf>
    <xf numFmtId="166" fontId="30" fillId="2" borderId="16" xfId="0" applyNumberFormat="1" applyFont="1" applyFill="1" applyBorder="1" applyAlignment="1"/>
    <xf numFmtId="49" fontId="31" fillId="2" borderId="34" xfId="0" applyNumberFormat="1" applyFont="1" applyFill="1" applyBorder="1" applyAlignment="1">
      <alignment horizontal="center" vertical="top" wrapText="1"/>
    </xf>
    <xf numFmtId="1" fontId="30" fillId="2" borderId="17" xfId="0" applyNumberFormat="1" applyFont="1" applyFill="1" applyBorder="1" applyAlignment="1">
      <alignment horizontal="center" vertical="top" wrapText="1"/>
    </xf>
    <xf numFmtId="165" fontId="30" fillId="2" borderId="3" xfId="0" applyNumberFormat="1" applyFont="1" applyFill="1" applyBorder="1" applyAlignment="1">
      <alignment horizontal="center" vertical="top" wrapText="1"/>
    </xf>
    <xf numFmtId="0" fontId="48" fillId="0" borderId="0" xfId="0" applyFont="1" applyAlignment="1">
      <alignment horizontal="left" vertical="center" wrapText="1" indent="1"/>
    </xf>
    <xf numFmtId="1" fontId="32" fillId="2" borderId="30" xfId="0" applyNumberFormat="1" applyFont="1" applyFill="1" applyBorder="1" applyAlignment="1">
      <alignment horizontal="center" vertical="center" wrapText="1"/>
    </xf>
    <xf numFmtId="1" fontId="32" fillId="2" borderId="3" xfId="0" applyNumberFormat="1" applyFont="1" applyFill="1" applyBorder="1" applyAlignment="1">
      <alignment horizontal="center" vertical="top" wrapText="1"/>
    </xf>
    <xf numFmtId="166" fontId="32" fillId="2" borderId="3" xfId="0" applyNumberFormat="1" applyFont="1" applyFill="1" applyBorder="1" applyAlignment="1">
      <alignment horizontal="center" vertical="top" wrapText="1"/>
    </xf>
    <xf numFmtId="165" fontId="32" fillId="2" borderId="3" xfId="0" applyNumberFormat="1" applyFont="1" applyFill="1" applyBorder="1" applyAlignment="1">
      <alignment horizontal="center" vertical="top" wrapText="1"/>
    </xf>
    <xf numFmtId="4" fontId="32" fillId="2" borderId="3" xfId="0" applyNumberFormat="1" applyFont="1" applyFill="1" applyBorder="1" applyAlignment="1">
      <alignment vertical="top" wrapText="1"/>
    </xf>
    <xf numFmtId="166" fontId="32" fillId="2" borderId="59" xfId="0" applyNumberFormat="1" applyFont="1" applyFill="1" applyBorder="1" applyAlignment="1">
      <alignment vertical="top" wrapText="1"/>
    </xf>
    <xf numFmtId="1" fontId="32" fillId="2" borderId="30" xfId="0" applyNumberFormat="1" applyFont="1" applyFill="1" applyBorder="1" applyAlignment="1">
      <alignment horizontal="center" vertical="top" wrapText="1"/>
    </xf>
    <xf numFmtId="0" fontId="0" fillId="0" borderId="0" xfId="0" applyAlignment="1"/>
    <xf numFmtId="0" fontId="29" fillId="0" borderId="0" xfId="8"/>
    <xf numFmtId="4" fontId="31" fillId="2" borderId="3" xfId="0" applyNumberFormat="1" applyFont="1" applyFill="1" applyBorder="1" applyAlignment="1">
      <alignment vertical="top" wrapText="1"/>
    </xf>
    <xf numFmtId="1" fontId="32" fillId="2" borderId="32" xfId="0" applyNumberFormat="1" applyFont="1" applyFill="1" applyBorder="1" applyAlignment="1">
      <alignment horizontal="center" vertical="center" wrapText="1"/>
    </xf>
    <xf numFmtId="43" fontId="31" fillId="0" borderId="0" xfId="16" applyFont="1"/>
    <xf numFmtId="166" fontId="30" fillId="2" borderId="29" xfId="0" applyNumberFormat="1" applyFont="1" applyFill="1" applyBorder="1" applyAlignment="1">
      <alignment vertical="top" wrapText="1"/>
    </xf>
    <xf numFmtId="167" fontId="30" fillId="2" borderId="59" xfId="0" applyNumberFormat="1" applyFont="1" applyFill="1" applyBorder="1" applyAlignment="1"/>
    <xf numFmtId="167" fontId="30" fillId="2" borderId="63" xfId="0" applyNumberFormat="1" applyFont="1" applyFill="1" applyBorder="1" applyAlignment="1"/>
    <xf numFmtId="168" fontId="28" fillId="2" borderId="37" xfId="9" applyFont="1" applyFill="1" applyBorder="1" applyAlignment="1"/>
    <xf numFmtId="1" fontId="30" fillId="2" borderId="0" xfId="0" applyNumberFormat="1" applyFont="1" applyFill="1" applyAlignment="1">
      <alignment horizontal="center"/>
    </xf>
    <xf numFmtId="0" fontId="30" fillId="2" borderId="0" xfId="0" applyFont="1" applyFill="1" applyAlignment="1">
      <alignment horizontal="center"/>
    </xf>
    <xf numFmtId="165" fontId="30" fillId="2" borderId="0" xfId="0" applyNumberFormat="1" applyFont="1" applyFill="1" applyAlignment="1">
      <alignment horizontal="center"/>
    </xf>
    <xf numFmtId="166" fontId="30" fillId="2" borderId="0" xfId="0" applyNumberFormat="1" applyFont="1" applyFill="1" applyAlignment="1"/>
    <xf numFmtId="0" fontId="30" fillId="2" borderId="0" xfId="0" applyFont="1" applyFill="1" applyAlignment="1"/>
    <xf numFmtId="0" fontId="0" fillId="0" borderId="0" xfId="0" applyBorder="1" applyAlignment="1">
      <alignment vertical="center"/>
    </xf>
    <xf numFmtId="0" fontId="0" fillId="0" borderId="0" xfId="0" applyAlignment="1">
      <alignment vertical="center"/>
    </xf>
    <xf numFmtId="0" fontId="49" fillId="2" borderId="2" xfId="0" applyFont="1" applyFill="1" applyBorder="1" applyAlignment="1">
      <alignment horizontal="center" vertical="top" wrapText="1"/>
    </xf>
    <xf numFmtId="0" fontId="49" fillId="2" borderId="0" xfId="0" applyFont="1" applyFill="1" applyBorder="1" applyAlignment="1">
      <alignment horizontal="center" vertical="top" wrapText="1"/>
    </xf>
    <xf numFmtId="0" fontId="49" fillId="2" borderId="9" xfId="0" applyFont="1" applyFill="1" applyBorder="1" applyAlignment="1">
      <alignment horizontal="center" vertical="top" wrapText="1"/>
    </xf>
    <xf numFmtId="0" fontId="0" fillId="0" borderId="0" xfId="0" applyAlignment="1">
      <alignment vertical="center" wrapText="1"/>
    </xf>
    <xf numFmtId="4" fontId="39" fillId="0" borderId="50" xfId="0" applyNumberFormat="1" applyFont="1" applyFill="1" applyBorder="1" applyAlignment="1">
      <alignment horizontal="center" vertical="center" wrapText="1"/>
    </xf>
    <xf numFmtId="4" fontId="39" fillId="0" borderId="51" xfId="0" applyNumberFormat="1" applyFont="1" applyFill="1" applyBorder="1" applyAlignment="1">
      <alignment horizontal="center" vertical="center" wrapText="1"/>
    </xf>
    <xf numFmtId="4" fontId="39" fillId="0" borderId="52" xfId="0" applyNumberFormat="1" applyFont="1" applyFill="1" applyBorder="1" applyAlignment="1">
      <alignment horizontal="center" vertical="center" wrapText="1"/>
    </xf>
    <xf numFmtId="0" fontId="27" fillId="2" borderId="65" xfId="0" applyFont="1" applyFill="1" applyBorder="1" applyAlignment="1">
      <alignment horizontal="center" vertical="center" wrapText="1"/>
    </xf>
    <xf numFmtId="0" fontId="27" fillId="2" borderId="66" xfId="0" applyFont="1" applyFill="1" applyBorder="1" applyAlignment="1">
      <alignment horizontal="left" vertical="center" wrapText="1"/>
    </xf>
    <xf numFmtId="49" fontId="50" fillId="2" borderId="66" xfId="0" applyNumberFormat="1" applyFont="1" applyFill="1" applyBorder="1" applyAlignment="1">
      <alignment horizontal="center" vertical="center" wrapText="1"/>
    </xf>
    <xf numFmtId="2" fontId="50" fillId="2" borderId="67" xfId="0" applyNumberFormat="1" applyFont="1" applyFill="1" applyBorder="1" applyAlignment="1">
      <alignment horizontal="center" vertical="center" wrapText="1"/>
    </xf>
    <xf numFmtId="4" fontId="27" fillId="2" borderId="68" xfId="0" applyNumberFormat="1" applyFont="1" applyFill="1" applyBorder="1" applyAlignment="1">
      <alignment horizontal="center" vertical="center" wrapText="1"/>
    </xf>
    <xf numFmtId="4" fontId="27" fillId="2" borderId="69" xfId="0" applyNumberFormat="1" applyFont="1" applyFill="1" applyBorder="1" applyAlignment="1">
      <alignment horizontal="center" vertical="center" wrapText="1"/>
    </xf>
    <xf numFmtId="173" fontId="27" fillId="2" borderId="70" xfId="0" applyNumberFormat="1" applyFont="1" applyFill="1" applyBorder="1" applyAlignment="1">
      <alignment horizontal="center" vertical="center" wrapText="1"/>
    </xf>
    <xf numFmtId="4" fontId="51" fillId="2" borderId="15" xfId="0" applyNumberFormat="1" applyFont="1" applyFill="1" applyBorder="1" applyAlignment="1">
      <alignment horizontal="center" vertical="center"/>
    </xf>
    <xf numFmtId="4" fontId="51" fillId="2" borderId="66" xfId="0" applyNumberFormat="1" applyFont="1" applyFill="1" applyBorder="1" applyAlignment="1">
      <alignment horizontal="center" vertical="center"/>
    </xf>
    <xf numFmtId="4" fontId="51" fillId="0" borderId="67" xfId="0" applyNumberFormat="1" applyFont="1" applyFill="1" applyBorder="1" applyAlignment="1">
      <alignment horizontal="center" vertical="center"/>
    </xf>
    <xf numFmtId="4" fontId="0" fillId="0" borderId="0" xfId="0" applyNumberFormat="1" applyAlignment="1">
      <alignment vertical="center" wrapText="1"/>
    </xf>
    <xf numFmtId="2" fontId="0" fillId="0" borderId="0" xfId="0" applyNumberFormat="1" applyAlignment="1">
      <alignment vertical="center" wrapText="1"/>
    </xf>
    <xf numFmtId="0" fontId="27" fillId="0" borderId="71" xfId="0" applyFont="1" applyFill="1" applyBorder="1" applyAlignment="1">
      <alignment horizontal="center" vertical="center" wrapText="1"/>
    </xf>
    <xf numFmtId="0" fontId="27" fillId="0" borderId="1" xfId="0" applyFont="1" applyFill="1" applyBorder="1" applyAlignment="1">
      <alignment horizontal="left" vertical="center" wrapText="1"/>
    </xf>
    <xf numFmtId="49" fontId="50" fillId="0" borderId="1" xfId="0" applyNumberFormat="1" applyFont="1" applyFill="1" applyBorder="1" applyAlignment="1">
      <alignment horizontal="center" vertical="center" wrapText="1"/>
    </xf>
    <xf numFmtId="2" fontId="50" fillId="0" borderId="72" xfId="0" applyNumberFormat="1" applyFont="1" applyFill="1" applyBorder="1" applyAlignment="1">
      <alignment horizontal="center" vertical="center" wrapText="1"/>
    </xf>
    <xf numFmtId="4" fontId="27" fillId="0" borderId="1" xfId="0" applyNumberFormat="1" applyFont="1" applyFill="1" applyBorder="1" applyAlignment="1">
      <alignment horizontal="center" vertical="center" wrapText="1"/>
    </xf>
    <xf numFmtId="4" fontId="51" fillId="0" borderId="15" xfId="0" applyNumberFormat="1" applyFont="1" applyFill="1" applyBorder="1" applyAlignment="1">
      <alignment horizontal="center" vertical="center"/>
    </xf>
    <xf numFmtId="4" fontId="51" fillId="0" borderId="72" xfId="0" applyNumberFormat="1" applyFont="1" applyFill="1" applyBorder="1" applyAlignment="1">
      <alignment horizontal="center" vertical="center"/>
    </xf>
    <xf numFmtId="0" fontId="27" fillId="2" borderId="71" xfId="0" applyFont="1" applyFill="1" applyBorder="1" applyAlignment="1">
      <alignment horizontal="center" vertical="center" wrapText="1"/>
    </xf>
    <xf numFmtId="0" fontId="27" fillId="2" borderId="1" xfId="0" applyFont="1" applyFill="1" applyBorder="1" applyAlignment="1">
      <alignment horizontal="left" vertical="center" wrapText="1"/>
    </xf>
    <xf numFmtId="49" fontId="50" fillId="2" borderId="1" xfId="0" applyNumberFormat="1" applyFont="1" applyFill="1" applyBorder="1" applyAlignment="1">
      <alignment horizontal="center" vertical="center" wrapText="1"/>
    </xf>
    <xf numFmtId="2" fontId="50" fillId="2" borderId="72" xfId="0" applyNumberFormat="1" applyFont="1" applyFill="1" applyBorder="1" applyAlignment="1">
      <alignment horizontal="center" vertical="center" wrapText="1"/>
    </xf>
    <xf numFmtId="4" fontId="27" fillId="2" borderId="1" xfId="0" applyNumberFormat="1" applyFont="1" applyFill="1" applyBorder="1" applyAlignment="1">
      <alignment horizontal="center" vertical="center" wrapText="1"/>
    </xf>
    <xf numFmtId="4" fontId="27" fillId="2" borderId="73" xfId="0" applyNumberFormat="1" applyFont="1" applyFill="1" applyBorder="1" applyAlignment="1">
      <alignment horizontal="center" vertical="center" wrapText="1"/>
    </xf>
    <xf numFmtId="173" fontId="27" fillId="2" borderId="74" xfId="0" applyNumberFormat="1" applyFont="1" applyFill="1" applyBorder="1" applyAlignment="1">
      <alignment horizontal="center" vertical="center" wrapText="1"/>
    </xf>
    <xf numFmtId="4" fontId="51" fillId="2" borderId="75" xfId="0" applyNumberFormat="1" applyFont="1" applyFill="1" applyBorder="1" applyAlignment="1">
      <alignment horizontal="center" vertical="center"/>
    </xf>
    <xf numFmtId="4" fontId="51" fillId="0" borderId="72" xfId="0" applyNumberFormat="1" applyFont="1" applyFill="1" applyBorder="1" applyAlignment="1">
      <alignment horizontal="left" vertical="center" wrapText="1"/>
    </xf>
    <xf numFmtId="4" fontId="27" fillId="0" borderId="71" xfId="0" applyNumberFormat="1" applyFont="1" applyFill="1" applyBorder="1" applyAlignment="1">
      <alignment horizontal="center" vertical="center" wrapText="1"/>
    </xf>
    <xf numFmtId="173" fontId="27" fillId="0" borderId="72" xfId="0" applyNumberFormat="1" applyFont="1" applyFill="1" applyBorder="1" applyAlignment="1">
      <alignment horizontal="center" vertical="center" wrapText="1"/>
    </xf>
    <xf numFmtId="4" fontId="51" fillId="0" borderId="1" xfId="0" applyNumberFormat="1" applyFont="1" applyFill="1" applyBorder="1" applyAlignment="1">
      <alignment horizontal="center" vertical="center"/>
    </xf>
    <xf numFmtId="4" fontId="27" fillId="2" borderId="71" xfId="0" applyNumberFormat="1" applyFont="1" applyFill="1" applyBorder="1" applyAlignment="1">
      <alignment horizontal="center" vertical="center" wrapText="1"/>
    </xf>
    <xf numFmtId="173" fontId="27" fillId="2" borderId="72" xfId="0" applyNumberFormat="1" applyFont="1" applyFill="1" applyBorder="1" applyAlignment="1">
      <alignment horizontal="center" vertical="center" wrapText="1"/>
    </xf>
    <xf numFmtId="4" fontId="51" fillId="2" borderId="1" xfId="0" applyNumberFormat="1" applyFont="1" applyFill="1" applyBorder="1" applyAlignment="1">
      <alignment horizontal="center" vertical="center"/>
    </xf>
    <xf numFmtId="4" fontId="29" fillId="2" borderId="71" xfId="8" applyNumberFormat="1" applyFill="1" applyBorder="1" applyAlignment="1">
      <alignment horizontal="center" vertical="center" wrapText="1"/>
    </xf>
    <xf numFmtId="4" fontId="26" fillId="2" borderId="71" xfId="8" applyNumberFormat="1" applyFont="1" applyFill="1" applyBorder="1" applyAlignment="1">
      <alignment horizontal="center" vertical="center" wrapText="1"/>
    </xf>
    <xf numFmtId="4" fontId="52" fillId="2" borderId="1" xfId="0" applyNumberFormat="1" applyFont="1" applyFill="1" applyBorder="1" applyAlignment="1">
      <alignment horizontal="center" vertical="center" wrapText="1"/>
    </xf>
    <xf numFmtId="173" fontId="52" fillId="2" borderId="72" xfId="0" applyNumberFormat="1" applyFont="1" applyFill="1" applyBorder="1" applyAlignment="1">
      <alignment horizontal="center" vertical="center" wrapText="1"/>
    </xf>
    <xf numFmtId="0" fontId="27" fillId="0" borderId="76" xfId="0" applyFont="1" applyFill="1" applyBorder="1" applyAlignment="1">
      <alignment horizontal="center" vertical="center" wrapText="1"/>
    </xf>
    <xf numFmtId="0" fontId="27" fillId="0" borderId="77" xfId="0" applyFont="1" applyFill="1" applyBorder="1" applyAlignment="1">
      <alignment horizontal="left" vertical="center" wrapText="1"/>
    </xf>
    <xf numFmtId="49" fontId="50" fillId="0" borderId="77" xfId="0" applyNumberFormat="1" applyFont="1" applyFill="1" applyBorder="1" applyAlignment="1">
      <alignment horizontal="center" vertical="center" wrapText="1"/>
    </xf>
    <xf numFmtId="2" fontId="50" fillId="0" borderId="78" xfId="0" applyNumberFormat="1" applyFont="1" applyFill="1" applyBorder="1" applyAlignment="1">
      <alignment horizontal="center" vertical="center" wrapText="1"/>
    </xf>
    <xf numFmtId="4" fontId="27" fillId="0" borderId="76" xfId="0" applyNumberFormat="1" applyFont="1" applyFill="1" applyBorder="1" applyAlignment="1">
      <alignment horizontal="center" vertical="center" wrapText="1"/>
    </xf>
    <xf numFmtId="4" fontId="27" fillId="0" borderId="77" xfId="0" applyNumberFormat="1" applyFont="1" applyFill="1" applyBorder="1" applyAlignment="1">
      <alignment horizontal="center" vertical="center" wrapText="1"/>
    </xf>
    <xf numFmtId="173" fontId="27" fillId="0" borderId="78" xfId="0" applyNumberFormat="1" applyFont="1" applyFill="1" applyBorder="1" applyAlignment="1">
      <alignment horizontal="center" vertical="center" wrapText="1"/>
    </xf>
    <xf numFmtId="4" fontId="51" fillId="0" borderId="77" xfId="0" applyNumberFormat="1" applyFont="1" applyFill="1" applyBorder="1" applyAlignment="1">
      <alignment horizontal="center" vertical="center"/>
    </xf>
    <xf numFmtId="0" fontId="27" fillId="0" borderId="79" xfId="0" applyFont="1" applyFill="1" applyBorder="1" applyAlignment="1">
      <alignment horizontal="center" vertical="center" wrapText="1"/>
    </xf>
    <xf numFmtId="0" fontId="27" fillId="0" borderId="79" xfId="0" applyFont="1" applyFill="1" applyBorder="1" applyAlignment="1">
      <alignment horizontal="left" vertical="center" wrapText="1"/>
    </xf>
    <xf numFmtId="49" fontId="50" fillId="0" borderId="79" xfId="0" applyNumberFormat="1" applyFont="1" applyFill="1" applyBorder="1" applyAlignment="1">
      <alignment horizontal="center" vertical="center" wrapText="1"/>
    </xf>
    <xf numFmtId="2" fontId="50" fillId="0" borderId="79" xfId="0" applyNumberFormat="1" applyFont="1" applyFill="1" applyBorder="1" applyAlignment="1">
      <alignment horizontal="center" vertical="center" wrapText="1"/>
    </xf>
    <xf numFmtId="4" fontId="27" fillId="0" borderId="73" xfId="0" applyNumberFormat="1" applyFont="1" applyFill="1" applyBorder="1" applyAlignment="1">
      <alignment horizontal="center" vertical="center" wrapText="1"/>
    </xf>
    <xf numFmtId="4" fontId="27" fillId="0" borderId="75" xfId="0" applyNumberFormat="1" applyFont="1" applyFill="1" applyBorder="1" applyAlignment="1">
      <alignment horizontal="center" vertical="center" wrapText="1"/>
    </xf>
    <xf numFmtId="173" fontId="27" fillId="0" borderId="74" xfId="0" applyNumberFormat="1" applyFont="1" applyFill="1" applyBorder="1" applyAlignment="1">
      <alignment horizontal="center" vertical="center" wrapText="1"/>
    </xf>
    <xf numFmtId="4" fontId="27" fillId="0" borderId="80" xfId="0" applyNumberFormat="1" applyFont="1" applyFill="1" applyBorder="1" applyAlignment="1">
      <alignment horizontal="center" vertical="center" wrapText="1"/>
    </xf>
    <xf numFmtId="4" fontId="51" fillId="0" borderId="79" xfId="0" applyNumberFormat="1" applyFont="1" applyFill="1" applyBorder="1" applyAlignment="1">
      <alignment horizontal="center" vertical="center"/>
    </xf>
    <xf numFmtId="0" fontId="27" fillId="0" borderId="60" xfId="0" applyFont="1" applyFill="1" applyBorder="1" applyAlignment="1">
      <alignment horizontal="center" vertical="center" wrapText="1"/>
    </xf>
    <xf numFmtId="0" fontId="27" fillId="0" borderId="60" xfId="0" applyFont="1" applyFill="1" applyBorder="1" applyAlignment="1">
      <alignment horizontal="left" vertical="center" wrapText="1"/>
    </xf>
    <xf numFmtId="49" fontId="50" fillId="0" borderId="60" xfId="0" applyNumberFormat="1" applyFont="1" applyFill="1" applyBorder="1" applyAlignment="1">
      <alignment horizontal="center" vertical="center" wrapText="1"/>
    </xf>
    <xf numFmtId="2" fontId="50" fillId="0" borderId="60" xfId="0" applyNumberFormat="1" applyFont="1" applyFill="1" applyBorder="1" applyAlignment="1">
      <alignment horizontal="center" vertical="center" wrapText="1"/>
    </xf>
    <xf numFmtId="4" fontId="27" fillId="0" borderId="65" xfId="0" applyNumberFormat="1" applyFont="1" applyFill="1" applyBorder="1" applyAlignment="1">
      <alignment horizontal="center" vertical="center" wrapText="1"/>
    </xf>
    <xf numFmtId="4" fontId="27" fillId="0" borderId="66" xfId="0" applyNumberFormat="1" applyFont="1" applyFill="1" applyBorder="1" applyAlignment="1">
      <alignment horizontal="center" vertical="center" wrapText="1"/>
    </xf>
    <xf numFmtId="173" fontId="27" fillId="0" borderId="67" xfId="0" applyNumberFormat="1" applyFont="1" applyFill="1" applyBorder="1" applyAlignment="1">
      <alignment horizontal="center" vertical="center" wrapText="1"/>
    </xf>
    <xf numFmtId="4" fontId="27" fillId="0" borderId="81" xfId="0" applyNumberFormat="1" applyFont="1" applyFill="1" applyBorder="1" applyAlignment="1">
      <alignment horizontal="center" vertical="center" wrapText="1"/>
    </xf>
    <xf numFmtId="4" fontId="51" fillId="0" borderId="60" xfId="0" applyNumberFormat="1" applyFont="1" applyFill="1" applyBorder="1" applyAlignment="1">
      <alignment horizontal="center" vertical="center"/>
    </xf>
    <xf numFmtId="4" fontId="27" fillId="0" borderId="82" xfId="0" applyNumberFormat="1" applyFont="1" applyFill="1" applyBorder="1" applyAlignment="1">
      <alignment horizontal="center" vertical="center" wrapText="1"/>
    </xf>
    <xf numFmtId="2" fontId="27" fillId="0" borderId="1" xfId="0" applyNumberFormat="1" applyFont="1" applyFill="1" applyBorder="1" applyAlignment="1">
      <alignment horizontal="center" vertical="center" wrapText="1"/>
    </xf>
    <xf numFmtId="4" fontId="51" fillId="10" borderId="60" xfId="0" applyNumberFormat="1" applyFont="1" applyFill="1" applyBorder="1" applyAlignment="1">
      <alignment horizontal="center" vertical="center"/>
    </xf>
    <xf numFmtId="4" fontId="51" fillId="0" borderId="60" xfId="0" applyNumberFormat="1" applyFont="1" applyFill="1" applyBorder="1" applyAlignment="1">
      <alignment horizontal="center" vertical="center" wrapText="1"/>
    </xf>
    <xf numFmtId="4" fontId="27" fillId="0" borderId="83" xfId="0" applyNumberFormat="1" applyFont="1" applyFill="1" applyBorder="1" applyAlignment="1">
      <alignment horizontal="center" vertical="center" wrapText="1"/>
    </xf>
    <xf numFmtId="4" fontId="27" fillId="0" borderId="84" xfId="0" applyNumberFormat="1" applyFont="1" applyFill="1" applyBorder="1" applyAlignment="1">
      <alignment horizontal="center" vertical="center" wrapText="1"/>
    </xf>
    <xf numFmtId="173" fontId="27" fillId="0" borderId="85" xfId="0" applyNumberFormat="1" applyFont="1" applyFill="1" applyBorder="1" applyAlignment="1">
      <alignment horizontal="center" vertical="center" wrapText="1"/>
    </xf>
    <xf numFmtId="4" fontId="27" fillId="0" borderId="86" xfId="0" applyNumberFormat="1" applyFont="1" applyFill="1" applyBorder="1" applyAlignment="1">
      <alignment horizontal="center" vertical="center" wrapText="1"/>
    </xf>
    <xf numFmtId="4" fontId="27" fillId="0" borderId="87" xfId="0" applyNumberFormat="1" applyFont="1" applyFill="1" applyBorder="1" applyAlignment="1">
      <alignment horizontal="center" vertical="center" wrapText="1"/>
    </xf>
    <xf numFmtId="4" fontId="27" fillId="0" borderId="88" xfId="0" applyNumberFormat="1" applyFont="1" applyFill="1" applyBorder="1" applyAlignment="1">
      <alignment horizontal="center" vertical="center" wrapText="1"/>
    </xf>
    <xf numFmtId="173" fontId="27" fillId="0" borderId="89" xfId="0" applyNumberFormat="1" applyFont="1" applyFill="1" applyBorder="1" applyAlignment="1">
      <alignment horizontal="center" vertical="center" wrapText="1"/>
    </xf>
    <xf numFmtId="4" fontId="27" fillId="0" borderId="90" xfId="0" applyNumberFormat="1" applyFont="1" applyFill="1" applyBorder="1" applyAlignment="1">
      <alignment horizontal="center" vertical="center" wrapText="1"/>
    </xf>
    <xf numFmtId="4" fontId="26" fillId="0" borderId="86" xfId="8" applyNumberFormat="1" applyFont="1" applyFill="1" applyBorder="1" applyAlignment="1">
      <alignment horizontal="center" vertical="center" wrapText="1"/>
    </xf>
    <xf numFmtId="4" fontId="52" fillId="0" borderId="84" xfId="0" applyNumberFormat="1" applyFont="1" applyFill="1" applyBorder="1" applyAlignment="1">
      <alignment horizontal="center" vertical="center" wrapText="1"/>
    </xf>
    <xf numFmtId="173" fontId="52" fillId="0" borderId="85" xfId="0" applyNumberFormat="1" applyFont="1" applyFill="1" applyBorder="1" applyAlignment="1">
      <alignment horizontal="center" vertical="center" wrapText="1"/>
    </xf>
    <xf numFmtId="0" fontId="27" fillId="0" borderId="87" xfId="0" applyFont="1" applyFill="1" applyBorder="1" applyAlignment="1">
      <alignment horizontal="center" vertical="center" wrapText="1"/>
    </xf>
    <xf numFmtId="0" fontId="27" fillId="0" borderId="88" xfId="0" applyFont="1" applyFill="1" applyBorder="1" applyAlignment="1">
      <alignment horizontal="left" vertical="center" wrapText="1"/>
    </xf>
    <xf numFmtId="49" fontId="50" fillId="0" borderId="88" xfId="0" applyNumberFormat="1" applyFont="1" applyFill="1" applyBorder="1" applyAlignment="1">
      <alignment horizontal="center" vertical="center" wrapText="1"/>
    </xf>
    <xf numFmtId="2" fontId="50" fillId="0" borderId="89" xfId="0" applyNumberFormat="1" applyFont="1" applyFill="1" applyBorder="1" applyAlignment="1">
      <alignment horizontal="center" vertical="center" wrapText="1"/>
    </xf>
    <xf numFmtId="4" fontId="51" fillId="0" borderId="91" xfId="0" applyNumberFormat="1" applyFont="1" applyFill="1" applyBorder="1" applyAlignment="1">
      <alignment horizontal="center" vertical="center"/>
    </xf>
    <xf numFmtId="4" fontId="51" fillId="0" borderId="88" xfId="0" applyNumberFormat="1" applyFont="1" applyFill="1" applyBorder="1" applyAlignment="1">
      <alignment horizontal="center" vertical="center"/>
    </xf>
    <xf numFmtId="4" fontId="51" fillId="0" borderId="89" xfId="0" applyNumberFormat="1" applyFont="1" applyFill="1" applyBorder="1" applyAlignment="1">
      <alignment horizontal="left" vertical="center" wrapText="1"/>
    </xf>
    <xf numFmtId="0" fontId="0" fillId="0" borderId="0" xfId="0" applyAlignment="1">
      <alignment horizontal="center" vertical="center"/>
    </xf>
    <xf numFmtId="0" fontId="0" fillId="0" borderId="0" xfId="0" applyFill="1" applyBorder="1" applyAlignment="1">
      <alignment horizontal="center" vertical="center"/>
    </xf>
    <xf numFmtId="4" fontId="51" fillId="0" borderId="0" xfId="0" applyNumberFormat="1" applyFont="1" applyFill="1" applyBorder="1" applyAlignment="1">
      <alignment horizontal="center" vertical="center"/>
    </xf>
    <xf numFmtId="4" fontId="30" fillId="2" borderId="3" xfId="0" applyNumberFormat="1" applyFont="1" applyFill="1" applyBorder="1" applyAlignment="1">
      <alignment vertical="top" wrapText="1"/>
    </xf>
    <xf numFmtId="44" fontId="31" fillId="2" borderId="17" xfId="1" applyFont="1" applyFill="1" applyBorder="1" applyAlignment="1">
      <alignment horizontal="center" vertical="center" wrapText="1"/>
    </xf>
    <xf numFmtId="44" fontId="31" fillId="2" borderId="59" xfId="1" applyFont="1" applyFill="1" applyBorder="1" applyAlignment="1">
      <alignment horizontal="center" vertical="center" wrapText="1"/>
    </xf>
    <xf numFmtId="49" fontId="31" fillId="2" borderId="17" xfId="0" applyNumberFormat="1" applyFont="1" applyFill="1" applyBorder="1" applyAlignment="1">
      <alignment horizontal="center" vertical="center" wrapText="1"/>
    </xf>
    <xf numFmtId="44" fontId="30" fillId="2" borderId="29" xfId="1" applyFont="1" applyFill="1" applyBorder="1" applyAlignment="1"/>
    <xf numFmtId="44" fontId="30" fillId="2" borderId="59" xfId="1" applyFont="1" applyFill="1" applyBorder="1" applyAlignment="1"/>
    <xf numFmtId="44" fontId="30" fillId="2" borderId="63" xfId="1" applyFont="1" applyFill="1" applyBorder="1" applyAlignment="1"/>
    <xf numFmtId="1" fontId="31" fillId="2" borderId="17" xfId="0" applyNumberFormat="1" applyFont="1" applyFill="1" applyBorder="1" applyAlignment="1">
      <alignment horizontal="center" vertical="center" wrapText="1"/>
    </xf>
    <xf numFmtId="49" fontId="32" fillId="0" borderId="17" xfId="7" applyNumberFormat="1" applyFont="1" applyFill="1" applyBorder="1" applyAlignment="1">
      <alignment horizontal="center" vertical="top" wrapText="1"/>
    </xf>
    <xf numFmtId="0" fontId="30" fillId="2" borderId="24" xfId="7" applyFont="1" applyFill="1" applyBorder="1" applyAlignment="1">
      <alignment horizontal="center" vertical="center"/>
    </xf>
    <xf numFmtId="1" fontId="30" fillId="2" borderId="2" xfId="7" applyNumberFormat="1" applyFont="1" applyFill="1" applyBorder="1" applyAlignment="1">
      <alignment horizontal="center" vertical="center"/>
    </xf>
    <xf numFmtId="0" fontId="28" fillId="2" borderId="2" xfId="7" applyFont="1" applyFill="1" applyBorder="1" applyAlignment="1">
      <alignment horizontal="center" vertical="center" wrapText="1"/>
    </xf>
    <xf numFmtId="0" fontId="0" fillId="2" borderId="2" xfId="0" applyFill="1" applyBorder="1"/>
    <xf numFmtId="0" fontId="2" fillId="2" borderId="3" xfId="0" applyFont="1" applyFill="1" applyBorder="1" applyAlignment="1">
      <alignment horizontal="center" vertical="center" wrapText="1"/>
    </xf>
    <xf numFmtId="0" fontId="2" fillId="0" borderId="29" xfId="0" applyFont="1" applyFill="1" applyBorder="1" applyAlignment="1">
      <alignment horizontal="center" vertical="center" wrapText="1"/>
    </xf>
    <xf numFmtId="49" fontId="2" fillId="0" borderId="30" xfId="0" applyNumberFormat="1" applyFont="1" applyBorder="1" applyAlignment="1">
      <alignment horizontal="center" vertical="center"/>
    </xf>
    <xf numFmtId="0" fontId="0" fillId="0" borderId="3" xfId="0" applyFont="1" applyBorder="1" applyAlignment="1">
      <alignment horizontal="left" vertical="center" wrapText="1"/>
    </xf>
    <xf numFmtId="0" fontId="0" fillId="0" borderId="3" xfId="0" applyFont="1" applyBorder="1" applyAlignment="1">
      <alignment horizontal="center" vertical="center"/>
    </xf>
    <xf numFmtId="0" fontId="0" fillId="2" borderId="3" xfId="0" applyFill="1" applyBorder="1" applyAlignment="1">
      <alignment horizontal="center" vertical="center" wrapText="1"/>
    </xf>
    <xf numFmtId="2" fontId="2" fillId="0" borderId="29" xfId="0" applyNumberFormat="1" applyFont="1" applyFill="1" applyBorder="1" applyAlignment="1">
      <alignment horizontal="center" vertical="center" wrapText="1"/>
    </xf>
    <xf numFmtId="2" fontId="0" fillId="0" borderId="46" xfId="0" applyNumberFormat="1" applyBorder="1"/>
    <xf numFmtId="2" fontId="26" fillId="0" borderId="46" xfId="0" applyNumberFormat="1" applyFont="1" applyFill="1" applyBorder="1" applyAlignment="1">
      <alignment horizontal="center" vertical="center"/>
    </xf>
    <xf numFmtId="2" fontId="0" fillId="0" borderId="46" xfId="0" applyNumberFormat="1" applyBorder="1" applyAlignment="1">
      <alignment horizontal="center" vertical="center"/>
    </xf>
    <xf numFmtId="2" fontId="0" fillId="0" borderId="92" xfId="0" applyNumberFormat="1" applyFill="1" applyBorder="1" applyAlignment="1">
      <alignment horizontal="center" vertical="center"/>
    </xf>
    <xf numFmtId="0" fontId="54" fillId="11" borderId="32" xfId="0" applyFont="1" applyFill="1" applyBorder="1" applyAlignment="1">
      <alignment horizontal="center" vertical="center"/>
    </xf>
    <xf numFmtId="0" fontId="54" fillId="11" borderId="16" xfId="0" applyFont="1" applyFill="1" applyBorder="1" applyAlignment="1">
      <alignment horizontal="center" vertical="center"/>
    </xf>
    <xf numFmtId="0" fontId="54" fillId="11" borderId="33" xfId="0" applyFont="1" applyFill="1" applyBorder="1" applyAlignment="1">
      <alignment horizontal="center" vertical="center"/>
    </xf>
    <xf numFmtId="49" fontId="2" fillId="0" borderId="30" xfId="0" applyNumberFormat="1" applyFont="1" applyFill="1" applyBorder="1" applyAlignment="1">
      <alignment horizontal="center" vertical="center"/>
    </xf>
    <xf numFmtId="0" fontId="2" fillId="0" borderId="30" xfId="0" quotePrefix="1" applyFont="1" applyFill="1" applyBorder="1" applyAlignment="1">
      <alignment horizontal="center" vertical="center"/>
    </xf>
    <xf numFmtId="0" fontId="0" fillId="2" borderId="25" xfId="0" applyFill="1" applyBorder="1" applyAlignment="1">
      <alignment vertical="center" wrapText="1"/>
    </xf>
    <xf numFmtId="0" fontId="0" fillId="2" borderId="16" xfId="0" applyFill="1" applyBorder="1" applyAlignment="1">
      <alignment vertical="center" wrapText="1"/>
    </xf>
    <xf numFmtId="0" fontId="0" fillId="0" borderId="33" xfId="0" applyFill="1" applyBorder="1" applyAlignment="1">
      <alignment horizontal="center" vertical="center" wrapText="1"/>
    </xf>
    <xf numFmtId="49" fontId="0" fillId="0" borderId="30" xfId="0" applyNumberFormat="1" applyFont="1" applyBorder="1" applyAlignment="1">
      <alignment horizontal="center" vertical="center"/>
    </xf>
    <xf numFmtId="0" fontId="0" fillId="2" borderId="22" xfId="0" applyFont="1" applyFill="1" applyBorder="1" applyAlignment="1">
      <alignment horizontal="left" vertical="center" wrapText="1"/>
    </xf>
    <xf numFmtId="2" fontId="2" fillId="0" borderId="29" xfId="0" applyNumberFormat="1" applyFont="1" applyFill="1" applyBorder="1" applyAlignment="1">
      <alignment horizontal="center" vertical="center"/>
    </xf>
    <xf numFmtId="0" fontId="0" fillId="2" borderId="34" xfId="0" applyFill="1" applyBorder="1"/>
    <xf numFmtId="0" fontId="0" fillId="0" borderId="53" xfId="0" applyBorder="1"/>
    <xf numFmtId="2" fontId="0" fillId="0" borderId="54" xfId="0" applyNumberFormat="1" applyBorder="1"/>
    <xf numFmtId="2" fontId="0" fillId="0" borderId="54" xfId="0" applyNumberFormat="1" applyBorder="1" applyAlignment="1">
      <alignment horizontal="center" vertical="center"/>
    </xf>
    <xf numFmtId="2" fontId="0" fillId="0" borderId="93" xfId="0" applyNumberFormat="1" applyFill="1" applyBorder="1" applyAlignment="1">
      <alignment horizontal="center" vertical="center"/>
    </xf>
    <xf numFmtId="0" fontId="0" fillId="0" borderId="0" xfId="0" applyBorder="1" applyAlignment="1">
      <alignment horizontal="center" vertical="center"/>
    </xf>
    <xf numFmtId="0" fontId="0" fillId="11" borderId="32" xfId="0" applyFill="1" applyBorder="1" applyAlignment="1">
      <alignment horizontal="center" vertical="center"/>
    </xf>
    <xf numFmtId="0" fontId="0" fillId="11" borderId="16" xfId="0" applyFill="1" applyBorder="1" applyAlignment="1">
      <alignment horizontal="center" vertical="center"/>
    </xf>
    <xf numFmtId="0" fontId="0" fillId="11" borderId="16" xfId="0" applyFill="1" applyBorder="1" applyAlignment="1">
      <alignment vertical="center"/>
    </xf>
    <xf numFmtId="0" fontId="0" fillId="11" borderId="33" xfId="0" applyFill="1" applyBorder="1" applyAlignment="1">
      <alignment horizontal="center" vertical="center"/>
    </xf>
    <xf numFmtId="0" fontId="0" fillId="0" borderId="30" xfId="0" applyFont="1" applyBorder="1" applyAlignment="1">
      <alignment horizontal="center" vertical="center"/>
    </xf>
    <xf numFmtId="0" fontId="0" fillId="2" borderId="94" xfId="0" applyFont="1" applyFill="1" applyBorder="1" applyAlignment="1">
      <alignment horizontal="left" vertical="center" wrapText="1"/>
    </xf>
    <xf numFmtId="2" fontId="0" fillId="0" borderId="54" xfId="0" applyNumberFormat="1" applyBorder="1" applyAlignment="1">
      <alignment horizontal="center"/>
    </xf>
    <xf numFmtId="2" fontId="26" fillId="0" borderId="54" xfId="0" applyNumberFormat="1" applyFont="1" applyFill="1" applyBorder="1" applyAlignment="1">
      <alignment horizontal="center" vertical="center"/>
    </xf>
    <xf numFmtId="2" fontId="0" fillId="0" borderId="54" xfId="0" applyNumberFormat="1" applyFill="1" applyBorder="1" applyAlignment="1">
      <alignment horizontal="center" vertical="center"/>
    </xf>
    <xf numFmtId="0" fontId="0" fillId="0" borderId="44" xfId="0" applyBorder="1"/>
    <xf numFmtId="2" fontId="0" fillId="0" borderId="45" xfId="0" applyNumberFormat="1" applyBorder="1"/>
    <xf numFmtId="2" fontId="0" fillId="0" borderId="45" xfId="0" applyNumberFormat="1" applyBorder="1" applyAlignment="1">
      <alignment horizontal="center" vertical="center"/>
    </xf>
    <xf numFmtId="2" fontId="0" fillId="0" borderId="95" xfId="0" applyNumberFormat="1" applyFill="1" applyBorder="1" applyAlignment="1">
      <alignment horizontal="center" vertical="center"/>
    </xf>
    <xf numFmtId="0" fontId="0" fillId="2" borderId="3" xfId="0" applyFont="1" applyFill="1" applyBorder="1" applyAlignment="1">
      <alignment horizontal="left" vertical="center" wrapText="1"/>
    </xf>
    <xf numFmtId="0" fontId="0" fillId="2" borderId="0" xfId="0" applyFill="1" applyBorder="1" applyAlignment="1">
      <alignment horizontal="center" vertical="center" wrapText="1"/>
    </xf>
    <xf numFmtId="0" fontId="0" fillId="2" borderId="58" xfId="0" applyFill="1" applyBorder="1"/>
    <xf numFmtId="0" fontId="0" fillId="11" borderId="33" xfId="0" applyFill="1" applyBorder="1" applyAlignment="1">
      <alignment vertical="center"/>
    </xf>
    <xf numFmtId="2" fontId="26" fillId="0" borderId="45" xfId="0" applyNumberFormat="1" applyFont="1" applyFill="1" applyBorder="1" applyAlignment="1">
      <alignment horizontal="center" vertical="center"/>
    </xf>
    <xf numFmtId="2" fontId="0" fillId="0" borderId="45" xfId="0" applyNumberFormat="1" applyFill="1" applyBorder="1" applyAlignment="1">
      <alignment horizontal="center" vertical="center"/>
    </xf>
    <xf numFmtId="2" fontId="0" fillId="0" borderId="46" xfId="0" applyNumberFormat="1" applyFill="1" applyBorder="1" applyAlignment="1">
      <alignment horizontal="center" vertical="center"/>
    </xf>
    <xf numFmtId="0" fontId="0" fillId="2" borderId="3" xfId="0" applyFont="1" applyFill="1" applyBorder="1" applyAlignment="1">
      <alignment horizontal="center" vertical="center" wrapText="1"/>
    </xf>
    <xf numFmtId="2" fontId="0" fillId="0" borderId="46" xfId="0" applyNumberFormat="1" applyBorder="1" applyAlignment="1">
      <alignment horizontal="center"/>
    </xf>
    <xf numFmtId="49" fontId="0" fillId="0" borderId="30"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xf>
    <xf numFmtId="0" fontId="2" fillId="2" borderId="25" xfId="0" applyFont="1" applyFill="1" applyBorder="1" applyAlignment="1">
      <alignment vertical="center" wrapText="1"/>
    </xf>
    <xf numFmtId="0" fontId="0" fillId="0" borderId="30" xfId="0" applyFont="1" applyFill="1" applyBorder="1" applyAlignment="1">
      <alignment horizontal="center" vertical="center"/>
    </xf>
    <xf numFmtId="49" fontId="2" fillId="0" borderId="30" xfId="0" quotePrefix="1" applyNumberFormat="1" applyFont="1" applyFill="1" applyBorder="1" applyAlignment="1">
      <alignment horizontal="center" vertical="center"/>
    </xf>
    <xf numFmtId="0" fontId="2" fillId="0" borderId="25" xfId="0" applyFont="1" applyFill="1" applyBorder="1" applyAlignment="1">
      <alignment vertical="center" wrapText="1"/>
    </xf>
    <xf numFmtId="0" fontId="0" fillId="0" borderId="16" xfId="0" applyFill="1" applyBorder="1" applyAlignment="1">
      <alignment vertical="center" wrapText="1"/>
    </xf>
    <xf numFmtId="0" fontId="0" fillId="2" borderId="16" xfId="0" applyFont="1" applyFill="1" applyBorder="1" applyAlignment="1">
      <alignment vertical="center" wrapText="1"/>
    </xf>
    <xf numFmtId="0" fontId="0" fillId="2" borderId="34" xfId="0" applyFont="1" applyFill="1" applyBorder="1"/>
    <xf numFmtId="2" fontId="0" fillId="0" borderId="54" xfId="0" applyNumberFormat="1" applyFont="1" applyBorder="1"/>
    <xf numFmtId="0" fontId="0" fillId="0" borderId="3" xfId="0" applyFont="1" applyBorder="1" applyAlignment="1">
      <alignment wrapText="1"/>
    </xf>
    <xf numFmtId="2" fontId="0" fillId="0" borderId="3" xfId="0" applyNumberFormat="1" applyFont="1" applyBorder="1" applyAlignment="1">
      <alignment horizontal="center" vertical="center"/>
    </xf>
    <xf numFmtId="0" fontId="0" fillId="2" borderId="97" xfId="0" applyFill="1" applyBorder="1"/>
    <xf numFmtId="0" fontId="0" fillId="2" borderId="2" xfId="0" applyFont="1" applyFill="1" applyBorder="1"/>
    <xf numFmtId="2" fontId="0" fillId="0" borderId="46" xfId="0" applyNumberFormat="1" applyFont="1" applyBorder="1"/>
    <xf numFmtId="0" fontId="0" fillId="11" borderId="32" xfId="0" applyFont="1" applyFill="1" applyBorder="1" applyAlignment="1">
      <alignment horizontal="center" vertical="center"/>
    </xf>
    <xf numFmtId="0" fontId="0" fillId="11" borderId="16" xfId="0" applyFont="1" applyFill="1" applyBorder="1" applyAlignment="1">
      <alignment horizontal="center" vertical="center"/>
    </xf>
    <xf numFmtId="0" fontId="0" fillId="11" borderId="38" xfId="0" applyFill="1" applyBorder="1" applyAlignment="1">
      <alignment horizontal="center" vertical="center"/>
    </xf>
    <xf numFmtId="0" fontId="54" fillId="11" borderId="39" xfId="0" applyFont="1" applyFill="1" applyBorder="1" applyAlignment="1">
      <alignment horizontal="center" vertical="center"/>
    </xf>
    <xf numFmtId="0" fontId="0" fillId="11" borderId="39" xfId="0" applyFill="1" applyBorder="1" applyAlignment="1">
      <alignment horizontal="center" vertical="center"/>
    </xf>
    <xf numFmtId="0" fontId="0" fillId="11" borderId="39" xfId="0" applyFill="1" applyBorder="1" applyAlignment="1">
      <alignment vertical="center"/>
    </xf>
    <xf numFmtId="0" fontId="0" fillId="11" borderId="40" xfId="0" applyFill="1" applyBorder="1" applyAlignment="1">
      <alignment horizontal="center" vertical="center"/>
    </xf>
    <xf numFmtId="0" fontId="0" fillId="0" borderId="0" xfId="0" applyFill="1" applyAlignment="1">
      <alignment horizontal="center"/>
    </xf>
    <xf numFmtId="0" fontId="0" fillId="0" borderId="3" xfId="0" applyBorder="1" applyAlignment="1">
      <alignment wrapText="1"/>
    </xf>
    <xf numFmtId="0" fontId="7" fillId="0" borderId="0" xfId="0" applyFont="1" applyBorder="1" applyAlignment="1">
      <alignment horizontal="center" vertical="center"/>
    </xf>
    <xf numFmtId="0" fontId="0" fillId="0" borderId="53" xfId="0" applyBorder="1" applyAlignment="1">
      <alignment horizontal="right"/>
    </xf>
    <xf numFmtId="0" fontId="0" fillId="0" borderId="44" xfId="0" applyBorder="1" applyAlignment="1">
      <alignment horizontal="right"/>
    </xf>
    <xf numFmtId="2" fontId="0" fillId="0" borderId="45" xfId="0" applyNumberFormat="1" applyBorder="1" applyAlignment="1">
      <alignment horizontal="center"/>
    </xf>
    <xf numFmtId="0" fontId="2" fillId="0" borderId="3" xfId="0" applyFont="1" applyBorder="1" applyAlignment="1">
      <alignment horizontal="center" vertical="center"/>
    </xf>
    <xf numFmtId="0" fontId="49" fillId="2" borderId="2" xfId="0" applyFont="1" applyFill="1" applyBorder="1" applyAlignment="1">
      <alignment horizontal="center" vertical="top" wrapText="1"/>
    </xf>
    <xf numFmtId="0" fontId="49" fillId="2" borderId="0" xfId="0" applyFont="1" applyFill="1" applyBorder="1" applyAlignment="1">
      <alignment horizontal="center" vertical="top" wrapText="1"/>
    </xf>
    <xf numFmtId="0" fontId="49" fillId="2" borderId="9" xfId="0" applyFont="1" applyFill="1" applyBorder="1" applyAlignment="1">
      <alignment horizontal="center" vertical="top" wrapText="1"/>
    </xf>
    <xf numFmtId="44" fontId="4" fillId="0" borderId="3" xfId="1" applyFont="1" applyBorder="1" applyAlignment="1">
      <alignment horizontal="center" vertical="center" wrapText="1"/>
    </xf>
    <xf numFmtId="44" fontId="3" fillId="2" borderId="3" xfId="1" applyFont="1" applyFill="1" applyBorder="1" applyAlignment="1">
      <alignment horizontal="center" vertical="center"/>
    </xf>
    <xf numFmtId="2" fontId="3" fillId="0" borderId="23" xfId="2" applyNumberFormat="1" applyFont="1" applyBorder="1" applyAlignment="1">
      <alignment horizontal="center" vertical="center" wrapText="1"/>
    </xf>
    <xf numFmtId="2" fontId="43" fillId="0" borderId="3" xfId="0" applyNumberFormat="1" applyFont="1" applyBorder="1" applyAlignment="1">
      <alignment horizontal="center" vertical="center"/>
    </xf>
    <xf numFmtId="0" fontId="26" fillId="0" borderId="30" xfId="0" applyFont="1" applyFill="1" applyBorder="1" applyAlignment="1">
      <alignment horizontal="center" vertical="center"/>
    </xf>
    <xf numFmtId="1" fontId="31" fillId="2" borderId="34"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2" fillId="0" borderId="3" xfId="0" applyFont="1" applyFill="1" applyBorder="1" applyAlignment="1">
      <alignment horizontal="center" vertical="center"/>
    </xf>
    <xf numFmtId="0" fontId="0" fillId="0" borderId="3" xfId="0" applyFill="1" applyBorder="1" applyAlignment="1">
      <alignment horizontal="center" vertical="center"/>
    </xf>
    <xf numFmtId="0" fontId="0" fillId="0" borderId="3" xfId="0" applyBorder="1" applyAlignment="1">
      <alignment vertical="center"/>
    </xf>
    <xf numFmtId="0" fontId="0" fillId="0" borderId="3" xfId="0" applyFill="1" applyBorder="1" applyAlignment="1">
      <alignment horizontal="center" vertical="center" wrapText="1"/>
    </xf>
    <xf numFmtId="0" fontId="3" fillId="0" borderId="3" xfId="0" applyFont="1" applyBorder="1" applyAlignment="1">
      <alignment vertical="center" wrapText="1"/>
    </xf>
    <xf numFmtId="0" fontId="4" fillId="0" borderId="3" xfId="0" applyFont="1" applyBorder="1" applyAlignment="1">
      <alignment vertical="center" wrapText="1"/>
    </xf>
    <xf numFmtId="0" fontId="44" fillId="0" borderId="3" xfId="0" applyFont="1" applyBorder="1" applyAlignment="1">
      <alignment vertical="center"/>
    </xf>
    <xf numFmtId="0" fontId="44" fillId="0" borderId="3" xfId="0" applyFont="1" applyBorder="1" applyAlignment="1">
      <alignment vertical="center" wrapText="1"/>
    </xf>
    <xf numFmtId="0" fontId="42" fillId="0" borderId="0" xfId="0" applyFont="1" applyAlignment="1">
      <alignment vertical="center"/>
    </xf>
    <xf numFmtId="0" fontId="49" fillId="2" borderId="0" xfId="0" applyNumberFormat="1" applyFont="1" applyFill="1" applyBorder="1" applyAlignment="1">
      <alignment horizontal="center" vertical="top" wrapText="1"/>
    </xf>
    <xf numFmtId="0" fontId="2" fillId="0" borderId="0" xfId="0" applyNumberFormat="1" applyFont="1"/>
    <xf numFmtId="0" fontId="30" fillId="2" borderId="0" xfId="0" applyFont="1" applyFill="1" applyBorder="1" applyAlignment="1">
      <alignment horizontal="left" vertical="top" wrapText="1"/>
    </xf>
    <xf numFmtId="1" fontId="26" fillId="0" borderId="34" xfId="0" applyNumberFormat="1" applyFont="1" applyFill="1" applyBorder="1" applyAlignment="1">
      <alignment horizontal="center" vertical="top" wrapText="1"/>
    </xf>
    <xf numFmtId="1" fontId="32" fillId="0" borderId="17" xfId="0" applyNumberFormat="1" applyFont="1" applyFill="1" applyBorder="1" applyAlignment="1">
      <alignment horizontal="center" vertical="center" wrapText="1"/>
    </xf>
    <xf numFmtId="169" fontId="26" fillId="0" borderId="17" xfId="0" applyNumberFormat="1" applyFont="1" applyFill="1" applyBorder="1" applyAlignment="1">
      <alignment vertical="top" wrapText="1"/>
    </xf>
    <xf numFmtId="174" fontId="31" fillId="0" borderId="17" xfId="0" applyNumberFormat="1" applyFont="1" applyFill="1" applyBorder="1" applyAlignment="1">
      <alignment horizontal="right" vertical="top" wrapText="1"/>
    </xf>
    <xf numFmtId="175" fontId="0" fillId="0" borderId="59" xfId="0" applyNumberFormat="1" applyFont="1" applyFill="1" applyBorder="1" applyAlignment="1">
      <alignment horizontal="right" vertical="top" wrapText="1"/>
    </xf>
    <xf numFmtId="176" fontId="0" fillId="0" borderId="59" xfId="0" applyNumberFormat="1" applyFont="1" applyFill="1" applyBorder="1" applyAlignment="1">
      <alignment horizontal="right" vertical="top" wrapText="1"/>
    </xf>
    <xf numFmtId="1" fontId="30" fillId="2" borderId="17" xfId="0" applyNumberFormat="1" applyFont="1" applyFill="1" applyBorder="1" applyAlignment="1">
      <alignment horizontal="center" vertical="center" wrapText="1"/>
    </xf>
    <xf numFmtId="165" fontId="30" fillId="2" borderId="3" xfId="0" applyNumberFormat="1" applyFont="1" applyFill="1" applyBorder="1" applyAlignment="1">
      <alignment horizontal="center" vertical="center" wrapText="1"/>
    </xf>
    <xf numFmtId="166" fontId="31" fillId="2" borderId="59" xfId="0" applyNumberFormat="1" applyFont="1" applyFill="1" applyBorder="1" applyAlignment="1">
      <alignment horizontal="right" vertical="center" wrapText="1"/>
    </xf>
    <xf numFmtId="49" fontId="31" fillId="2" borderId="34" xfId="0" applyNumberFormat="1" applyFont="1" applyFill="1" applyBorder="1" applyAlignment="1">
      <alignment horizontal="center" vertical="center" wrapText="1"/>
    </xf>
    <xf numFmtId="1" fontId="32" fillId="2" borderId="3" xfId="0" applyNumberFormat="1" applyFont="1" applyFill="1" applyBorder="1" applyAlignment="1">
      <alignment horizontal="center" vertical="center" wrapText="1"/>
    </xf>
    <xf numFmtId="166" fontId="32" fillId="2" borderId="3" xfId="0" applyNumberFormat="1" applyFont="1" applyFill="1" applyBorder="1" applyAlignment="1">
      <alignment horizontal="center" vertical="center" wrapText="1"/>
    </xf>
    <xf numFmtId="165" fontId="32" fillId="2" borderId="3" xfId="0" applyNumberFormat="1" applyFont="1" applyFill="1" applyBorder="1" applyAlignment="1">
      <alignment horizontal="center" vertical="center" wrapText="1"/>
    </xf>
    <xf numFmtId="44" fontId="31" fillId="2" borderId="3" xfId="1" applyFont="1" applyFill="1" applyBorder="1" applyAlignment="1">
      <alignment horizontal="center" vertical="top" wrapText="1"/>
    </xf>
    <xf numFmtId="44" fontId="32" fillId="2" borderId="3" xfId="1" applyFont="1" applyFill="1" applyBorder="1" applyAlignment="1">
      <alignment horizontal="center" vertical="center" wrapText="1"/>
    </xf>
    <xf numFmtId="2" fontId="0" fillId="0" borderId="3" xfId="0" applyNumberFormat="1" applyBorder="1" applyAlignment="1">
      <alignment horizontal="center" vertical="center"/>
    </xf>
    <xf numFmtId="0" fontId="28" fillId="2" borderId="26" xfId="0" applyFont="1" applyFill="1" applyBorder="1" applyAlignment="1">
      <alignment vertical="center" wrapText="1"/>
    </xf>
    <xf numFmtId="0" fontId="28" fillId="2" borderId="2" xfId="0" applyFont="1" applyFill="1" applyBorder="1" applyAlignment="1">
      <alignment vertical="center" wrapText="1"/>
    </xf>
    <xf numFmtId="0" fontId="28" fillId="2" borderId="62" xfId="0" applyFont="1" applyFill="1" applyBorder="1" applyAlignment="1">
      <alignment vertical="center" wrapText="1"/>
    </xf>
    <xf numFmtId="0" fontId="0" fillId="0" borderId="30" xfId="0" quotePrefix="1" applyBorder="1" applyAlignment="1">
      <alignment horizontal="center" vertical="center"/>
    </xf>
    <xf numFmtId="0" fontId="46" fillId="0" borderId="44" xfId="0" applyFont="1" applyBorder="1" applyAlignment="1">
      <alignment horizontal="left"/>
    </xf>
    <xf numFmtId="2" fontId="7" fillId="0" borderId="46" xfId="0" applyNumberFormat="1" applyFont="1" applyFill="1" applyBorder="1" applyAlignment="1">
      <alignment horizontal="center" vertical="center"/>
    </xf>
    <xf numFmtId="2" fontId="32" fillId="2" borderId="3" xfId="0" applyNumberFormat="1" applyFont="1" applyFill="1" applyBorder="1" applyAlignment="1">
      <alignment horizontal="center" vertical="center" wrapText="1"/>
    </xf>
    <xf numFmtId="44" fontId="0" fillId="0" borderId="29" xfId="1" applyNumberFormat="1" applyFont="1" applyBorder="1" applyAlignment="1">
      <alignment vertical="center"/>
    </xf>
    <xf numFmtId="49" fontId="32" fillId="0" borderId="17" xfId="7" applyNumberFormat="1" applyFont="1" applyFill="1" applyBorder="1" applyAlignment="1">
      <alignment horizontal="center" vertical="center" wrapText="1"/>
    </xf>
    <xf numFmtId="2" fontId="2" fillId="0" borderId="93" xfId="0" applyNumberFormat="1" applyFont="1" applyFill="1" applyBorder="1" applyAlignment="1">
      <alignment horizontal="center" vertical="center"/>
    </xf>
    <xf numFmtId="165" fontId="0" fillId="0" borderId="3" xfId="0" applyNumberFormat="1" applyBorder="1" applyAlignment="1">
      <alignment horizontal="center" vertical="center"/>
    </xf>
    <xf numFmtId="0" fontId="2" fillId="0" borderId="6" xfId="0" applyFont="1" applyBorder="1"/>
    <xf numFmtId="0" fontId="0" fillId="0" borderId="32" xfId="0" applyBorder="1" applyAlignment="1">
      <alignment horizontal="center" vertical="center"/>
    </xf>
    <xf numFmtId="0" fontId="26" fillId="0" borderId="0" xfId="0" applyFont="1" applyBorder="1"/>
    <xf numFmtId="2" fontId="7" fillId="0" borderId="46" xfId="0" applyNumberFormat="1" applyFont="1" applyBorder="1" applyAlignment="1">
      <alignment horizontal="center" vertical="center"/>
    </xf>
    <xf numFmtId="0" fontId="0" fillId="0" borderId="3" xfId="0" applyFont="1" applyFill="1" applyBorder="1" applyAlignment="1">
      <alignment horizontal="left" vertical="center" wrapText="1"/>
    </xf>
    <xf numFmtId="165" fontId="0" fillId="0" borderId="46" xfId="0" applyNumberFormat="1" applyBorder="1" applyAlignment="1">
      <alignment horizontal="center" vertical="center"/>
    </xf>
    <xf numFmtId="165" fontId="31" fillId="2" borderId="3" xfId="7" applyNumberFormat="1" applyFont="1" applyFill="1" applyBorder="1" applyAlignment="1">
      <alignment horizontal="center" vertical="center" wrapText="1"/>
    </xf>
    <xf numFmtId="165" fontId="0" fillId="0" borderId="0" xfId="0" applyNumberFormat="1"/>
    <xf numFmtId="2" fontId="26" fillId="0" borderId="46" xfId="0" applyNumberFormat="1" applyFont="1" applyBorder="1" applyAlignment="1">
      <alignment horizontal="center" vertical="center"/>
    </xf>
    <xf numFmtId="2" fontId="26" fillId="2" borderId="46" xfId="0" applyNumberFormat="1" applyFont="1" applyFill="1" applyBorder="1" applyAlignment="1">
      <alignment horizontal="center" vertical="center"/>
    </xf>
    <xf numFmtId="2" fontId="26" fillId="0" borderId="92" xfId="0" applyNumberFormat="1" applyFont="1" applyFill="1" applyBorder="1" applyAlignment="1">
      <alignment horizontal="center" vertical="center"/>
    </xf>
    <xf numFmtId="2" fontId="58" fillId="0" borderId="46" xfId="0" applyNumberFormat="1" applyFont="1" applyFill="1" applyBorder="1" applyAlignment="1">
      <alignment horizontal="right" vertical="center"/>
    </xf>
    <xf numFmtId="0" fontId="7" fillId="0" borderId="30" xfId="0" applyFont="1" applyBorder="1" applyAlignment="1">
      <alignment horizontal="center" vertical="center"/>
    </xf>
    <xf numFmtId="0" fontId="7" fillId="0" borderId="3" xfId="0" applyFont="1" applyBorder="1" applyAlignment="1">
      <alignment horizontal="center" vertical="center"/>
    </xf>
    <xf numFmtId="49" fontId="33" fillId="2" borderId="17" xfId="7" applyNumberFormat="1" applyFont="1" applyFill="1" applyBorder="1" applyAlignment="1">
      <alignment horizontal="center" vertical="center" wrapText="1"/>
    </xf>
    <xf numFmtId="2" fontId="33" fillId="2" borderId="25" xfId="7" applyNumberFormat="1" applyFont="1" applyFill="1" applyBorder="1" applyAlignment="1">
      <alignment horizontal="center" vertical="center" wrapText="1"/>
    </xf>
    <xf numFmtId="44" fontId="33" fillId="2" borderId="3" xfId="1" applyFont="1" applyFill="1" applyBorder="1" applyAlignment="1">
      <alignment vertical="center"/>
    </xf>
    <xf numFmtId="9" fontId="0" fillId="0" borderId="0" xfId="3" applyFont="1"/>
    <xf numFmtId="2" fontId="32" fillId="0" borderId="17" xfId="7" applyNumberFormat="1" applyFont="1" applyFill="1" applyBorder="1" applyAlignment="1">
      <alignment horizontal="center" vertical="center" wrapText="1"/>
    </xf>
    <xf numFmtId="44" fontId="32" fillId="0" borderId="17" xfId="1" applyFont="1" applyFill="1" applyBorder="1" applyAlignment="1">
      <alignment horizontal="right" vertical="center" wrapText="1"/>
    </xf>
    <xf numFmtId="0" fontId="0" fillId="0" borderId="30" xfId="0" applyFont="1" applyBorder="1" applyAlignment="1">
      <alignment horizontal="center"/>
    </xf>
    <xf numFmtId="0" fontId="0" fillId="0" borderId="3" xfId="0" applyFont="1" applyBorder="1" applyAlignment="1">
      <alignment horizontal="center"/>
    </xf>
    <xf numFmtId="44" fontId="0" fillId="0" borderId="29" xfId="0" applyNumberFormat="1" applyFont="1" applyBorder="1" applyAlignment="1">
      <alignment horizontal="center"/>
    </xf>
    <xf numFmtId="0" fontId="46" fillId="0" borderId="3" xfId="0" quotePrefix="1" applyFont="1" applyBorder="1" applyAlignment="1">
      <alignment horizontal="center" vertical="center" wrapText="1"/>
    </xf>
    <xf numFmtId="44" fontId="31" fillId="2" borderId="59" xfId="1" applyFont="1" applyFill="1" applyBorder="1" applyAlignment="1">
      <alignment horizontal="right" vertical="center" wrapText="1"/>
    </xf>
    <xf numFmtId="2" fontId="26" fillId="0" borderId="0" xfId="0" applyNumberFormat="1" applyFont="1" applyFill="1" applyBorder="1" applyAlignment="1">
      <alignment horizontal="center" vertical="center"/>
    </xf>
    <xf numFmtId="165" fontId="26" fillId="0" borderId="46" xfId="0" applyNumberFormat="1" applyFont="1" applyBorder="1" applyAlignment="1">
      <alignment horizontal="center" vertical="center"/>
    </xf>
    <xf numFmtId="165" fontId="26" fillId="0" borderId="92" xfId="0" applyNumberFormat="1" applyFont="1" applyFill="1" applyBorder="1" applyAlignment="1">
      <alignment horizontal="center" vertical="center"/>
    </xf>
    <xf numFmtId="0" fontId="3" fillId="0" borderId="3" xfId="0" applyFont="1" applyBorder="1" applyAlignment="1">
      <alignment vertical="center"/>
    </xf>
    <xf numFmtId="0" fontId="30" fillId="2" borderId="29" xfId="0" applyFont="1" applyFill="1" applyBorder="1" applyAlignment="1">
      <alignment horizontal="center" vertical="center" wrapText="1"/>
    </xf>
    <xf numFmtId="2" fontId="0" fillId="0" borderId="103" xfId="0" applyNumberFormat="1" applyBorder="1" applyAlignment="1">
      <alignment horizontal="center" vertical="center"/>
    </xf>
    <xf numFmtId="2" fontId="0" fillId="0" borderId="103" xfId="0" applyNumberFormat="1" applyBorder="1"/>
    <xf numFmtId="2" fontId="0" fillId="0" borderId="104" xfId="0" applyNumberFormat="1" applyFill="1" applyBorder="1" applyAlignment="1">
      <alignment horizontal="center" vertical="center"/>
    </xf>
    <xf numFmtId="49" fontId="0" fillId="0" borderId="2" xfId="0" applyNumberFormat="1" applyFont="1" applyBorder="1" applyAlignment="1">
      <alignment horizontal="center" vertical="center"/>
    </xf>
    <xf numFmtId="0" fontId="0" fillId="0" borderId="3" xfId="0" applyBorder="1" applyAlignment="1">
      <alignment horizontal="left" wrapText="1"/>
    </xf>
    <xf numFmtId="0" fontId="0" fillId="0" borderId="3" xfId="0" applyBorder="1" applyAlignment="1">
      <alignment horizontal="left" vertical="center" wrapText="1"/>
    </xf>
    <xf numFmtId="165" fontId="0" fillId="0" borderId="92" xfId="0" applyNumberFormat="1" applyFill="1" applyBorder="1" applyAlignment="1">
      <alignment horizontal="center" vertical="center"/>
    </xf>
    <xf numFmtId="2" fontId="2" fillId="0" borderId="92" xfId="0" applyNumberFormat="1" applyFont="1" applyFill="1" applyBorder="1" applyAlignment="1">
      <alignment horizontal="center" vertical="center"/>
    </xf>
    <xf numFmtId="165" fontId="2" fillId="0" borderId="46" xfId="0" applyNumberFormat="1" applyFont="1" applyBorder="1" applyAlignment="1">
      <alignment horizontal="center" vertical="center"/>
    </xf>
    <xf numFmtId="0" fontId="30" fillId="2" borderId="3" xfId="0" applyFont="1" applyFill="1" applyBorder="1" applyAlignment="1">
      <alignment horizontal="center"/>
    </xf>
    <xf numFmtId="0" fontId="28" fillId="0" borderId="29" xfId="0" applyFont="1" applyFill="1" applyBorder="1" applyAlignment="1">
      <alignment horizontal="center" vertical="center" wrapText="1"/>
    </xf>
    <xf numFmtId="0" fontId="30" fillId="0" borderId="4" xfId="0" applyFont="1" applyFill="1" applyBorder="1" applyAlignment="1">
      <alignment horizontal="left" vertical="top" wrapText="1"/>
    </xf>
    <xf numFmtId="0" fontId="30" fillId="0" borderId="3" xfId="0" applyFont="1" applyFill="1" applyBorder="1" applyAlignment="1">
      <alignment horizontal="center"/>
    </xf>
    <xf numFmtId="0" fontId="32" fillId="0" borderId="3" xfId="0" applyFont="1" applyFill="1" applyBorder="1" applyAlignment="1">
      <alignment horizontal="center"/>
    </xf>
    <xf numFmtId="0" fontId="30" fillId="0" borderId="0" xfId="0" applyFont="1" applyFill="1" applyBorder="1" applyAlignment="1">
      <alignment horizontal="left" vertical="top" wrapText="1"/>
    </xf>
    <xf numFmtId="0" fontId="2" fillId="0" borderId="3" xfId="0" applyFont="1" applyBorder="1" applyAlignment="1">
      <alignment horizontal="center" vertical="center"/>
    </xf>
    <xf numFmtId="49" fontId="0" fillId="0" borderId="34" xfId="0" applyNumberFormat="1" applyFont="1" applyBorder="1" applyAlignment="1">
      <alignment horizontal="center" vertical="center"/>
    </xf>
    <xf numFmtId="0" fontId="30" fillId="2" borderId="0" xfId="0" applyFont="1" applyFill="1" applyBorder="1" applyAlignment="1">
      <alignment horizontal="left" vertical="top"/>
    </xf>
    <xf numFmtId="0" fontId="3" fillId="2" borderId="26" xfId="17" applyFill="1" applyBorder="1" applyAlignment="1"/>
    <xf numFmtId="0" fontId="5" fillId="2" borderId="27" xfId="17" applyFont="1" applyFill="1" applyBorder="1" applyAlignment="1"/>
    <xf numFmtId="0" fontId="3" fillId="2" borderId="27" xfId="17" applyFill="1" applyBorder="1" applyAlignment="1">
      <alignment wrapText="1"/>
    </xf>
    <xf numFmtId="43" fontId="4" fillId="2" borderId="27" xfId="15" applyFont="1" applyFill="1" applyBorder="1" applyAlignment="1">
      <alignment horizontal="left"/>
    </xf>
    <xf numFmtId="0" fontId="3" fillId="2" borderId="27" xfId="17" applyFill="1" applyBorder="1" applyAlignment="1"/>
    <xf numFmtId="4" fontId="11" fillId="2" borderId="27" xfId="15" applyNumberFormat="1" applyFont="1" applyFill="1" applyBorder="1" applyAlignment="1"/>
    <xf numFmtId="49" fontId="35" fillId="2" borderId="27" xfId="17" applyNumberFormat="1" applyFont="1" applyFill="1" applyBorder="1" applyAlignment="1">
      <alignment vertical="center"/>
    </xf>
    <xf numFmtId="49" fontId="35" fillId="2" borderId="28" xfId="17" applyNumberFormat="1" applyFont="1" applyFill="1" applyBorder="1" applyAlignment="1">
      <alignment vertical="center"/>
    </xf>
    <xf numFmtId="0" fontId="3" fillId="2" borderId="2" xfId="17" applyFill="1" applyBorder="1" applyAlignment="1"/>
    <xf numFmtId="0" fontId="4" fillId="2" borderId="2" xfId="17" applyFont="1" applyFill="1" applyBorder="1" applyAlignment="1">
      <alignment vertical="center"/>
    </xf>
    <xf numFmtId="49" fontId="35" fillId="2" borderId="0" xfId="17" applyNumberFormat="1" applyFont="1" applyFill="1" applyBorder="1" applyAlignment="1">
      <alignment vertical="center" wrapText="1"/>
    </xf>
    <xf numFmtId="49" fontId="35" fillId="2" borderId="0" xfId="17" applyNumberFormat="1" applyFont="1" applyFill="1" applyBorder="1" applyAlignment="1">
      <alignment vertical="center"/>
    </xf>
    <xf numFmtId="4" fontId="11" fillId="2" borderId="0" xfId="15" applyNumberFormat="1" applyFont="1" applyFill="1" applyBorder="1" applyAlignment="1"/>
    <xf numFmtId="0" fontId="3" fillId="2" borderId="0" xfId="17" applyFill="1" applyBorder="1" applyAlignment="1"/>
    <xf numFmtId="0" fontId="3" fillId="2" borderId="2" xfId="17" applyFont="1" applyFill="1" applyBorder="1" applyAlignment="1"/>
    <xf numFmtId="49" fontId="59" fillId="2" borderId="0" xfId="17" applyNumberFormat="1" applyFont="1" applyFill="1" applyBorder="1" applyAlignment="1">
      <alignment vertical="center" wrapText="1"/>
    </xf>
    <xf numFmtId="0" fontId="3" fillId="6" borderId="75" xfId="17" applyFill="1" applyBorder="1" applyAlignment="1"/>
    <xf numFmtId="39" fontId="0" fillId="6" borderId="106" xfId="0" applyNumberFormat="1" applyFill="1" applyBorder="1" applyAlignment="1">
      <alignment horizontal="center"/>
    </xf>
    <xf numFmtId="39" fontId="0" fillId="6" borderId="75" xfId="0" applyNumberFormat="1" applyFill="1" applyBorder="1" applyAlignment="1">
      <alignment horizontal="center"/>
    </xf>
    <xf numFmtId="10" fontId="3" fillId="6" borderId="69" xfId="0" applyNumberFormat="1" applyFont="1" applyFill="1" applyBorder="1" applyAlignment="1">
      <alignment horizontal="center" vertical="top" wrapText="1"/>
    </xf>
    <xf numFmtId="10" fontId="3" fillId="6" borderId="75" xfId="0" applyNumberFormat="1" applyFont="1" applyFill="1" applyBorder="1" applyAlignment="1">
      <alignment horizontal="center" vertical="top" wrapText="1"/>
    </xf>
    <xf numFmtId="10" fontId="3" fillId="6" borderId="74" xfId="0" applyNumberFormat="1" applyFont="1" applyFill="1" applyBorder="1" applyAlignment="1">
      <alignment horizontal="center" vertical="top" wrapText="1"/>
    </xf>
    <xf numFmtId="10" fontId="3" fillId="6" borderId="70" xfId="0" applyNumberFormat="1" applyFont="1" applyFill="1" applyBorder="1" applyAlignment="1">
      <alignment horizontal="center" vertical="top" wrapText="1"/>
    </xf>
    <xf numFmtId="0" fontId="3" fillId="6" borderId="62" xfId="17" applyFill="1" applyBorder="1" applyAlignment="1"/>
    <xf numFmtId="0" fontId="4" fillId="6" borderId="20" xfId="17" applyFont="1" applyFill="1" applyBorder="1" applyAlignment="1"/>
    <xf numFmtId="0" fontId="3" fillId="6" borderId="34" xfId="17" applyFill="1" applyBorder="1" applyAlignment="1"/>
    <xf numFmtId="0" fontId="3" fillId="6" borderId="4" xfId="17" applyFill="1" applyBorder="1" applyAlignment="1"/>
    <xf numFmtId="0" fontId="3" fillId="6" borderId="4" xfId="17" applyFill="1" applyBorder="1" applyAlignment="1">
      <alignment horizontal="right"/>
    </xf>
    <xf numFmtId="177" fontId="3" fillId="6" borderId="66" xfId="17" applyNumberFormat="1" applyFill="1" applyBorder="1" applyAlignment="1">
      <alignment horizontal="center"/>
    </xf>
    <xf numFmtId="39" fontId="3" fillId="6" borderId="66" xfId="17" applyNumberFormat="1" applyFill="1" applyBorder="1" applyAlignment="1">
      <alignment horizontal="center"/>
    </xf>
    <xf numFmtId="39" fontId="3" fillId="6" borderId="67" xfId="17" applyNumberFormat="1" applyFill="1" applyBorder="1" applyAlignment="1">
      <alignment horizontal="center"/>
    </xf>
    <xf numFmtId="0" fontId="3" fillId="6" borderId="2" xfId="17" applyFill="1" applyBorder="1" applyAlignment="1"/>
    <xf numFmtId="0" fontId="3" fillId="6" borderId="0" xfId="17" applyFill="1" applyBorder="1" applyAlignment="1"/>
    <xf numFmtId="4" fontId="3" fillId="6" borderId="0" xfId="17" applyNumberFormat="1" applyFill="1" applyBorder="1" applyAlignment="1">
      <alignment horizontal="right"/>
    </xf>
    <xf numFmtId="0" fontId="3" fillId="6" borderId="6" xfId="17" applyFill="1" applyBorder="1" applyAlignment="1"/>
    <xf numFmtId="0" fontId="3" fillId="6" borderId="7" xfId="17" applyFill="1" applyBorder="1" applyAlignment="1"/>
    <xf numFmtId="0" fontId="3" fillId="6" borderId="7" xfId="17" applyFill="1" applyBorder="1" applyAlignment="1">
      <alignment horizontal="right"/>
    </xf>
    <xf numFmtId="10" fontId="3" fillId="6" borderId="64" xfId="0" applyNumberFormat="1" applyFont="1" applyFill="1" applyBorder="1" applyAlignment="1">
      <alignment horizontal="center" vertical="top" wrapText="1"/>
    </xf>
    <xf numFmtId="43" fontId="3" fillId="6" borderId="66" xfId="15" applyFont="1" applyFill="1" applyBorder="1" applyAlignment="1">
      <alignment vertical="top" wrapText="1"/>
    </xf>
    <xf numFmtId="10" fontId="3" fillId="6" borderId="66" xfId="18" applyNumberFormat="1" applyFont="1" applyFill="1" applyBorder="1" applyAlignment="1">
      <alignment vertical="top" wrapText="1"/>
    </xf>
    <xf numFmtId="10" fontId="3" fillId="6" borderId="66" xfId="17" applyNumberFormat="1" applyFont="1" applyFill="1" applyBorder="1" applyAlignment="1">
      <alignment horizontal="center" vertical="top" wrapText="1"/>
    </xf>
    <xf numFmtId="10" fontId="3" fillId="6" borderId="67" xfId="17" applyNumberFormat="1" applyFont="1" applyFill="1" applyBorder="1" applyAlignment="1">
      <alignment horizontal="center" vertical="top" wrapText="1"/>
    </xf>
    <xf numFmtId="0" fontId="43" fillId="0" borderId="23" xfId="0" applyFont="1" applyBorder="1" applyAlignment="1">
      <alignment horizontal="center" vertical="center"/>
    </xf>
    <xf numFmtId="44" fontId="43" fillId="0" borderId="23" xfId="1" applyFont="1" applyBorder="1" applyAlignment="1">
      <alignment horizontal="center" vertical="center"/>
    </xf>
    <xf numFmtId="0" fontId="43" fillId="0" borderId="5" xfId="0" applyFont="1" applyBorder="1" applyAlignment="1">
      <alignment horizontal="center" vertical="center"/>
    </xf>
    <xf numFmtId="0" fontId="42" fillId="0" borderId="5" xfId="0" applyFont="1" applyBorder="1" applyAlignment="1">
      <alignment horizontal="center" vertical="center"/>
    </xf>
    <xf numFmtId="0" fontId="42" fillId="0" borderId="5" xfId="0" applyFont="1" applyBorder="1" applyAlignment="1">
      <alignment vertical="center"/>
    </xf>
    <xf numFmtId="44" fontId="43" fillId="0" borderId="5" xfId="1" applyFont="1" applyBorder="1" applyAlignment="1">
      <alignment horizontal="center" vertical="center"/>
    </xf>
    <xf numFmtId="44" fontId="4" fillId="13" borderId="51" xfId="1" applyFont="1" applyFill="1" applyBorder="1" applyAlignment="1">
      <alignment horizontal="center" vertical="center" wrapText="1"/>
    </xf>
    <xf numFmtId="0" fontId="43" fillId="0" borderId="23" xfId="0" applyFont="1" applyBorder="1" applyAlignment="1">
      <alignment vertical="center" wrapText="1"/>
    </xf>
    <xf numFmtId="2" fontId="43" fillId="0" borderId="23" xfId="0" applyNumberFormat="1" applyFont="1" applyBorder="1" applyAlignment="1">
      <alignment horizontal="center" vertical="center"/>
    </xf>
    <xf numFmtId="0" fontId="43" fillId="0" borderId="94" xfId="0" applyFont="1" applyBorder="1" applyAlignment="1">
      <alignment horizontal="center" vertical="center"/>
    </xf>
    <xf numFmtId="0" fontId="42" fillId="0" borderId="94" xfId="0" applyFont="1" applyBorder="1" applyAlignment="1">
      <alignment horizontal="center" vertical="center"/>
    </xf>
    <xf numFmtId="0" fontId="43" fillId="0" borderId="94" xfId="0" applyFont="1" applyBorder="1" applyAlignment="1">
      <alignment vertical="center"/>
    </xf>
    <xf numFmtId="44" fontId="43" fillId="0" borderId="94" xfId="1" applyFont="1" applyBorder="1" applyAlignment="1">
      <alignment horizontal="center" vertical="center"/>
    </xf>
    <xf numFmtId="10" fontId="43" fillId="9" borderId="52" xfId="3" applyNumberFormat="1" applyFont="1" applyFill="1" applyBorder="1" applyAlignment="1">
      <alignment horizontal="center" vertical="center"/>
    </xf>
    <xf numFmtId="2" fontId="26" fillId="0" borderId="46" xfId="0" applyNumberFormat="1" applyFont="1" applyFill="1" applyBorder="1" applyAlignment="1">
      <alignment horizontal="right" vertical="center"/>
    </xf>
    <xf numFmtId="4" fontId="2" fillId="0" borderId="0" xfId="0" applyNumberFormat="1" applyFont="1"/>
    <xf numFmtId="4" fontId="0" fillId="0" borderId="0" xfId="0" applyNumberFormat="1"/>
    <xf numFmtId="44" fontId="0" fillId="0" borderId="0" xfId="0" applyNumberFormat="1"/>
    <xf numFmtId="0" fontId="0" fillId="0" borderId="2" xfId="0" applyFont="1" applyBorder="1" applyAlignment="1">
      <alignment horizontal="center" vertical="center"/>
    </xf>
    <xf numFmtId="1" fontId="30" fillId="2" borderId="34" xfId="7" applyNumberFormat="1" applyFont="1" applyFill="1" applyBorder="1" applyAlignment="1">
      <alignment horizontal="center" vertical="center"/>
    </xf>
    <xf numFmtId="1" fontId="31" fillId="2" borderId="34" xfId="7" applyNumberFormat="1" applyFont="1" applyFill="1" applyBorder="1" applyAlignment="1">
      <alignment horizontal="center" vertical="center" wrapText="1"/>
    </xf>
    <xf numFmtId="0" fontId="32" fillId="2" borderId="30" xfId="7" quotePrefix="1" applyNumberFormat="1" applyFont="1" applyFill="1" applyBorder="1" applyAlignment="1">
      <alignment horizontal="center" vertical="center"/>
    </xf>
    <xf numFmtId="0" fontId="30" fillId="2" borderId="24" xfId="7" applyFont="1" applyFill="1" applyBorder="1" applyAlignment="1">
      <alignment vertical="center"/>
    </xf>
    <xf numFmtId="0" fontId="31" fillId="2" borderId="34" xfId="7" quotePrefix="1" applyNumberFormat="1" applyFont="1" applyFill="1" applyBorder="1" applyAlignment="1">
      <alignment horizontal="center" vertical="center" wrapText="1"/>
    </xf>
    <xf numFmtId="0" fontId="32" fillId="0" borderId="34" xfId="7" quotePrefix="1" applyNumberFormat="1" applyFont="1" applyFill="1" applyBorder="1" applyAlignment="1">
      <alignment horizontal="center" vertical="center" wrapText="1"/>
    </xf>
    <xf numFmtId="0" fontId="32" fillId="0" borderId="34" xfId="7" quotePrefix="1" applyNumberFormat="1" applyFont="1" applyFill="1" applyBorder="1" applyAlignment="1">
      <alignment horizontal="center" vertical="top" wrapText="1"/>
    </xf>
    <xf numFmtId="0" fontId="0" fillId="0" borderId="0" xfId="0" applyFill="1" applyBorder="1"/>
    <xf numFmtId="0" fontId="30" fillId="0" borderId="0" xfId="0" applyFont="1" applyFill="1" applyBorder="1" applyAlignment="1">
      <alignment horizontal="left" vertical="center"/>
    </xf>
    <xf numFmtId="0" fontId="32" fillId="0" borderId="24" xfId="0" applyFont="1" applyFill="1" applyBorder="1" applyAlignment="1">
      <alignment vertical="center"/>
    </xf>
    <xf numFmtId="0" fontId="30" fillId="0" borderId="0" xfId="0" applyFont="1" applyFill="1" applyBorder="1" applyAlignment="1">
      <alignment vertical="center"/>
    </xf>
    <xf numFmtId="0" fontId="0" fillId="0" borderId="0" xfId="0" applyFill="1" applyAlignment="1">
      <alignment vertical="center"/>
    </xf>
    <xf numFmtId="0" fontId="0" fillId="0" borderId="0" xfId="0" applyFill="1" applyBorder="1" applyAlignment="1">
      <alignment vertical="center"/>
    </xf>
    <xf numFmtId="9" fontId="43" fillId="13" borderId="52" xfId="3" applyFont="1" applyFill="1" applyBorder="1" applyAlignment="1">
      <alignment horizontal="center" vertical="center"/>
    </xf>
    <xf numFmtId="0" fontId="43" fillId="0" borderId="0" xfId="0" applyFont="1" applyBorder="1" applyAlignment="1">
      <alignment horizontal="center" vertical="center"/>
    </xf>
    <xf numFmtId="0" fontId="42" fillId="0" borderId="0" xfId="0" applyFont="1" applyBorder="1" applyAlignment="1">
      <alignment horizontal="center" vertical="center"/>
    </xf>
    <xf numFmtId="0" fontId="42" fillId="0" borderId="0" xfId="0" applyFont="1" applyBorder="1" applyAlignment="1">
      <alignment vertical="center"/>
    </xf>
    <xf numFmtId="44" fontId="43" fillId="0" borderId="0" xfId="1" applyFont="1" applyBorder="1" applyAlignment="1">
      <alignment horizontal="center" vertical="center"/>
    </xf>
    <xf numFmtId="0" fontId="4" fillId="2" borderId="6" xfId="0" applyFont="1" applyFill="1" applyBorder="1" applyAlignment="1">
      <alignment horizontal="left" vertical="center"/>
    </xf>
    <xf numFmtId="0" fontId="4" fillId="2" borderId="7" xfId="0" applyFont="1" applyFill="1" applyBorder="1" applyAlignment="1">
      <alignment horizontal="left" vertical="center"/>
    </xf>
    <xf numFmtId="49" fontId="31" fillId="2" borderId="4" xfId="7" applyNumberFormat="1" applyFont="1" applyFill="1" applyBorder="1" applyAlignment="1">
      <alignment horizontal="center" vertical="center" wrapText="1"/>
    </xf>
    <xf numFmtId="0" fontId="0" fillId="0" borderId="16" xfId="0" applyBorder="1" applyAlignment="1">
      <alignment horizontal="center" vertical="center"/>
    </xf>
    <xf numFmtId="44" fontId="30" fillId="2" borderId="15" xfId="1" applyFont="1" applyFill="1" applyBorder="1" applyAlignment="1">
      <alignment vertical="center"/>
    </xf>
    <xf numFmtId="165" fontId="0" fillId="0" borderId="3" xfId="0" applyNumberFormat="1" applyBorder="1"/>
    <xf numFmtId="0" fontId="0" fillId="0" borderId="44" xfId="0" applyBorder="1" applyAlignment="1">
      <alignment horizontal="right" wrapText="1"/>
    </xf>
    <xf numFmtId="0" fontId="3" fillId="2" borderId="6" xfId="17" applyFont="1" applyFill="1" applyBorder="1" applyAlignment="1">
      <alignment horizontal="left" vertical="top"/>
    </xf>
    <xf numFmtId="0" fontId="3" fillId="2" borderId="7" xfId="17" applyFont="1" applyFill="1" applyBorder="1" applyAlignment="1">
      <alignment horizontal="left" vertical="top"/>
    </xf>
    <xf numFmtId="0" fontId="3" fillId="2" borderId="7" xfId="17" applyFill="1" applyBorder="1" applyAlignment="1"/>
    <xf numFmtId="0" fontId="4" fillId="6" borderId="75" xfId="17" applyFont="1" applyFill="1" applyBorder="1" applyAlignment="1">
      <alignment horizontal="centerContinuous" vertical="center"/>
    </xf>
    <xf numFmtId="177" fontId="4" fillId="6" borderId="75" xfId="17" applyNumberFormat="1" applyFont="1" applyFill="1" applyBorder="1" applyAlignment="1">
      <alignment horizontal="centerContinuous" vertical="center"/>
    </xf>
    <xf numFmtId="0" fontId="3" fillId="0" borderId="0" xfId="19" applyAlignment="1">
      <alignment vertical="center"/>
    </xf>
    <xf numFmtId="0" fontId="3" fillId="0" borderId="0" xfId="19" applyBorder="1" applyAlignment="1">
      <alignment horizontal="center" vertical="center"/>
    </xf>
    <xf numFmtId="0" fontId="3" fillId="0" borderId="0" xfId="19" applyBorder="1" applyAlignment="1">
      <alignment vertical="center"/>
    </xf>
    <xf numFmtId="0" fontId="19" fillId="0" borderId="0" xfId="19" applyFont="1" applyBorder="1" applyAlignment="1">
      <alignment horizontal="left" vertical="center"/>
    </xf>
    <xf numFmtId="0" fontId="73" fillId="0" borderId="0" xfId="19" applyFont="1" applyAlignment="1">
      <alignment horizontal="left" vertical="center"/>
    </xf>
    <xf numFmtId="0" fontId="74" fillId="0" borderId="0" xfId="19" applyFont="1"/>
    <xf numFmtId="0" fontId="6" fillId="0" borderId="0" xfId="19" applyFont="1" applyAlignment="1">
      <alignment horizontal="center" vertical="center"/>
    </xf>
    <xf numFmtId="0" fontId="19" fillId="0" borderId="17" xfId="19" applyFont="1" applyBorder="1" applyAlignment="1">
      <alignment vertical="center"/>
    </xf>
    <xf numFmtId="0" fontId="19" fillId="0" borderId="4" xfId="19" applyFont="1" applyBorder="1" applyAlignment="1">
      <alignment vertical="center"/>
    </xf>
    <xf numFmtId="0" fontId="19" fillId="0" borderId="17" xfId="19" applyFont="1" applyBorder="1" applyAlignment="1">
      <alignment horizontal="left" vertical="center"/>
    </xf>
    <xf numFmtId="0" fontId="19" fillId="0" borderId="4" xfId="19" applyFont="1" applyBorder="1" applyAlignment="1">
      <alignment horizontal="left" vertical="center"/>
    </xf>
    <xf numFmtId="0" fontId="20" fillId="0" borderId="4" xfId="19" applyFont="1" applyBorder="1" applyAlignment="1">
      <alignment horizontal="center" vertical="center"/>
    </xf>
    <xf numFmtId="0" fontId="19" fillId="0" borderId="4" xfId="19" applyFont="1" applyFill="1" applyBorder="1" applyAlignment="1">
      <alignment horizontal="left" vertical="center"/>
    </xf>
    <xf numFmtId="0" fontId="3" fillId="0" borderId="4" xfId="19" applyBorder="1"/>
    <xf numFmtId="0" fontId="3" fillId="0" borderId="18" xfId="19" applyBorder="1" applyAlignment="1">
      <alignment horizontal="center" vertical="center"/>
    </xf>
    <xf numFmtId="0" fontId="19" fillId="0" borderId="0" xfId="19" applyFont="1" applyAlignment="1">
      <alignment vertical="center"/>
    </xf>
    <xf numFmtId="0" fontId="20" fillId="11" borderId="19" xfId="19" applyFont="1" applyFill="1" applyBorder="1" applyAlignment="1" applyProtection="1">
      <alignment horizontal="left" vertical="center"/>
      <protection locked="0"/>
    </xf>
    <xf numFmtId="0" fontId="3" fillId="0" borderId="22" xfId="19" applyBorder="1" applyAlignment="1">
      <alignment vertical="center"/>
    </xf>
    <xf numFmtId="0" fontId="3" fillId="0" borderId="4" xfId="19" applyBorder="1" applyAlignment="1">
      <alignment vertical="center"/>
    </xf>
    <xf numFmtId="0" fontId="4" fillId="0" borderId="0" xfId="19" applyFont="1" applyBorder="1" applyAlignment="1">
      <alignment horizontal="center" vertical="center"/>
    </xf>
    <xf numFmtId="0" fontId="4" fillId="0" borderId="0" xfId="19" applyFont="1" applyFill="1" applyBorder="1" applyAlignment="1">
      <alignment horizontal="center" vertical="center"/>
    </xf>
    <xf numFmtId="0" fontId="4" fillId="0" borderId="21" xfId="19" applyFont="1" applyBorder="1" applyAlignment="1">
      <alignment horizontal="center" vertical="center"/>
    </xf>
    <xf numFmtId="0" fontId="19" fillId="0" borderId="22" xfId="19" applyFont="1" applyBorder="1" applyAlignment="1">
      <alignment horizontal="left" vertical="center"/>
    </xf>
    <xf numFmtId="0" fontId="19" fillId="0" borderId="0" xfId="19" applyFont="1" applyFill="1" applyBorder="1" applyAlignment="1">
      <alignment vertical="center"/>
    </xf>
    <xf numFmtId="0" fontId="3" fillId="0" borderId="0" xfId="19" applyFill="1" applyBorder="1" applyAlignment="1">
      <alignment vertical="center"/>
    </xf>
    <xf numFmtId="0" fontId="3" fillId="0" borderId="21" xfId="19" applyBorder="1" applyAlignment="1">
      <alignment horizontal="center" vertical="center"/>
    </xf>
    <xf numFmtId="0" fontId="4" fillId="11" borderId="3" xfId="19" applyFont="1" applyFill="1" applyBorder="1" applyAlignment="1" applyProtection="1">
      <alignment horizontal="center" vertical="center"/>
      <protection locked="0"/>
    </xf>
    <xf numFmtId="0" fontId="3" fillId="0" borderId="0" xfId="19" applyFont="1" applyFill="1" applyBorder="1" applyAlignment="1" applyProtection="1">
      <alignment horizontal="left" vertical="center"/>
    </xf>
    <xf numFmtId="0" fontId="4" fillId="0" borderId="0" xfId="19" applyFont="1" applyFill="1" applyBorder="1" applyAlignment="1" applyProtection="1">
      <alignment horizontal="center" vertical="center"/>
    </xf>
    <xf numFmtId="0" fontId="19" fillId="0" borderId="0" xfId="19" applyFont="1" applyFill="1" applyBorder="1" applyAlignment="1" applyProtection="1">
      <alignment horizontal="left" vertical="center"/>
    </xf>
    <xf numFmtId="0" fontId="3" fillId="0" borderId="0" xfId="19" applyBorder="1" applyAlignment="1" applyProtection="1">
      <alignment vertical="center"/>
    </xf>
    <xf numFmtId="0" fontId="3" fillId="0" borderId="19" xfId="19" applyBorder="1" applyAlignment="1">
      <alignment vertical="center"/>
    </xf>
    <xf numFmtId="0" fontId="3" fillId="0" borderId="24" xfId="19" applyBorder="1" applyAlignment="1">
      <alignment vertical="center"/>
    </xf>
    <xf numFmtId="0" fontId="20" fillId="4" borderId="24" xfId="19" applyFont="1" applyFill="1" applyBorder="1" applyAlignment="1">
      <alignment horizontal="left" vertical="center"/>
    </xf>
    <xf numFmtId="0" fontId="3" fillId="0" borderId="20" xfId="19" applyBorder="1" applyAlignment="1">
      <alignment vertical="center"/>
    </xf>
    <xf numFmtId="0" fontId="19" fillId="0" borderId="22" xfId="19" applyFont="1" applyFill="1" applyBorder="1" applyAlignment="1">
      <alignment horizontal="center" vertical="center"/>
    </xf>
    <xf numFmtId="0" fontId="19" fillId="0" borderId="0" xfId="19" applyFont="1" applyFill="1" applyBorder="1" applyAlignment="1">
      <alignment horizontal="center" vertical="center"/>
    </xf>
    <xf numFmtId="0" fontId="19" fillId="0" borderId="0" xfId="19" applyFont="1" applyFill="1" applyBorder="1" applyAlignment="1">
      <alignment horizontal="left" vertical="center"/>
    </xf>
    <xf numFmtId="0" fontId="18" fillId="0" borderId="0" xfId="19" applyFont="1" applyFill="1" applyBorder="1" applyAlignment="1">
      <alignment horizontal="center" vertical="center"/>
    </xf>
    <xf numFmtId="0" fontId="18" fillId="0" borderId="21" xfId="19" applyFont="1" applyFill="1" applyBorder="1" applyAlignment="1">
      <alignment horizontal="center" vertical="center"/>
    </xf>
    <xf numFmtId="0" fontId="20" fillId="0" borderId="17" xfId="19" applyFont="1" applyFill="1" applyBorder="1" applyAlignment="1">
      <alignment horizontal="center" vertical="center"/>
    </xf>
    <xf numFmtId="0" fontId="20" fillId="0" borderId="4" xfId="19" applyFont="1" applyFill="1" applyBorder="1" applyAlignment="1">
      <alignment horizontal="center" vertical="center"/>
    </xf>
    <xf numFmtId="0" fontId="19" fillId="0" borderId="4" xfId="19" applyFont="1" applyFill="1" applyBorder="1" applyAlignment="1">
      <alignment horizontal="center" vertical="center"/>
    </xf>
    <xf numFmtId="0" fontId="20" fillId="0" borderId="18" xfId="19" applyFont="1" applyFill="1" applyBorder="1" applyAlignment="1">
      <alignment horizontal="center" vertical="center"/>
    </xf>
    <xf numFmtId="0" fontId="20" fillId="0" borderId="22" xfId="19" applyFont="1" applyFill="1" applyBorder="1" applyAlignment="1">
      <alignment horizontal="center" vertical="center"/>
    </xf>
    <xf numFmtId="0" fontId="20" fillId="0" borderId="0" xfId="19" applyFont="1" applyFill="1" applyBorder="1" applyAlignment="1">
      <alignment horizontal="center" vertical="center"/>
    </xf>
    <xf numFmtId="0" fontId="3" fillId="0" borderId="0" xfId="4" applyFill="1" applyBorder="1"/>
    <xf numFmtId="0" fontId="18" fillId="0" borderId="17" xfId="19" applyFont="1" applyFill="1" applyBorder="1" applyAlignment="1">
      <alignment horizontal="center" vertical="center"/>
    </xf>
    <xf numFmtId="0" fontId="18" fillId="0" borderId="18" xfId="19" applyFont="1" applyFill="1" applyBorder="1" applyAlignment="1">
      <alignment horizontal="center" vertical="center"/>
    </xf>
    <xf numFmtId="0" fontId="19" fillId="0" borderId="19" xfId="19" applyFont="1" applyFill="1" applyBorder="1" applyAlignment="1">
      <alignment horizontal="center" vertical="center"/>
    </xf>
    <xf numFmtId="0" fontId="19" fillId="0" borderId="24" xfId="19" applyFont="1" applyFill="1" applyBorder="1" applyAlignment="1">
      <alignment vertical="center"/>
    </xf>
    <xf numFmtId="0" fontId="19" fillId="0" borderId="24" xfId="19" applyFont="1" applyFill="1" applyBorder="1" applyAlignment="1">
      <alignment horizontal="right" vertical="center"/>
    </xf>
    <xf numFmtId="0" fontId="19" fillId="0" borderId="24" xfId="19" applyFont="1" applyFill="1" applyBorder="1" applyAlignment="1">
      <alignment horizontal="left" vertical="center"/>
    </xf>
    <xf numFmtId="0" fontId="19" fillId="0" borderId="24" xfId="19" applyFont="1" applyFill="1" applyBorder="1" applyAlignment="1">
      <alignment horizontal="center" vertical="center"/>
    </xf>
    <xf numFmtId="0" fontId="18" fillId="0" borderId="19" xfId="19" applyFont="1" applyFill="1" applyBorder="1" applyAlignment="1">
      <alignment horizontal="center" vertical="center"/>
    </xf>
    <xf numFmtId="0" fontId="18" fillId="0" borderId="20" xfId="19" applyFont="1" applyFill="1" applyBorder="1" applyAlignment="1">
      <alignment horizontal="center" vertical="center"/>
    </xf>
    <xf numFmtId="0" fontId="19" fillId="11" borderId="5" xfId="19" applyFont="1" applyFill="1" applyBorder="1" applyAlignment="1" applyProtection="1">
      <alignment horizontal="center" vertical="center"/>
      <protection locked="0"/>
    </xf>
    <xf numFmtId="0" fontId="19" fillId="11" borderId="24" xfId="19" applyFont="1" applyFill="1" applyBorder="1" applyAlignment="1" applyProtection="1">
      <alignment horizontal="center" vertical="center"/>
      <protection locked="0"/>
    </xf>
    <xf numFmtId="0" fontId="19" fillId="4" borderId="48" xfId="19" applyFont="1" applyFill="1" applyBorder="1" applyAlignment="1" applyProtection="1">
      <alignment horizontal="left" vertical="center"/>
      <protection locked="0"/>
    </xf>
    <xf numFmtId="0" fontId="19" fillId="4" borderId="20" xfId="19" applyFont="1" applyFill="1" applyBorder="1" applyAlignment="1" applyProtection="1">
      <alignment horizontal="left" vertical="center"/>
      <protection locked="0"/>
    </xf>
    <xf numFmtId="167" fontId="19" fillId="7" borderId="5" xfId="20" applyFont="1" applyFill="1" applyBorder="1" applyAlignment="1" applyProtection="1">
      <alignment horizontal="right" vertical="center"/>
    </xf>
    <xf numFmtId="167" fontId="75" fillId="45" borderId="5" xfId="20" applyFont="1" applyFill="1" applyBorder="1" applyAlignment="1" applyProtection="1">
      <alignment horizontal="right" vertical="center"/>
      <protection locked="0"/>
    </xf>
    <xf numFmtId="10" fontId="19" fillId="11" borderId="3" xfId="21" applyNumberFormat="1" applyFont="1" applyFill="1" applyBorder="1" applyAlignment="1" applyProtection="1">
      <alignment horizontal="center" vertical="center"/>
      <protection locked="0"/>
    </xf>
    <xf numFmtId="167" fontId="19" fillId="7" borderId="5" xfId="20" applyFont="1" applyFill="1" applyBorder="1" applyAlignment="1" applyProtection="1">
      <alignment horizontal="right" vertical="center"/>
      <protection locked="0"/>
    </xf>
    <xf numFmtId="10" fontId="19" fillId="7" borderId="5" xfId="5" applyNumberFormat="1" applyFont="1" applyFill="1" applyBorder="1" applyAlignment="1" applyProtection="1">
      <alignment horizontal="center" vertical="center"/>
    </xf>
    <xf numFmtId="10" fontId="19" fillId="11" borderId="5" xfId="21" applyNumberFormat="1" applyFont="1" applyFill="1" applyBorder="1" applyAlignment="1" applyProtection="1">
      <alignment horizontal="center" vertical="center"/>
      <protection locked="0"/>
    </xf>
    <xf numFmtId="10" fontId="19" fillId="0" borderId="5" xfId="21" applyNumberFormat="1" applyFont="1" applyFill="1" applyBorder="1" applyAlignment="1" applyProtection="1">
      <alignment horizontal="center" vertical="center"/>
    </xf>
    <xf numFmtId="167" fontId="19" fillId="11" borderId="5" xfId="20" applyFont="1" applyFill="1" applyBorder="1" applyAlignment="1" applyProtection="1">
      <alignment horizontal="right" vertical="center"/>
      <protection locked="0"/>
    </xf>
    <xf numFmtId="4" fontId="19" fillId="11" borderId="5" xfId="19" applyNumberFormat="1" applyFont="1" applyFill="1" applyBorder="1" applyAlignment="1" applyProtection="1">
      <alignment horizontal="center" vertical="center"/>
      <protection locked="0"/>
    </xf>
    <xf numFmtId="0" fontId="19" fillId="46" borderId="5" xfId="19" applyFont="1" applyFill="1" applyBorder="1" applyAlignment="1" applyProtection="1">
      <alignment horizontal="center" vertical="center"/>
      <protection locked="0"/>
    </xf>
    <xf numFmtId="0" fontId="76" fillId="0" borderId="0" xfId="19" applyFont="1" applyAlignment="1">
      <alignment vertical="center"/>
    </xf>
    <xf numFmtId="0" fontId="19" fillId="11" borderId="3" xfId="19" applyFont="1" applyFill="1" applyBorder="1" applyAlignment="1" applyProtection="1">
      <alignment horizontal="center" vertical="center"/>
      <protection locked="0"/>
    </xf>
    <xf numFmtId="0" fontId="19" fillId="0" borderId="0" xfId="19" applyFont="1" applyBorder="1" applyAlignment="1">
      <alignment vertical="center"/>
    </xf>
    <xf numFmtId="167" fontId="19" fillId="7" borderId="3" xfId="20" applyFont="1" applyFill="1" applyBorder="1" applyAlignment="1" applyProtection="1">
      <alignment horizontal="right" vertical="center"/>
      <protection locked="0"/>
    </xf>
    <xf numFmtId="167" fontId="19" fillId="7" borderId="3" xfId="20" applyFont="1" applyFill="1" applyBorder="1" applyAlignment="1" applyProtection="1">
      <alignment horizontal="right" vertical="center"/>
    </xf>
    <xf numFmtId="4" fontId="19" fillId="11" borderId="3" xfId="19" applyNumberFormat="1" applyFont="1" applyFill="1" applyBorder="1" applyAlignment="1" applyProtection="1">
      <alignment horizontal="center" vertical="center"/>
      <protection locked="0"/>
    </xf>
    <xf numFmtId="0" fontId="19" fillId="46" borderId="3" xfId="19" applyFont="1" applyFill="1" applyBorder="1" applyAlignment="1" applyProtection="1">
      <alignment horizontal="center" vertical="center"/>
      <protection locked="0"/>
    </xf>
    <xf numFmtId="0" fontId="19" fillId="11" borderId="16" xfId="19" applyFont="1" applyFill="1" applyBorder="1" applyAlignment="1" applyProtection="1">
      <alignment horizontal="center" vertical="center"/>
      <protection locked="0"/>
    </xf>
    <xf numFmtId="0" fontId="19" fillId="4" borderId="13" xfId="19" applyFont="1" applyFill="1" applyBorder="1" applyAlignment="1" applyProtection="1">
      <alignment horizontal="left" vertical="center"/>
      <protection locked="0"/>
    </xf>
    <xf numFmtId="0" fontId="19" fillId="4" borderId="15" xfId="19" applyFont="1" applyFill="1" applyBorder="1" applyAlignment="1" applyProtection="1">
      <alignment horizontal="left" vertical="center"/>
      <protection locked="0"/>
    </xf>
    <xf numFmtId="167" fontId="75" fillId="45" borderId="3" xfId="20" applyFont="1" applyFill="1" applyBorder="1" applyAlignment="1" applyProtection="1">
      <alignment horizontal="right" vertical="center"/>
      <protection locked="0"/>
    </xf>
    <xf numFmtId="4" fontId="77" fillId="0" borderId="0" xfId="4" applyNumberFormat="1" applyFont="1"/>
    <xf numFmtId="0" fontId="19" fillId="0" borderId="3" xfId="19" applyFont="1" applyFill="1" applyBorder="1" applyAlignment="1" applyProtection="1">
      <alignment horizontal="center" vertical="center"/>
    </xf>
    <xf numFmtId="10" fontId="19" fillId="7" borderId="3" xfId="21" applyNumberFormat="1" applyFont="1" applyFill="1" applyBorder="1" applyAlignment="1" applyProtection="1">
      <alignment horizontal="center" vertical="center"/>
    </xf>
    <xf numFmtId="10" fontId="19" fillId="0" borderId="3" xfId="21" applyNumberFormat="1" applyFont="1" applyFill="1" applyBorder="1" applyAlignment="1" applyProtection="1">
      <alignment horizontal="center" vertical="center"/>
    </xf>
    <xf numFmtId="167" fontId="19" fillId="11" borderId="3" xfId="20" applyFont="1" applyFill="1" applyBorder="1" applyAlignment="1" applyProtection="1">
      <alignment horizontal="right" vertical="center"/>
      <protection locked="0"/>
    </xf>
    <xf numFmtId="0" fontId="19" fillId="11" borderId="25" xfId="19" applyFont="1" applyFill="1" applyBorder="1" applyAlignment="1" applyProtection="1">
      <alignment horizontal="center" vertical="center"/>
      <protection locked="0"/>
    </xf>
    <xf numFmtId="0" fontId="19" fillId="0" borderId="25" xfId="19" applyFont="1" applyFill="1" applyBorder="1" applyAlignment="1" applyProtection="1">
      <alignment horizontal="center" vertical="center"/>
    </xf>
    <xf numFmtId="0" fontId="19" fillId="0" borderId="16" xfId="19" applyFont="1" applyFill="1" applyBorder="1" applyAlignment="1" applyProtection="1">
      <alignment horizontal="center" vertical="center"/>
    </xf>
    <xf numFmtId="0" fontId="20" fillId="0" borderId="16" xfId="19" applyFont="1" applyFill="1" applyBorder="1" applyAlignment="1" applyProtection="1">
      <alignment horizontal="right" vertical="center"/>
    </xf>
    <xf numFmtId="0" fontId="19" fillId="47" borderId="13" xfId="19" applyFont="1" applyFill="1" applyBorder="1" applyAlignment="1" applyProtection="1">
      <alignment horizontal="right" vertical="center"/>
    </xf>
    <xf numFmtId="0" fontId="19" fillId="47" borderId="15" xfId="19" applyFont="1" applyFill="1" applyBorder="1" applyAlignment="1" applyProtection="1">
      <alignment horizontal="right" vertical="center"/>
    </xf>
    <xf numFmtId="167" fontId="75" fillId="45" borderId="3" xfId="20" applyFont="1" applyFill="1" applyBorder="1" applyAlignment="1" applyProtection="1">
      <alignment horizontal="right" vertical="center"/>
    </xf>
    <xf numFmtId="167" fontId="20" fillId="7" borderId="3" xfId="20" applyFont="1" applyFill="1" applyBorder="1" applyAlignment="1" applyProtection="1">
      <alignment horizontal="right" vertical="center"/>
    </xf>
    <xf numFmtId="0" fontId="19" fillId="11" borderId="25" xfId="19" applyFont="1" applyFill="1" applyBorder="1" applyAlignment="1" applyProtection="1">
      <alignment horizontal="center" vertical="center"/>
    </xf>
    <xf numFmtId="167" fontId="19" fillId="0" borderId="0" xfId="19" applyNumberFormat="1" applyFont="1" applyAlignment="1">
      <alignment vertical="center"/>
    </xf>
    <xf numFmtId="0" fontId="19" fillId="0" borderId="0" xfId="19" applyFont="1" applyFill="1" applyBorder="1" applyAlignment="1" applyProtection="1">
      <alignment vertical="center"/>
    </xf>
    <xf numFmtId="0" fontId="19" fillId="0" borderId="0" xfId="19" applyFont="1" applyFill="1" applyBorder="1" applyAlignment="1" applyProtection="1">
      <alignment horizontal="right" vertical="center"/>
    </xf>
    <xf numFmtId="0" fontId="3" fillId="0" borderId="0" xfId="4"/>
    <xf numFmtId="167" fontId="78" fillId="0" borderId="0" xfId="19" applyNumberFormat="1" applyFont="1" applyFill="1" applyBorder="1" applyAlignment="1" applyProtection="1">
      <alignment vertical="center"/>
    </xf>
    <xf numFmtId="167" fontId="76" fillId="0" borderId="0" xfId="20" applyFont="1" applyFill="1" applyBorder="1" applyAlignment="1" applyProtection="1">
      <alignment horizontal="right" vertical="center"/>
    </xf>
    <xf numFmtId="0" fontId="19" fillId="11" borderId="94" xfId="19" applyFont="1" applyFill="1" applyBorder="1" applyAlignment="1" applyProtection="1">
      <alignment horizontal="center" vertical="center"/>
    </xf>
    <xf numFmtId="0" fontId="19" fillId="0" borderId="94" xfId="19" applyFont="1" applyFill="1" applyBorder="1" applyAlignment="1" applyProtection="1">
      <alignment horizontal="center" vertical="center"/>
    </xf>
    <xf numFmtId="0" fontId="19" fillId="0" borderId="0" xfId="19" applyFont="1" applyFill="1" applyBorder="1" applyAlignment="1">
      <alignment horizontal="right" vertical="center"/>
    </xf>
    <xf numFmtId="167" fontId="78" fillId="0" borderId="0" xfId="19" applyNumberFormat="1" applyFont="1" applyFill="1" applyBorder="1" applyAlignment="1">
      <alignment vertical="center"/>
    </xf>
    <xf numFmtId="167" fontId="76" fillId="0" borderId="0" xfId="20" applyFont="1" applyFill="1" applyBorder="1" applyAlignment="1">
      <alignment horizontal="right" vertical="center"/>
    </xf>
    <xf numFmtId="167" fontId="78" fillId="11" borderId="17" xfId="19" applyNumberFormat="1" applyFont="1" applyFill="1" applyBorder="1" applyAlignment="1">
      <alignment vertical="center"/>
    </xf>
    <xf numFmtId="167" fontId="78" fillId="11" borderId="4" xfId="19" applyNumberFormat="1" applyFont="1" applyFill="1" applyBorder="1" applyAlignment="1">
      <alignment vertical="center"/>
    </xf>
    <xf numFmtId="0" fontId="19" fillId="11" borderId="18" xfId="19" applyFont="1" applyFill="1" applyBorder="1" applyAlignment="1">
      <alignment horizontal="right" vertical="center"/>
    </xf>
    <xf numFmtId="0" fontId="19" fillId="0" borderId="21" xfId="19" applyFont="1" applyFill="1" applyBorder="1" applyAlignment="1">
      <alignment horizontal="center" vertical="center"/>
    </xf>
    <xf numFmtId="0" fontId="19" fillId="0" borderId="0" xfId="19" applyFont="1" applyFill="1" applyAlignment="1">
      <alignment vertical="center"/>
    </xf>
    <xf numFmtId="0" fontId="19" fillId="0" borderId="0" xfId="19" applyFont="1" applyAlignment="1">
      <alignment horizontal="left" vertical="center"/>
    </xf>
    <xf numFmtId="0" fontId="76" fillId="0" borderId="0" xfId="19" applyFont="1" applyFill="1" applyBorder="1" applyAlignment="1">
      <alignment vertical="center"/>
    </xf>
    <xf numFmtId="0" fontId="19" fillId="11" borderId="19" xfId="19" applyFont="1" applyFill="1" applyBorder="1" applyAlignment="1">
      <alignment vertical="center"/>
    </xf>
    <xf numFmtId="0" fontId="19" fillId="11" borderId="24" xfId="19" applyFont="1" applyFill="1" applyBorder="1" applyAlignment="1">
      <alignment vertical="center"/>
    </xf>
    <xf numFmtId="167" fontId="78" fillId="11" borderId="24" xfId="19" applyNumberFormat="1" applyFont="1" applyFill="1" applyBorder="1" applyAlignment="1">
      <alignment vertical="center"/>
    </xf>
    <xf numFmtId="0" fontId="19" fillId="11" borderId="20" xfId="19" applyFont="1" applyFill="1" applyBorder="1" applyAlignment="1">
      <alignment horizontal="right" vertical="center"/>
    </xf>
    <xf numFmtId="0" fontId="19" fillId="0" borderId="19" xfId="19" applyFont="1" applyFill="1" applyBorder="1" applyAlignment="1">
      <alignment vertical="center"/>
    </xf>
    <xf numFmtId="0" fontId="19" fillId="0" borderId="15" xfId="19" applyFont="1" applyFill="1" applyBorder="1" applyAlignment="1">
      <alignment horizontal="right" vertical="center"/>
    </xf>
    <xf numFmtId="0" fontId="19" fillId="0" borderId="20" xfId="19" applyFont="1" applyFill="1" applyBorder="1" applyAlignment="1">
      <alignment vertical="center"/>
    </xf>
    <xf numFmtId="14" fontId="3" fillId="0" borderId="0" xfId="19" applyNumberFormat="1" applyFill="1" applyBorder="1" applyAlignment="1" applyProtection="1">
      <alignment vertical="center"/>
    </xf>
    <xf numFmtId="0" fontId="3" fillId="0" borderId="0" xfId="19" applyFill="1" applyBorder="1" applyAlignment="1">
      <alignment horizontal="center" vertical="center"/>
    </xf>
    <xf numFmtId="0" fontId="3" fillId="0" borderId="0" xfId="19" applyFont="1" applyFill="1" applyBorder="1" applyAlignment="1" applyProtection="1">
      <alignment horizontal="center" vertical="center"/>
    </xf>
    <xf numFmtId="44" fontId="3" fillId="0" borderId="0" xfId="19" applyNumberFormat="1" applyFill="1" applyBorder="1" applyAlignment="1">
      <alignment vertical="center"/>
    </xf>
    <xf numFmtId="44" fontId="0" fillId="0" borderId="0" xfId="19" applyNumberFormat="1" applyFont="1" applyAlignment="1">
      <alignment vertical="center"/>
    </xf>
    <xf numFmtId="0" fontId="0" fillId="0" borderId="0" xfId="19" applyFont="1" applyAlignment="1">
      <alignment vertical="center"/>
    </xf>
    <xf numFmtId="0" fontId="18" fillId="0" borderId="0" xfId="19" applyFont="1" applyAlignment="1">
      <alignment horizontal="left" vertical="center"/>
    </xf>
    <xf numFmtId="0" fontId="3" fillId="0" borderId="0" xfId="19" applyAlignment="1">
      <alignment horizontal="center" vertical="center"/>
    </xf>
    <xf numFmtId="10" fontId="3" fillId="0" borderId="0" xfId="19" applyNumberFormat="1" applyFill="1" applyBorder="1" applyAlignment="1">
      <alignment vertical="center"/>
    </xf>
    <xf numFmtId="44" fontId="7" fillId="0" borderId="0" xfId="0" applyNumberFormat="1" applyFont="1" applyAlignment="1">
      <alignment vertical="top"/>
    </xf>
    <xf numFmtId="4" fontId="106" fillId="0" borderId="0" xfId="0" applyNumberFormat="1" applyFont="1"/>
    <xf numFmtId="186" fontId="106" fillId="0" borderId="0" xfId="0" applyNumberFormat="1" applyFont="1"/>
    <xf numFmtId="44" fontId="3" fillId="0" borderId="23" xfId="1" applyFont="1" applyBorder="1" applyAlignment="1">
      <alignment horizontal="left" vertical="center" wrapText="1"/>
    </xf>
    <xf numFmtId="44" fontId="4" fillId="9" borderId="51" xfId="1" applyFont="1" applyFill="1" applyBorder="1" applyAlignment="1">
      <alignment horizontal="justify" vertical="center"/>
    </xf>
    <xf numFmtId="44" fontId="4" fillId="0" borderId="3" xfId="1" applyFont="1" applyFill="1" applyBorder="1" applyAlignment="1">
      <alignment horizontal="justify" vertical="center"/>
    </xf>
    <xf numFmtId="44" fontId="3" fillId="0" borderId="3" xfId="1" applyFont="1" applyBorder="1" applyAlignment="1">
      <alignment vertical="center" wrapText="1"/>
    </xf>
    <xf numFmtId="44" fontId="4" fillId="0" borderId="3" xfId="1" applyFont="1" applyBorder="1" applyAlignment="1">
      <alignment horizontal="justify" vertical="center"/>
    </xf>
    <xf numFmtId="44" fontId="3" fillId="0" borderId="3" xfId="1" applyFont="1" applyBorder="1" applyAlignment="1">
      <alignment vertical="center"/>
    </xf>
    <xf numFmtId="44" fontId="4" fillId="0" borderId="3" xfId="1" applyFont="1" applyBorder="1" applyAlignment="1">
      <alignment vertical="center" wrapText="1"/>
    </xf>
    <xf numFmtId="44" fontId="43" fillId="0" borderId="3" xfId="1" applyFont="1" applyBorder="1" applyAlignment="1">
      <alignment vertical="center" wrapText="1"/>
    </xf>
    <xf numFmtId="44" fontId="43" fillId="0" borderId="3" xfId="1" applyFont="1" applyBorder="1" applyAlignment="1">
      <alignment vertical="center"/>
    </xf>
    <xf numFmtId="44" fontId="44" fillId="0" borderId="3" xfId="1" applyFont="1" applyBorder="1" applyAlignment="1">
      <alignment vertical="center"/>
    </xf>
    <xf numFmtId="44" fontId="44" fillId="0" borderId="3" xfId="1" applyFont="1" applyBorder="1" applyAlignment="1">
      <alignment vertical="center" wrapText="1"/>
    </xf>
    <xf numFmtId="44" fontId="4" fillId="0" borderId="1" xfId="1" applyFont="1" applyFill="1" applyBorder="1" applyAlignment="1">
      <alignment horizontal="justify" vertical="center"/>
    </xf>
    <xf numFmtId="44" fontId="43" fillId="0" borderId="23" xfId="1" applyFont="1" applyBorder="1" applyAlignment="1">
      <alignment vertical="center" wrapText="1"/>
    </xf>
    <xf numFmtId="0" fontId="4" fillId="9" borderId="130" xfId="0" applyFont="1" applyFill="1" applyBorder="1" applyAlignment="1">
      <alignment horizontal="center" vertical="center"/>
    </xf>
    <xf numFmtId="0" fontId="4" fillId="9" borderId="130" xfId="0" applyFont="1" applyFill="1" applyBorder="1" applyAlignment="1">
      <alignment horizontal="justify" vertical="center"/>
    </xf>
    <xf numFmtId="44" fontId="4" fillId="9" borderId="130" xfId="1" applyFont="1" applyFill="1" applyBorder="1" applyAlignment="1">
      <alignment horizontal="justify" vertical="center"/>
    </xf>
    <xf numFmtId="44" fontId="0" fillId="0" borderId="3" xfId="0" applyNumberFormat="1" applyBorder="1"/>
    <xf numFmtId="44" fontId="0" fillId="95" borderId="3" xfId="0" applyNumberFormat="1" applyFill="1" applyBorder="1"/>
    <xf numFmtId="177" fontId="0" fillId="0" borderId="3" xfId="3" applyNumberFormat="1" applyFont="1" applyBorder="1" applyAlignment="1">
      <alignment horizontal="center"/>
    </xf>
    <xf numFmtId="177" fontId="0" fillId="0" borderId="3" xfId="0" applyNumberFormat="1" applyBorder="1"/>
    <xf numFmtId="44" fontId="0" fillId="7" borderId="3" xfId="0" applyNumberFormat="1" applyFill="1" applyBorder="1"/>
    <xf numFmtId="0" fontId="0" fillId="7" borderId="3" xfId="0" applyFill="1" applyBorder="1"/>
    <xf numFmtId="0" fontId="2" fillId="0" borderId="0" xfId="0" applyFont="1" applyAlignment="1">
      <alignment horizontal="center"/>
    </xf>
    <xf numFmtId="44" fontId="2" fillId="95" borderId="3" xfId="0" applyNumberFormat="1" applyFont="1" applyFill="1" applyBorder="1"/>
    <xf numFmtId="177" fontId="0" fillId="95" borderId="0" xfId="3" applyNumberFormat="1" applyFont="1" applyFill="1"/>
    <xf numFmtId="43" fontId="10" fillId="0" borderId="131" xfId="10" applyFont="1" applyBorder="1" applyAlignment="1" applyProtection="1">
      <alignment shrinkToFit="1"/>
    </xf>
    <xf numFmtId="10" fontId="10" fillId="0" borderId="131" xfId="1727" applyNumberFormat="1" applyFont="1" applyBorder="1" applyAlignment="1" applyProtection="1">
      <alignment horizontal="center"/>
    </xf>
    <xf numFmtId="1" fontId="10" fillId="0" borderId="131" xfId="0" applyNumberFormat="1" applyFont="1" applyBorder="1" applyAlignment="1" applyProtection="1">
      <alignment horizontal="center"/>
    </xf>
    <xf numFmtId="0" fontId="10" fillId="0" borderId="131" xfId="0" applyNumberFormat="1" applyFont="1" applyBorder="1" applyAlignment="1" applyProtection="1">
      <alignment horizontal="center"/>
    </xf>
    <xf numFmtId="0" fontId="10" fillId="0" borderId="131" xfId="0" applyFont="1" applyBorder="1" applyAlignment="1" applyProtection="1">
      <alignment horizontal="center"/>
    </xf>
    <xf numFmtId="0" fontId="2" fillId="0" borderId="3" xfId="0" applyFont="1" applyBorder="1" applyAlignment="1">
      <alignment horizontal="center" vertical="center"/>
    </xf>
    <xf numFmtId="167" fontId="20" fillId="0" borderId="3" xfId="14" applyFont="1" applyFill="1" applyBorder="1" applyAlignment="1">
      <alignment horizontal="center" vertical="center"/>
    </xf>
    <xf numFmtId="174" fontId="0" fillId="0" borderId="0" xfId="0" applyNumberFormat="1"/>
    <xf numFmtId="186" fontId="2" fillId="0" borderId="0" xfId="0" applyNumberFormat="1" applyFont="1"/>
    <xf numFmtId="0" fontId="44" fillId="3" borderId="102" xfId="0" applyFont="1" applyFill="1" applyBorder="1" applyAlignment="1">
      <alignment horizontal="center" vertical="center"/>
    </xf>
    <xf numFmtId="0" fontId="44" fillId="3" borderId="47" xfId="0" applyFont="1" applyFill="1" applyBorder="1" applyAlignment="1">
      <alignment horizontal="center" vertical="center"/>
    </xf>
    <xf numFmtId="0" fontId="43" fillId="0" borderId="30" xfId="0" applyFont="1" applyBorder="1" applyAlignment="1">
      <alignment horizontal="center" vertical="center"/>
    </xf>
    <xf numFmtId="0" fontId="43" fillId="0" borderId="29" xfId="0" applyFont="1" applyBorder="1" applyAlignment="1">
      <alignment horizontal="center" vertical="center"/>
    </xf>
    <xf numFmtId="10" fontId="43" fillId="0" borderId="29" xfId="3" applyNumberFormat="1" applyFont="1" applyBorder="1" applyAlignment="1">
      <alignment horizontal="center" vertical="center"/>
    </xf>
    <xf numFmtId="0" fontId="3" fillId="0" borderId="58" xfId="2" applyFont="1" applyBorder="1" applyAlignment="1">
      <alignment horizontal="center" vertical="center" wrapText="1"/>
    </xf>
    <xf numFmtId="0" fontId="43" fillId="0" borderId="58" xfId="0" applyFont="1" applyBorder="1" applyAlignment="1">
      <alignment horizontal="center" vertical="center"/>
    </xf>
    <xf numFmtId="10" fontId="43" fillId="0" borderId="59" xfId="3" applyNumberFormat="1" applyFont="1" applyBorder="1" applyAlignment="1">
      <alignment horizontal="center" vertical="center"/>
    </xf>
    <xf numFmtId="0" fontId="43" fillId="0" borderId="97" xfId="0" applyFont="1" applyBorder="1" applyAlignment="1">
      <alignment horizontal="center" vertical="center"/>
    </xf>
    <xf numFmtId="0" fontId="43" fillId="0" borderId="63" xfId="0" applyFont="1" applyBorder="1" applyAlignment="1">
      <alignment horizontal="center" vertical="center"/>
    </xf>
    <xf numFmtId="0" fontId="43" fillId="0" borderId="102" xfId="0" applyFont="1" applyBorder="1" applyAlignment="1">
      <alignment horizontal="center" vertical="center"/>
    </xf>
    <xf numFmtId="0" fontId="43" fillId="0" borderId="47" xfId="0" applyFont="1" applyBorder="1" applyAlignment="1">
      <alignment horizontal="center" vertical="center"/>
    </xf>
    <xf numFmtId="0" fontId="43" fillId="0" borderId="35" xfId="0" applyFont="1" applyBorder="1" applyAlignment="1">
      <alignment horizontal="center" vertical="center"/>
    </xf>
    <xf numFmtId="0" fontId="43" fillId="0" borderId="36" xfId="0" applyFont="1" applyBorder="1" applyAlignment="1">
      <alignment horizontal="center" vertical="center"/>
    </xf>
    <xf numFmtId="0" fontId="42" fillId="0" borderId="36" xfId="0" applyFont="1" applyBorder="1" applyAlignment="1">
      <alignment horizontal="center" vertical="center"/>
    </xf>
    <xf numFmtId="0" fontId="42" fillId="0" borderId="36" xfId="0" applyFont="1" applyBorder="1" applyAlignment="1">
      <alignment vertical="center"/>
    </xf>
    <xf numFmtId="44" fontId="43" fillId="0" borderId="36" xfId="1" applyFont="1" applyBorder="1" applyAlignment="1">
      <alignment horizontal="center" vertical="center"/>
    </xf>
    <xf numFmtId="0" fontId="43" fillId="0" borderId="37" xfId="0" applyFont="1" applyBorder="1" applyAlignment="1">
      <alignment horizontal="center" vertical="center"/>
    </xf>
    <xf numFmtId="0" fontId="3" fillId="2" borderId="27" xfId="0" applyFont="1" applyFill="1" applyBorder="1" applyAlignment="1">
      <alignment horizontal="center" wrapText="1"/>
    </xf>
    <xf numFmtId="0" fontId="4" fillId="2" borderId="27" xfId="0" applyFont="1" applyFill="1" applyBorder="1" applyAlignment="1">
      <alignment horizontal="center" wrapText="1"/>
    </xf>
    <xf numFmtId="0" fontId="0" fillId="2" borderId="0" xfId="0" applyFont="1" applyFill="1" applyBorder="1" applyAlignment="1">
      <alignment horizontal="center" vertical="center" wrapText="1"/>
    </xf>
    <xf numFmtId="2" fontId="0" fillId="0" borderId="132" xfId="0" applyNumberFormat="1" applyBorder="1"/>
    <xf numFmtId="2" fontId="26" fillId="0" borderId="132" xfId="0" applyNumberFormat="1" applyFont="1" applyFill="1" applyBorder="1" applyAlignment="1">
      <alignment horizontal="center" vertical="center"/>
    </xf>
    <xf numFmtId="2" fontId="0" fillId="0" borderId="132" xfId="0" applyNumberFormat="1" applyBorder="1" applyAlignment="1">
      <alignment horizontal="center" vertical="center"/>
    </xf>
    <xf numFmtId="2" fontId="0" fillId="0" borderId="133" xfId="0" applyNumberFormat="1" applyBorder="1" applyAlignment="1">
      <alignment horizontal="center" vertical="center"/>
    </xf>
    <xf numFmtId="2" fontId="26" fillId="0" borderId="134" xfId="0" applyNumberFormat="1" applyFont="1" applyFill="1" applyBorder="1" applyAlignment="1">
      <alignment horizontal="center" vertical="center"/>
    </xf>
    <xf numFmtId="2" fontId="0" fillId="0" borderId="135" xfId="0" applyNumberFormat="1" applyFill="1" applyBorder="1" applyAlignment="1">
      <alignment horizontal="center" vertical="center"/>
    </xf>
    <xf numFmtId="2" fontId="26" fillId="0" borderId="135" xfId="0" applyNumberFormat="1" applyFont="1" applyFill="1" applyBorder="1" applyAlignment="1">
      <alignment horizontal="center" vertical="center"/>
    </xf>
    <xf numFmtId="0" fontId="26" fillId="0" borderId="136" xfId="0" applyFont="1" applyBorder="1" applyAlignment="1">
      <alignment horizontal="right" wrapText="1"/>
    </xf>
    <xf numFmtId="2" fontId="2" fillId="0" borderId="9" xfId="0" applyNumberFormat="1" applyFont="1" applyFill="1" applyBorder="1" applyAlignment="1">
      <alignment horizontal="center"/>
    </xf>
    <xf numFmtId="0" fontId="2" fillId="2" borderId="29" xfId="0" applyFont="1" applyFill="1" applyBorder="1" applyAlignment="1">
      <alignment vertical="center" wrapText="1"/>
    </xf>
    <xf numFmtId="0" fontId="0" fillId="0" borderId="136" xfId="0" applyBorder="1" applyAlignment="1">
      <alignment wrapText="1"/>
    </xf>
    <xf numFmtId="0" fontId="0" fillId="0" borderId="138" xfId="0" applyBorder="1" applyAlignment="1">
      <alignment horizontal="right"/>
    </xf>
    <xf numFmtId="0" fontId="0" fillId="0" borderId="138" xfId="0" applyBorder="1" applyAlignment="1">
      <alignment horizontal="right" vertical="center"/>
    </xf>
    <xf numFmtId="0" fontId="0" fillId="0" borderId="138" xfId="0" applyBorder="1" applyAlignment="1">
      <alignment horizontal="right" vertical="center" wrapText="1"/>
    </xf>
    <xf numFmtId="0" fontId="0" fillId="0" borderId="136" xfId="0" applyFont="1" applyBorder="1" applyAlignment="1">
      <alignment horizontal="right"/>
    </xf>
    <xf numFmtId="0" fontId="0" fillId="0" borderId="136" xfId="0" applyFont="1" applyBorder="1" applyAlignment="1">
      <alignment horizontal="right" wrapText="1"/>
    </xf>
    <xf numFmtId="0" fontId="46" fillId="0" borderId="136" xfId="0" applyFont="1" applyBorder="1" applyAlignment="1">
      <alignment horizontal="right" wrapText="1"/>
    </xf>
    <xf numFmtId="0" fontId="46" fillId="0" borderId="138" xfId="0" applyFont="1" applyBorder="1" applyAlignment="1">
      <alignment horizontal="right"/>
    </xf>
    <xf numFmtId="0" fontId="46" fillId="0" borderId="138" xfId="0" applyFont="1" applyBorder="1" applyAlignment="1">
      <alignment horizontal="right" wrapText="1"/>
    </xf>
    <xf numFmtId="0" fontId="0" fillId="0" borderId="138" xfId="0" applyBorder="1"/>
    <xf numFmtId="2" fontId="0" fillId="0" borderId="133" xfId="0" applyNumberFormat="1" applyFill="1" applyBorder="1" applyAlignment="1">
      <alignment horizontal="center" vertical="center"/>
    </xf>
    <xf numFmtId="0" fontId="0" fillId="0" borderId="138" xfId="0" applyBorder="1" applyAlignment="1">
      <alignment horizontal="right" wrapText="1"/>
    </xf>
    <xf numFmtId="0" fontId="46" fillId="0" borderId="136" xfId="0" applyFont="1" applyBorder="1" applyAlignment="1">
      <alignment horizontal="right"/>
    </xf>
    <xf numFmtId="0" fontId="3" fillId="0" borderId="139" xfId="6" applyFont="1" applyFill="1" applyBorder="1" applyAlignment="1">
      <alignment horizontal="justify" vertical="center"/>
    </xf>
    <xf numFmtId="2" fontId="0" fillId="0" borderId="140" xfId="0" applyNumberFormat="1" applyBorder="1"/>
    <xf numFmtId="0" fontId="3" fillId="0" borderId="141" xfId="6" applyFont="1" applyFill="1" applyBorder="1" applyAlignment="1">
      <alignment horizontal="justify" vertical="center"/>
    </xf>
    <xf numFmtId="0" fontId="0" fillId="0" borderId="136" xfId="0" applyFont="1" applyBorder="1"/>
    <xf numFmtId="10" fontId="0" fillId="0" borderId="3" xfId="3" applyNumberFormat="1" applyFont="1" applyBorder="1" applyAlignment="1">
      <alignment horizontal="center" vertical="center"/>
    </xf>
    <xf numFmtId="0" fontId="4" fillId="6" borderId="143" xfId="17" applyFont="1" applyFill="1" applyBorder="1" applyAlignment="1">
      <alignment horizontal="center" vertical="center"/>
    </xf>
    <xf numFmtId="10" fontId="3" fillId="6" borderId="146" xfId="0" applyNumberFormat="1" applyFont="1" applyFill="1" applyBorder="1" applyAlignment="1">
      <alignment horizontal="center" vertical="top" wrapText="1"/>
    </xf>
    <xf numFmtId="39" fontId="0" fillId="6" borderId="146" xfId="0" applyNumberFormat="1" applyFill="1" applyBorder="1" applyAlignment="1">
      <alignment horizontal="right"/>
    </xf>
    <xf numFmtId="10" fontId="3" fillId="6" borderId="146" xfId="18" applyNumberFormat="1" applyFont="1" applyFill="1" applyBorder="1" applyAlignment="1">
      <alignment vertical="top" wrapText="1"/>
    </xf>
    <xf numFmtId="10" fontId="0" fillId="6" borderId="146" xfId="3" applyNumberFormat="1" applyFont="1" applyFill="1" applyBorder="1" applyAlignment="1">
      <alignment horizontal="center"/>
    </xf>
    <xf numFmtId="10" fontId="0" fillId="6" borderId="147" xfId="3" applyNumberFormat="1" applyFont="1" applyFill="1" applyBorder="1" applyAlignment="1">
      <alignment horizontal="center"/>
    </xf>
    <xf numFmtId="39" fontId="0" fillId="6" borderId="146" xfId="0" applyNumberFormat="1" applyFill="1" applyBorder="1" applyAlignment="1">
      <alignment horizontal="center"/>
    </xf>
    <xf numFmtId="39" fontId="0" fillId="6" borderId="107" xfId="0" applyNumberFormat="1" applyFill="1" applyBorder="1" applyAlignment="1">
      <alignment horizontal="center"/>
    </xf>
    <xf numFmtId="43" fontId="3" fillId="6" borderId="146" xfId="15" applyFont="1" applyFill="1" applyBorder="1" applyAlignment="1">
      <alignment vertical="top" wrapText="1"/>
    </xf>
    <xf numFmtId="0" fontId="3" fillId="6" borderId="146" xfId="17" applyFill="1" applyBorder="1" applyAlignment="1"/>
    <xf numFmtId="39" fontId="0" fillId="6" borderId="148" xfId="0" applyNumberFormat="1" applyFill="1" applyBorder="1" applyAlignment="1">
      <alignment horizontal="center"/>
    </xf>
    <xf numFmtId="39" fontId="0" fillId="6" borderId="147" xfId="0" applyNumberFormat="1" applyFill="1" applyBorder="1" applyAlignment="1">
      <alignment horizontal="center"/>
    </xf>
    <xf numFmtId="10" fontId="3" fillId="6" borderId="147" xfId="0" applyNumberFormat="1" applyFont="1" applyFill="1" applyBorder="1" applyAlignment="1">
      <alignment horizontal="center" vertical="top" wrapText="1"/>
    </xf>
    <xf numFmtId="39" fontId="0" fillId="6" borderId="149" xfId="0" applyNumberFormat="1" applyFill="1" applyBorder="1" applyAlignment="1">
      <alignment horizontal="center"/>
    </xf>
    <xf numFmtId="43" fontId="3" fillId="6" borderId="151" xfId="15" applyFont="1" applyFill="1" applyBorder="1" applyAlignment="1">
      <alignment vertical="top" wrapText="1"/>
    </xf>
    <xf numFmtId="10" fontId="3" fillId="6" borderId="151" xfId="18" applyNumberFormat="1" applyFont="1" applyFill="1" applyBorder="1" applyAlignment="1">
      <alignment vertical="top" wrapText="1"/>
    </xf>
    <xf numFmtId="10" fontId="3" fillId="6" borderId="151" xfId="0" applyNumberFormat="1" applyFont="1" applyFill="1" applyBorder="1" applyAlignment="1">
      <alignment horizontal="center" vertical="top" wrapText="1"/>
    </xf>
    <xf numFmtId="43" fontId="4" fillId="0" borderId="143" xfId="15" applyFont="1" applyFill="1" applyBorder="1"/>
    <xf numFmtId="10" fontId="4" fillId="6" borderId="143" xfId="18" applyNumberFormat="1" applyFont="1" applyFill="1" applyBorder="1"/>
    <xf numFmtId="0" fontId="4" fillId="6" borderId="143" xfId="17" applyFont="1" applyFill="1" applyBorder="1" applyAlignment="1">
      <alignment horizontal="center"/>
    </xf>
    <xf numFmtId="0" fontId="4" fillId="6" borderId="144" xfId="17" applyFont="1" applyFill="1" applyBorder="1" applyAlignment="1">
      <alignment horizontal="center"/>
    </xf>
    <xf numFmtId="43" fontId="0" fillId="6" borderId="146" xfId="15" applyFont="1" applyFill="1" applyBorder="1" applyAlignment="1">
      <alignment horizontal="center"/>
    </xf>
    <xf numFmtId="10" fontId="0" fillId="6" borderId="146" xfId="18" applyNumberFormat="1" applyFont="1" applyFill="1" applyBorder="1" applyAlignment="1">
      <alignment horizontal="center"/>
    </xf>
    <xf numFmtId="10" fontId="0" fillId="6" borderId="147" xfId="18" applyNumberFormat="1" applyFont="1" applyFill="1" applyBorder="1" applyAlignment="1">
      <alignment horizontal="center"/>
    </xf>
    <xf numFmtId="39" fontId="3" fillId="6" borderId="146" xfId="17" applyNumberFormat="1" applyFill="1" applyBorder="1" applyAlignment="1">
      <alignment horizontal="center"/>
    </xf>
    <xf numFmtId="39" fontId="3" fillId="6" borderId="147" xfId="17" applyNumberFormat="1" applyFill="1" applyBorder="1" applyAlignment="1">
      <alignment horizontal="center"/>
    </xf>
    <xf numFmtId="9" fontId="0" fillId="6" borderId="148" xfId="18" applyFont="1" applyFill="1" applyBorder="1" applyAlignment="1">
      <alignment horizontal="center"/>
    </xf>
    <xf numFmtId="10" fontId="0" fillId="6" borderId="148" xfId="18" applyNumberFormat="1" applyFont="1" applyFill="1" applyBorder="1" applyAlignment="1">
      <alignment horizontal="center"/>
    </xf>
    <xf numFmtId="10" fontId="0" fillId="6" borderId="149" xfId="18" applyNumberFormat="1" applyFont="1" applyFill="1" applyBorder="1" applyAlignment="1">
      <alignment horizontal="center"/>
    </xf>
    <xf numFmtId="167" fontId="20" fillId="0" borderId="29" xfId="14" applyFont="1" applyFill="1" applyBorder="1" applyAlignment="1">
      <alignment vertical="center"/>
    </xf>
    <xf numFmtId="0" fontId="0" fillId="0" borderId="34" xfId="0" applyFont="1" applyBorder="1" applyAlignment="1">
      <alignment horizontal="center"/>
    </xf>
    <xf numFmtId="43" fontId="1" fillId="0" borderId="105" xfId="10" applyFont="1" applyBorder="1"/>
    <xf numFmtId="0" fontId="0" fillId="0" borderId="2" xfId="0" applyFont="1" applyBorder="1" applyAlignment="1">
      <alignment horizontal="center"/>
    </xf>
    <xf numFmtId="43" fontId="1" fillId="0" borderId="9" xfId="10" applyFont="1" applyBorder="1"/>
    <xf numFmtId="0" fontId="0" fillId="0" borderId="62" xfId="0" applyFont="1" applyFill="1" applyBorder="1" applyAlignment="1">
      <alignment horizontal="center"/>
    </xf>
    <xf numFmtId="167" fontId="19" fillId="0" borderId="140" xfId="14" applyFont="1" applyFill="1" applyBorder="1" applyAlignment="1">
      <alignment horizontal="right" vertical="center"/>
    </xf>
    <xf numFmtId="49" fontId="19" fillId="0" borderId="140" xfId="14" applyNumberFormat="1" applyFont="1" applyFill="1" applyBorder="1" applyAlignment="1">
      <alignment horizontal="center" vertical="center"/>
    </xf>
    <xf numFmtId="167" fontId="19" fillId="7" borderId="140" xfId="14" applyFont="1" applyFill="1" applyBorder="1" applyAlignment="1">
      <alignment horizontal="right" vertical="center"/>
    </xf>
    <xf numFmtId="43" fontId="1" fillId="0" borderId="31" xfId="10" applyFont="1" applyBorder="1"/>
    <xf numFmtId="43" fontId="2" fillId="0" borderId="9" xfId="0" applyNumberFormat="1" applyFont="1" applyBorder="1"/>
    <xf numFmtId="0" fontId="2" fillId="7" borderId="56" xfId="0" applyFont="1" applyFill="1" applyBorder="1"/>
    <xf numFmtId="0" fontId="2" fillId="7" borderId="57" xfId="0" applyFont="1" applyFill="1" applyBorder="1"/>
    <xf numFmtId="43" fontId="0" fillId="0" borderId="29" xfId="10" applyFont="1" applyBorder="1"/>
    <xf numFmtId="0" fontId="2" fillId="7" borderId="41" xfId="0" applyFont="1" applyFill="1" applyBorder="1" applyAlignment="1"/>
    <xf numFmtId="0" fontId="2" fillId="7" borderId="152" xfId="0" applyFont="1" applyFill="1" applyBorder="1" applyAlignment="1"/>
    <xf numFmtId="0" fontId="2" fillId="0" borderId="36" xfId="0" applyFont="1" applyFill="1" applyBorder="1"/>
    <xf numFmtId="0" fontId="2" fillId="0" borderId="37" xfId="0" applyFont="1" applyFill="1" applyBorder="1"/>
    <xf numFmtId="0" fontId="0" fillId="0" borderId="2" xfId="0" applyFont="1" applyFill="1" applyBorder="1" applyAlignment="1">
      <alignment horizontal="center"/>
    </xf>
    <xf numFmtId="0" fontId="0" fillId="0" borderId="62" xfId="0" applyFont="1" applyBorder="1" applyAlignment="1">
      <alignment horizontal="center"/>
    </xf>
    <xf numFmtId="167" fontId="19" fillId="0" borderId="140" xfId="14" applyFont="1" applyFill="1" applyBorder="1" applyAlignment="1">
      <alignment horizontal="center" vertical="center"/>
    </xf>
    <xf numFmtId="0" fontId="39" fillId="2" borderId="55" xfId="0" applyFont="1" applyFill="1" applyBorder="1" applyAlignment="1">
      <alignment horizontal="center"/>
    </xf>
    <xf numFmtId="0" fontId="2" fillId="0" borderId="56" xfId="0" applyFont="1" applyBorder="1"/>
    <xf numFmtId="0" fontId="0" fillId="0" borderId="57" xfId="0" applyBorder="1"/>
    <xf numFmtId="171" fontId="0" fillId="0" borderId="37" xfId="0" applyNumberFormat="1" applyBorder="1"/>
    <xf numFmtId="49" fontId="31" fillId="2" borderId="23" xfId="7" applyNumberFormat="1" applyFont="1" applyFill="1" applyBorder="1" applyAlignment="1">
      <alignment horizontal="center" vertical="center" wrapText="1"/>
    </xf>
    <xf numFmtId="0" fontId="32" fillId="2" borderId="58" xfId="7" quotePrefix="1" applyNumberFormat="1" applyFont="1" applyFill="1" applyBorder="1" applyAlignment="1">
      <alignment horizontal="center" vertical="center"/>
    </xf>
    <xf numFmtId="49" fontId="30" fillId="2" borderId="23" xfId="7" applyNumberFormat="1" applyFont="1" applyFill="1" applyBorder="1" applyAlignment="1">
      <alignment horizontal="center" vertical="center" wrapText="1"/>
    </xf>
    <xf numFmtId="2" fontId="31" fillId="2" borderId="23" xfId="7" applyNumberFormat="1" applyFont="1" applyFill="1" applyBorder="1" applyAlignment="1">
      <alignment horizontal="center" vertical="center" wrapText="1"/>
    </xf>
    <xf numFmtId="44" fontId="30" fillId="2" borderId="23" xfId="1" applyFont="1" applyFill="1" applyBorder="1" applyAlignment="1">
      <alignment horizontal="center" vertical="center"/>
    </xf>
    <xf numFmtId="44" fontId="0" fillId="0" borderId="59" xfId="1" applyFont="1" applyBorder="1" applyAlignment="1">
      <alignment horizontal="center" vertical="center"/>
    </xf>
    <xf numFmtId="0" fontId="0" fillId="0" borderId="54" xfId="0" applyBorder="1" applyAlignment="1">
      <alignment horizontal="center"/>
    </xf>
    <xf numFmtId="0" fontId="0" fillId="0" borderId="157" xfId="0" applyBorder="1" applyAlignment="1">
      <alignment horizontal="center"/>
    </xf>
    <xf numFmtId="0" fontId="0" fillId="0" borderId="140" xfId="0" applyBorder="1" applyAlignment="1">
      <alignment horizontal="center"/>
    </xf>
    <xf numFmtId="0" fontId="0" fillId="0" borderId="157" xfId="0" applyBorder="1"/>
    <xf numFmtId="0" fontId="0" fillId="0" borderId="54" xfId="0" applyBorder="1"/>
    <xf numFmtId="0" fontId="0" fillId="0" borderId="159" xfId="0" applyBorder="1"/>
    <xf numFmtId="0" fontId="0" fillId="0" borderId="160" xfId="0" applyBorder="1" applyAlignment="1">
      <alignment horizontal="center"/>
    </xf>
    <xf numFmtId="0" fontId="2" fillId="0" borderId="46" xfId="0" applyFont="1" applyBorder="1" applyAlignment="1">
      <alignment horizontal="center" vertical="center"/>
    </xf>
    <xf numFmtId="2" fontId="0" fillId="0" borderId="155" xfId="0" applyNumberFormat="1" applyBorder="1" applyAlignment="1">
      <alignment horizontal="center"/>
    </xf>
    <xf numFmtId="2" fontId="0" fillId="0" borderId="153" xfId="0" applyNumberFormat="1" applyBorder="1" applyAlignment="1">
      <alignment horizontal="center"/>
    </xf>
    <xf numFmtId="2" fontId="0" fillId="0" borderId="157" xfId="0" applyNumberFormat="1" applyBorder="1" applyAlignment="1">
      <alignment horizontal="center"/>
    </xf>
    <xf numFmtId="2" fontId="0" fillId="0" borderId="140" xfId="0" applyNumberFormat="1" applyBorder="1" applyAlignment="1">
      <alignment horizontal="center"/>
    </xf>
    <xf numFmtId="2" fontId="0" fillId="0" borderId="159" xfId="0" applyNumberFormat="1" applyBorder="1" applyAlignment="1">
      <alignment horizontal="center"/>
    </xf>
    <xf numFmtId="0" fontId="0" fillId="0" borderId="46" xfId="0" applyBorder="1"/>
    <xf numFmtId="0" fontId="0" fillId="0" borderId="46" xfId="0" applyBorder="1" applyAlignment="1">
      <alignment horizontal="center"/>
    </xf>
    <xf numFmtId="2" fontId="0" fillId="0" borderId="132" xfId="0" applyNumberFormat="1" applyBorder="1" applyAlignment="1">
      <alignment horizontal="center"/>
    </xf>
    <xf numFmtId="2" fontId="2" fillId="0" borderId="159" xfId="0" applyNumberFormat="1" applyFont="1" applyBorder="1" applyAlignment="1">
      <alignment horizontal="center" vertical="center"/>
    </xf>
    <xf numFmtId="0" fontId="0" fillId="0" borderId="0" xfId="0" applyBorder="1" applyAlignment="1">
      <alignment horizontal="right"/>
    </xf>
    <xf numFmtId="2" fontId="0" fillId="0" borderId="0" xfId="0" applyNumberFormat="1" applyBorder="1" applyAlignment="1">
      <alignment horizontal="center"/>
    </xf>
    <xf numFmtId="0" fontId="0" fillId="0" borderId="0" xfId="0" applyBorder="1" applyAlignment="1">
      <alignment horizontal="center"/>
    </xf>
    <xf numFmtId="169" fontId="2" fillId="0" borderId="0" xfId="0" applyNumberFormat="1" applyFont="1" applyBorder="1"/>
    <xf numFmtId="2" fontId="2" fillId="0" borderId="0" xfId="0" applyNumberFormat="1" applyFont="1" applyBorder="1"/>
    <xf numFmtId="2" fontId="0" fillId="0" borderId="159" xfId="0" applyNumberFormat="1" applyBorder="1" applyAlignment="1">
      <alignment horizontal="center" vertical="center"/>
    </xf>
    <xf numFmtId="0" fontId="0" fillId="0" borderId="46" xfId="0" applyBorder="1" applyAlignment="1">
      <alignment horizontal="center" vertical="center"/>
    </xf>
    <xf numFmtId="0" fontId="0" fillId="0" borderId="46" xfId="0" applyFont="1" applyBorder="1" applyAlignment="1">
      <alignment horizontal="center" vertical="center"/>
    </xf>
    <xf numFmtId="2" fontId="0" fillId="0" borderId="159" xfId="0" applyNumberFormat="1" applyFont="1" applyBorder="1" applyAlignment="1">
      <alignment horizontal="center" vertical="center"/>
    </xf>
    <xf numFmtId="0" fontId="2" fillId="0" borderId="5" xfId="0" applyFont="1" applyBorder="1" applyAlignment="1">
      <alignment horizontal="center" vertical="center"/>
    </xf>
    <xf numFmtId="0" fontId="7" fillId="0" borderId="0" xfId="0" applyFont="1" applyBorder="1"/>
    <xf numFmtId="0" fontId="2" fillId="0" borderId="3" xfId="0" applyFont="1" applyBorder="1" applyAlignment="1">
      <alignment horizontal="center" vertical="center" wrapText="1"/>
    </xf>
    <xf numFmtId="2" fontId="0" fillId="0" borderId="103" xfId="0" applyNumberFormat="1" applyBorder="1" applyAlignment="1">
      <alignment horizontal="center"/>
    </xf>
    <xf numFmtId="2" fontId="0" fillId="0" borderId="164" xfId="0" applyNumberFormat="1" applyBorder="1" applyAlignment="1">
      <alignment horizontal="center"/>
    </xf>
    <xf numFmtId="2" fontId="0" fillId="0" borderId="164" xfId="0" applyNumberFormat="1" applyBorder="1" applyAlignment="1">
      <alignment horizontal="center" vertical="center"/>
    </xf>
    <xf numFmtId="2" fontId="2" fillId="0" borderId="164" xfId="0" applyNumberFormat="1" applyFont="1" applyBorder="1" applyAlignment="1">
      <alignment horizontal="center" vertical="center"/>
    </xf>
    <xf numFmtId="2" fontId="0" fillId="0" borderId="165" xfId="0" applyNumberFormat="1" applyBorder="1" applyAlignment="1">
      <alignment horizontal="center"/>
    </xf>
    <xf numFmtId="2" fontId="0" fillId="0" borderId="165" xfId="0" applyNumberFormat="1" applyBorder="1" applyAlignment="1">
      <alignment horizontal="center" vertical="center"/>
    </xf>
    <xf numFmtId="2" fontId="0" fillId="0" borderId="157" xfId="0" applyNumberFormat="1" applyBorder="1" applyAlignment="1">
      <alignment horizontal="center" vertical="center"/>
    </xf>
    <xf numFmtId="2" fontId="0" fillId="0" borderId="14" xfId="0" applyNumberFormat="1" applyBorder="1" applyAlignment="1">
      <alignment horizontal="center"/>
    </xf>
    <xf numFmtId="2" fontId="0" fillId="0" borderId="167" xfId="0" applyNumberFormat="1" applyBorder="1" applyAlignment="1">
      <alignment horizontal="center"/>
    </xf>
    <xf numFmtId="2" fontId="0" fillId="0" borderId="14" xfId="0" applyNumberFormat="1" applyBorder="1" applyAlignment="1">
      <alignment horizontal="center" vertical="center"/>
    </xf>
    <xf numFmtId="169" fontId="0" fillId="0" borderId="0" xfId="0" applyNumberFormat="1" applyBorder="1"/>
    <xf numFmtId="2" fontId="0" fillId="0" borderId="160" xfId="0" applyNumberFormat="1" applyBorder="1" applyAlignment="1">
      <alignment horizontal="center"/>
    </xf>
    <xf numFmtId="2" fontId="0" fillId="0" borderId="168" xfId="0" applyNumberFormat="1" applyBorder="1" applyAlignment="1">
      <alignment horizontal="center"/>
    </xf>
    <xf numFmtId="2" fontId="0" fillId="0" borderId="49" xfId="0" applyNumberFormat="1" applyBorder="1" applyAlignment="1">
      <alignment horizontal="center"/>
    </xf>
    <xf numFmtId="165" fontId="2" fillId="0" borderId="0" xfId="0" applyNumberFormat="1" applyFont="1" applyBorder="1"/>
    <xf numFmtId="0" fontId="0" fillId="0" borderId="30" xfId="0" quotePrefix="1" applyFont="1" applyBorder="1" applyAlignment="1">
      <alignment horizontal="center"/>
    </xf>
    <xf numFmtId="165" fontId="0" fillId="0" borderId="159" xfId="0" applyNumberFormat="1" applyBorder="1" applyAlignment="1">
      <alignment horizontal="center"/>
    </xf>
    <xf numFmtId="2" fontId="0" fillId="0" borderId="3" xfId="0" applyNumberFormat="1" applyFont="1" applyBorder="1" applyAlignment="1">
      <alignment horizontal="center"/>
    </xf>
    <xf numFmtId="0" fontId="0" fillId="0" borderId="169" xfId="0" applyBorder="1" applyAlignment="1">
      <alignment horizontal="center"/>
    </xf>
    <xf numFmtId="0" fontId="0" fillId="0" borderId="49" xfId="0" applyBorder="1" applyAlignment="1">
      <alignment horizontal="center"/>
    </xf>
    <xf numFmtId="0" fontId="0" fillId="0" borderId="169" xfId="0" applyBorder="1"/>
    <xf numFmtId="0" fontId="0" fillId="0" borderId="159" xfId="0" applyBorder="1" applyAlignment="1">
      <alignment horizontal="center"/>
    </xf>
    <xf numFmtId="0" fontId="0" fillId="0" borderId="132" xfId="0" applyBorder="1" applyAlignment="1">
      <alignment horizontal="center"/>
    </xf>
    <xf numFmtId="2" fontId="0" fillId="0" borderId="171" xfId="0" applyNumberFormat="1" applyBorder="1" applyAlignment="1">
      <alignment horizontal="center"/>
    </xf>
    <xf numFmtId="0" fontId="0" fillId="0" borderId="45" xfId="0" applyBorder="1"/>
    <xf numFmtId="10" fontId="3" fillId="0" borderId="0" xfId="3" applyNumberFormat="1" applyFont="1"/>
    <xf numFmtId="187" fontId="0" fillId="0" borderId="0" xfId="19" applyNumberFormat="1" applyFont="1" applyAlignment="1">
      <alignment vertical="center"/>
    </xf>
    <xf numFmtId="43" fontId="3" fillId="0" borderId="0" xfId="19" applyNumberFormat="1" applyAlignment="1">
      <alignment vertical="center"/>
    </xf>
    <xf numFmtId="0" fontId="2" fillId="0" borderId="46" xfId="0" applyFont="1" applyBorder="1" applyAlignment="1">
      <alignment horizontal="center"/>
    </xf>
    <xf numFmtId="0" fontId="2" fillId="7" borderId="46" xfId="0" applyFont="1" applyFill="1" applyBorder="1" applyAlignment="1">
      <alignment horizontal="center"/>
    </xf>
    <xf numFmtId="2" fontId="0" fillId="0" borderId="137" xfId="0" applyNumberFormat="1" applyBorder="1" applyAlignment="1">
      <alignment horizontal="center"/>
    </xf>
    <xf numFmtId="2" fontId="2" fillId="7" borderId="134" xfId="0" applyNumberFormat="1" applyFont="1" applyFill="1" applyBorder="1" applyAlignment="1">
      <alignment horizontal="center" vertical="center"/>
    </xf>
    <xf numFmtId="0" fontId="2" fillId="7" borderId="46" xfId="0" applyFont="1" applyFill="1" applyBorder="1" applyAlignment="1">
      <alignment horizontal="center" vertical="center"/>
    </xf>
    <xf numFmtId="0" fontId="2" fillId="0" borderId="137" xfId="0" applyFont="1" applyBorder="1" applyAlignment="1">
      <alignment horizontal="center"/>
    </xf>
    <xf numFmtId="0" fontId="2" fillId="0" borderId="46" xfId="0" applyFont="1" applyBorder="1"/>
    <xf numFmtId="9" fontId="0" fillId="0" borderId="0" xfId="3" applyNumberFormat="1" applyFont="1"/>
    <xf numFmtId="0" fontId="46" fillId="0" borderId="46" xfId="0" applyFont="1" applyBorder="1" applyAlignment="1">
      <alignment horizontal="center" vertical="center" wrapText="1"/>
    </xf>
    <xf numFmtId="2" fontId="2" fillId="0" borderId="46" xfId="0" applyNumberFormat="1" applyFont="1" applyBorder="1" applyAlignment="1">
      <alignment horizontal="center" vertical="center"/>
    </xf>
    <xf numFmtId="0" fontId="0" fillId="0" borderId="0" xfId="0" applyFont="1" applyFill="1" applyBorder="1" applyAlignment="1">
      <alignment horizontal="center" vertical="center"/>
    </xf>
    <xf numFmtId="0" fontId="2" fillId="0" borderId="0" xfId="0" applyFont="1" applyBorder="1" applyAlignment="1">
      <alignment horizontal="left"/>
    </xf>
    <xf numFmtId="0" fontId="7" fillId="0" borderId="0" xfId="0" applyFont="1" applyBorder="1" applyAlignment="1">
      <alignment horizontal="right"/>
    </xf>
    <xf numFmtId="0" fontId="108" fillId="0" borderId="0" xfId="0" applyFont="1" applyBorder="1" applyAlignment="1">
      <alignment horizontal="left"/>
    </xf>
    <xf numFmtId="177" fontId="4" fillId="6" borderId="143" xfId="17" applyNumberFormat="1" applyFont="1" applyFill="1" applyBorder="1" applyAlignment="1">
      <alignment horizontal="center" vertical="center"/>
    </xf>
    <xf numFmtId="0" fontId="0" fillId="0" borderId="153" xfId="0" applyBorder="1" applyAlignment="1">
      <alignment horizontal="center"/>
    </xf>
    <xf numFmtId="0" fontId="0" fillId="0" borderId="137" xfId="0" applyBorder="1" applyAlignment="1">
      <alignment horizontal="center"/>
    </xf>
    <xf numFmtId="0" fontId="0" fillId="0" borderId="0" xfId="0" applyBorder="1" applyAlignment="1">
      <alignment horizontal="center" vertical="center"/>
    </xf>
    <xf numFmtId="0" fontId="0" fillId="0" borderId="24" xfId="0" applyBorder="1" applyAlignment="1">
      <alignment horizontal="center"/>
    </xf>
    <xf numFmtId="0" fontId="26" fillId="0" borderId="3" xfId="0" applyFont="1" applyBorder="1" applyAlignment="1">
      <alignment horizontal="left" vertical="center" wrapText="1"/>
    </xf>
    <xf numFmtId="0" fontId="2" fillId="0" borderId="30" xfId="0" applyFont="1" applyBorder="1" applyAlignment="1">
      <alignment horizontal="center" vertical="center"/>
    </xf>
    <xf numFmtId="0" fontId="44" fillId="3" borderId="5" xfId="0" applyFont="1" applyFill="1" applyBorder="1" applyAlignment="1">
      <alignment horizontal="center" vertical="center" wrapText="1"/>
    </xf>
    <xf numFmtId="0" fontId="39" fillId="2" borderId="58" xfId="0" applyFont="1" applyFill="1" applyBorder="1" applyAlignment="1">
      <alignment horizontal="center"/>
    </xf>
    <xf numFmtId="0" fontId="0" fillId="0" borderId="23" xfId="0" applyBorder="1"/>
    <xf numFmtId="43" fontId="0" fillId="0" borderId="23" xfId="15" applyFont="1" applyBorder="1"/>
    <xf numFmtId="43" fontId="0" fillId="0" borderId="23" xfId="0" applyNumberFormat="1" applyBorder="1"/>
    <xf numFmtId="43" fontId="0" fillId="0" borderId="59" xfId="15" applyFont="1" applyBorder="1"/>
    <xf numFmtId="0" fontId="39" fillId="2" borderId="30" xfId="0" applyFont="1" applyFill="1" applyBorder="1" applyAlignment="1">
      <alignment horizontal="center" vertical="center" wrapText="1"/>
    </xf>
    <xf numFmtId="49" fontId="31" fillId="2" borderId="0" xfId="7" applyNumberFormat="1" applyFont="1" applyFill="1" applyBorder="1" applyAlignment="1">
      <alignment horizontal="left" vertical="center"/>
    </xf>
    <xf numFmtId="0" fontId="2" fillId="0" borderId="0" xfId="0" applyFont="1" applyBorder="1" applyAlignment="1">
      <alignment horizontal="center" vertical="center"/>
    </xf>
    <xf numFmtId="0" fontId="0" fillId="0" borderId="23" xfId="0" applyBorder="1" applyAlignment="1">
      <alignment horizontal="center"/>
    </xf>
    <xf numFmtId="0" fontId="0" fillId="0" borderId="36" xfId="0" applyBorder="1" applyAlignment="1">
      <alignment horizontal="center"/>
    </xf>
    <xf numFmtId="0" fontId="2" fillId="7" borderId="55" xfId="0" applyFont="1" applyFill="1" applyBorder="1" applyAlignment="1">
      <alignment horizontal="center"/>
    </xf>
    <xf numFmtId="0" fontId="2" fillId="7" borderId="56" xfId="0" applyFont="1" applyFill="1" applyBorder="1" applyAlignment="1">
      <alignment horizontal="center"/>
    </xf>
    <xf numFmtId="0" fontId="39" fillId="7" borderId="57" xfId="0" applyFont="1" applyFill="1" applyBorder="1"/>
    <xf numFmtId="10" fontId="3" fillId="6" borderId="70" xfId="3" applyNumberFormat="1" applyFont="1" applyFill="1" applyBorder="1" applyAlignment="1">
      <alignment horizontal="center" vertical="top" wrapText="1"/>
    </xf>
    <xf numFmtId="0" fontId="0" fillId="0" borderId="136" xfId="0" applyBorder="1" applyAlignment="1">
      <alignment horizontal="right"/>
    </xf>
    <xf numFmtId="0" fontId="0" fillId="0" borderId="136" xfId="0" applyBorder="1"/>
    <xf numFmtId="0" fontId="46" fillId="0" borderId="136" xfId="0" applyFont="1" applyBorder="1"/>
    <xf numFmtId="0" fontId="46" fillId="2" borderId="136" xfId="0" applyFont="1" applyFill="1" applyBorder="1" applyAlignment="1">
      <alignment horizontal="left" vertical="center" wrapText="1"/>
    </xf>
    <xf numFmtId="0" fontId="0" fillId="2" borderId="136" xfId="0" applyFill="1" applyBorder="1" applyAlignment="1">
      <alignment vertical="center" wrapText="1"/>
    </xf>
    <xf numFmtId="0" fontId="2" fillId="0" borderId="136" xfId="0" applyFont="1" applyBorder="1" applyAlignment="1">
      <alignment horizontal="right"/>
    </xf>
    <xf numFmtId="0" fontId="0" fillId="0" borderId="136" xfId="0" applyBorder="1" applyAlignment="1">
      <alignment horizontal="right" wrapText="1"/>
    </xf>
    <xf numFmtId="0" fontId="0" fillId="0" borderId="136" xfId="0" applyBorder="1" applyAlignment="1">
      <alignment horizontal="left" wrapText="1"/>
    </xf>
    <xf numFmtId="2" fontId="26" fillId="0" borderId="170" xfId="0" applyNumberFormat="1" applyFont="1" applyFill="1" applyBorder="1" applyAlignment="1">
      <alignment horizontal="center" vertical="center"/>
    </xf>
    <xf numFmtId="2" fontId="26" fillId="0" borderId="170" xfId="0" applyNumberFormat="1" applyFont="1" applyFill="1" applyBorder="1" applyAlignment="1">
      <alignment vertical="center"/>
    </xf>
    <xf numFmtId="0" fontId="0" fillId="0" borderId="45" xfId="0" applyBorder="1" applyAlignment="1">
      <alignment horizontal="center"/>
    </xf>
    <xf numFmtId="0" fontId="0" fillId="9" borderId="26" xfId="0" applyFill="1" applyBorder="1"/>
    <xf numFmtId="0" fontId="0" fillId="9" borderId="27" xfId="0" applyFill="1" applyBorder="1"/>
    <xf numFmtId="0" fontId="0" fillId="9" borderId="28" xfId="0" applyFill="1" applyBorder="1"/>
    <xf numFmtId="0" fontId="2" fillId="0" borderId="47" xfId="0" applyFont="1" applyBorder="1" applyAlignment="1">
      <alignment horizontal="center" vertical="center"/>
    </xf>
    <xf numFmtId="2" fontId="0" fillId="0" borderId="9" xfId="0" applyNumberFormat="1" applyBorder="1" applyAlignment="1">
      <alignment horizontal="center"/>
    </xf>
    <xf numFmtId="2" fontId="0" fillId="0" borderId="174" xfId="0" applyNumberFormat="1" applyBorder="1" applyAlignment="1">
      <alignment horizontal="center"/>
    </xf>
    <xf numFmtId="2" fontId="2" fillId="0" borderId="29" xfId="0" applyNumberFormat="1" applyFont="1" applyBorder="1" applyAlignment="1">
      <alignment horizontal="center" vertical="center"/>
    </xf>
    <xf numFmtId="2" fontId="0" fillId="0" borderId="133" xfId="0" applyNumberFormat="1" applyBorder="1" applyAlignment="1">
      <alignment horizontal="center"/>
    </xf>
    <xf numFmtId="2" fontId="0" fillId="0" borderId="92" xfId="0" applyNumberFormat="1" applyBorder="1" applyAlignment="1">
      <alignment horizontal="center"/>
    </xf>
    <xf numFmtId="2" fontId="2" fillId="0" borderId="133" xfId="0" applyNumberFormat="1" applyFont="1" applyBorder="1" applyAlignment="1">
      <alignment horizontal="center" vertical="center"/>
    </xf>
    <xf numFmtId="2" fontId="0" fillId="0" borderId="93" xfId="0" applyNumberFormat="1" applyBorder="1" applyAlignment="1">
      <alignment horizontal="center"/>
    </xf>
    <xf numFmtId="2" fontId="2" fillId="0" borderId="174" xfId="0" applyNumberFormat="1" applyFont="1" applyBorder="1" applyAlignment="1">
      <alignment horizontal="center" vertical="center"/>
    </xf>
    <xf numFmtId="2" fontId="2" fillId="0" borderId="104" xfId="0" applyNumberFormat="1" applyFont="1" applyBorder="1" applyAlignment="1">
      <alignment horizontal="center" vertical="center"/>
    </xf>
    <xf numFmtId="2" fontId="0" fillId="0" borderId="177" xfId="0" applyNumberFormat="1" applyBorder="1" applyAlignment="1">
      <alignment horizontal="center"/>
    </xf>
    <xf numFmtId="2" fontId="0" fillId="0" borderId="95" xfId="0" applyNumberFormat="1" applyBorder="1" applyAlignment="1">
      <alignment horizontal="center"/>
    </xf>
    <xf numFmtId="2" fontId="0" fillId="0" borderId="178" xfId="0" applyNumberFormat="1" applyBorder="1" applyAlignment="1">
      <alignment horizontal="center"/>
    </xf>
    <xf numFmtId="2" fontId="0" fillId="0" borderId="104" xfId="0" applyNumberFormat="1" applyBorder="1" applyAlignment="1">
      <alignment horizontal="center"/>
    </xf>
    <xf numFmtId="2" fontId="0" fillId="0" borderId="182" xfId="0" applyNumberFormat="1" applyBorder="1" applyAlignment="1">
      <alignment horizontal="center"/>
    </xf>
    <xf numFmtId="2" fontId="0" fillId="0" borderId="183" xfId="0" applyNumberFormat="1" applyBorder="1" applyAlignment="1">
      <alignment horizontal="center"/>
    </xf>
    <xf numFmtId="0" fontId="0" fillId="0" borderId="183" xfId="0" applyBorder="1" applyAlignment="1">
      <alignment horizontal="center"/>
    </xf>
    <xf numFmtId="2" fontId="0" fillId="0" borderId="182" xfId="0" applyNumberFormat="1" applyBorder="1" applyAlignment="1">
      <alignment horizontal="center" vertical="center"/>
    </xf>
    <xf numFmtId="2" fontId="2" fillId="0" borderId="184" xfId="0" applyNumberFormat="1" applyFont="1" applyBorder="1" applyAlignment="1">
      <alignment horizontal="center" vertical="center"/>
    </xf>
    <xf numFmtId="2" fontId="0" fillId="0" borderId="186" xfId="0" applyNumberFormat="1" applyBorder="1" applyAlignment="1">
      <alignment horizontal="center"/>
    </xf>
    <xf numFmtId="2" fontId="2" fillId="7" borderId="135" xfId="0" applyNumberFormat="1" applyFont="1" applyFill="1" applyBorder="1" applyAlignment="1">
      <alignment horizontal="center"/>
    </xf>
    <xf numFmtId="2" fontId="0" fillId="0" borderId="187" xfId="0" applyNumberFormat="1" applyBorder="1" applyAlignment="1">
      <alignment horizontal="center"/>
    </xf>
    <xf numFmtId="2" fontId="2" fillId="0" borderId="135" xfId="0" applyNumberFormat="1" applyFont="1" applyBorder="1" applyAlignment="1">
      <alignment horizontal="center" vertical="center"/>
    </xf>
    <xf numFmtId="2" fontId="0" fillId="0" borderId="135" xfId="0" applyNumberFormat="1" applyBorder="1" applyAlignment="1">
      <alignment horizontal="center" vertical="center"/>
    </xf>
    <xf numFmtId="2" fontId="0" fillId="0" borderId="135" xfId="0" applyNumberFormat="1" applyBorder="1" applyAlignment="1">
      <alignment horizontal="center"/>
    </xf>
    <xf numFmtId="49" fontId="31" fillId="2" borderId="2" xfId="7" applyNumberFormat="1" applyFont="1" applyFill="1" applyBorder="1" applyAlignment="1">
      <alignment horizontal="left" vertical="center" wrapText="1"/>
    </xf>
    <xf numFmtId="0" fontId="2" fillId="0" borderId="9" xfId="0" applyFont="1" applyBorder="1" applyAlignment="1">
      <alignment horizontal="center" vertical="center"/>
    </xf>
    <xf numFmtId="2" fontId="2" fillId="7" borderId="135" xfId="0" applyNumberFormat="1" applyFont="1" applyFill="1" applyBorder="1" applyAlignment="1">
      <alignment horizontal="center" vertical="center"/>
    </xf>
    <xf numFmtId="0" fontId="46" fillId="0" borderId="92" xfId="0" applyFont="1" applyBorder="1" applyAlignment="1">
      <alignment horizontal="center" vertical="center" wrapText="1"/>
    </xf>
    <xf numFmtId="0" fontId="0" fillId="0" borderId="180" xfId="0" applyBorder="1" applyAlignment="1">
      <alignment horizontal="center"/>
    </xf>
    <xf numFmtId="0" fontId="0" fillId="0" borderId="183" xfId="0" applyBorder="1"/>
    <xf numFmtId="2" fontId="0" fillId="0" borderId="188" xfId="0" applyNumberFormat="1" applyBorder="1" applyAlignment="1">
      <alignment horizontal="center"/>
    </xf>
    <xf numFmtId="0" fontId="110" fillId="0" borderId="71" xfId="0" applyFont="1" applyFill="1" applyBorder="1" applyAlignment="1">
      <alignment horizontal="center" vertical="center" wrapText="1"/>
    </xf>
    <xf numFmtId="0" fontId="110" fillId="0" borderId="1" xfId="0" applyFont="1" applyFill="1" applyBorder="1" applyAlignment="1">
      <alignment horizontal="left" vertical="center" wrapText="1"/>
    </xf>
    <xf numFmtId="49" fontId="111" fillId="0" borderId="1" xfId="0" applyNumberFormat="1" applyFont="1" applyFill="1" applyBorder="1" applyAlignment="1">
      <alignment horizontal="center" vertical="center" wrapText="1"/>
    </xf>
    <xf numFmtId="2" fontId="111" fillId="0" borderId="72" xfId="0" applyNumberFormat="1" applyFont="1" applyFill="1" applyBorder="1" applyAlignment="1">
      <alignment horizontal="center" vertical="center" wrapText="1"/>
    </xf>
    <xf numFmtId="4" fontId="110" fillId="0" borderId="71" xfId="0" applyNumberFormat="1" applyFont="1" applyFill="1" applyBorder="1" applyAlignment="1">
      <alignment horizontal="center" vertical="center" wrapText="1"/>
    </xf>
    <xf numFmtId="4" fontId="110" fillId="0" borderId="1" xfId="0" applyNumberFormat="1" applyFont="1" applyFill="1" applyBorder="1" applyAlignment="1">
      <alignment horizontal="center" vertical="center" wrapText="1"/>
    </xf>
    <xf numFmtId="173" fontId="110" fillId="0" borderId="96" xfId="0" applyNumberFormat="1" applyFont="1" applyFill="1" applyBorder="1" applyAlignment="1">
      <alignment horizontal="center" vertical="center" wrapText="1"/>
    </xf>
    <xf numFmtId="2" fontId="36" fillId="0" borderId="96" xfId="0" applyNumberFormat="1" applyFont="1" applyFill="1" applyBorder="1" applyAlignment="1">
      <alignment horizontal="center" vertical="center" wrapText="1"/>
    </xf>
    <xf numFmtId="0" fontId="36" fillId="0" borderId="96" xfId="0" applyNumberFormat="1" applyFont="1" applyFill="1" applyBorder="1" applyAlignment="1">
      <alignment horizontal="center" vertical="center" wrapText="1"/>
    </xf>
    <xf numFmtId="2" fontId="36" fillId="0" borderId="72" xfId="0" applyNumberFormat="1" applyFont="1" applyFill="1" applyBorder="1" applyAlignment="1">
      <alignment horizontal="center" vertical="center" wrapText="1"/>
    </xf>
    <xf numFmtId="4" fontId="112" fillId="0" borderId="1" xfId="0" applyNumberFormat="1" applyFont="1" applyFill="1" applyBorder="1" applyAlignment="1">
      <alignment horizontal="center" vertical="center"/>
    </xf>
    <xf numFmtId="0" fontId="36" fillId="0" borderId="72" xfId="0" applyNumberFormat="1" applyFont="1" applyFill="1" applyBorder="1" applyAlignment="1">
      <alignment horizontal="center" vertical="center" wrapText="1"/>
    </xf>
    <xf numFmtId="0" fontId="110" fillId="12" borderId="1" xfId="0" applyFont="1" applyFill="1" applyBorder="1" applyAlignment="1">
      <alignment horizontal="left" vertical="center" wrapText="1"/>
    </xf>
    <xf numFmtId="49" fontId="111" fillId="12" borderId="1" xfId="0" applyNumberFormat="1" applyFont="1" applyFill="1" applyBorder="1" applyAlignment="1">
      <alignment horizontal="center" vertical="center" wrapText="1"/>
    </xf>
    <xf numFmtId="2" fontId="111" fillId="12" borderId="72" xfId="0" applyNumberFormat="1" applyFont="1" applyFill="1" applyBorder="1" applyAlignment="1">
      <alignment horizontal="center" vertical="center" wrapText="1"/>
    </xf>
    <xf numFmtId="4" fontId="110" fillId="12" borderId="71" xfId="0" applyNumberFormat="1" applyFont="1" applyFill="1" applyBorder="1" applyAlignment="1">
      <alignment horizontal="center" vertical="center" wrapText="1"/>
    </xf>
    <xf numFmtId="4" fontId="110" fillId="12" borderId="1" xfId="0" applyNumberFormat="1" applyFont="1" applyFill="1" applyBorder="1" applyAlignment="1">
      <alignment horizontal="center" vertical="center" wrapText="1"/>
    </xf>
    <xf numFmtId="173" fontId="110" fillId="12" borderId="96" xfId="0" applyNumberFormat="1" applyFont="1" applyFill="1" applyBorder="1" applyAlignment="1">
      <alignment horizontal="center" vertical="center" wrapText="1"/>
    </xf>
    <xf numFmtId="0" fontId="36" fillId="12" borderId="96" xfId="0" applyNumberFormat="1" applyFont="1" applyFill="1" applyBorder="1" applyAlignment="1">
      <alignment horizontal="center" vertical="center" wrapText="1"/>
    </xf>
    <xf numFmtId="0" fontId="36" fillId="12" borderId="72" xfId="0" applyNumberFormat="1" applyFont="1" applyFill="1" applyBorder="1" applyAlignment="1">
      <alignment horizontal="center" vertical="center" wrapText="1"/>
    </xf>
    <xf numFmtId="4" fontId="112" fillId="12" borderId="1" xfId="0" applyNumberFormat="1" applyFont="1" applyFill="1" applyBorder="1" applyAlignment="1">
      <alignment horizontal="center" vertical="center"/>
    </xf>
    <xf numFmtId="0" fontId="113" fillId="0" borderId="1" xfId="0" applyFont="1" applyFill="1" applyBorder="1" applyAlignment="1">
      <alignment horizontal="left" vertical="center" wrapText="1"/>
    </xf>
    <xf numFmtId="49" fontId="113" fillId="0" borderId="1" xfId="0" applyNumberFormat="1" applyFont="1" applyFill="1" applyBorder="1" applyAlignment="1">
      <alignment horizontal="center" vertical="center" wrapText="1"/>
    </xf>
    <xf numFmtId="2" fontId="113" fillId="0" borderId="72" xfId="0" applyNumberFormat="1" applyFont="1" applyFill="1" applyBorder="1" applyAlignment="1">
      <alignment horizontal="center" vertical="center" wrapText="1"/>
    </xf>
    <xf numFmtId="4" fontId="113" fillId="0" borderId="73" xfId="0" applyNumberFormat="1" applyFont="1" applyFill="1" applyBorder="1" applyAlignment="1">
      <alignment horizontal="center" vertical="center" wrapText="1"/>
    </xf>
    <xf numFmtId="4" fontId="113" fillId="0" borderId="1" xfId="0" applyNumberFormat="1" applyFont="1" applyFill="1" applyBorder="1" applyAlignment="1">
      <alignment horizontal="center" vertical="center" wrapText="1"/>
    </xf>
    <xf numFmtId="173" fontId="113" fillId="0" borderId="99" xfId="0" applyNumberFormat="1" applyFont="1" applyFill="1" applyBorder="1" applyAlignment="1">
      <alignment horizontal="center" vertical="center" wrapText="1"/>
    </xf>
    <xf numFmtId="4" fontId="112" fillId="0" borderId="99" xfId="0" applyNumberFormat="1" applyFont="1" applyFill="1" applyBorder="1" applyAlignment="1">
      <alignment horizontal="center" vertical="center" wrapText="1"/>
    </xf>
    <xf numFmtId="4" fontId="112" fillId="0" borderId="72" xfId="0" applyNumberFormat="1" applyFont="1" applyFill="1" applyBorder="1" applyAlignment="1">
      <alignment horizontal="center" vertical="center" wrapText="1"/>
    </xf>
    <xf numFmtId="4" fontId="112" fillId="0" borderId="75" xfId="0" applyNumberFormat="1" applyFont="1" applyFill="1" applyBorder="1" applyAlignment="1">
      <alignment horizontal="center" vertical="center"/>
    </xf>
    <xf numFmtId="4" fontId="110" fillId="2" borderId="73" xfId="0" applyNumberFormat="1" applyFont="1" applyFill="1" applyBorder="1" applyAlignment="1">
      <alignment horizontal="center" vertical="center" wrapText="1"/>
    </xf>
    <xf numFmtId="173" fontId="110" fillId="2" borderId="99" xfId="0" applyNumberFormat="1" applyFont="1" applyFill="1" applyBorder="1" applyAlignment="1">
      <alignment horizontal="center" vertical="center" wrapText="1"/>
    </xf>
    <xf numFmtId="4" fontId="36" fillId="2" borderId="99" xfId="0" applyNumberFormat="1" applyFont="1" applyFill="1" applyBorder="1" applyAlignment="1">
      <alignment horizontal="center" vertical="center" wrapText="1"/>
    </xf>
    <xf numFmtId="4" fontId="36" fillId="0" borderId="72" xfId="0" applyNumberFormat="1" applyFont="1" applyFill="1" applyBorder="1" applyAlignment="1">
      <alignment horizontal="center" vertical="center" wrapText="1"/>
    </xf>
    <xf numFmtId="4" fontId="112" fillId="2" borderId="75" xfId="0" applyNumberFormat="1" applyFont="1" applyFill="1" applyBorder="1" applyAlignment="1">
      <alignment horizontal="center" vertical="center"/>
    </xf>
    <xf numFmtId="4" fontId="113" fillId="2" borderId="71" xfId="8" applyNumberFormat="1" applyFont="1" applyFill="1" applyBorder="1" applyAlignment="1">
      <alignment horizontal="center" vertical="center" wrapText="1"/>
    </xf>
    <xf numFmtId="4" fontId="113" fillId="2" borderId="1" xfId="0" applyNumberFormat="1" applyFont="1" applyFill="1" applyBorder="1" applyAlignment="1">
      <alignment horizontal="center" vertical="center" wrapText="1"/>
    </xf>
    <xf numFmtId="173" fontId="113" fillId="2" borderId="96" xfId="0" applyNumberFormat="1" applyFont="1" applyFill="1" applyBorder="1" applyAlignment="1">
      <alignment horizontal="center" vertical="center" wrapText="1"/>
    </xf>
    <xf numFmtId="0" fontId="112" fillId="2" borderId="96" xfId="0" applyNumberFormat="1" applyFont="1" applyFill="1" applyBorder="1" applyAlignment="1">
      <alignment horizontal="center" vertical="center" wrapText="1"/>
    </xf>
    <xf numFmtId="4" fontId="112" fillId="2" borderId="1" xfId="0" applyNumberFormat="1" applyFont="1" applyFill="1" applyBorder="1" applyAlignment="1">
      <alignment horizontal="center" vertical="center"/>
    </xf>
    <xf numFmtId="44" fontId="110" fillId="0" borderId="1" xfId="1" applyFont="1" applyFill="1" applyBorder="1" applyAlignment="1">
      <alignment horizontal="center" vertical="center" wrapText="1"/>
    </xf>
    <xf numFmtId="4" fontId="112" fillId="2" borderId="146" xfId="0" applyNumberFormat="1" applyFont="1" applyFill="1" applyBorder="1" applyAlignment="1">
      <alignment horizontal="center" vertical="center"/>
    </xf>
    <xf numFmtId="4" fontId="110" fillId="0" borderId="76" xfId="0" applyNumberFormat="1" applyFont="1" applyFill="1" applyBorder="1" applyAlignment="1">
      <alignment horizontal="center" vertical="center" wrapText="1"/>
    </xf>
    <xf numFmtId="4" fontId="110" fillId="0" borderId="77" xfId="0" applyNumberFormat="1" applyFont="1" applyFill="1" applyBorder="1" applyAlignment="1">
      <alignment horizontal="center" vertical="center" wrapText="1"/>
    </xf>
    <xf numFmtId="173" fontId="110" fillId="0" borderId="100" xfId="0" applyNumberFormat="1" applyFont="1" applyFill="1" applyBorder="1" applyAlignment="1">
      <alignment horizontal="center" vertical="center" wrapText="1"/>
    </xf>
    <xf numFmtId="0" fontId="36" fillId="0" borderId="100" xfId="0" applyNumberFormat="1" applyFont="1" applyFill="1" applyBorder="1" applyAlignment="1">
      <alignment horizontal="center" vertical="center" wrapText="1"/>
    </xf>
    <xf numFmtId="4" fontId="112" fillId="0" borderId="77" xfId="0" applyNumberFormat="1" applyFont="1" applyFill="1" applyBorder="1" applyAlignment="1">
      <alignment horizontal="center" vertical="center"/>
    </xf>
    <xf numFmtId="0" fontId="110" fillId="0" borderId="87" xfId="0" applyFont="1" applyFill="1" applyBorder="1" applyAlignment="1">
      <alignment horizontal="center" vertical="center" wrapText="1"/>
    </xf>
    <xf numFmtId="0" fontId="110" fillId="0" borderId="88" xfId="0" applyFont="1" applyFill="1" applyBorder="1" applyAlignment="1">
      <alignment horizontal="left" vertical="center" wrapText="1"/>
    </xf>
    <xf numFmtId="49" fontId="111" fillId="0" borderId="88" xfId="0" applyNumberFormat="1" applyFont="1" applyFill="1" applyBorder="1" applyAlignment="1">
      <alignment horizontal="center" vertical="center" wrapText="1"/>
    </xf>
    <xf numFmtId="2" fontId="111" fillId="0" borderId="89" xfId="0" applyNumberFormat="1" applyFont="1" applyFill="1" applyBorder="1" applyAlignment="1">
      <alignment horizontal="center" vertical="center" wrapText="1"/>
    </xf>
    <xf numFmtId="4" fontId="110" fillId="0" borderId="87" xfId="0" applyNumberFormat="1" applyFont="1" applyFill="1" applyBorder="1" applyAlignment="1">
      <alignment horizontal="center" vertical="center" wrapText="1"/>
    </xf>
    <xf numFmtId="4" fontId="110" fillId="0" borderId="88" xfId="0" applyNumberFormat="1" applyFont="1" applyFill="1" applyBorder="1" applyAlignment="1">
      <alignment horizontal="center" vertical="center" wrapText="1"/>
    </xf>
    <xf numFmtId="173" fontId="110" fillId="0" borderId="101" xfId="0" applyNumberFormat="1" applyFont="1" applyFill="1" applyBorder="1" applyAlignment="1">
      <alignment horizontal="center" vertical="center" wrapText="1"/>
    </xf>
    <xf numFmtId="0" fontId="36" fillId="0" borderId="101" xfId="0" applyNumberFormat="1" applyFont="1" applyFill="1" applyBorder="1" applyAlignment="1">
      <alignment horizontal="center" vertical="center" wrapText="1"/>
    </xf>
    <xf numFmtId="4" fontId="112" fillId="0" borderId="88" xfId="0" applyNumberFormat="1" applyFont="1" applyFill="1" applyBorder="1" applyAlignment="1">
      <alignment horizontal="center" vertical="center"/>
    </xf>
    <xf numFmtId="0" fontId="110" fillId="0" borderId="97" xfId="0" applyFont="1" applyFill="1" applyBorder="1" applyAlignment="1">
      <alignment horizontal="center" vertical="center" wrapText="1"/>
    </xf>
    <xf numFmtId="0" fontId="110" fillId="0" borderId="94" xfId="0" applyFont="1" applyFill="1" applyBorder="1" applyAlignment="1">
      <alignment horizontal="left" vertical="center" wrapText="1"/>
    </xf>
    <xf numFmtId="49" fontId="111" fillId="0" borderId="94" xfId="0" applyNumberFormat="1" applyFont="1" applyFill="1" applyBorder="1" applyAlignment="1">
      <alignment horizontal="center" vertical="center" wrapText="1"/>
    </xf>
    <xf numFmtId="0" fontId="110" fillId="0" borderId="0" xfId="0" applyFont="1"/>
    <xf numFmtId="0" fontId="36" fillId="7" borderId="23" xfId="0" applyNumberFormat="1" applyFont="1" applyFill="1" applyBorder="1" applyAlignment="1">
      <alignment horizontal="center" vertical="center" wrapText="1"/>
    </xf>
    <xf numFmtId="4" fontId="36" fillId="0" borderId="50" xfId="0" applyNumberFormat="1" applyFont="1" applyFill="1" applyBorder="1" applyAlignment="1">
      <alignment horizontal="center" vertical="center" wrapText="1"/>
    </xf>
    <xf numFmtId="4" fontId="36" fillId="0" borderId="51" xfId="0" applyNumberFormat="1" applyFont="1" applyFill="1" applyBorder="1" applyAlignment="1">
      <alignment horizontal="center" vertical="center" wrapText="1"/>
    </xf>
    <xf numFmtId="4" fontId="36" fillId="0" borderId="98" xfId="0" applyNumberFormat="1" applyFont="1" applyFill="1" applyBorder="1" applyAlignment="1">
      <alignment horizontal="center" vertical="center" wrapText="1"/>
    </xf>
    <xf numFmtId="0" fontId="36" fillId="0" borderId="98" xfId="0" applyNumberFormat="1" applyFont="1" applyFill="1" applyBorder="1" applyAlignment="1">
      <alignment horizontal="center" vertical="center" wrapText="1"/>
    </xf>
    <xf numFmtId="0" fontId="36" fillId="0" borderId="52" xfId="0" applyNumberFormat="1" applyFont="1" applyFill="1" applyBorder="1" applyAlignment="1">
      <alignment horizontal="center" vertical="center" wrapText="1"/>
    </xf>
    <xf numFmtId="4" fontId="114" fillId="0" borderId="72" xfId="0" applyNumberFormat="1" applyFont="1" applyFill="1" applyBorder="1" applyAlignment="1">
      <alignment horizontal="center" vertical="center" wrapText="1"/>
    </xf>
    <xf numFmtId="4" fontId="115" fillId="12" borderId="72" xfId="0" applyNumberFormat="1" applyFont="1" applyFill="1" applyBorder="1" applyAlignment="1">
      <alignment horizontal="center" vertical="center"/>
    </xf>
    <xf numFmtId="4" fontId="115" fillId="0" borderId="72" xfId="0" applyNumberFormat="1" applyFont="1" applyFill="1" applyBorder="1" applyAlignment="1">
      <alignment horizontal="center" vertical="center"/>
    </xf>
    <xf numFmtId="4" fontId="115" fillId="0" borderId="72" xfId="0" applyNumberFormat="1" applyFont="1" applyFill="1" applyBorder="1" applyAlignment="1">
      <alignment horizontal="left" vertical="center" wrapText="1"/>
    </xf>
    <xf numFmtId="4" fontId="115" fillId="0" borderId="89" xfId="0" applyNumberFormat="1" applyFont="1" applyFill="1" applyBorder="1" applyAlignment="1">
      <alignment horizontal="left" vertical="center" wrapText="1"/>
    </xf>
    <xf numFmtId="0" fontId="2" fillId="9" borderId="160" xfId="0" applyFont="1" applyFill="1" applyBorder="1" applyAlignment="1">
      <alignment horizontal="center"/>
    </xf>
    <xf numFmtId="2" fontId="2" fillId="9" borderId="159" xfId="0" applyNumberFormat="1" applyFont="1" applyFill="1" applyBorder="1" applyAlignment="1">
      <alignment horizontal="center" vertical="center"/>
    </xf>
    <xf numFmtId="2" fontId="2" fillId="9" borderId="45" xfId="0" applyNumberFormat="1" applyFont="1" applyFill="1" applyBorder="1" applyAlignment="1">
      <alignment horizontal="center"/>
    </xf>
    <xf numFmtId="0" fontId="2" fillId="9" borderId="46" xfId="0" applyFont="1" applyFill="1" applyBorder="1" applyAlignment="1">
      <alignment horizontal="center" vertical="center"/>
    </xf>
    <xf numFmtId="0" fontId="2" fillId="9" borderId="159" xfId="0" applyFont="1" applyFill="1" applyBorder="1" applyAlignment="1">
      <alignment horizontal="center" vertical="center"/>
    </xf>
    <xf numFmtId="2" fontId="2" fillId="9" borderId="133" xfId="0" applyNumberFormat="1" applyFont="1" applyFill="1" applyBorder="1" applyAlignment="1">
      <alignment horizontal="center" vertical="center"/>
    </xf>
    <xf numFmtId="43" fontId="19" fillId="0" borderId="0" xfId="19" applyNumberFormat="1" applyFont="1" applyFill="1" applyBorder="1" applyAlignment="1">
      <alignment vertical="center"/>
    </xf>
    <xf numFmtId="0" fontId="44" fillId="13" borderId="10" xfId="0" applyFont="1" applyFill="1" applyBorder="1" applyAlignment="1">
      <alignment horizontal="right" vertical="center"/>
    </xf>
    <xf numFmtId="0" fontId="44" fillId="13" borderId="11" xfId="0" applyFont="1" applyFill="1" applyBorder="1" applyAlignment="1">
      <alignment horizontal="right" vertical="center"/>
    </xf>
    <xf numFmtId="0" fontId="44" fillId="13" borderId="108" xfId="0" applyFont="1" applyFill="1" applyBorder="1" applyAlignment="1">
      <alignment horizontal="right" vertical="center"/>
    </xf>
    <xf numFmtId="0" fontId="6" fillId="2" borderId="26"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4" fillId="2" borderId="26" xfId="0" applyFont="1" applyFill="1" applyBorder="1" applyAlignment="1">
      <alignment horizontal="left"/>
    </xf>
    <xf numFmtId="0" fontId="4" fillId="2" borderId="27" xfId="0" applyFont="1" applyFill="1" applyBorder="1" applyAlignment="1">
      <alignment horizontal="left"/>
    </xf>
    <xf numFmtId="0" fontId="4" fillId="2" borderId="2" xfId="0" applyFont="1" applyFill="1" applyBorder="1" applyAlignment="1">
      <alignment horizontal="left" vertical="center"/>
    </xf>
    <xf numFmtId="0" fontId="4" fillId="2" borderId="0" xfId="0" applyFont="1" applyFill="1" applyBorder="1" applyAlignment="1">
      <alignment horizontal="left"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4" fillId="2" borderId="0" xfId="0" applyFont="1" applyFill="1" applyBorder="1" applyAlignment="1">
      <alignment horizontal="left" vertical="top" wrapText="1"/>
    </xf>
    <xf numFmtId="0" fontId="4" fillId="2" borderId="9" xfId="0" applyFont="1" applyFill="1" applyBorder="1" applyAlignment="1">
      <alignment horizontal="left" vertical="top" wrapText="1"/>
    </xf>
    <xf numFmtId="0" fontId="4" fillId="2" borderId="27" xfId="0" applyFont="1" applyFill="1" applyBorder="1" applyAlignment="1">
      <alignment horizontal="left" wrapText="1"/>
    </xf>
    <xf numFmtId="0" fontId="4" fillId="2" borderId="28" xfId="0" applyFont="1" applyFill="1" applyBorder="1" applyAlignment="1">
      <alignment horizontal="left" wrapText="1"/>
    </xf>
    <xf numFmtId="0" fontId="4" fillId="2" borderId="7" xfId="0" applyFont="1" applyFill="1" applyBorder="1" applyAlignment="1">
      <alignment horizontal="left" vertical="top" wrapText="1"/>
    </xf>
    <xf numFmtId="0" fontId="4" fillId="2" borderId="8" xfId="0" applyFont="1" applyFill="1" applyBorder="1" applyAlignment="1">
      <alignment horizontal="left" vertical="top" wrapText="1"/>
    </xf>
    <xf numFmtId="0" fontId="19" fillId="0" borderId="0" xfId="19" applyFont="1" applyAlignment="1">
      <alignment horizontal="center" vertical="center"/>
    </xf>
    <xf numFmtId="0" fontId="0" fillId="0" borderId="0" xfId="19" applyFont="1" applyAlignment="1">
      <alignment horizontal="center" vertical="center"/>
    </xf>
    <xf numFmtId="4" fontId="19" fillId="11" borderId="25" xfId="19" applyNumberFormat="1" applyFont="1" applyFill="1" applyBorder="1" applyAlignment="1" applyProtection="1">
      <alignment horizontal="center" vertical="center"/>
      <protection locked="0"/>
    </xf>
    <xf numFmtId="4" fontId="19" fillId="11" borderId="16" xfId="19" applyNumberFormat="1" applyFont="1" applyFill="1" applyBorder="1" applyAlignment="1" applyProtection="1">
      <alignment horizontal="center" vertical="center"/>
      <protection locked="0"/>
    </xf>
    <xf numFmtId="4" fontId="19" fillId="11" borderId="15" xfId="19" applyNumberFormat="1" applyFont="1" applyFill="1" applyBorder="1" applyAlignment="1" applyProtection="1">
      <alignment horizontal="center" vertical="center"/>
      <protection locked="0"/>
    </xf>
    <xf numFmtId="0" fontId="19" fillId="0" borderId="0" xfId="19" applyFont="1" applyBorder="1" applyAlignment="1" applyProtection="1">
      <alignment horizontal="center" vertical="center"/>
      <protection locked="0"/>
    </xf>
    <xf numFmtId="0" fontId="3" fillId="0" borderId="0" xfId="19" applyFont="1" applyFill="1" applyBorder="1" applyAlignment="1" applyProtection="1">
      <alignment horizontal="center" vertical="center"/>
    </xf>
    <xf numFmtId="0" fontId="3" fillId="0" borderId="0" xfId="19" applyAlignment="1">
      <alignment horizontal="center" vertical="center"/>
    </xf>
    <xf numFmtId="0" fontId="19" fillId="0" borderId="0" xfId="19" applyFont="1" applyAlignment="1" applyProtection="1">
      <alignment horizontal="center" vertical="center"/>
    </xf>
    <xf numFmtId="0" fontId="19" fillId="0" borderId="0" xfId="19" applyFont="1" applyFill="1" applyAlignment="1" applyProtection="1">
      <alignment horizontal="center" vertical="center"/>
      <protection locked="0"/>
    </xf>
    <xf numFmtId="0" fontId="20" fillId="11" borderId="19" xfId="19" applyFont="1" applyFill="1" applyBorder="1" applyAlignment="1" applyProtection="1">
      <alignment horizontal="left" vertical="center"/>
      <protection locked="0"/>
    </xf>
    <xf numFmtId="0" fontId="20" fillId="11" borderId="24" xfId="19" applyFont="1" applyFill="1" applyBorder="1" applyAlignment="1" applyProtection="1">
      <alignment horizontal="left" vertical="center"/>
      <protection locked="0"/>
    </xf>
    <xf numFmtId="0" fontId="20" fillId="11" borderId="20" xfId="19" applyFont="1" applyFill="1" applyBorder="1" applyAlignment="1" applyProtection="1">
      <alignment horizontal="left" vertical="center"/>
      <protection locked="0"/>
    </xf>
    <xf numFmtId="0" fontId="20" fillId="11" borderId="19" xfId="19" applyFont="1" applyFill="1" applyBorder="1" applyAlignment="1" applyProtection="1">
      <alignment horizontal="left" vertical="center" wrapText="1"/>
      <protection locked="0"/>
    </xf>
    <xf numFmtId="0" fontId="20" fillId="11" borderId="24" xfId="19" applyFont="1" applyFill="1" applyBorder="1" applyAlignment="1" applyProtection="1">
      <alignment horizontal="left" vertical="center" wrapText="1"/>
      <protection locked="0"/>
    </xf>
    <xf numFmtId="0" fontId="20" fillId="11" borderId="20" xfId="19" applyFont="1" applyFill="1" applyBorder="1" applyAlignment="1" applyProtection="1">
      <alignment horizontal="left" vertical="center" wrapText="1"/>
      <protection locked="0"/>
    </xf>
    <xf numFmtId="0" fontId="20" fillId="11" borderId="19" xfId="19" applyFont="1" applyFill="1" applyBorder="1" applyAlignment="1" applyProtection="1">
      <alignment horizontal="center" vertical="center"/>
      <protection locked="0"/>
    </xf>
    <xf numFmtId="0" fontId="20" fillId="11" borderId="20" xfId="19" applyFont="1" applyFill="1" applyBorder="1" applyAlignment="1" applyProtection="1">
      <alignment horizontal="center" vertical="center"/>
      <protection locked="0"/>
    </xf>
    <xf numFmtId="0" fontId="20" fillId="11" borderId="22" xfId="19" applyFont="1" applyFill="1" applyBorder="1" applyAlignment="1" applyProtection="1">
      <alignment horizontal="left" vertical="center"/>
      <protection locked="0"/>
    </xf>
    <xf numFmtId="0" fontId="20" fillId="11" borderId="0" xfId="19" applyFont="1" applyFill="1" applyBorder="1" applyAlignment="1" applyProtection="1">
      <alignment horizontal="left" vertical="center"/>
      <protection locked="0"/>
    </xf>
    <xf numFmtId="0" fontId="20" fillId="11" borderId="21" xfId="19" applyFont="1" applyFill="1" applyBorder="1" applyAlignment="1" applyProtection="1">
      <alignment horizontal="left" vertical="center"/>
      <protection locked="0"/>
    </xf>
    <xf numFmtId="0" fontId="19" fillId="0" borderId="24" xfId="19" applyFont="1" applyFill="1" applyBorder="1" applyAlignment="1">
      <alignment horizontal="right" vertical="center"/>
    </xf>
    <xf numFmtId="0" fontId="2" fillId="0" borderId="25" xfId="0" applyFont="1" applyBorder="1" applyAlignment="1">
      <alignment horizontal="left" vertical="center"/>
    </xf>
    <xf numFmtId="0" fontId="2" fillId="0" borderId="16" xfId="0" applyFont="1" applyBorder="1" applyAlignment="1">
      <alignment horizontal="left" vertical="center"/>
    </xf>
    <xf numFmtId="0" fontId="2" fillId="0" borderId="33" xfId="0" applyFont="1" applyBorder="1" applyAlignment="1">
      <alignment horizontal="left" vertical="center"/>
    </xf>
    <xf numFmtId="0" fontId="53" fillId="2" borderId="26" xfId="0" applyFont="1" applyFill="1" applyBorder="1" applyAlignment="1">
      <alignment horizontal="center" wrapText="1"/>
    </xf>
    <xf numFmtId="0" fontId="53" fillId="2" borderId="27" xfId="0" applyFont="1" applyFill="1" applyBorder="1" applyAlignment="1">
      <alignment horizontal="center" wrapText="1"/>
    </xf>
    <xf numFmtId="0" fontId="53" fillId="2" borderId="28" xfId="0" applyFont="1" applyFill="1" applyBorder="1" applyAlignment="1">
      <alignment horizontal="center" wrapText="1"/>
    </xf>
    <xf numFmtId="0" fontId="0" fillId="2" borderId="2" xfId="0" applyFill="1" applyBorder="1" applyAlignment="1">
      <alignment horizontal="center"/>
    </xf>
    <xf numFmtId="0" fontId="0" fillId="2" borderId="0" xfId="0" applyFill="1" applyBorder="1" applyAlignment="1">
      <alignment horizontal="center"/>
    </xf>
    <xf numFmtId="0" fontId="0" fillId="2" borderId="9" xfId="0" applyFill="1" applyBorder="1" applyAlignment="1">
      <alignment horizontal="center"/>
    </xf>
    <xf numFmtId="0" fontId="0" fillId="2" borderId="62" xfId="0" applyFill="1" applyBorder="1" applyAlignment="1">
      <alignment horizontal="center"/>
    </xf>
    <xf numFmtId="0" fontId="0" fillId="2" borderId="24" xfId="0" applyFill="1" applyBorder="1" applyAlignment="1">
      <alignment horizontal="center"/>
    </xf>
    <xf numFmtId="0" fontId="0" fillId="2" borderId="31" xfId="0" applyFill="1" applyBorder="1" applyAlignment="1">
      <alignment horizontal="center"/>
    </xf>
    <xf numFmtId="0" fontId="6" fillId="2" borderId="32"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33" xfId="0" applyFont="1" applyFill="1" applyBorder="1" applyAlignment="1">
      <alignment horizontal="center" vertical="center"/>
    </xf>
    <xf numFmtId="0" fontId="30" fillId="2" borderId="0" xfId="0" applyFont="1" applyFill="1" applyBorder="1" applyAlignment="1">
      <alignment horizontal="left" vertical="top" wrapText="1"/>
    </xf>
    <xf numFmtId="0" fontId="2" fillId="2" borderId="25" xfId="0" applyFont="1" applyFill="1" applyBorder="1" applyAlignment="1">
      <alignment horizontal="left" vertical="center" wrapText="1"/>
    </xf>
    <xf numFmtId="0" fontId="2" fillId="2" borderId="16" xfId="0" applyFont="1" applyFill="1" applyBorder="1" applyAlignment="1">
      <alignment horizontal="left" vertical="center" wrapText="1"/>
    </xf>
    <xf numFmtId="0" fontId="2" fillId="2" borderId="33" xfId="0" applyFont="1" applyFill="1" applyBorder="1" applyAlignment="1">
      <alignment horizontal="left" vertical="center" wrapText="1"/>
    </xf>
    <xf numFmtId="0" fontId="4" fillId="0" borderId="25" xfId="0" applyFont="1" applyBorder="1" applyAlignment="1">
      <alignment horizontal="left" wrapText="1"/>
    </xf>
    <xf numFmtId="0" fontId="4" fillId="0" borderId="16" xfId="0" applyFont="1" applyBorder="1" applyAlignment="1">
      <alignment horizontal="left" wrapText="1"/>
    </xf>
    <xf numFmtId="0" fontId="4" fillId="0" borderId="33" xfId="0" applyFont="1" applyBorder="1" applyAlignment="1">
      <alignment horizontal="left" wrapText="1"/>
    </xf>
    <xf numFmtId="0" fontId="2" fillId="0" borderId="25" xfId="0" applyFont="1" applyFill="1" applyBorder="1" applyAlignment="1">
      <alignment horizontal="left" vertical="center" wrapText="1"/>
    </xf>
    <xf numFmtId="0" fontId="2" fillId="0" borderId="16" xfId="0" applyFont="1" applyFill="1" applyBorder="1" applyAlignment="1">
      <alignment horizontal="left" vertical="center" wrapText="1"/>
    </xf>
    <xf numFmtId="0" fontId="2" fillId="0" borderId="33" xfId="0" applyFont="1" applyFill="1" applyBorder="1" applyAlignment="1">
      <alignment horizontal="left" vertical="center" wrapText="1"/>
    </xf>
    <xf numFmtId="0" fontId="46" fillId="0" borderId="170" xfId="0" applyFont="1" applyBorder="1" applyAlignment="1">
      <alignment horizontal="right" wrapText="1"/>
    </xf>
    <xf numFmtId="0" fontId="46" fillId="0" borderId="137" xfId="0" applyFont="1" applyBorder="1" applyAlignment="1">
      <alignment horizontal="right" wrapText="1"/>
    </xf>
    <xf numFmtId="0" fontId="46" fillId="0" borderId="134" xfId="0" applyFont="1" applyBorder="1" applyAlignment="1">
      <alignment horizontal="right" wrapText="1"/>
    </xf>
    <xf numFmtId="0" fontId="4" fillId="0" borderId="0" xfId="4" applyFont="1" applyAlignment="1" applyProtection="1"/>
    <xf numFmtId="10" fontId="16" fillId="5" borderId="17" xfId="3" applyNumberFormat="1" applyFont="1" applyFill="1" applyBorder="1" applyAlignment="1" applyProtection="1">
      <alignment horizontal="center" vertical="center" wrapText="1"/>
    </xf>
    <xf numFmtId="10" fontId="16" fillId="5" borderId="18" xfId="3" applyNumberFormat="1" applyFont="1" applyFill="1" applyBorder="1" applyAlignment="1" applyProtection="1">
      <alignment horizontal="center" vertical="center" wrapText="1"/>
    </xf>
    <xf numFmtId="10" fontId="16" fillId="5" borderId="19" xfId="3" applyNumberFormat="1" applyFont="1" applyFill="1" applyBorder="1" applyAlignment="1" applyProtection="1">
      <alignment horizontal="center" vertical="center" wrapText="1"/>
    </xf>
    <xf numFmtId="10" fontId="16" fillId="5" borderId="20" xfId="3" applyNumberFormat="1" applyFont="1" applyFill="1" applyBorder="1" applyAlignment="1" applyProtection="1">
      <alignment horizontal="center" vertical="center" wrapText="1"/>
    </xf>
    <xf numFmtId="0" fontId="8" fillId="0" borderId="0" xfId="0" applyNumberFormat="1" applyFont="1" applyBorder="1" applyAlignment="1">
      <alignment horizontal="left"/>
    </xf>
    <xf numFmtId="10" fontId="9" fillId="4" borderId="0" xfId="0" applyNumberFormat="1" applyFont="1" applyFill="1" applyBorder="1" applyAlignment="1" applyProtection="1">
      <alignment vertical="center" wrapText="1"/>
      <protection locked="0"/>
    </xf>
    <xf numFmtId="4" fontId="36" fillId="7" borderId="3" xfId="0" applyNumberFormat="1" applyFont="1" applyFill="1" applyBorder="1" applyAlignment="1">
      <alignment horizontal="center" vertical="center" wrapText="1"/>
    </xf>
    <xf numFmtId="4" fontId="36" fillId="7" borderId="29" xfId="0" applyNumberFormat="1" applyFont="1" applyFill="1" applyBorder="1" applyAlignment="1">
      <alignment horizontal="center" vertical="center" wrapText="1"/>
    </xf>
    <xf numFmtId="0" fontId="56" fillId="2" borderId="26" xfId="0" applyFont="1" applyFill="1" applyBorder="1" applyAlignment="1">
      <alignment horizontal="center" wrapText="1"/>
    </xf>
    <xf numFmtId="0" fontId="56" fillId="2" borderId="27" xfId="0" applyFont="1" applyFill="1" applyBorder="1" applyAlignment="1">
      <alignment horizontal="center" wrapText="1"/>
    </xf>
    <xf numFmtId="0" fontId="56" fillId="2" borderId="28" xfId="0" applyFont="1" applyFill="1" applyBorder="1" applyAlignment="1">
      <alignment horizontal="center" wrapText="1"/>
    </xf>
    <xf numFmtId="0" fontId="56" fillId="2" borderId="2" xfId="0" applyFont="1" applyFill="1" applyBorder="1" applyAlignment="1">
      <alignment horizontal="center" wrapText="1"/>
    </xf>
    <xf numFmtId="0" fontId="56" fillId="2" borderId="0" xfId="0" applyFont="1" applyFill="1" applyBorder="1" applyAlignment="1">
      <alignment horizontal="center" wrapText="1"/>
    </xf>
    <xf numFmtId="0" fontId="56" fillId="2" borderId="9" xfId="0" applyFont="1" applyFill="1" applyBorder="1" applyAlignment="1">
      <alignment horizontal="center" wrapText="1"/>
    </xf>
    <xf numFmtId="0" fontId="49" fillId="2" borderId="2" xfId="0" applyFont="1" applyFill="1" applyBorder="1" applyAlignment="1">
      <alignment horizontal="center" vertical="top" wrapText="1"/>
    </xf>
    <xf numFmtId="0" fontId="49" fillId="2" borderId="0" xfId="0" applyFont="1" applyFill="1" applyBorder="1" applyAlignment="1">
      <alignment horizontal="center" vertical="top" wrapText="1"/>
    </xf>
    <xf numFmtId="0" fontId="49" fillId="2" borderId="9" xfId="0" applyFont="1" applyFill="1" applyBorder="1" applyAlignment="1">
      <alignment horizontal="center" vertical="top" wrapText="1"/>
    </xf>
    <xf numFmtId="0" fontId="5" fillId="2" borderId="32"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33" xfId="0" applyFont="1" applyFill="1" applyBorder="1" applyAlignment="1">
      <alignment horizontal="center" vertical="center"/>
    </xf>
    <xf numFmtId="0" fontId="36" fillId="7" borderId="30" xfId="0" applyFont="1" applyFill="1" applyBorder="1" applyAlignment="1">
      <alignment horizontal="center" vertical="center" wrapText="1"/>
    </xf>
    <xf numFmtId="0" fontId="36" fillId="7" borderId="3" xfId="0" applyFont="1" applyFill="1" applyBorder="1" applyAlignment="1">
      <alignment horizontal="center" vertical="center" wrapText="1"/>
    </xf>
    <xf numFmtId="0" fontId="36" fillId="7" borderId="25" xfId="0" applyFont="1" applyFill="1" applyBorder="1" applyAlignment="1">
      <alignment horizontal="center" vertical="center" wrapText="1"/>
    </xf>
    <xf numFmtId="0" fontId="36" fillId="7" borderId="23" xfId="0" applyFont="1" applyFill="1" applyBorder="1" applyAlignment="1">
      <alignment horizontal="center" vertical="center" wrapText="1"/>
    </xf>
    <xf numFmtId="4" fontId="36" fillId="7" borderId="15" xfId="0" applyNumberFormat="1" applyFont="1" applyFill="1" applyBorder="1" applyAlignment="1">
      <alignment horizontal="center" vertical="center" wrapText="1"/>
    </xf>
    <xf numFmtId="49" fontId="3" fillId="6" borderId="58" xfId="17" applyNumberFormat="1" applyFont="1" applyFill="1" applyBorder="1" applyAlignment="1">
      <alignment horizontal="center" vertical="center" wrapText="1"/>
    </xf>
    <xf numFmtId="49" fontId="3" fillId="6" borderId="23" xfId="17" applyNumberFormat="1" applyFont="1" applyFill="1" applyBorder="1" applyAlignment="1">
      <alignment horizontal="center" vertical="center" wrapText="1"/>
    </xf>
    <xf numFmtId="49" fontId="3" fillId="6" borderId="145" xfId="17" applyNumberFormat="1" applyFont="1" applyFill="1" applyBorder="1" applyAlignment="1">
      <alignment horizontal="center" vertical="center" wrapText="1"/>
    </xf>
    <xf numFmtId="49" fontId="3" fillId="6" borderId="150" xfId="17" applyNumberFormat="1" applyFont="1" applyFill="1" applyBorder="1" applyAlignment="1">
      <alignment horizontal="center" vertical="center" wrapText="1"/>
    </xf>
    <xf numFmtId="2" fontId="3" fillId="6" borderId="146" xfId="17" applyNumberFormat="1" applyFont="1" applyFill="1" applyBorder="1" applyAlignment="1">
      <alignment vertical="center" wrapText="1"/>
    </xf>
    <xf numFmtId="2" fontId="3" fillId="6" borderId="151" xfId="17" applyNumberFormat="1" applyFont="1" applyFill="1" applyBorder="1" applyAlignment="1">
      <alignment vertical="center" wrapText="1"/>
    </xf>
    <xf numFmtId="49" fontId="3" fillId="6" borderId="73" xfId="17" applyNumberFormat="1" applyFont="1" applyFill="1" applyBorder="1" applyAlignment="1">
      <alignment horizontal="center" vertical="center" wrapText="1"/>
    </xf>
    <xf numFmtId="2" fontId="3" fillId="6" borderId="75" xfId="17" applyNumberFormat="1" applyFont="1" applyFill="1" applyBorder="1" applyAlignment="1">
      <alignment vertical="center" wrapText="1"/>
    </xf>
    <xf numFmtId="0" fontId="5" fillId="2" borderId="0" xfId="17" applyFont="1" applyFill="1" applyBorder="1" applyAlignment="1">
      <alignment horizontal="center" vertical="center" wrapText="1"/>
    </xf>
    <xf numFmtId="0" fontId="5" fillId="2" borderId="9" xfId="17" applyFont="1" applyFill="1" applyBorder="1" applyAlignment="1">
      <alignment horizontal="center" vertical="center" wrapText="1"/>
    </xf>
    <xf numFmtId="0" fontId="4" fillId="2" borderId="0" xfId="17" applyFont="1" applyFill="1" applyBorder="1" applyAlignment="1">
      <alignment horizontal="left" wrapText="1"/>
    </xf>
    <xf numFmtId="0" fontId="4" fillId="2" borderId="9" xfId="17" applyFont="1" applyFill="1" applyBorder="1" applyAlignment="1">
      <alignment horizontal="left" wrapText="1"/>
    </xf>
    <xf numFmtId="0" fontId="4" fillId="2" borderId="0" xfId="17" applyFont="1" applyFill="1" applyBorder="1" applyAlignment="1">
      <alignment horizontal="left" vertical="top" wrapText="1"/>
    </xf>
    <xf numFmtId="0" fontId="4" fillId="2" borderId="9" xfId="17" applyFont="1" applyFill="1" applyBorder="1" applyAlignment="1">
      <alignment horizontal="left" vertical="top" wrapText="1"/>
    </xf>
    <xf numFmtId="0" fontId="3" fillId="2" borderId="2" xfId="17" applyFont="1" applyFill="1" applyBorder="1" applyAlignment="1">
      <alignment horizontal="left" vertical="top"/>
    </xf>
    <xf numFmtId="0" fontId="3" fillId="2" borderId="0" xfId="17" applyFont="1" applyFill="1" applyBorder="1" applyAlignment="1">
      <alignment horizontal="left" vertical="top"/>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77" fontId="4" fillId="6" borderId="75" xfId="17" applyNumberFormat="1" applyFont="1" applyFill="1" applyBorder="1" applyAlignment="1">
      <alignment horizontal="center" vertical="center"/>
    </xf>
    <xf numFmtId="177" fontId="4" fillId="6" borderId="143" xfId="17" applyNumberFormat="1" applyFont="1" applyFill="1" applyBorder="1" applyAlignment="1">
      <alignment horizontal="center" vertical="center"/>
    </xf>
    <xf numFmtId="177" fontId="4" fillId="6" borderId="74" xfId="17" applyNumberFormat="1" applyFont="1" applyFill="1" applyBorder="1" applyAlignment="1">
      <alignment horizontal="center" vertical="center"/>
    </xf>
    <xf numFmtId="177" fontId="4" fillId="6" borderId="144" xfId="17" applyNumberFormat="1" applyFont="1" applyFill="1" applyBorder="1" applyAlignment="1">
      <alignment horizontal="center" vertical="center"/>
    </xf>
    <xf numFmtId="0" fontId="4" fillId="2" borderId="7" xfId="17" applyFont="1" applyFill="1" applyBorder="1" applyAlignment="1">
      <alignment horizontal="left" vertical="top" wrapText="1"/>
    </xf>
    <xf numFmtId="0" fontId="4" fillId="2" borderId="8" xfId="17" applyFont="1" applyFill="1" applyBorder="1" applyAlignment="1">
      <alignment horizontal="left" vertical="top" wrapText="1"/>
    </xf>
    <xf numFmtId="0" fontId="4" fillId="6" borderId="73" xfId="17" applyFont="1" applyFill="1" applyBorder="1" applyAlignment="1">
      <alignment horizontal="center" vertical="center"/>
    </xf>
    <xf numFmtId="0" fontId="4" fillId="6" borderId="142" xfId="17" applyFont="1" applyFill="1" applyBorder="1" applyAlignment="1">
      <alignment horizontal="center"/>
    </xf>
    <xf numFmtId="0" fontId="4" fillId="6" borderId="75" xfId="17" applyFont="1" applyFill="1" applyBorder="1" applyAlignment="1">
      <alignment horizontal="center" vertical="center"/>
    </xf>
    <xf numFmtId="0" fontId="4" fillId="6" borderId="143" xfId="17" applyFont="1" applyFill="1" applyBorder="1" applyAlignment="1"/>
    <xf numFmtId="0" fontId="46" fillId="0" borderId="25" xfId="0" applyFont="1" applyBorder="1" applyAlignment="1">
      <alignment horizontal="left" wrapText="1"/>
    </xf>
    <xf numFmtId="0" fontId="46" fillId="0" borderId="16" xfId="0" applyFont="1" applyBorder="1" applyAlignment="1">
      <alignment horizontal="left" wrapText="1"/>
    </xf>
    <xf numFmtId="0" fontId="46" fillId="0" borderId="15" xfId="0" applyFont="1" applyBorder="1" applyAlignment="1">
      <alignment horizontal="left" wrapText="1"/>
    </xf>
    <xf numFmtId="0" fontId="0" fillId="0" borderId="25" xfId="0" applyBorder="1" applyAlignment="1">
      <alignment horizontal="left" wrapText="1"/>
    </xf>
    <xf numFmtId="0" fontId="0" fillId="0" borderId="16" xfId="0" applyBorder="1" applyAlignment="1">
      <alignment horizontal="left"/>
    </xf>
    <xf numFmtId="0" fontId="0" fillId="0" borderId="15" xfId="0" applyBorder="1" applyAlignment="1">
      <alignment horizontal="left"/>
    </xf>
    <xf numFmtId="0" fontId="0" fillId="0" borderId="25" xfId="0" applyFill="1" applyBorder="1" applyAlignment="1">
      <alignment horizontal="left" wrapText="1"/>
    </xf>
    <xf numFmtId="0" fontId="0" fillId="0" borderId="16" xfId="0" applyFill="1" applyBorder="1" applyAlignment="1">
      <alignment horizontal="left" wrapText="1"/>
    </xf>
    <xf numFmtId="0" fontId="0" fillId="0" borderId="15" xfId="0" applyFill="1" applyBorder="1" applyAlignment="1">
      <alignment horizontal="left" wrapText="1"/>
    </xf>
    <xf numFmtId="0" fontId="0" fillId="0" borderId="25" xfId="0" applyBorder="1" applyAlignment="1">
      <alignment horizontal="left" vertical="center" wrapText="1"/>
    </xf>
    <xf numFmtId="0" fontId="0" fillId="0" borderId="16" xfId="0" applyBorder="1" applyAlignment="1">
      <alignment horizontal="left" vertical="center"/>
    </xf>
    <xf numFmtId="0" fontId="0" fillId="0" borderId="15" xfId="0" applyBorder="1" applyAlignment="1">
      <alignment horizontal="left" vertical="center"/>
    </xf>
    <xf numFmtId="0" fontId="0" fillId="0" borderId="32" xfId="0" applyBorder="1" applyAlignment="1">
      <alignment horizontal="right"/>
    </xf>
    <xf numFmtId="0" fontId="0" fillId="0" borderId="16" xfId="0" applyBorder="1" applyAlignment="1">
      <alignment horizontal="right"/>
    </xf>
    <xf numFmtId="0" fontId="0" fillId="0" borderId="15" xfId="0" applyBorder="1" applyAlignment="1">
      <alignment horizontal="right"/>
    </xf>
    <xf numFmtId="0" fontId="0" fillId="7" borderId="32" xfId="0" applyFill="1" applyBorder="1" applyAlignment="1">
      <alignment horizontal="center"/>
    </xf>
    <xf numFmtId="0" fontId="0" fillId="7" borderId="16" xfId="0" applyFill="1" applyBorder="1" applyAlignment="1">
      <alignment horizontal="center"/>
    </xf>
    <xf numFmtId="0" fontId="0" fillId="7" borderId="33" xfId="0" applyFill="1" applyBorder="1" applyAlignment="1">
      <alignment horizontal="center"/>
    </xf>
    <xf numFmtId="0" fontId="28" fillId="2" borderId="32" xfId="7" applyFont="1" applyFill="1" applyBorder="1" applyAlignment="1">
      <alignment horizontal="center"/>
    </xf>
    <xf numFmtId="0" fontId="28" fillId="2" borderId="16" xfId="7" applyFont="1" applyFill="1" applyBorder="1" applyAlignment="1">
      <alignment horizontal="center"/>
    </xf>
    <xf numFmtId="0" fontId="28" fillId="2" borderId="33" xfId="7" applyFont="1" applyFill="1" applyBorder="1" applyAlignment="1">
      <alignment horizontal="center"/>
    </xf>
    <xf numFmtId="0" fontId="2" fillId="0" borderId="25" xfId="0" applyFont="1" applyBorder="1" applyAlignment="1">
      <alignment horizontal="center"/>
    </xf>
    <xf numFmtId="0" fontId="2" fillId="0" borderId="16" xfId="0" applyFont="1" applyBorder="1" applyAlignment="1">
      <alignment horizontal="center"/>
    </xf>
    <xf numFmtId="0" fontId="2" fillId="0" borderId="15" xfId="0" applyFont="1" applyBorder="1" applyAlignment="1">
      <alignment horizontal="center"/>
    </xf>
    <xf numFmtId="0" fontId="0" fillId="0" borderId="16" xfId="0" applyBorder="1" applyAlignment="1">
      <alignment horizontal="left" vertical="center" wrapText="1"/>
    </xf>
    <xf numFmtId="0" fontId="0" fillId="0" borderId="15" xfId="0" applyBorder="1" applyAlignment="1">
      <alignment horizontal="left" vertical="center" wrapText="1"/>
    </xf>
    <xf numFmtId="0" fontId="30" fillId="2" borderId="0" xfId="7" applyFont="1" applyFill="1" applyBorder="1" applyAlignment="1">
      <alignment horizontal="left" vertical="top"/>
    </xf>
    <xf numFmtId="0" fontId="30" fillId="2" borderId="9" xfId="7" applyFont="1" applyFill="1" applyBorder="1" applyAlignment="1">
      <alignment horizontal="left" vertical="top"/>
    </xf>
    <xf numFmtId="0" fontId="0" fillId="0" borderId="25" xfId="0" applyFont="1" applyBorder="1" applyAlignment="1">
      <alignment horizontal="left" wrapText="1"/>
    </xf>
    <xf numFmtId="0" fontId="0" fillId="0" borderId="16" xfId="0" applyFont="1" applyBorder="1" applyAlignment="1">
      <alignment horizontal="left" wrapText="1"/>
    </xf>
    <xf numFmtId="0" fontId="0" fillId="0" borderId="15" xfId="0" applyFont="1" applyBorder="1" applyAlignment="1">
      <alignment horizontal="left" wrapText="1"/>
    </xf>
    <xf numFmtId="0" fontId="30" fillId="2" borderId="0" xfId="7" applyFont="1" applyFill="1" applyBorder="1" applyAlignment="1">
      <alignment horizontal="left" vertical="top" wrapText="1"/>
    </xf>
    <xf numFmtId="0" fontId="30" fillId="2" borderId="9" xfId="7" applyFont="1" applyFill="1" applyBorder="1" applyAlignment="1">
      <alignment horizontal="left" vertical="top" wrapText="1"/>
    </xf>
    <xf numFmtId="0" fontId="6" fillId="6" borderId="26" xfId="6" applyFont="1" applyFill="1" applyBorder="1" applyAlignment="1">
      <alignment horizontal="center" vertical="center" wrapText="1"/>
    </xf>
    <xf numFmtId="0" fontId="6" fillId="6" borderId="27" xfId="6" applyFont="1" applyFill="1" applyBorder="1" applyAlignment="1">
      <alignment horizontal="center" vertical="center" wrapText="1"/>
    </xf>
    <xf numFmtId="0" fontId="6" fillId="6" borderId="2" xfId="6" applyFont="1" applyFill="1" applyBorder="1" applyAlignment="1">
      <alignment horizontal="center" vertical="center" wrapText="1"/>
    </xf>
    <xf numFmtId="0" fontId="6" fillId="6" borderId="0" xfId="6" applyFont="1" applyFill="1" applyBorder="1" applyAlignment="1">
      <alignment horizontal="center" vertical="center" wrapText="1"/>
    </xf>
    <xf numFmtId="0" fontId="34" fillId="2" borderId="0" xfId="7" applyFont="1" applyFill="1" applyBorder="1" applyAlignment="1">
      <alignment horizontal="center" vertical="center" wrapText="1"/>
    </xf>
    <xf numFmtId="0" fontId="34" fillId="2" borderId="21" xfId="7" applyFont="1" applyFill="1" applyBorder="1" applyAlignment="1">
      <alignment horizontal="center" vertical="center" wrapText="1"/>
    </xf>
    <xf numFmtId="0" fontId="28" fillId="2" borderId="29" xfId="7" applyFont="1" applyFill="1" applyBorder="1" applyAlignment="1">
      <alignment horizontal="center" vertical="center" wrapText="1"/>
    </xf>
    <xf numFmtId="0" fontId="34" fillId="2" borderId="24" xfId="7" applyFont="1" applyFill="1" applyBorder="1" applyAlignment="1">
      <alignment horizontal="center" vertical="center" wrapText="1"/>
    </xf>
    <xf numFmtId="0" fontId="34" fillId="2" borderId="20" xfId="7" applyFont="1" applyFill="1" applyBorder="1" applyAlignment="1">
      <alignment horizontal="center" vertical="center" wrapText="1"/>
    </xf>
    <xf numFmtId="0" fontId="28" fillId="2" borderId="30" xfId="7" applyFont="1" applyFill="1" applyBorder="1" applyAlignment="1">
      <alignment horizontal="center" vertical="center" wrapText="1"/>
    </xf>
    <xf numFmtId="0" fontId="28" fillId="2" borderId="3" xfId="7" applyFont="1" applyFill="1" applyBorder="1" applyAlignment="1">
      <alignment horizontal="center" vertical="center" wrapText="1"/>
    </xf>
    <xf numFmtId="0" fontId="28" fillId="2" borderId="30" xfId="7" applyFont="1" applyFill="1" applyBorder="1" applyAlignment="1">
      <alignment horizontal="right"/>
    </xf>
    <xf numFmtId="0" fontId="28" fillId="2" borderId="3" xfId="7" applyFont="1" applyFill="1" applyBorder="1" applyAlignment="1">
      <alignment horizontal="right"/>
    </xf>
    <xf numFmtId="0" fontId="0" fillId="0" borderId="38" xfId="0"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30" fillId="2" borderId="34" xfId="7" applyFont="1" applyFill="1" applyBorder="1" applyAlignment="1">
      <alignment horizontal="right"/>
    </xf>
    <xf numFmtId="0" fontId="30" fillId="2" borderId="4" xfId="7" applyFont="1" applyFill="1" applyBorder="1" applyAlignment="1">
      <alignment horizontal="right"/>
    </xf>
    <xf numFmtId="0" fontId="30" fillId="2" borderId="18" xfId="7" applyFont="1" applyFill="1" applyBorder="1" applyAlignment="1">
      <alignment horizontal="right"/>
    </xf>
    <xf numFmtId="166" fontId="32" fillId="2" borderId="25" xfId="0" applyNumberFormat="1" applyFont="1" applyFill="1" applyBorder="1" applyAlignment="1">
      <alignment horizontal="left" vertical="top" wrapText="1"/>
    </xf>
    <xf numFmtId="166" fontId="32" fillId="2" borderId="16" xfId="0" applyNumberFormat="1" applyFont="1" applyFill="1" applyBorder="1" applyAlignment="1">
      <alignment horizontal="left" vertical="top" wrapText="1"/>
    </xf>
    <xf numFmtId="166" fontId="32" fillId="2" borderId="15" xfId="0" applyNumberFormat="1" applyFont="1" applyFill="1" applyBorder="1" applyAlignment="1">
      <alignment horizontal="left" vertical="top" wrapText="1"/>
    </xf>
    <xf numFmtId="166" fontId="31" fillId="2" borderId="59" xfId="0" applyNumberFormat="1" applyFont="1" applyFill="1" applyBorder="1" applyAlignment="1">
      <alignment horizontal="center" vertical="center" wrapText="1"/>
    </xf>
    <xf numFmtId="166" fontId="31" fillId="2" borderId="47" xfId="0" applyNumberFormat="1" applyFont="1" applyFill="1" applyBorder="1" applyAlignment="1">
      <alignment horizontal="center" vertical="center" wrapText="1"/>
    </xf>
    <xf numFmtId="166" fontId="32" fillId="2" borderId="25" xfId="0" applyNumberFormat="1" applyFont="1" applyFill="1" applyBorder="1" applyAlignment="1">
      <alignment horizontal="left" vertical="center" wrapText="1"/>
    </xf>
    <xf numFmtId="166" fontId="32" fillId="2" borderId="16" xfId="0" applyNumberFormat="1" applyFont="1" applyFill="1" applyBorder="1" applyAlignment="1">
      <alignment horizontal="left" vertical="center" wrapText="1"/>
    </xf>
    <xf numFmtId="166" fontId="32" fillId="2" borderId="15" xfId="0" applyNumberFormat="1" applyFont="1" applyFill="1" applyBorder="1" applyAlignment="1">
      <alignment horizontal="left" vertical="center" wrapText="1"/>
    </xf>
    <xf numFmtId="166" fontId="57" fillId="2" borderId="25" xfId="0" applyNumberFormat="1" applyFont="1" applyFill="1" applyBorder="1" applyAlignment="1">
      <alignment horizontal="left" vertical="center" wrapText="1"/>
    </xf>
    <xf numFmtId="166" fontId="57" fillId="2" borderId="16" xfId="0" applyNumberFormat="1" applyFont="1" applyFill="1" applyBorder="1" applyAlignment="1">
      <alignment horizontal="left" vertical="center" wrapText="1"/>
    </xf>
    <xf numFmtId="166" fontId="57" fillId="2" borderId="15" xfId="0" applyNumberFormat="1" applyFont="1" applyFill="1" applyBorder="1" applyAlignment="1">
      <alignment horizontal="left" vertical="center" wrapText="1"/>
    </xf>
    <xf numFmtId="0" fontId="2" fillId="0" borderId="25" xfId="0" applyFont="1" applyBorder="1" applyAlignment="1">
      <alignment horizontal="center" vertical="center"/>
    </xf>
    <xf numFmtId="0" fontId="2" fillId="0" borderId="16" xfId="0" applyFont="1" applyBorder="1" applyAlignment="1">
      <alignment horizontal="center" vertical="center"/>
    </xf>
    <xf numFmtId="0" fontId="2" fillId="0" borderId="15" xfId="0" applyFont="1" applyBorder="1" applyAlignment="1">
      <alignment horizontal="center" vertical="center"/>
    </xf>
    <xf numFmtId="0" fontId="0" fillId="0" borderId="16" xfId="0" applyBorder="1" applyAlignment="1">
      <alignment horizontal="left" wrapText="1"/>
    </xf>
    <xf numFmtId="0" fontId="0" fillId="0" borderId="15" xfId="0" applyBorder="1" applyAlignment="1">
      <alignment horizontal="left" wrapText="1"/>
    </xf>
    <xf numFmtId="1" fontId="32" fillId="2" borderId="58" xfId="0" applyNumberFormat="1" applyFont="1" applyFill="1" applyBorder="1" applyAlignment="1">
      <alignment horizontal="center" vertical="center" wrapText="1"/>
    </xf>
    <xf numFmtId="1" fontId="32" fillId="2" borderId="102" xfId="0" applyNumberFormat="1" applyFont="1" applyFill="1" applyBorder="1" applyAlignment="1">
      <alignment horizontal="center" vertical="center" wrapText="1"/>
    </xf>
    <xf numFmtId="1" fontId="32" fillId="2" borderId="23" xfId="0" applyNumberFormat="1" applyFont="1" applyFill="1" applyBorder="1" applyAlignment="1">
      <alignment horizontal="center" vertical="center" wrapText="1"/>
    </xf>
    <xf numFmtId="1" fontId="32" fillId="2" borderId="5" xfId="0" applyNumberFormat="1" applyFont="1" applyFill="1" applyBorder="1" applyAlignment="1">
      <alignment horizontal="center" vertical="center" wrapText="1"/>
    </xf>
    <xf numFmtId="166" fontId="32" fillId="2" borderId="23" xfId="0" applyNumberFormat="1" applyFont="1" applyFill="1" applyBorder="1" applyAlignment="1">
      <alignment horizontal="center" vertical="center" wrapText="1"/>
    </xf>
    <xf numFmtId="166" fontId="32" fillId="2" borderId="5" xfId="0" applyNumberFormat="1" applyFont="1" applyFill="1" applyBorder="1" applyAlignment="1">
      <alignment horizontal="center" vertical="center" wrapText="1"/>
    </xf>
    <xf numFmtId="165" fontId="32" fillId="2" borderId="23" xfId="0" applyNumberFormat="1" applyFont="1" applyFill="1" applyBorder="1" applyAlignment="1">
      <alignment horizontal="center" vertical="center" wrapText="1"/>
    </xf>
    <xf numFmtId="165" fontId="32" fillId="2" borderId="5" xfId="0" applyNumberFormat="1" applyFont="1" applyFill="1" applyBorder="1" applyAlignment="1">
      <alignment horizontal="center" vertical="center" wrapText="1"/>
    </xf>
    <xf numFmtId="44" fontId="32" fillId="2" borderId="23" xfId="1" applyFont="1" applyFill="1" applyBorder="1" applyAlignment="1">
      <alignment horizontal="center" vertical="center" wrapText="1"/>
    </xf>
    <xf numFmtId="44" fontId="32" fillId="2" borderId="5" xfId="1" applyFont="1" applyFill="1" applyBorder="1" applyAlignment="1">
      <alignment horizontal="center" vertical="center" wrapText="1"/>
    </xf>
    <xf numFmtId="0" fontId="46" fillId="0" borderId="25" xfId="0" applyFont="1" applyBorder="1" applyAlignment="1">
      <alignment horizontal="right" vertical="center" wrapText="1"/>
    </xf>
    <xf numFmtId="0" fontId="46" fillId="0" borderId="16" xfId="0" applyFont="1" applyBorder="1" applyAlignment="1">
      <alignment horizontal="right" vertical="center" wrapText="1"/>
    </xf>
    <xf numFmtId="0" fontId="46" fillId="0" borderId="15" xfId="0" applyFont="1" applyBorder="1" applyAlignment="1">
      <alignment horizontal="right" vertical="center" wrapText="1"/>
    </xf>
    <xf numFmtId="2" fontId="32" fillId="2" borderId="62" xfId="0" applyNumberFormat="1" applyFont="1" applyFill="1" applyBorder="1" applyAlignment="1">
      <alignment horizontal="left"/>
    </xf>
    <xf numFmtId="2" fontId="32" fillId="2" borderId="24" xfId="0" applyNumberFormat="1" applyFont="1" applyFill="1" applyBorder="1" applyAlignment="1">
      <alignment horizontal="left"/>
    </xf>
    <xf numFmtId="0" fontId="30" fillId="2" borderId="4" xfId="0" applyFont="1" applyFill="1" applyBorder="1" applyAlignment="1">
      <alignment horizontal="left" vertical="top" wrapText="1"/>
    </xf>
    <xf numFmtId="0" fontId="30" fillId="2" borderId="105" xfId="0" applyFont="1" applyFill="1" applyBorder="1" applyAlignment="1">
      <alignment horizontal="left" vertical="top" wrapText="1"/>
    </xf>
    <xf numFmtId="0" fontId="30" fillId="2" borderId="0" xfId="0" applyFont="1" applyFill="1" applyBorder="1" applyAlignment="1">
      <alignment horizontal="left" vertical="top"/>
    </xf>
    <xf numFmtId="0" fontId="30" fillId="2" borderId="9" xfId="0" applyFont="1" applyFill="1" applyBorder="1" applyAlignment="1">
      <alignment horizontal="left" vertical="top"/>
    </xf>
    <xf numFmtId="49" fontId="31" fillId="2" borderId="25" xfId="0" applyNumberFormat="1" applyFont="1" applyFill="1" applyBorder="1" applyAlignment="1">
      <alignment horizontal="left" vertical="top" wrapText="1"/>
    </xf>
    <xf numFmtId="49" fontId="31" fillId="2" borderId="16" xfId="0" applyNumberFormat="1" applyFont="1" applyFill="1" applyBorder="1" applyAlignment="1">
      <alignment horizontal="left" vertical="top" wrapText="1"/>
    </xf>
    <xf numFmtId="49" fontId="31" fillId="2" borderId="15" xfId="0" applyNumberFormat="1" applyFont="1" applyFill="1" applyBorder="1" applyAlignment="1">
      <alignment horizontal="left" vertical="top" wrapText="1"/>
    </xf>
    <xf numFmtId="0" fontId="30" fillId="2" borderId="32" xfId="0" applyFont="1" applyFill="1" applyBorder="1" applyAlignment="1">
      <alignment horizontal="right"/>
    </xf>
    <xf numFmtId="0" fontId="30" fillId="2" borderId="16" xfId="0" applyFont="1" applyFill="1" applyBorder="1" applyAlignment="1">
      <alignment horizontal="right"/>
    </xf>
    <xf numFmtId="0" fontId="28" fillId="2" borderId="32" xfId="0" applyFont="1" applyFill="1" applyBorder="1" applyAlignment="1">
      <alignment horizontal="center"/>
    </xf>
    <xf numFmtId="0" fontId="28" fillId="2" borderId="16" xfId="0" applyFont="1" applyFill="1" applyBorder="1" applyAlignment="1">
      <alignment horizontal="center"/>
    </xf>
    <xf numFmtId="0" fontId="28" fillId="2" borderId="33" xfId="0" applyFont="1" applyFill="1" applyBorder="1" applyAlignment="1">
      <alignment horizontal="center"/>
    </xf>
    <xf numFmtId="0" fontId="30" fillId="2" borderId="3" xfId="0" applyFont="1" applyFill="1" applyBorder="1" applyAlignment="1">
      <alignment horizontal="center"/>
    </xf>
    <xf numFmtId="166" fontId="30" fillId="2" borderId="25" xfId="0" applyNumberFormat="1" applyFont="1" applyFill="1" applyBorder="1" applyAlignment="1">
      <alignment horizontal="left" vertical="top" wrapText="1"/>
    </xf>
    <xf numFmtId="166" fontId="30" fillId="2" borderId="16" xfId="0" applyNumberFormat="1" applyFont="1" applyFill="1" applyBorder="1" applyAlignment="1">
      <alignment horizontal="left" vertical="top" wrapText="1"/>
    </xf>
    <xf numFmtId="166" fontId="30" fillId="2" borderId="15" xfId="0" applyNumberFormat="1" applyFont="1" applyFill="1" applyBorder="1" applyAlignment="1">
      <alignment horizontal="left" vertical="top" wrapText="1"/>
    </xf>
    <xf numFmtId="0" fontId="30" fillId="2" borderId="2" xfId="0" applyFont="1" applyFill="1" applyBorder="1" applyAlignment="1">
      <alignment horizontal="right"/>
    </xf>
    <xf numFmtId="0" fontId="30" fillId="2" borderId="0" xfId="0" applyFont="1" applyFill="1" applyBorder="1" applyAlignment="1">
      <alignment horizontal="right"/>
    </xf>
    <xf numFmtId="0" fontId="30" fillId="2" borderId="21" xfId="0" applyFont="1" applyFill="1" applyBorder="1" applyAlignment="1">
      <alignment horizontal="right"/>
    </xf>
    <xf numFmtId="0" fontId="28" fillId="2" borderId="38" xfId="0" applyFont="1" applyFill="1" applyBorder="1" applyAlignment="1">
      <alignment horizontal="right"/>
    </xf>
    <xf numFmtId="0" fontId="28" fillId="2" borderId="39" xfId="0" applyFont="1" applyFill="1" applyBorder="1" applyAlignment="1">
      <alignment horizontal="right"/>
    </xf>
    <xf numFmtId="0" fontId="30" fillId="2" borderId="15" xfId="0" applyFont="1" applyFill="1" applyBorder="1" applyAlignment="1">
      <alignment horizontal="right"/>
    </xf>
    <xf numFmtId="1" fontId="30" fillId="2" borderId="32" xfId="0" applyNumberFormat="1" applyFont="1" applyFill="1" applyBorder="1" applyAlignment="1">
      <alignment horizontal="center"/>
    </xf>
    <xf numFmtId="1" fontId="30" fillId="2" borderId="16" xfId="0" applyNumberFormat="1" applyFont="1" applyFill="1" applyBorder="1" applyAlignment="1">
      <alignment horizontal="center"/>
    </xf>
    <xf numFmtId="1" fontId="30" fillId="2" borderId="33" xfId="0" applyNumberFormat="1" applyFont="1" applyFill="1" applyBorder="1" applyAlignment="1">
      <alignment horizontal="center"/>
    </xf>
    <xf numFmtId="0" fontId="30" fillId="2" borderId="34" xfId="0" applyFont="1" applyFill="1" applyBorder="1" applyAlignment="1">
      <alignment horizontal="right"/>
    </xf>
    <xf numFmtId="0" fontId="30" fillId="2" borderId="4" xfId="0" applyFont="1" applyFill="1" applyBorder="1" applyAlignment="1">
      <alignment horizontal="right"/>
    </xf>
    <xf numFmtId="0" fontId="30" fillId="2" borderId="18" xfId="0" applyFont="1" applyFill="1" applyBorder="1" applyAlignment="1">
      <alignment horizontal="right"/>
    </xf>
    <xf numFmtId="0" fontId="0" fillId="0" borderId="25" xfId="0" applyFont="1" applyBorder="1" applyAlignment="1">
      <alignment horizontal="left" vertical="center" wrapText="1"/>
    </xf>
    <xf numFmtId="0" fontId="0" fillId="0" borderId="16" xfId="0" applyFont="1" applyBorder="1" applyAlignment="1">
      <alignment horizontal="left" vertical="center" wrapText="1"/>
    </xf>
    <xf numFmtId="0" fontId="0" fillId="0" borderId="15" xfId="0" applyFont="1" applyBorder="1" applyAlignment="1">
      <alignment horizontal="left" vertical="center" wrapText="1"/>
    </xf>
    <xf numFmtId="0" fontId="0" fillId="0" borderId="25" xfId="0" applyBorder="1" applyAlignment="1">
      <alignment horizontal="left"/>
    </xf>
    <xf numFmtId="0" fontId="0" fillId="0" borderId="0" xfId="0" applyAlignment="1">
      <alignment horizontal="center" wrapText="1"/>
    </xf>
    <xf numFmtId="0" fontId="46" fillId="0" borderId="175" xfId="0" applyFont="1" applyBorder="1" applyAlignment="1">
      <alignment horizontal="right"/>
    </xf>
    <xf numFmtId="0" fontId="46" fillId="0" borderId="158" xfId="0" applyFont="1" applyBorder="1" applyAlignment="1">
      <alignment horizontal="right"/>
    </xf>
    <xf numFmtId="0" fontId="46" fillId="0" borderId="163" xfId="0" applyFont="1" applyBorder="1" applyAlignment="1">
      <alignment horizontal="right"/>
    </xf>
    <xf numFmtId="0" fontId="46" fillId="0" borderId="176" xfId="0" applyFont="1" applyBorder="1" applyAlignment="1">
      <alignment horizontal="right"/>
    </xf>
    <xf numFmtId="0" fontId="46" fillId="0" borderId="137" xfId="0" applyFont="1" applyBorder="1" applyAlignment="1">
      <alignment horizontal="right"/>
    </xf>
    <xf numFmtId="0" fontId="46" fillId="0" borderId="134" xfId="0" applyFont="1" applyBorder="1" applyAlignment="1">
      <alignment horizontal="right"/>
    </xf>
    <xf numFmtId="0" fontId="46" fillId="0" borderId="2" xfId="0" applyFont="1" applyBorder="1" applyAlignment="1">
      <alignment horizontal="right"/>
    </xf>
    <xf numFmtId="0" fontId="46" fillId="0" borderId="0" xfId="0" applyFont="1" applyBorder="1" applyAlignment="1">
      <alignment horizontal="right"/>
    </xf>
    <xf numFmtId="0" fontId="46" fillId="0" borderId="161" xfId="0" applyFont="1" applyBorder="1" applyAlignment="1">
      <alignment horizontal="right"/>
    </xf>
    <xf numFmtId="0" fontId="46" fillId="0" borderId="173" xfId="0" applyFont="1" applyBorder="1" applyAlignment="1">
      <alignment horizontal="right"/>
    </xf>
    <xf numFmtId="0" fontId="46" fillId="0" borderId="154" xfId="0" applyFont="1" applyBorder="1" applyAlignment="1">
      <alignment horizontal="right"/>
    </xf>
    <xf numFmtId="0" fontId="46" fillId="0" borderId="162" xfId="0" applyFont="1" applyBorder="1" applyAlignment="1">
      <alignment horizontal="right"/>
    </xf>
    <xf numFmtId="0" fontId="46" fillId="0" borderId="172" xfId="0" applyFont="1" applyBorder="1" applyAlignment="1">
      <alignment horizontal="right"/>
    </xf>
    <xf numFmtId="0" fontId="46" fillId="0" borderId="153" xfId="0" applyFont="1" applyBorder="1" applyAlignment="1">
      <alignment horizontal="right"/>
    </xf>
    <xf numFmtId="0" fontId="46" fillId="0" borderId="156" xfId="0" applyFont="1" applyBorder="1" applyAlignment="1">
      <alignment horizontal="right"/>
    </xf>
    <xf numFmtId="0" fontId="46" fillId="0" borderId="34" xfId="0" applyFont="1" applyBorder="1" applyAlignment="1">
      <alignment horizontal="right"/>
    </xf>
    <xf numFmtId="0" fontId="46" fillId="0" borderId="4" xfId="0" applyFont="1" applyBorder="1" applyAlignment="1">
      <alignment horizontal="right"/>
    </xf>
    <xf numFmtId="0" fontId="46" fillId="0" borderId="155" xfId="0" applyFont="1" applyBorder="1" applyAlignment="1">
      <alignment horizontal="right"/>
    </xf>
    <xf numFmtId="49" fontId="31" fillId="2" borderId="32" xfId="7" applyNumberFormat="1" applyFont="1" applyFill="1" applyBorder="1" applyAlignment="1">
      <alignment horizontal="left" vertical="center" wrapText="1"/>
    </xf>
    <xf numFmtId="49" fontId="31" fillId="2" borderId="16" xfId="7" applyNumberFormat="1" applyFont="1" applyFill="1" applyBorder="1" applyAlignment="1">
      <alignment horizontal="left" vertical="center" wrapText="1"/>
    </xf>
    <xf numFmtId="49" fontId="31" fillId="2" borderId="15" xfId="7" applyNumberFormat="1" applyFont="1" applyFill="1" applyBorder="1" applyAlignment="1">
      <alignment horizontal="left" vertical="center" wrapText="1"/>
    </xf>
    <xf numFmtId="0" fontId="0" fillId="0" borderId="27" xfId="0" applyBorder="1" applyAlignment="1">
      <alignment horizontal="center"/>
    </xf>
    <xf numFmtId="0" fontId="26" fillId="0" borderId="30" xfId="0" applyFont="1" applyBorder="1" applyAlignment="1">
      <alignment horizontal="left" wrapText="1"/>
    </xf>
    <xf numFmtId="0" fontId="26" fillId="0" borderId="3" xfId="0" applyFont="1" applyBorder="1" applyAlignment="1">
      <alignment horizontal="left" wrapText="1"/>
    </xf>
    <xf numFmtId="0" fontId="46" fillId="0" borderId="32" xfId="0" applyFont="1" applyBorder="1" applyAlignment="1">
      <alignment horizontal="right"/>
    </xf>
    <xf numFmtId="0" fontId="46" fillId="0" borderId="16" xfId="0" applyFont="1" applyBorder="1" applyAlignment="1">
      <alignment horizontal="right"/>
    </xf>
    <xf numFmtId="0" fontId="46" fillId="0" borderId="166" xfId="0" applyFont="1" applyBorder="1" applyAlignment="1">
      <alignment horizontal="right"/>
    </xf>
    <xf numFmtId="49" fontId="31" fillId="2" borderId="32" xfId="7" applyNumberFormat="1" applyFont="1" applyFill="1" applyBorder="1" applyAlignment="1">
      <alignment horizontal="left" vertical="top" wrapText="1"/>
    </xf>
    <xf numFmtId="49" fontId="31" fillId="2" borderId="16" xfId="7" applyNumberFormat="1" applyFont="1" applyFill="1" applyBorder="1" applyAlignment="1">
      <alignment horizontal="left" vertical="top" wrapText="1"/>
    </xf>
    <xf numFmtId="49" fontId="31" fillId="2" borderId="15" xfId="7" applyNumberFormat="1" applyFont="1" applyFill="1" applyBorder="1" applyAlignment="1">
      <alignment horizontal="left" vertical="top" wrapText="1"/>
    </xf>
    <xf numFmtId="166" fontId="32" fillId="2" borderId="32" xfId="7" applyNumberFormat="1" applyFont="1" applyFill="1" applyBorder="1" applyAlignment="1">
      <alignment horizontal="left" vertical="top" wrapText="1"/>
    </xf>
    <xf numFmtId="166" fontId="32" fillId="2" borderId="16" xfId="7" applyNumberFormat="1" applyFont="1" applyFill="1" applyBorder="1" applyAlignment="1">
      <alignment horizontal="left" vertical="top" wrapText="1"/>
    </xf>
    <xf numFmtId="166" fontId="32" fillId="2" borderId="15" xfId="7" applyNumberFormat="1" applyFont="1" applyFill="1" applyBorder="1" applyAlignment="1">
      <alignment horizontal="left" vertical="top" wrapText="1"/>
    </xf>
    <xf numFmtId="0" fontId="0" fillId="0" borderId="176" xfId="0" applyBorder="1" applyAlignment="1">
      <alignment horizontal="right"/>
    </xf>
    <xf numFmtId="0" fontId="0" fillId="0" borderId="137" xfId="0" applyBorder="1" applyAlignment="1">
      <alignment horizontal="right"/>
    </xf>
    <xf numFmtId="0" fontId="0" fillId="0" borderId="134" xfId="0" applyBorder="1" applyAlignment="1">
      <alignment horizontal="right"/>
    </xf>
    <xf numFmtId="0" fontId="0" fillId="0" borderId="32" xfId="0" applyBorder="1" applyAlignment="1">
      <alignment horizontal="left"/>
    </xf>
    <xf numFmtId="0" fontId="0" fillId="0" borderId="32" xfId="0" applyBorder="1" applyAlignment="1">
      <alignment horizontal="left" wrapText="1"/>
    </xf>
    <xf numFmtId="0" fontId="46" fillId="0" borderId="175" xfId="0" applyFont="1" applyBorder="1" applyAlignment="1">
      <alignment horizontal="right" wrapText="1"/>
    </xf>
    <xf numFmtId="0" fontId="46" fillId="0" borderId="158" xfId="0" applyFont="1" applyBorder="1" applyAlignment="1">
      <alignment horizontal="right" wrapText="1"/>
    </xf>
    <xf numFmtId="0" fontId="46" fillId="0" borderId="163" xfId="0" applyFont="1" applyBorder="1" applyAlignment="1">
      <alignment horizontal="right" wrapText="1"/>
    </xf>
    <xf numFmtId="0" fontId="0" fillId="0" borderId="175" xfId="0" applyBorder="1" applyAlignment="1">
      <alignment horizontal="right"/>
    </xf>
    <xf numFmtId="0" fontId="0" fillId="0" borderId="158" xfId="0" applyBorder="1" applyAlignment="1">
      <alignment horizontal="right"/>
    </xf>
    <xf numFmtId="0" fontId="0" fillId="0" borderId="163" xfId="0" applyBorder="1" applyAlignment="1">
      <alignment horizontal="right"/>
    </xf>
    <xf numFmtId="49" fontId="31" fillId="2" borderId="16" xfId="7" applyNumberFormat="1" applyFont="1" applyFill="1" applyBorder="1" applyAlignment="1">
      <alignment horizontal="left" vertical="top"/>
    </xf>
    <xf numFmtId="49" fontId="31" fillId="2" borderId="15" xfId="7" applyNumberFormat="1" applyFont="1" applyFill="1" applyBorder="1" applyAlignment="1">
      <alignment horizontal="left" vertical="top"/>
    </xf>
    <xf numFmtId="166" fontId="32" fillId="2" borderId="32" xfId="0" applyNumberFormat="1" applyFont="1" applyFill="1" applyBorder="1" applyAlignment="1">
      <alignment horizontal="left" vertical="center" wrapText="1"/>
    </xf>
    <xf numFmtId="0" fontId="0" fillId="0" borderId="172" xfId="0" applyBorder="1" applyAlignment="1">
      <alignment horizontal="center"/>
    </xf>
    <xf numFmtId="0" fontId="0" fillId="0" borderId="153" xfId="0" applyBorder="1" applyAlignment="1">
      <alignment horizontal="center"/>
    </xf>
    <xf numFmtId="0" fontId="0" fillId="0" borderId="173" xfId="0" applyBorder="1" applyAlignment="1">
      <alignment horizontal="center"/>
    </xf>
    <xf numFmtId="0" fontId="0" fillId="0" borderId="154" xfId="0" applyBorder="1" applyAlignment="1">
      <alignment horizontal="center"/>
    </xf>
    <xf numFmtId="0" fontId="30" fillId="2" borderId="32" xfId="7" applyFont="1" applyFill="1" applyBorder="1" applyAlignment="1">
      <alignment horizontal="left" wrapText="1"/>
    </xf>
    <xf numFmtId="0" fontId="30" fillId="2" borderId="16" xfId="7" applyFont="1" applyFill="1" applyBorder="1" applyAlignment="1">
      <alignment horizontal="left" wrapText="1"/>
    </xf>
    <xf numFmtId="0" fontId="30" fillId="2" borderId="15" xfId="7" applyFont="1" applyFill="1" applyBorder="1" applyAlignment="1">
      <alignment horizontal="left" wrapText="1"/>
    </xf>
    <xf numFmtId="0" fontId="30" fillId="2" borderId="62" xfId="7" applyFont="1" applyFill="1" applyBorder="1" applyAlignment="1">
      <alignment horizontal="left" vertical="center" wrapText="1"/>
    </xf>
    <xf numFmtId="0" fontId="30" fillId="2" borderId="24" xfId="7" applyFont="1" applyFill="1" applyBorder="1" applyAlignment="1">
      <alignment horizontal="left" vertical="center" wrapText="1"/>
    </xf>
    <xf numFmtId="0" fontId="30" fillId="2" borderId="20" xfId="7" applyFont="1" applyFill="1" applyBorder="1" applyAlignment="1">
      <alignment horizontal="left" vertical="center" wrapText="1"/>
    </xf>
    <xf numFmtId="0" fontId="28" fillId="2" borderId="10" xfId="7" applyFont="1" applyFill="1" applyBorder="1" applyAlignment="1">
      <alignment horizontal="center"/>
    </xf>
    <xf numFmtId="0" fontId="28" fillId="2" borderId="11" xfId="7" applyFont="1" applyFill="1" applyBorder="1" applyAlignment="1">
      <alignment horizontal="center"/>
    </xf>
    <xf numFmtId="0" fontId="28" fillId="2" borderId="12" xfId="7" applyFont="1" applyFill="1" applyBorder="1" applyAlignment="1">
      <alignment horizontal="center"/>
    </xf>
    <xf numFmtId="166" fontId="32" fillId="2" borderId="25" xfId="7" applyNumberFormat="1" applyFont="1" applyFill="1" applyBorder="1" applyAlignment="1">
      <alignment horizontal="left" vertical="top" wrapText="1"/>
    </xf>
    <xf numFmtId="44" fontId="0" fillId="0" borderId="59" xfId="1" applyFont="1" applyBorder="1" applyAlignment="1">
      <alignment horizontal="center" vertical="center"/>
    </xf>
    <xf numFmtId="44" fontId="0" fillId="0" borderId="47" xfId="1" applyFont="1" applyBorder="1" applyAlignment="1">
      <alignment horizontal="center" vertical="center"/>
    </xf>
    <xf numFmtId="2" fontId="32" fillId="2" borderId="23" xfId="0" applyNumberFormat="1" applyFont="1" applyFill="1" applyBorder="1" applyAlignment="1">
      <alignment horizontal="center" vertical="center" wrapText="1"/>
    </xf>
    <xf numFmtId="2" fontId="32" fillId="2" borderId="5" xfId="0" applyNumberFormat="1" applyFont="1" applyFill="1" applyBorder="1" applyAlignment="1">
      <alignment horizontal="center" vertical="center" wrapText="1"/>
    </xf>
    <xf numFmtId="0" fontId="46" fillId="0" borderId="16" xfId="0" applyFont="1" applyBorder="1" applyAlignment="1">
      <alignment horizontal="right" vertical="center"/>
    </xf>
    <xf numFmtId="0" fontId="46" fillId="0" borderId="15" xfId="0" applyFont="1" applyBorder="1" applyAlignment="1">
      <alignment horizontal="right" vertical="center"/>
    </xf>
    <xf numFmtId="0" fontId="46" fillId="0" borderId="179" xfId="0" applyFont="1" applyBorder="1" applyAlignment="1">
      <alignment horizontal="right"/>
    </xf>
    <xf numFmtId="0" fontId="46" fillId="0" borderId="180" xfId="0" applyFont="1" applyBorder="1" applyAlignment="1">
      <alignment horizontal="right"/>
    </xf>
    <xf numFmtId="0" fontId="46" fillId="0" borderId="181" xfId="0" applyFont="1" applyBorder="1" applyAlignment="1">
      <alignment horizontal="right"/>
    </xf>
    <xf numFmtId="49" fontId="31" fillId="2" borderId="25" xfId="7" applyNumberFormat="1" applyFont="1" applyFill="1" applyBorder="1" applyAlignment="1">
      <alignment horizontal="left" vertical="top" wrapText="1"/>
    </xf>
    <xf numFmtId="49" fontId="31" fillId="2" borderId="25" xfId="7" applyNumberFormat="1" applyFont="1" applyFill="1" applyBorder="1" applyAlignment="1">
      <alignment horizontal="left" vertical="center" wrapText="1"/>
    </xf>
    <xf numFmtId="0" fontId="30" fillId="2" borderId="25" xfId="7" applyFont="1" applyFill="1" applyBorder="1" applyAlignment="1">
      <alignment horizontal="left" wrapText="1"/>
    </xf>
    <xf numFmtId="0" fontId="0" fillId="0" borderId="25" xfId="0" applyBorder="1" applyAlignment="1">
      <alignment horizontal="left" vertical="center"/>
    </xf>
    <xf numFmtId="0" fontId="30" fillId="2" borderId="25" xfId="7" applyFont="1" applyFill="1" applyBorder="1" applyAlignment="1">
      <alignment horizontal="left" vertical="center" wrapText="1"/>
    </xf>
    <xf numFmtId="0" fontId="30" fillId="2" borderId="16" xfId="7" applyFont="1" applyFill="1" applyBorder="1" applyAlignment="1">
      <alignment horizontal="left" vertical="center" wrapText="1"/>
    </xf>
    <xf numFmtId="0" fontId="30" fillId="2" borderId="15" xfId="7" applyFont="1" applyFill="1" applyBorder="1" applyAlignment="1">
      <alignment horizontal="left" vertical="center" wrapText="1"/>
    </xf>
    <xf numFmtId="0" fontId="0" fillId="0" borderId="179" xfId="0" applyBorder="1" applyAlignment="1">
      <alignment horizontal="center"/>
    </xf>
    <xf numFmtId="0" fontId="0" fillId="0" borderId="180" xfId="0" applyBorder="1" applyAlignment="1">
      <alignment horizontal="center"/>
    </xf>
    <xf numFmtId="0" fontId="0" fillId="0" borderId="181" xfId="0" applyBorder="1" applyAlignment="1">
      <alignment horizontal="center"/>
    </xf>
    <xf numFmtId="0" fontId="0" fillId="0" borderId="176" xfId="0" applyBorder="1" applyAlignment="1">
      <alignment horizontal="center"/>
    </xf>
    <xf numFmtId="0" fontId="0" fillId="0" borderId="137" xfId="0" applyBorder="1" applyAlignment="1">
      <alignment horizontal="center"/>
    </xf>
    <xf numFmtId="0" fontId="0" fillId="0" borderId="134" xfId="0" applyBorder="1" applyAlignment="1">
      <alignment horizontal="center"/>
    </xf>
    <xf numFmtId="0" fontId="109" fillId="0" borderId="176" xfId="0" applyFont="1" applyBorder="1" applyAlignment="1">
      <alignment horizontal="right"/>
    </xf>
    <xf numFmtId="0" fontId="109" fillId="0" borderId="137" xfId="0" applyFont="1" applyBorder="1" applyAlignment="1">
      <alignment horizontal="right"/>
    </xf>
    <xf numFmtId="0" fontId="109" fillId="0" borderId="134" xfId="0" applyFont="1" applyBorder="1" applyAlignment="1">
      <alignment horizontal="right"/>
    </xf>
    <xf numFmtId="0" fontId="0" fillId="0" borderId="32" xfId="0" applyBorder="1" applyAlignment="1">
      <alignment horizontal="left" vertical="center" wrapText="1"/>
    </xf>
    <xf numFmtId="0" fontId="0" fillId="0" borderId="32" xfId="0" applyBorder="1" applyAlignment="1">
      <alignment horizontal="left" vertical="center"/>
    </xf>
    <xf numFmtId="0" fontId="107" fillId="0" borderId="25" xfId="0" applyFont="1" applyBorder="1" applyAlignment="1">
      <alignment horizontal="right" vertical="center"/>
    </xf>
    <xf numFmtId="0" fontId="107" fillId="0" borderId="16" xfId="0" applyFont="1" applyBorder="1" applyAlignment="1">
      <alignment horizontal="right" vertical="center"/>
    </xf>
    <xf numFmtId="0" fontId="107" fillId="0" borderId="15" xfId="0" applyFont="1" applyBorder="1" applyAlignment="1">
      <alignment horizontal="right" vertical="center"/>
    </xf>
    <xf numFmtId="166" fontId="32" fillId="2" borderId="25" xfId="7" applyNumberFormat="1" applyFont="1" applyFill="1" applyBorder="1" applyAlignment="1">
      <alignment horizontal="left" vertical="center" wrapText="1"/>
    </xf>
    <xf numFmtId="166" fontId="32" fillId="2" borderId="16" xfId="7" applyNumberFormat="1" applyFont="1" applyFill="1" applyBorder="1" applyAlignment="1">
      <alignment horizontal="left" vertical="center" wrapText="1"/>
    </xf>
    <xf numFmtId="166" fontId="32" fillId="2" borderId="15" xfId="7" applyNumberFormat="1" applyFont="1" applyFill="1" applyBorder="1" applyAlignment="1">
      <alignment horizontal="left" vertical="center" wrapText="1"/>
    </xf>
    <xf numFmtId="49" fontId="31" fillId="2" borderId="16" xfId="7" applyNumberFormat="1" applyFont="1" applyFill="1" applyBorder="1" applyAlignment="1">
      <alignment horizontal="left" vertical="center"/>
    </xf>
    <xf numFmtId="49" fontId="31" fillId="2" borderId="15" xfId="7" applyNumberFormat="1" applyFont="1" applyFill="1" applyBorder="1" applyAlignment="1">
      <alignment horizontal="left" vertical="center"/>
    </xf>
    <xf numFmtId="49" fontId="55" fillId="2" borderId="25" xfId="7" applyNumberFormat="1" applyFont="1" applyFill="1" applyBorder="1" applyAlignment="1">
      <alignment horizontal="right" vertical="center" wrapText="1"/>
    </xf>
    <xf numFmtId="49" fontId="55" fillId="2" borderId="16" xfId="7" applyNumberFormat="1" applyFont="1" applyFill="1" applyBorder="1" applyAlignment="1">
      <alignment horizontal="right" vertical="center" wrapText="1"/>
    </xf>
    <xf numFmtId="49" fontId="55" fillId="2" borderId="15" xfId="7" applyNumberFormat="1" applyFont="1" applyFill="1" applyBorder="1" applyAlignment="1">
      <alignment horizontal="right" vertical="center" wrapText="1"/>
    </xf>
    <xf numFmtId="0" fontId="0" fillId="0" borderId="0" xfId="0" applyBorder="1" applyAlignment="1">
      <alignment horizontal="center" vertical="center"/>
    </xf>
    <xf numFmtId="0" fontId="2" fillId="0" borderId="0" xfId="0" applyFont="1" applyBorder="1" applyAlignment="1">
      <alignment horizontal="left" vertical="center"/>
    </xf>
    <xf numFmtId="0" fontId="30" fillId="2" borderId="32" xfId="7" applyFont="1" applyFill="1" applyBorder="1" applyAlignment="1">
      <alignment horizontal="left" vertical="center" wrapText="1"/>
    </xf>
    <xf numFmtId="1" fontId="31" fillId="2" borderId="58" xfId="7" applyNumberFormat="1" applyFont="1" applyFill="1" applyBorder="1" applyAlignment="1">
      <alignment horizontal="center" vertical="center" wrapText="1"/>
    </xf>
    <xf numFmtId="1" fontId="31" fillId="2" borderId="102" xfId="7" applyNumberFormat="1" applyFont="1" applyFill="1" applyBorder="1" applyAlignment="1">
      <alignment horizontal="center" vertical="center" wrapText="1"/>
    </xf>
    <xf numFmtId="49" fontId="31" fillId="2" borderId="23" xfId="7" applyNumberFormat="1" applyFont="1" applyFill="1" applyBorder="1" applyAlignment="1">
      <alignment horizontal="center" vertical="center" wrapText="1"/>
    </xf>
    <xf numFmtId="49" fontId="31" fillId="2" borderId="5" xfId="7" applyNumberFormat="1" applyFont="1" applyFill="1" applyBorder="1" applyAlignment="1">
      <alignment horizontal="center" vertical="center" wrapText="1"/>
    </xf>
    <xf numFmtId="2" fontId="31" fillId="2" borderId="23" xfId="7" applyNumberFormat="1" applyFont="1" applyFill="1" applyBorder="1" applyAlignment="1">
      <alignment horizontal="center" vertical="center" wrapText="1"/>
    </xf>
    <xf numFmtId="2" fontId="31" fillId="2" borderId="5" xfId="7" applyNumberFormat="1" applyFont="1" applyFill="1" applyBorder="1" applyAlignment="1">
      <alignment horizontal="center" vertical="center" wrapText="1"/>
    </xf>
    <xf numFmtId="44" fontId="30" fillId="2" borderId="23" xfId="1" applyFont="1" applyFill="1" applyBorder="1" applyAlignment="1">
      <alignment horizontal="center" vertical="center"/>
    </xf>
    <xf numFmtId="44" fontId="30" fillId="2" borderId="5" xfId="1" applyFont="1" applyFill="1" applyBorder="1" applyAlignment="1">
      <alignment horizontal="center" vertical="center"/>
    </xf>
    <xf numFmtId="0" fontId="0" fillId="0" borderId="62" xfId="0" applyBorder="1" applyAlignment="1">
      <alignment horizontal="center"/>
    </xf>
    <xf numFmtId="0" fontId="0" fillId="0" borderId="24" xfId="0" applyBorder="1" applyAlignment="1">
      <alignment horizontal="center"/>
    </xf>
    <xf numFmtId="0" fontId="0" fillId="0" borderId="175" xfId="0" applyBorder="1" applyAlignment="1">
      <alignment horizontal="center"/>
    </xf>
    <xf numFmtId="0" fontId="0" fillId="0" borderId="158" xfId="0" applyBorder="1" applyAlignment="1">
      <alignment horizontal="center"/>
    </xf>
    <xf numFmtId="0" fontId="30" fillId="2" borderId="30" xfId="7" applyFont="1" applyFill="1" applyBorder="1" applyAlignment="1">
      <alignment horizontal="left" vertical="center" wrapText="1"/>
    </xf>
    <xf numFmtId="0" fontId="30" fillId="2" borderId="3" xfId="7" applyFont="1" applyFill="1" applyBorder="1" applyAlignment="1">
      <alignment horizontal="left" vertical="center" wrapText="1"/>
    </xf>
    <xf numFmtId="0" fontId="46" fillId="0" borderId="185" xfId="0" applyFont="1" applyBorder="1" applyAlignment="1">
      <alignment horizontal="right"/>
    </xf>
    <xf numFmtId="0" fontId="46" fillId="0" borderId="160" xfId="0" applyFont="1" applyBorder="1" applyAlignment="1">
      <alignment horizontal="right"/>
    </xf>
    <xf numFmtId="0" fontId="46" fillId="0" borderId="171" xfId="0" applyFont="1" applyBorder="1" applyAlignment="1">
      <alignment horizontal="right"/>
    </xf>
    <xf numFmtId="0" fontId="46" fillId="0" borderId="176" xfId="0" applyFont="1" applyBorder="1" applyAlignment="1">
      <alignment horizontal="right" wrapText="1"/>
    </xf>
    <xf numFmtId="0" fontId="109" fillId="0" borderId="176" xfId="0" applyFont="1" applyBorder="1" applyAlignment="1">
      <alignment horizontal="right" wrapText="1"/>
    </xf>
    <xf numFmtId="0" fontId="109" fillId="0" borderId="137" xfId="0" applyFont="1" applyBorder="1" applyAlignment="1">
      <alignment horizontal="right" wrapText="1"/>
    </xf>
    <xf numFmtId="0" fontId="109" fillId="0" borderId="134" xfId="0" applyFont="1" applyBorder="1" applyAlignment="1">
      <alignment horizontal="right" wrapText="1"/>
    </xf>
    <xf numFmtId="166" fontId="32" fillId="2" borderId="32" xfId="7" applyNumberFormat="1" applyFont="1" applyFill="1" applyBorder="1" applyAlignment="1">
      <alignment horizontal="left" vertical="center" wrapText="1"/>
    </xf>
    <xf numFmtId="0" fontId="30" fillId="2" borderId="32" xfId="7" applyFont="1" applyFill="1" applyBorder="1" applyAlignment="1">
      <alignment horizontal="right"/>
    </xf>
    <xf numFmtId="0" fontId="30" fillId="2" borderId="16" xfId="7" applyFont="1" applyFill="1" applyBorder="1" applyAlignment="1">
      <alignment horizontal="right"/>
    </xf>
    <xf numFmtId="0" fontId="30" fillId="2" borderId="15" xfId="7" applyFont="1" applyFill="1" applyBorder="1" applyAlignment="1">
      <alignment horizontal="right"/>
    </xf>
    <xf numFmtId="0" fontId="26" fillId="0" borderId="25" xfId="0" applyFont="1" applyBorder="1" applyAlignment="1">
      <alignment horizontal="left" vertical="center" wrapText="1"/>
    </xf>
    <xf numFmtId="0" fontId="26" fillId="0" borderId="16" xfId="0" applyFont="1" applyBorder="1" applyAlignment="1">
      <alignment horizontal="left" vertical="center" wrapText="1"/>
    </xf>
    <xf numFmtId="0" fontId="26" fillId="0" borderId="15" xfId="0" applyFont="1" applyBorder="1" applyAlignment="1">
      <alignment horizontal="left" vertical="center" wrapText="1"/>
    </xf>
    <xf numFmtId="0" fontId="0" fillId="0" borderId="3" xfId="0" applyBorder="1" applyAlignment="1">
      <alignment horizontal="left" vertical="center"/>
    </xf>
    <xf numFmtId="0" fontId="26" fillId="0" borderId="3" xfId="0" applyFont="1" applyBorder="1" applyAlignment="1">
      <alignment horizontal="left" vertical="center" wrapText="1"/>
    </xf>
    <xf numFmtId="0" fontId="30" fillId="2" borderId="25" xfId="7" applyFont="1" applyFill="1" applyBorder="1" applyAlignment="1">
      <alignment horizontal="left" vertical="center"/>
    </xf>
    <xf numFmtId="0" fontId="30" fillId="2" borderId="16" xfId="7" applyFont="1" applyFill="1" applyBorder="1" applyAlignment="1">
      <alignment horizontal="left" vertical="center"/>
    </xf>
    <xf numFmtId="0" fontId="30" fillId="2" borderId="15" xfId="7" applyFont="1" applyFill="1" applyBorder="1" applyAlignment="1">
      <alignment horizontal="left" vertical="center"/>
    </xf>
    <xf numFmtId="0" fontId="35" fillId="6" borderId="27" xfId="6" applyFont="1" applyFill="1" applyBorder="1" applyAlignment="1">
      <alignment horizontal="center" vertical="center" wrapText="1"/>
    </xf>
    <xf numFmtId="0" fontId="35" fillId="6" borderId="28" xfId="6" applyFont="1" applyFill="1" applyBorder="1" applyAlignment="1">
      <alignment horizontal="center" vertical="center" wrapText="1"/>
    </xf>
    <xf numFmtId="0" fontId="35" fillId="6" borderId="0" xfId="6" applyFont="1" applyFill="1" applyBorder="1" applyAlignment="1">
      <alignment horizontal="center" vertical="center" wrapText="1"/>
    </xf>
    <xf numFmtId="0" fontId="35" fillId="6" borderId="9" xfId="6" applyFont="1" applyFill="1" applyBorder="1" applyAlignment="1">
      <alignment horizontal="center" vertical="center" wrapText="1"/>
    </xf>
    <xf numFmtId="49" fontId="32" fillId="0" borderId="25" xfId="7" applyNumberFormat="1" applyFont="1" applyFill="1" applyBorder="1" applyAlignment="1">
      <alignment horizontal="left" vertical="center" wrapText="1"/>
    </xf>
    <xf numFmtId="49" fontId="32" fillId="0" borderId="16" xfId="7" applyNumberFormat="1" applyFont="1" applyFill="1" applyBorder="1" applyAlignment="1">
      <alignment horizontal="left" vertical="center" wrapText="1"/>
    </xf>
    <xf numFmtId="49" fontId="32" fillId="0" borderId="15" xfId="7" applyNumberFormat="1" applyFont="1" applyFill="1" applyBorder="1" applyAlignment="1">
      <alignment horizontal="left" vertical="center" wrapText="1"/>
    </xf>
    <xf numFmtId="0" fontId="7" fillId="0" borderId="25" xfId="0" applyFont="1" applyBorder="1" applyAlignment="1">
      <alignment horizontal="left" vertical="center" wrapText="1"/>
    </xf>
    <xf numFmtId="0" fontId="7" fillId="0" borderId="16" xfId="0" applyFont="1" applyBorder="1" applyAlignment="1">
      <alignment horizontal="left" vertical="center" wrapText="1"/>
    </xf>
    <xf numFmtId="0" fontId="7" fillId="0" borderId="15" xfId="0" applyFont="1" applyBorder="1" applyAlignment="1">
      <alignment horizontal="left" vertical="center" wrapText="1"/>
    </xf>
    <xf numFmtId="0" fontId="30" fillId="0" borderId="2" xfId="0" applyFont="1" applyFill="1" applyBorder="1" applyAlignment="1">
      <alignment horizontal="right"/>
    </xf>
    <xf numFmtId="0" fontId="30" fillId="0" borderId="0" xfId="0" applyFont="1" applyFill="1" applyBorder="1" applyAlignment="1">
      <alignment horizontal="right"/>
    </xf>
    <xf numFmtId="0" fontId="30" fillId="0" borderId="21" xfId="0" applyFont="1" applyFill="1" applyBorder="1" applyAlignment="1">
      <alignment horizontal="right"/>
    </xf>
    <xf numFmtId="0" fontId="28" fillId="0" borderId="38" xfId="0" applyFont="1" applyFill="1" applyBorder="1" applyAlignment="1">
      <alignment horizontal="right"/>
    </xf>
    <xf numFmtId="0" fontId="28" fillId="0" borderId="39" xfId="0" applyFont="1" applyFill="1" applyBorder="1" applyAlignment="1">
      <alignment horizontal="right"/>
    </xf>
    <xf numFmtId="1" fontId="30" fillId="0" borderId="32" xfId="0" applyNumberFormat="1" applyFont="1" applyFill="1" applyBorder="1" applyAlignment="1">
      <alignment horizontal="center"/>
    </xf>
    <xf numFmtId="1" fontId="30" fillId="0" borderId="16" xfId="0" applyNumberFormat="1" applyFont="1" applyFill="1" applyBorder="1" applyAlignment="1">
      <alignment horizontal="center"/>
    </xf>
    <xf numFmtId="1" fontId="30" fillId="0" borderId="33" xfId="0" applyNumberFormat="1" applyFont="1" applyFill="1" applyBorder="1" applyAlignment="1">
      <alignment horizontal="center"/>
    </xf>
    <xf numFmtId="0" fontId="28" fillId="0" borderId="32" xfId="0" applyFont="1" applyFill="1" applyBorder="1" applyAlignment="1">
      <alignment horizontal="center"/>
    </xf>
    <xf numFmtId="0" fontId="28" fillId="0" borderId="16" xfId="0" applyFont="1" applyFill="1" applyBorder="1" applyAlignment="1">
      <alignment horizontal="center"/>
    </xf>
    <xf numFmtId="0" fontId="28" fillId="0" borderId="33" xfId="0" applyFont="1" applyFill="1" applyBorder="1" applyAlignment="1">
      <alignment horizontal="center"/>
    </xf>
    <xf numFmtId="0" fontId="30" fillId="0" borderId="34" xfId="0" applyFont="1" applyFill="1" applyBorder="1" applyAlignment="1">
      <alignment horizontal="right"/>
    </xf>
    <xf numFmtId="0" fontId="30" fillId="0" borderId="4" xfId="0" applyFont="1" applyFill="1" applyBorder="1" applyAlignment="1">
      <alignment horizontal="right"/>
    </xf>
    <xf numFmtId="0" fontId="30" fillId="0" borderId="18" xfId="0" applyFont="1" applyFill="1" applyBorder="1" applyAlignment="1">
      <alignment horizontal="right"/>
    </xf>
    <xf numFmtId="166" fontId="32" fillId="0" borderId="25" xfId="0" applyNumberFormat="1" applyFont="1" applyFill="1" applyBorder="1" applyAlignment="1">
      <alignment horizontal="left" vertical="center" wrapText="1"/>
    </xf>
    <xf numFmtId="166" fontId="32" fillId="0" borderId="16" xfId="0" applyNumberFormat="1" applyFont="1" applyFill="1" applyBorder="1" applyAlignment="1">
      <alignment horizontal="left" vertical="center" wrapText="1"/>
    </xf>
    <xf numFmtId="166" fontId="32" fillId="0" borderId="15" xfId="0" applyNumberFormat="1" applyFont="1" applyFill="1" applyBorder="1" applyAlignment="1">
      <alignment horizontal="left" vertical="center" wrapText="1"/>
    </xf>
    <xf numFmtId="0" fontId="30" fillId="0" borderId="32" xfId="0" applyFont="1" applyFill="1" applyBorder="1" applyAlignment="1">
      <alignment horizontal="right"/>
    </xf>
    <xf numFmtId="0" fontId="30" fillId="0" borderId="16" xfId="0" applyFont="1" applyFill="1" applyBorder="1" applyAlignment="1">
      <alignment horizontal="right"/>
    </xf>
    <xf numFmtId="0" fontId="30" fillId="0" borderId="15" xfId="0" applyFont="1" applyFill="1" applyBorder="1" applyAlignment="1">
      <alignment horizontal="right"/>
    </xf>
    <xf numFmtId="0" fontId="30" fillId="0" borderId="3" xfId="0" applyFont="1" applyFill="1" applyBorder="1" applyAlignment="1">
      <alignment horizontal="center" vertical="center"/>
    </xf>
    <xf numFmtId="49" fontId="31" fillId="0" borderId="25" xfId="0" applyNumberFormat="1" applyFont="1" applyFill="1" applyBorder="1" applyAlignment="1">
      <alignment horizontal="left" vertical="center" wrapText="1"/>
    </xf>
    <xf numFmtId="49" fontId="31" fillId="0" borderId="16" xfId="0" applyNumberFormat="1" applyFont="1" applyFill="1" applyBorder="1" applyAlignment="1">
      <alignment horizontal="left" vertical="center" wrapText="1"/>
    </xf>
    <xf numFmtId="49" fontId="31" fillId="0" borderId="15" xfId="0" applyNumberFormat="1" applyFont="1" applyFill="1" applyBorder="1" applyAlignment="1">
      <alignment horizontal="left" vertical="center" wrapText="1"/>
    </xf>
    <xf numFmtId="49" fontId="0" fillId="0" borderId="25" xfId="0" applyNumberFormat="1" applyFont="1" applyFill="1" applyBorder="1" applyAlignment="1">
      <alignment horizontal="left" vertical="center" wrapText="1"/>
    </xf>
    <xf numFmtId="49" fontId="0" fillId="0" borderId="16" xfId="0" applyNumberFormat="1" applyFont="1" applyFill="1" applyBorder="1" applyAlignment="1">
      <alignment horizontal="left" vertical="center" wrapText="1"/>
    </xf>
    <xf numFmtId="49" fontId="0" fillId="0" borderId="15" xfId="0" applyNumberFormat="1" applyFont="1" applyFill="1" applyBorder="1" applyAlignment="1">
      <alignment horizontal="left" vertical="center" wrapText="1"/>
    </xf>
    <xf numFmtId="49" fontId="26" fillId="0" borderId="25" xfId="0" applyNumberFormat="1" applyFont="1" applyFill="1" applyBorder="1" applyAlignment="1">
      <alignment horizontal="left" vertical="center" wrapText="1"/>
    </xf>
    <xf numFmtId="49" fontId="26" fillId="0" borderId="16" xfId="0" applyNumberFormat="1" applyFont="1" applyFill="1" applyBorder="1" applyAlignment="1">
      <alignment horizontal="left" vertical="center" wrapText="1"/>
    </xf>
    <xf numFmtId="49" fontId="26" fillId="0" borderId="15" xfId="0" applyNumberFormat="1" applyFont="1" applyFill="1" applyBorder="1" applyAlignment="1">
      <alignment horizontal="left" vertical="center" wrapText="1"/>
    </xf>
    <xf numFmtId="49" fontId="55" fillId="0" borderId="25" xfId="0" applyNumberFormat="1" applyFont="1" applyFill="1" applyBorder="1" applyAlignment="1">
      <alignment horizontal="left" vertical="center" wrapText="1"/>
    </xf>
    <xf numFmtId="49" fontId="55" fillId="0" borderId="16" xfId="0" applyNumberFormat="1" applyFont="1" applyFill="1" applyBorder="1" applyAlignment="1">
      <alignment horizontal="left" vertical="center" wrapText="1"/>
    </xf>
    <xf numFmtId="49" fontId="55" fillId="0" borderId="15" xfId="0" applyNumberFormat="1" applyFont="1" applyFill="1" applyBorder="1" applyAlignment="1">
      <alignment horizontal="left" vertical="center" wrapText="1"/>
    </xf>
    <xf numFmtId="0" fontId="28" fillId="0" borderId="57" xfId="0" applyFont="1" applyFill="1" applyBorder="1" applyAlignment="1">
      <alignment horizontal="center" vertical="center" wrapText="1"/>
    </xf>
    <xf numFmtId="0" fontId="28" fillId="0" borderId="29" xfId="0" applyFont="1" applyFill="1" applyBorder="1" applyAlignment="1">
      <alignment horizontal="center" vertical="center" wrapText="1"/>
    </xf>
    <xf numFmtId="0" fontId="30" fillId="0" borderId="4" xfId="0" applyFont="1" applyFill="1" applyBorder="1" applyAlignment="1">
      <alignment horizontal="left" vertical="top" wrapText="1"/>
    </xf>
    <xf numFmtId="2" fontId="32" fillId="0" borderId="62" xfId="0" applyNumberFormat="1" applyFont="1" applyFill="1" applyBorder="1" applyAlignment="1">
      <alignment horizontal="left"/>
    </xf>
    <xf numFmtId="2" fontId="32" fillId="0" borderId="24" xfId="0" applyNumberFormat="1" applyFont="1" applyFill="1" applyBorder="1" applyAlignment="1">
      <alignment horizontal="left"/>
    </xf>
    <xf numFmtId="0" fontId="28" fillId="2" borderId="56"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34" fillId="2" borderId="27" xfId="0" applyFont="1" applyFill="1" applyBorder="1" applyAlignment="1">
      <alignment horizontal="center" vertical="center" wrapText="1"/>
    </xf>
    <xf numFmtId="0" fontId="34" fillId="2" borderId="61" xfId="0" applyFont="1" applyFill="1" applyBorder="1" applyAlignment="1">
      <alignment horizontal="center" vertical="center" wrapText="1"/>
    </xf>
    <xf numFmtId="0" fontId="34" fillId="2" borderId="0" xfId="0" applyFont="1" applyFill="1" applyBorder="1" applyAlignment="1">
      <alignment horizontal="center" vertical="center" wrapText="1"/>
    </xf>
    <xf numFmtId="0" fontId="34" fillId="2" borderId="21" xfId="0" applyFont="1" applyFill="1" applyBorder="1" applyAlignment="1">
      <alignment horizontal="center" vertical="center" wrapText="1"/>
    </xf>
    <xf numFmtId="0" fontId="28" fillId="2" borderId="0" xfId="0" applyFont="1" applyFill="1" applyBorder="1" applyAlignment="1">
      <alignment horizontal="center" vertical="center" wrapText="1"/>
    </xf>
    <xf numFmtId="0" fontId="28" fillId="2" borderId="21" xfId="0" applyFont="1" applyFill="1" applyBorder="1" applyAlignment="1">
      <alignment horizontal="center" vertical="center" wrapText="1"/>
    </xf>
    <xf numFmtId="0" fontId="28" fillId="2" borderId="24" xfId="0" applyFont="1" applyFill="1" applyBorder="1" applyAlignment="1">
      <alignment horizontal="center" vertical="center" wrapText="1"/>
    </xf>
    <xf numFmtId="0" fontId="28" fillId="2" borderId="20" xfId="0" applyFont="1" applyFill="1" applyBorder="1" applyAlignment="1">
      <alignment horizontal="center" vertical="center" wrapText="1"/>
    </xf>
    <xf numFmtId="0" fontId="30" fillId="0" borderId="0" xfId="0" applyFont="1" applyFill="1" applyBorder="1" applyAlignment="1">
      <alignment horizontal="left" vertical="top" wrapText="1"/>
    </xf>
    <xf numFmtId="0" fontId="28" fillId="0" borderId="64" xfId="0" applyFont="1" applyFill="1" applyBorder="1" applyAlignment="1">
      <alignment horizontal="center" vertical="center" wrapText="1"/>
    </xf>
    <xf numFmtId="0" fontId="28" fillId="0" borderId="47" xfId="0" applyFont="1" applyFill="1" applyBorder="1" applyAlignment="1">
      <alignment horizontal="center" vertical="center" wrapText="1"/>
    </xf>
    <xf numFmtId="0" fontId="30" fillId="0" borderId="4" xfId="0" applyFont="1" applyFill="1" applyBorder="1" applyAlignment="1">
      <alignment horizontal="center" vertical="top" wrapText="1"/>
    </xf>
    <xf numFmtId="0" fontId="30" fillId="0" borderId="0" xfId="0" applyFont="1" applyFill="1" applyBorder="1" applyAlignment="1">
      <alignment horizontal="center" vertical="top" wrapText="1"/>
    </xf>
    <xf numFmtId="49" fontId="32" fillId="0" borderId="25" xfId="0" applyNumberFormat="1" applyFont="1" applyFill="1" applyBorder="1" applyAlignment="1">
      <alignment horizontal="left" vertical="center" wrapText="1"/>
    </xf>
    <xf numFmtId="49" fontId="32" fillId="0" borderId="16" xfId="0" applyNumberFormat="1" applyFont="1" applyFill="1" applyBorder="1" applyAlignment="1">
      <alignment horizontal="left" vertical="center" wrapText="1"/>
    </xf>
    <xf numFmtId="49" fontId="32" fillId="0" borderId="15" xfId="0" applyNumberFormat="1" applyFont="1" applyFill="1" applyBorder="1" applyAlignment="1">
      <alignment horizontal="left" vertical="center" wrapText="1"/>
    </xf>
    <xf numFmtId="0" fontId="32" fillId="0" borderId="3" xfId="0" applyFont="1" applyFill="1" applyBorder="1" applyAlignment="1">
      <alignment horizontal="center" vertical="center"/>
    </xf>
    <xf numFmtId="0" fontId="30" fillId="0" borderId="0" xfId="0" applyFont="1" applyAlignment="1">
      <alignment horizontal="center" vertical="center"/>
    </xf>
    <xf numFmtId="49" fontId="55" fillId="2" borderId="25" xfId="0" applyNumberFormat="1" applyFont="1" applyFill="1" applyBorder="1" applyAlignment="1">
      <alignment horizontal="left" vertical="top" wrapText="1"/>
    </xf>
    <xf numFmtId="49" fontId="55" fillId="2" borderId="16" xfId="0" applyNumberFormat="1" applyFont="1" applyFill="1" applyBorder="1" applyAlignment="1">
      <alignment horizontal="left" vertical="top" wrapText="1"/>
    </xf>
    <xf numFmtId="49" fontId="55" fillId="2" borderId="15" xfId="0" applyNumberFormat="1" applyFont="1" applyFill="1" applyBorder="1" applyAlignment="1">
      <alignment horizontal="left" vertical="top" wrapText="1"/>
    </xf>
    <xf numFmtId="0" fontId="28" fillId="2" borderId="57" xfId="0" applyFont="1" applyFill="1" applyBorder="1" applyAlignment="1">
      <alignment horizontal="center" vertical="center" wrapText="1"/>
    </xf>
    <xf numFmtId="0" fontId="28" fillId="2" borderId="29" xfId="0" applyFont="1" applyFill="1" applyBorder="1" applyAlignment="1">
      <alignment horizontal="center" vertical="center" wrapText="1"/>
    </xf>
    <xf numFmtId="0" fontId="30" fillId="2" borderId="18" xfId="0" applyFont="1" applyFill="1" applyBorder="1" applyAlignment="1">
      <alignment horizontal="left" vertical="top" wrapText="1"/>
    </xf>
    <xf numFmtId="0" fontId="56" fillId="0" borderId="7" xfId="0" applyFont="1" applyBorder="1" applyAlignment="1">
      <alignment horizontal="center" vertical="center"/>
    </xf>
    <xf numFmtId="0" fontId="38" fillId="7" borderId="32" xfId="0" applyFont="1" applyFill="1" applyBorder="1" applyAlignment="1">
      <alignment horizontal="left" wrapText="1"/>
    </xf>
    <xf numFmtId="0" fontId="38" fillId="7" borderId="15" xfId="0" applyFont="1" applyFill="1" applyBorder="1" applyAlignment="1">
      <alignment horizontal="left" wrapText="1"/>
    </xf>
    <xf numFmtId="0" fontId="2" fillId="7" borderId="41" xfId="0" applyFont="1" applyFill="1" applyBorder="1" applyAlignment="1">
      <alignment horizontal="left"/>
    </xf>
    <xf numFmtId="0" fontId="2" fillId="7" borderId="152" xfId="0" applyFont="1" applyFill="1" applyBorder="1" applyAlignment="1">
      <alignment horizontal="left"/>
    </xf>
    <xf numFmtId="0" fontId="36" fillId="0" borderId="41" xfId="0" applyFont="1" applyBorder="1" applyAlignment="1">
      <alignment horizontal="center"/>
    </xf>
    <xf numFmtId="0" fontId="36" fillId="0" borderId="42" xfId="0" applyFont="1" applyBorder="1" applyAlignment="1">
      <alignment horizontal="center"/>
    </xf>
    <xf numFmtId="0" fontId="36" fillId="0" borderId="43" xfId="0" applyFont="1" applyBorder="1" applyAlignment="1">
      <alignment horizontal="center"/>
    </xf>
    <xf numFmtId="0" fontId="2" fillId="0" borderId="30" xfId="0" applyFont="1" applyBorder="1" applyAlignment="1">
      <alignment horizontal="center" vertical="center"/>
    </xf>
    <xf numFmtId="167" fontId="20" fillId="0" borderId="3" xfId="14" applyFont="1" applyFill="1" applyBorder="1" applyAlignment="1">
      <alignment horizontal="center" vertical="center"/>
    </xf>
    <xf numFmtId="167" fontId="20" fillId="0" borderId="3" xfId="14" applyFont="1" applyFill="1" applyBorder="1" applyAlignment="1">
      <alignment horizontal="right" vertical="center"/>
    </xf>
    <xf numFmtId="167" fontId="20" fillId="0" borderId="29" xfId="14" applyFont="1" applyFill="1" applyBorder="1" applyAlignment="1">
      <alignment horizontal="center" vertical="center"/>
    </xf>
    <xf numFmtId="0" fontId="49" fillId="0" borderId="7" xfId="0" applyFont="1" applyBorder="1" applyAlignment="1">
      <alignment horizontal="center" vertical="center"/>
    </xf>
    <xf numFmtId="49" fontId="20" fillId="0" borderId="3" xfId="14" applyNumberFormat="1" applyFont="1" applyFill="1" applyBorder="1" applyAlignment="1">
      <alignment horizontal="center" vertical="center" wrapText="1"/>
    </xf>
    <xf numFmtId="4" fontId="39" fillId="7" borderId="3" xfId="0" applyNumberFormat="1" applyFont="1" applyFill="1" applyBorder="1" applyAlignment="1">
      <alignment horizontal="center" vertical="center" wrapText="1"/>
    </xf>
    <xf numFmtId="4" fontId="39" fillId="7" borderId="29" xfId="0" applyNumberFormat="1" applyFont="1" applyFill="1" applyBorder="1" applyAlignment="1">
      <alignment horizontal="center" vertical="center" wrapText="1"/>
    </xf>
    <xf numFmtId="0" fontId="49" fillId="2" borderId="26" xfId="0" applyFont="1" applyFill="1" applyBorder="1" applyAlignment="1">
      <alignment horizontal="center" wrapText="1"/>
    </xf>
    <xf numFmtId="0" fontId="49" fillId="2" borderId="27" xfId="0" applyFont="1" applyFill="1" applyBorder="1" applyAlignment="1">
      <alignment horizontal="center" wrapText="1"/>
    </xf>
    <xf numFmtId="0" fontId="49" fillId="2" borderId="28" xfId="0" applyFont="1" applyFill="1" applyBorder="1" applyAlignment="1">
      <alignment horizontal="center" wrapText="1"/>
    </xf>
    <xf numFmtId="0" fontId="49" fillId="2" borderId="2" xfId="0" applyFont="1" applyFill="1" applyBorder="1" applyAlignment="1">
      <alignment horizontal="center" wrapText="1"/>
    </xf>
    <xf numFmtId="0" fontId="49" fillId="2" borderId="0" xfId="0" applyFont="1" applyFill="1" applyBorder="1" applyAlignment="1">
      <alignment horizontal="center" wrapText="1"/>
    </xf>
    <xf numFmtId="0" fontId="49" fillId="2" borderId="9" xfId="0" applyFont="1" applyFill="1" applyBorder="1" applyAlignment="1">
      <alignment horizontal="center" wrapText="1"/>
    </xf>
    <xf numFmtId="0" fontId="2" fillId="7" borderId="30"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7" borderId="25" xfId="0" applyFont="1" applyFill="1" applyBorder="1" applyAlignment="1">
      <alignment horizontal="center" vertical="center" wrapText="1"/>
    </xf>
    <xf numFmtId="0" fontId="2" fillId="7" borderId="23" xfId="0" applyFont="1" applyFill="1" applyBorder="1" applyAlignment="1">
      <alignment horizontal="center" vertical="center" wrapText="1"/>
    </xf>
    <xf numFmtId="4" fontId="39" fillId="7" borderId="15" xfId="0" applyNumberFormat="1" applyFont="1" applyFill="1" applyBorder="1" applyAlignment="1">
      <alignment horizontal="center" vertical="center" wrapText="1"/>
    </xf>
    <xf numFmtId="0" fontId="2" fillId="0" borderId="3" xfId="0" applyFont="1" applyBorder="1" applyAlignment="1">
      <alignment horizontal="center" wrapText="1"/>
    </xf>
  </cellXfs>
  <cellStyles count="2184">
    <cellStyle name="20% - Accent1" xfId="22"/>
    <cellStyle name="20% - Accent1 2" xfId="1915"/>
    <cellStyle name="20% - Accent1 2 2" xfId="2003"/>
    <cellStyle name="20% - Accent2" xfId="23"/>
    <cellStyle name="20% - Accent2 2" xfId="1916"/>
    <cellStyle name="20% - Accent2 2 2" xfId="2004"/>
    <cellStyle name="20% - Accent3" xfId="24"/>
    <cellStyle name="20% - Accent3 2" xfId="1917"/>
    <cellStyle name="20% - Accent3 2 2" xfId="2005"/>
    <cellStyle name="20% - Accent4" xfId="25"/>
    <cellStyle name="20% - Accent4 2" xfId="1918"/>
    <cellStyle name="20% - Accent4 2 2" xfId="2006"/>
    <cellStyle name="20% - Accent5" xfId="26"/>
    <cellStyle name="20% - Accent5 2" xfId="1919"/>
    <cellStyle name="20% - Accent5 2 2" xfId="2007"/>
    <cellStyle name="20% - Accent6" xfId="27"/>
    <cellStyle name="20% - Accent6 2" xfId="1920"/>
    <cellStyle name="20% - Accent6 2 2" xfId="2008"/>
    <cellStyle name="20% - Cor1 2" xfId="28"/>
    <cellStyle name="20% - Cor2 2" xfId="29"/>
    <cellStyle name="20% - Cor3 2" xfId="30"/>
    <cellStyle name="20% - Cor4 2" xfId="31"/>
    <cellStyle name="20% - Cor5 2" xfId="32"/>
    <cellStyle name="20% - Cor6 2" xfId="33"/>
    <cellStyle name="20% - Ênfase1 2" xfId="120"/>
    <cellStyle name="20% - Ênfase1 2 2" xfId="121"/>
    <cellStyle name="20% - Ênfase1 2 2 2" xfId="122"/>
    <cellStyle name="20% - Ênfase1 2 2 2 2" xfId="123"/>
    <cellStyle name="20% - Ênfase1 2 2 3" xfId="124"/>
    <cellStyle name="20% - Ênfase1 2 3" xfId="125"/>
    <cellStyle name="20% - Ênfase1 2 3 2" xfId="126"/>
    <cellStyle name="20% - Ênfase1 2 4" xfId="127"/>
    <cellStyle name="20% - Ênfase2 2" xfId="128"/>
    <cellStyle name="20% - Ênfase2 2 2" xfId="129"/>
    <cellStyle name="20% - Ênfase2 2 2 2" xfId="130"/>
    <cellStyle name="20% - Ênfase2 2 2 2 2" xfId="131"/>
    <cellStyle name="20% - Ênfase2 2 2 3" xfId="132"/>
    <cellStyle name="20% - Ênfase2 2 3" xfId="133"/>
    <cellStyle name="20% - Ênfase2 2 3 2" xfId="134"/>
    <cellStyle name="20% - Ênfase2 2 4" xfId="135"/>
    <cellStyle name="20% - Ênfase3 2" xfId="136"/>
    <cellStyle name="20% - Ênfase3 2 2" xfId="137"/>
    <cellStyle name="20% - Ênfase3 2 2 2" xfId="138"/>
    <cellStyle name="20% - Ênfase3 2 2 2 2" xfId="139"/>
    <cellStyle name="20% - Ênfase3 2 2 3" xfId="140"/>
    <cellStyle name="20% - Ênfase3 2 3" xfId="141"/>
    <cellStyle name="20% - Ênfase3 2 3 2" xfId="142"/>
    <cellStyle name="20% - Ênfase3 2 4" xfId="143"/>
    <cellStyle name="20% - Ênfase4 2" xfId="144"/>
    <cellStyle name="20% - Ênfase4 2 2" xfId="145"/>
    <cellStyle name="20% - Ênfase4 2 2 2" xfId="146"/>
    <cellStyle name="20% - Ênfase4 2 2 2 2" xfId="147"/>
    <cellStyle name="20% - Ênfase4 2 2 3" xfId="148"/>
    <cellStyle name="20% - Ênfase4 2 3" xfId="149"/>
    <cellStyle name="20% - Ênfase4 2 3 2" xfId="150"/>
    <cellStyle name="20% - Ênfase4 2 4" xfId="151"/>
    <cellStyle name="20% - Ênfase5 2" xfId="152"/>
    <cellStyle name="20% - Ênfase5 2 2" xfId="153"/>
    <cellStyle name="20% - Ênfase5 2 2 2" xfId="154"/>
    <cellStyle name="20% - Ênfase5 2 2 2 2" xfId="155"/>
    <cellStyle name="20% - Ênfase5 2 2 3" xfId="156"/>
    <cellStyle name="20% - Ênfase5 2 3" xfId="157"/>
    <cellStyle name="20% - Ênfase5 2 3 2" xfId="158"/>
    <cellStyle name="20% - Ênfase5 2 4" xfId="159"/>
    <cellStyle name="20% - Ênfase6 2" xfId="160"/>
    <cellStyle name="20% - Ênfase6 2 2" xfId="161"/>
    <cellStyle name="20% - Ênfase6 2 2 2" xfId="162"/>
    <cellStyle name="20% - Ênfase6 2 2 2 2" xfId="163"/>
    <cellStyle name="20% - Ênfase6 2 2 3" xfId="164"/>
    <cellStyle name="20% - Ênfase6 2 3" xfId="165"/>
    <cellStyle name="20% - Ênfase6 2 3 2" xfId="166"/>
    <cellStyle name="20% - Ênfase6 2 4" xfId="167"/>
    <cellStyle name="40% - Accent1" xfId="34"/>
    <cellStyle name="40% - Accent1 2" xfId="1921"/>
    <cellStyle name="40% - Accent1 2 2" xfId="2009"/>
    <cellStyle name="40% - Accent2" xfId="35"/>
    <cellStyle name="40% - Accent2 2" xfId="1922"/>
    <cellStyle name="40% - Accent2 2 2" xfId="2010"/>
    <cellStyle name="40% - Accent3" xfId="36"/>
    <cellStyle name="40% - Accent3 2" xfId="1923"/>
    <cellStyle name="40% - Accent3 2 2" xfId="2011"/>
    <cellStyle name="40% - Accent4" xfId="37"/>
    <cellStyle name="40% - Accent4 2" xfId="1924"/>
    <cellStyle name="40% - Accent4 2 2" xfId="2012"/>
    <cellStyle name="40% - Accent5" xfId="38"/>
    <cellStyle name="40% - Accent5 2" xfId="1925"/>
    <cellStyle name="40% - Accent5 2 2" xfId="2013"/>
    <cellStyle name="40% - Accent6" xfId="39"/>
    <cellStyle name="40% - Accent6 2" xfId="1926"/>
    <cellStyle name="40% - Accent6 2 2" xfId="2014"/>
    <cellStyle name="40% - Cor1 2" xfId="40"/>
    <cellStyle name="40% - Cor2 2" xfId="41"/>
    <cellStyle name="40% - Cor3 2" xfId="42"/>
    <cellStyle name="40% - Cor4 2" xfId="43"/>
    <cellStyle name="40% - Cor5 2" xfId="44"/>
    <cellStyle name="40% - Cor6 2" xfId="45"/>
    <cellStyle name="40% - Ênfase1 2" xfId="168"/>
    <cellStyle name="40% - Ênfase1 2 2" xfId="169"/>
    <cellStyle name="40% - Ênfase1 2 2 2" xfId="170"/>
    <cellStyle name="40% - Ênfase1 2 2 2 2" xfId="171"/>
    <cellStyle name="40% - Ênfase1 2 2 3" xfId="172"/>
    <cellStyle name="40% - Ênfase1 2 3" xfId="173"/>
    <cellStyle name="40% - Ênfase1 2 3 2" xfId="174"/>
    <cellStyle name="40% - Ênfase1 2 4" xfId="175"/>
    <cellStyle name="40% - Ênfase2 2" xfId="176"/>
    <cellStyle name="40% - Ênfase2 2 2" xfId="177"/>
    <cellStyle name="40% - Ênfase2 2 2 2" xfId="178"/>
    <cellStyle name="40% - Ênfase2 2 2 2 2" xfId="179"/>
    <cellStyle name="40% - Ênfase2 2 2 3" xfId="180"/>
    <cellStyle name="40% - Ênfase2 2 3" xfId="181"/>
    <cellStyle name="40% - Ênfase2 2 3 2" xfId="182"/>
    <cellStyle name="40% - Ênfase2 2 4" xfId="183"/>
    <cellStyle name="40% - Ênfase3 2" xfId="184"/>
    <cellStyle name="40% - Ênfase3 2 2" xfId="185"/>
    <cellStyle name="40% - Ênfase3 2 2 2" xfId="186"/>
    <cellStyle name="40% - Ênfase3 2 2 2 2" xfId="187"/>
    <cellStyle name="40% - Ênfase3 2 2 3" xfId="188"/>
    <cellStyle name="40% - Ênfase3 2 3" xfId="189"/>
    <cellStyle name="40% - Ênfase3 2 3 2" xfId="190"/>
    <cellStyle name="40% - Ênfase3 2 4" xfId="191"/>
    <cellStyle name="40% - Ênfase4 2" xfId="192"/>
    <cellStyle name="40% - Ênfase4 2 2" xfId="193"/>
    <cellStyle name="40% - Ênfase4 2 2 2" xfId="194"/>
    <cellStyle name="40% - Ênfase4 2 2 2 2" xfId="195"/>
    <cellStyle name="40% - Ênfase4 2 2 3" xfId="196"/>
    <cellStyle name="40% - Ênfase4 2 3" xfId="197"/>
    <cellStyle name="40% - Ênfase4 2 3 2" xfId="198"/>
    <cellStyle name="40% - Ênfase4 2 4" xfId="199"/>
    <cellStyle name="40% - Ênfase5 2" xfId="200"/>
    <cellStyle name="40% - Ênfase5 2 2" xfId="201"/>
    <cellStyle name="40% - Ênfase5 2 2 2" xfId="202"/>
    <cellStyle name="40% - Ênfase5 2 2 2 2" xfId="203"/>
    <cellStyle name="40% - Ênfase5 2 2 3" xfId="204"/>
    <cellStyle name="40% - Ênfase5 2 3" xfId="205"/>
    <cellStyle name="40% - Ênfase5 2 3 2" xfId="206"/>
    <cellStyle name="40% - Ênfase5 2 4" xfId="207"/>
    <cellStyle name="40% - Ênfase6 2" xfId="208"/>
    <cellStyle name="40% - Ênfase6 2 2" xfId="209"/>
    <cellStyle name="40% - Ênfase6 2 2 2" xfId="210"/>
    <cellStyle name="40% - Ênfase6 2 2 2 2" xfId="211"/>
    <cellStyle name="40% - Ênfase6 2 2 3" xfId="212"/>
    <cellStyle name="40% - Ênfase6 2 3" xfId="213"/>
    <cellStyle name="40% - Ênfase6 2 3 2" xfId="214"/>
    <cellStyle name="40% - Ênfase6 2 4" xfId="215"/>
    <cellStyle name="60% - Accent1" xfId="46"/>
    <cellStyle name="60% - Accent1 2" xfId="1927"/>
    <cellStyle name="60% - Accent1 2 2" xfId="2015"/>
    <cellStyle name="60% - Accent2" xfId="47"/>
    <cellStyle name="60% - Accent2 2" xfId="1928"/>
    <cellStyle name="60% - Accent2 2 2" xfId="2016"/>
    <cellStyle name="60% - Accent3" xfId="48"/>
    <cellStyle name="60% - Accent3 2" xfId="1929"/>
    <cellStyle name="60% - Accent3 2 2" xfId="2017"/>
    <cellStyle name="60% - Accent4" xfId="49"/>
    <cellStyle name="60% - Accent4 2" xfId="1930"/>
    <cellStyle name="60% - Accent4 2 2" xfId="2018"/>
    <cellStyle name="60% - Accent5" xfId="50"/>
    <cellStyle name="60% - Accent5 2" xfId="1931"/>
    <cellStyle name="60% - Accent5 2 2" xfId="2019"/>
    <cellStyle name="60% - Accent6" xfId="51"/>
    <cellStyle name="60% - Accent6 2" xfId="1932"/>
    <cellStyle name="60% - Accent6 2 2" xfId="2020"/>
    <cellStyle name="60% - Cor1 2" xfId="52"/>
    <cellStyle name="60% - Cor2 2" xfId="53"/>
    <cellStyle name="60% - Cor3 2" xfId="54"/>
    <cellStyle name="60% - Cor4 2" xfId="55"/>
    <cellStyle name="60% - Cor5 2" xfId="56"/>
    <cellStyle name="60% - Cor6 2" xfId="57"/>
    <cellStyle name="60% - Ênfase1 2" xfId="216"/>
    <cellStyle name="60% - Ênfase2 2" xfId="217"/>
    <cellStyle name="60% - Ênfase3 2" xfId="218"/>
    <cellStyle name="60% - Ênfase4 2" xfId="219"/>
    <cellStyle name="60% - Ênfase5 2" xfId="220"/>
    <cellStyle name="60% - Ênfase6 2" xfId="221"/>
    <cellStyle name="Accent1" xfId="58"/>
    <cellStyle name="Accent1 2" xfId="1933"/>
    <cellStyle name="Accent1 2 2" xfId="2021"/>
    <cellStyle name="Accent2" xfId="59"/>
    <cellStyle name="Accent2 2" xfId="1934"/>
    <cellStyle name="Accent2 2 2" xfId="2022"/>
    <cellStyle name="Accent3" xfId="60"/>
    <cellStyle name="Accent3 2" xfId="1935"/>
    <cellStyle name="Accent3 2 2" xfId="2023"/>
    <cellStyle name="Accent4" xfId="61"/>
    <cellStyle name="Accent4 2" xfId="1936"/>
    <cellStyle name="Accent4 2 2" xfId="2024"/>
    <cellStyle name="Accent5" xfId="62"/>
    <cellStyle name="Accent5 2" xfId="1937"/>
    <cellStyle name="Accent5 2 2" xfId="2025"/>
    <cellStyle name="Accent6" xfId="63"/>
    <cellStyle name="Accent6 2" xfId="1938"/>
    <cellStyle name="Accent6 2 2" xfId="2026"/>
    <cellStyle name="asd" xfId="1939"/>
    <cellStyle name="Bad" xfId="64"/>
    <cellStyle name="Bad 2" xfId="1940"/>
    <cellStyle name="Bad 2 2" xfId="2027"/>
    <cellStyle name="Bom 2" xfId="65"/>
    <cellStyle name="Bom 2 2" xfId="222"/>
    <cellStyle name="Bom 2 3" xfId="1688"/>
    <cellStyle name="Bom 2 4" xfId="1762"/>
    <cellStyle name="Cabeçalho 1 2" xfId="66"/>
    <cellStyle name="Cabeçalho 2 2" xfId="67"/>
    <cellStyle name="Cabeçalho 3 2" xfId="68"/>
    <cellStyle name="Cabeçalho 4 2" xfId="69"/>
    <cellStyle name="Calculation" xfId="70"/>
    <cellStyle name="Calculation 2" xfId="1941"/>
    <cellStyle name="Calculation 2 2" xfId="2028"/>
    <cellStyle name="Cálculo 2" xfId="72"/>
    <cellStyle name="Cálculo 2 2" xfId="223"/>
    <cellStyle name="Cálculo 2 3" xfId="1689"/>
    <cellStyle name="Cálculo 2 4" xfId="1761"/>
    <cellStyle name="Cálculo 3" xfId="71"/>
    <cellStyle name="Célula de Verificação 2" xfId="73"/>
    <cellStyle name="Célula de Verificação 2 2" xfId="224"/>
    <cellStyle name="Célula de Verificação 2 3" xfId="1690"/>
    <cellStyle name="Célula de Verificação 2 4" xfId="1760"/>
    <cellStyle name="Célula Ligada 2" xfId="74"/>
    <cellStyle name="Célula Vinculada 2" xfId="225"/>
    <cellStyle name="Check Cell" xfId="75"/>
    <cellStyle name="Check Cell 2" xfId="1942"/>
    <cellStyle name="Check Cell 2 2" xfId="2029"/>
    <cellStyle name="Comma 2" xfId="1943"/>
    <cellStyle name="Comma 2 2" xfId="1968"/>
    <cellStyle name="Company Logo" xfId="226"/>
    <cellStyle name="Cor1 2" xfId="76"/>
    <cellStyle name="Cor2 2" xfId="77"/>
    <cellStyle name="Cor3 2" xfId="78"/>
    <cellStyle name="Cor4 2" xfId="79"/>
    <cellStyle name="Cor5 2" xfId="80"/>
    <cellStyle name="Cor6 2" xfId="81"/>
    <cellStyle name="Correcto" xfId="82"/>
    <cellStyle name="Data Headings" xfId="227"/>
    <cellStyle name="Data Headings 2" xfId="228"/>
    <cellStyle name="Data Input" xfId="229"/>
    <cellStyle name="Ênfase1 2" xfId="230"/>
    <cellStyle name="Ênfase2 2" xfId="231"/>
    <cellStyle name="Ênfase3 2" xfId="232"/>
    <cellStyle name="Ênfase4 2" xfId="233"/>
    <cellStyle name="Ênfase5 2" xfId="234"/>
    <cellStyle name="Ênfase6 2" xfId="235"/>
    <cellStyle name="Entrada 2" xfId="84"/>
    <cellStyle name="Entrada 2 2" xfId="236"/>
    <cellStyle name="Entrada 2 3" xfId="1691"/>
    <cellStyle name="Entrada 2 4" xfId="1759"/>
    <cellStyle name="Entrada 3" xfId="83"/>
    <cellStyle name="Estilo 1" xfId="85"/>
    <cellStyle name="Estilo 1 2" xfId="238"/>
    <cellStyle name="Estilo 1 2 2" xfId="239"/>
    <cellStyle name="Estilo 1 2 2 2" xfId="240"/>
    <cellStyle name="Estilo 1 2 3" xfId="241"/>
    <cellStyle name="Estilo 1 2 3 2" xfId="242"/>
    <cellStyle name="Estilo 1 2 4" xfId="243"/>
    <cellStyle name="Estilo 1 3" xfId="244"/>
    <cellStyle name="Estilo 1 3 2" xfId="245"/>
    <cellStyle name="Estilo 1 3 2 2" xfId="246"/>
    <cellStyle name="Estilo 1 3 3" xfId="247"/>
    <cellStyle name="Estilo 1 3 3 2" xfId="248"/>
    <cellStyle name="Estilo 1 3 4" xfId="249"/>
    <cellStyle name="Estilo 1 4" xfId="250"/>
    <cellStyle name="Estilo 1 5" xfId="237"/>
    <cellStyle name="Estilo 1 6" xfId="1692"/>
    <cellStyle name="Estilo 1 7" xfId="1758"/>
    <cellStyle name="Euro" xfId="251"/>
    <cellStyle name="Euro 2" xfId="252"/>
    <cellStyle name="Euro 2 2" xfId="253"/>
    <cellStyle name="Euro 2 3" xfId="1969"/>
    <cellStyle name="Euro 2 3 2" xfId="2044"/>
    <cellStyle name="Euro 3" xfId="254"/>
    <cellStyle name="Euro 4" xfId="255"/>
    <cellStyle name="Euro 5" xfId="1944"/>
    <cellStyle name="Euro 5 2" xfId="2043"/>
    <cellStyle name="Explanatory Text" xfId="86"/>
    <cellStyle name="Explanatory Text 2" xfId="1945"/>
    <cellStyle name="Explanatory Text 2 2" xfId="2030"/>
    <cellStyle name="Good" xfId="87"/>
    <cellStyle name="Good 2" xfId="1946"/>
    <cellStyle name="Good 2 2" xfId="2031"/>
    <cellStyle name="Heading 1" xfId="88"/>
    <cellStyle name="Heading 1 2" xfId="1947"/>
    <cellStyle name="Heading 1 2 2" xfId="2032"/>
    <cellStyle name="Heading 2" xfId="89"/>
    <cellStyle name="Heading 2 2" xfId="1948"/>
    <cellStyle name="Heading 2 2 2" xfId="2033"/>
    <cellStyle name="Heading 3" xfId="90"/>
    <cellStyle name="Heading 3 2" xfId="1949"/>
    <cellStyle name="Heading 3 2 2" xfId="2034"/>
    <cellStyle name="Heading 4" xfId="91"/>
    <cellStyle name="Heading 4 2" xfId="1950"/>
    <cellStyle name="Heading 4 2 2" xfId="2035"/>
    <cellStyle name="Hiperlink" xfId="8" builtinId="8"/>
    <cellStyle name="Hyperlink 2" xfId="1893"/>
    <cellStyle name="Incorrecto 2" xfId="92"/>
    <cellStyle name="Incorreto 2" xfId="256"/>
    <cellStyle name="Input" xfId="93"/>
    <cellStyle name="Input 2" xfId="1951"/>
    <cellStyle name="Input 2 2" xfId="2036"/>
    <cellStyle name="Linked Cell" xfId="94"/>
    <cellStyle name="Linked Cell 2" xfId="1952"/>
    <cellStyle name="Linked Cell 2 2" xfId="2037"/>
    <cellStyle name="material" xfId="257"/>
    <cellStyle name="material 2" xfId="258"/>
    <cellStyle name="Moeda" xfId="1" builtinId="4"/>
    <cellStyle name="Moeda 10" xfId="1894"/>
    <cellStyle name="Moeda 11" xfId="2183"/>
    <cellStyle name="Moeda 2" xfId="259"/>
    <cellStyle name="Moeda 2 10" xfId="260"/>
    <cellStyle name="Moeda 2 10 2" xfId="261"/>
    <cellStyle name="Moeda 2 11" xfId="262"/>
    <cellStyle name="Moeda 2 11 2" xfId="263"/>
    <cellStyle name="Moeda 2 12" xfId="264"/>
    <cellStyle name="Moeda 2 12 2" xfId="265"/>
    <cellStyle name="Moeda 2 13" xfId="266"/>
    <cellStyle name="Moeda 2 13 2" xfId="267"/>
    <cellStyle name="Moeda 2 13 2 2" xfId="268"/>
    <cellStyle name="Moeda 2 13 3" xfId="269"/>
    <cellStyle name="Moeda 2 13 3 2" xfId="1768"/>
    <cellStyle name="Moeda 2 13 3 3" xfId="2047"/>
    <cellStyle name="Moeda 2 13 4" xfId="1767"/>
    <cellStyle name="Moeda 2 13 5" xfId="2046"/>
    <cellStyle name="Moeda 2 14" xfId="270"/>
    <cellStyle name="Moeda 2 14 2" xfId="271"/>
    <cellStyle name="Moeda 2 15" xfId="272"/>
    <cellStyle name="Moeda 2 15 2" xfId="273"/>
    <cellStyle name="Moeda 2 16" xfId="274"/>
    <cellStyle name="Moeda 2 16 2" xfId="275"/>
    <cellStyle name="Moeda 2 17" xfId="276"/>
    <cellStyle name="Moeda 2 17 2" xfId="277"/>
    <cellStyle name="Moeda 2 18" xfId="278"/>
    <cellStyle name="Moeda 2 18 2" xfId="279"/>
    <cellStyle name="Moeda 2 19" xfId="280"/>
    <cellStyle name="Moeda 2 19 2" xfId="281"/>
    <cellStyle name="Moeda 2 2" xfId="282"/>
    <cellStyle name="Moeda 2 2 10" xfId="283"/>
    <cellStyle name="Moeda 2 2 10 2" xfId="284"/>
    <cellStyle name="Moeda 2 2 11" xfId="285"/>
    <cellStyle name="Moeda 2 2 12" xfId="286"/>
    <cellStyle name="Moeda 2 2 2" xfId="287"/>
    <cellStyle name="Moeda 2 2 2 2" xfId="288"/>
    <cellStyle name="Moeda 2 2 3" xfId="289"/>
    <cellStyle name="Moeda 2 2 3 2" xfId="290"/>
    <cellStyle name="Moeda 2 2 4" xfId="291"/>
    <cellStyle name="Moeda 2 2 4 2" xfId="292"/>
    <cellStyle name="Moeda 2 2 5" xfId="293"/>
    <cellStyle name="Moeda 2 2 5 2" xfId="294"/>
    <cellStyle name="Moeda 2 2 6" xfId="295"/>
    <cellStyle name="Moeda 2 2 6 2" xfId="296"/>
    <cellStyle name="Moeda 2 2 7" xfId="297"/>
    <cellStyle name="Moeda 2 2 7 2" xfId="298"/>
    <cellStyle name="Moeda 2 2 8" xfId="299"/>
    <cellStyle name="Moeda 2 2 8 2" xfId="300"/>
    <cellStyle name="Moeda 2 2 9" xfId="301"/>
    <cellStyle name="Moeda 2 2 9 2" xfId="302"/>
    <cellStyle name="Moeda 2 20" xfId="303"/>
    <cellStyle name="Moeda 2 20 2" xfId="304"/>
    <cellStyle name="Moeda 2 21" xfId="305"/>
    <cellStyle name="Moeda 2 22" xfId="306"/>
    <cellStyle name="Moeda 2 23" xfId="1953"/>
    <cellStyle name="Moeda 2 23 2" xfId="9"/>
    <cellStyle name="Moeda 2 23 3" xfId="2045"/>
    <cellStyle name="Moeda 2 3" xfId="307"/>
    <cellStyle name="Moeda 2 3 10" xfId="308"/>
    <cellStyle name="Moeda 2 3 10 2" xfId="309"/>
    <cellStyle name="Moeda 2 3 11" xfId="310"/>
    <cellStyle name="Moeda 2 3 2" xfId="311"/>
    <cellStyle name="Moeda 2 3 2 2" xfId="312"/>
    <cellStyle name="Moeda 2 3 3" xfId="313"/>
    <cellStyle name="Moeda 2 3 3 2" xfId="314"/>
    <cellStyle name="Moeda 2 3 4" xfId="315"/>
    <cellStyle name="Moeda 2 3 4 2" xfId="316"/>
    <cellStyle name="Moeda 2 3 5" xfId="317"/>
    <cellStyle name="Moeda 2 3 5 2" xfId="318"/>
    <cellStyle name="Moeda 2 3 6" xfId="319"/>
    <cellStyle name="Moeda 2 3 6 2" xfId="320"/>
    <cellStyle name="Moeda 2 3 7" xfId="321"/>
    <cellStyle name="Moeda 2 3 7 2" xfId="322"/>
    <cellStyle name="Moeda 2 3 8" xfId="323"/>
    <cellStyle name="Moeda 2 3 8 2" xfId="324"/>
    <cellStyle name="Moeda 2 3 9" xfId="325"/>
    <cellStyle name="Moeda 2 3 9 2" xfId="326"/>
    <cellStyle name="Moeda 2 4" xfId="327"/>
    <cellStyle name="Moeda 2 4 2" xfId="328"/>
    <cellStyle name="Moeda 2 5" xfId="329"/>
    <cellStyle name="Moeda 2 5 2" xfId="330"/>
    <cellStyle name="Moeda 2 6" xfId="331"/>
    <cellStyle name="Moeda 2 6 2" xfId="332"/>
    <cellStyle name="Moeda 2 7" xfId="333"/>
    <cellStyle name="Moeda 2 7 2" xfId="334"/>
    <cellStyle name="Moeda 2 8" xfId="335"/>
    <cellStyle name="Moeda 2 8 2" xfId="336"/>
    <cellStyle name="Moeda 2 9" xfId="337"/>
    <cellStyle name="Moeda 2 9 2" xfId="338"/>
    <cellStyle name="Moeda 3" xfId="339"/>
    <cellStyle name="Moeda 3 10" xfId="340"/>
    <cellStyle name="Moeda 3 10 2" xfId="341"/>
    <cellStyle name="Moeda 3 11" xfId="342"/>
    <cellStyle name="Moeda 3 11 2" xfId="343"/>
    <cellStyle name="Moeda 3 12" xfId="344"/>
    <cellStyle name="Moeda 3 12 2" xfId="345"/>
    <cellStyle name="Moeda 3 13" xfId="346"/>
    <cellStyle name="Moeda 3 14" xfId="347"/>
    <cellStyle name="Moeda 3 2" xfId="348"/>
    <cellStyle name="Moeda 3 2 10" xfId="349"/>
    <cellStyle name="Moeda 3 2 10 2" xfId="350"/>
    <cellStyle name="Moeda 3 2 11" xfId="351"/>
    <cellStyle name="Moeda 3 2 12" xfId="352"/>
    <cellStyle name="Moeda 3 2 2" xfId="353"/>
    <cellStyle name="Moeda 3 2 2 2" xfId="354"/>
    <cellStyle name="Moeda 3 2 3" xfId="355"/>
    <cellStyle name="Moeda 3 2 3 2" xfId="356"/>
    <cellStyle name="Moeda 3 2 4" xfId="357"/>
    <cellStyle name="Moeda 3 2 4 2" xfId="358"/>
    <cellStyle name="Moeda 3 2 5" xfId="359"/>
    <cellStyle name="Moeda 3 2 5 2" xfId="360"/>
    <cellStyle name="Moeda 3 2 6" xfId="361"/>
    <cellStyle name="Moeda 3 2 6 2" xfId="362"/>
    <cellStyle name="Moeda 3 2 7" xfId="363"/>
    <cellStyle name="Moeda 3 2 7 2" xfId="364"/>
    <cellStyle name="Moeda 3 2 8" xfId="365"/>
    <cellStyle name="Moeda 3 2 8 2" xfId="366"/>
    <cellStyle name="Moeda 3 2 9" xfId="367"/>
    <cellStyle name="Moeda 3 2 9 2" xfId="368"/>
    <cellStyle name="Moeda 3 3" xfId="369"/>
    <cellStyle name="Moeda 3 3 10" xfId="370"/>
    <cellStyle name="Moeda 3 3 10 2" xfId="371"/>
    <cellStyle name="Moeda 3 3 11" xfId="372"/>
    <cellStyle name="Moeda 3 3 2" xfId="373"/>
    <cellStyle name="Moeda 3 3 2 2" xfId="374"/>
    <cellStyle name="Moeda 3 3 3" xfId="375"/>
    <cellStyle name="Moeda 3 3 3 2" xfId="376"/>
    <cellStyle name="Moeda 3 3 4" xfId="377"/>
    <cellStyle name="Moeda 3 3 4 2" xfId="378"/>
    <cellStyle name="Moeda 3 3 5" xfId="379"/>
    <cellStyle name="Moeda 3 3 5 2" xfId="380"/>
    <cellStyle name="Moeda 3 3 6" xfId="381"/>
    <cellStyle name="Moeda 3 3 6 2" xfId="382"/>
    <cellStyle name="Moeda 3 3 7" xfId="383"/>
    <cellStyle name="Moeda 3 3 7 2" xfId="384"/>
    <cellStyle name="Moeda 3 3 8" xfId="385"/>
    <cellStyle name="Moeda 3 3 8 2" xfId="386"/>
    <cellStyle name="Moeda 3 3 9" xfId="387"/>
    <cellStyle name="Moeda 3 3 9 2" xfId="388"/>
    <cellStyle name="Moeda 3 4" xfId="389"/>
    <cellStyle name="Moeda 3 4 2" xfId="390"/>
    <cellStyle name="Moeda 3 5" xfId="391"/>
    <cellStyle name="Moeda 3 5 2" xfId="392"/>
    <cellStyle name="Moeda 3 6" xfId="393"/>
    <cellStyle name="Moeda 3 6 2" xfId="394"/>
    <cellStyle name="Moeda 3 7" xfId="395"/>
    <cellStyle name="Moeda 3 7 2" xfId="396"/>
    <cellStyle name="Moeda 3 8" xfId="397"/>
    <cellStyle name="Moeda 3 8 2" xfId="398"/>
    <cellStyle name="Moeda 3 9" xfId="399"/>
    <cellStyle name="Moeda 3 9 2" xfId="400"/>
    <cellStyle name="Moeda 4" xfId="401"/>
    <cellStyle name="Moeda 4 2" xfId="402"/>
    <cellStyle name="Moeda 5" xfId="403"/>
    <cellStyle name="Moeda 5 2" xfId="404"/>
    <cellStyle name="Moeda 6" xfId="405"/>
    <cellStyle name="Moeda 6 2" xfId="406"/>
    <cellStyle name="Moeda 6 2 2" xfId="1770"/>
    <cellStyle name="Moeda 6 2 3" xfId="2049"/>
    <cellStyle name="Moeda 6 3" xfId="1769"/>
    <cellStyle name="Moeda 6 4" xfId="2048"/>
    <cellStyle name="Moeda 7" xfId="407"/>
    <cellStyle name="Moeda 7 2" xfId="408"/>
    <cellStyle name="Moeda 7 2 2" xfId="1772"/>
    <cellStyle name="Moeda 7 2 3" xfId="2051"/>
    <cellStyle name="Moeda 7 3" xfId="1771"/>
    <cellStyle name="Moeda 7 4" xfId="2050"/>
    <cellStyle name="Moeda 8" xfId="409"/>
    <cellStyle name="Moeda 8 2" xfId="410"/>
    <cellStyle name="Moeda 8 2 2" xfId="1774"/>
    <cellStyle name="Moeda 8 2 3" xfId="2053"/>
    <cellStyle name="Moeda 8 3" xfId="1773"/>
    <cellStyle name="Moeda 8 4" xfId="2052"/>
    <cellStyle name="Moeda 9" xfId="1693"/>
    <cellStyle name="Moeda 9 2" xfId="2168"/>
    <cellStyle name="Neutra 2" xfId="95"/>
    <cellStyle name="Neutra 2 2" xfId="411"/>
    <cellStyle name="Neutra 2 3" xfId="1694"/>
    <cellStyle name="Neutra 2 4" xfId="1757"/>
    <cellStyle name="Neutral" xfId="96"/>
    <cellStyle name="Neutral 2" xfId="1954"/>
    <cellStyle name="Neutral 2 2" xfId="2038"/>
    <cellStyle name="Neutro" xfId="97"/>
    <cellStyle name="Normal" xfId="0" builtinId="0"/>
    <cellStyle name="Normal 10" xfId="17"/>
    <cellStyle name="Normal 10 2" xfId="412"/>
    <cellStyle name="Normal 10 2 2" xfId="413"/>
    <cellStyle name="Normal 10 3" xfId="414"/>
    <cellStyle name="Normal 10 4" xfId="7"/>
    <cellStyle name="Normal 11" xfId="415"/>
    <cellStyle name="Normal 11 2" xfId="416"/>
    <cellStyle name="Normal 11 3" xfId="1988"/>
    <cellStyle name="Normal 12" xfId="417"/>
    <cellStyle name="Normal 12 2" xfId="418"/>
    <cellStyle name="Normal 12 3" xfId="1989"/>
    <cellStyle name="Normal 13" xfId="419"/>
    <cellStyle name="Normal 13 2" xfId="420"/>
    <cellStyle name="Normal 14" xfId="421"/>
    <cellStyle name="Normal 14 2" xfId="422"/>
    <cellStyle name="Normal 15" xfId="423"/>
    <cellStyle name="Normal 16" xfId="424"/>
    <cellStyle name="Normal 16 10" xfId="425"/>
    <cellStyle name="Normal 16 11" xfId="426"/>
    <cellStyle name="Normal 16 12" xfId="427"/>
    <cellStyle name="Normal 16 13" xfId="428"/>
    <cellStyle name="Normal 16 14" xfId="429"/>
    <cellStyle name="Normal 16 15" xfId="430"/>
    <cellStyle name="Normal 16 16" xfId="431"/>
    <cellStyle name="Normal 16 17" xfId="432"/>
    <cellStyle name="Normal 16 18" xfId="433"/>
    <cellStyle name="Normal 16 19" xfId="434"/>
    <cellStyle name="Normal 16 2" xfId="435"/>
    <cellStyle name="Normal 16 20" xfId="436"/>
    <cellStyle name="Normal 16 21" xfId="437"/>
    <cellStyle name="Normal 16 22" xfId="438"/>
    <cellStyle name="Normal 16 23" xfId="439"/>
    <cellStyle name="Normal 16 24" xfId="440"/>
    <cellStyle name="Normal 16 25" xfId="441"/>
    <cellStyle name="Normal 16 26" xfId="442"/>
    <cellStyle name="Normal 16 27" xfId="443"/>
    <cellStyle name="Normal 16 28" xfId="444"/>
    <cellStyle name="Normal 16 29" xfId="445"/>
    <cellStyle name="Normal 16 3" xfId="446"/>
    <cellStyle name="Normal 16 30" xfId="447"/>
    <cellStyle name="Normal 16 31" xfId="448"/>
    <cellStyle name="Normal 16 32" xfId="449"/>
    <cellStyle name="Normal 16 33" xfId="450"/>
    <cellStyle name="Normal 16 34" xfId="451"/>
    <cellStyle name="Normal 16 35" xfId="452"/>
    <cellStyle name="Normal 16 36" xfId="453"/>
    <cellStyle name="Normal 16 37" xfId="454"/>
    <cellStyle name="Normal 16 38" xfId="455"/>
    <cellStyle name="Normal 16 39" xfId="456"/>
    <cellStyle name="Normal 16 4" xfId="457"/>
    <cellStyle name="Normal 16 5" xfId="458"/>
    <cellStyle name="Normal 16 6" xfId="459"/>
    <cellStyle name="Normal 16 7" xfId="460"/>
    <cellStyle name="Normal 16 8" xfId="461"/>
    <cellStyle name="Normal 16 9" xfId="462"/>
    <cellStyle name="Normal 17" xfId="463"/>
    <cellStyle name="Normal 17 2" xfId="464"/>
    <cellStyle name="Normal 18" xfId="465"/>
    <cellStyle name="Normal 18 2" xfId="466"/>
    <cellStyle name="Normal 19" xfId="467"/>
    <cellStyle name="Normal 19 10" xfId="468"/>
    <cellStyle name="Normal 19 11" xfId="469"/>
    <cellStyle name="Normal 19 12" xfId="470"/>
    <cellStyle name="Normal 19 13" xfId="471"/>
    <cellStyle name="Normal 19 14" xfId="472"/>
    <cellStyle name="Normal 19 15" xfId="473"/>
    <cellStyle name="Normal 19 16" xfId="474"/>
    <cellStyle name="Normal 19 17" xfId="475"/>
    <cellStyle name="Normal 19 18" xfId="476"/>
    <cellStyle name="Normal 19 19" xfId="477"/>
    <cellStyle name="Normal 19 2" xfId="478"/>
    <cellStyle name="Normal 19 20" xfId="479"/>
    <cellStyle name="Normal 19 21" xfId="480"/>
    <cellStyle name="Normal 19 22" xfId="481"/>
    <cellStyle name="Normal 19 23" xfId="482"/>
    <cellStyle name="Normal 19 24" xfId="483"/>
    <cellStyle name="Normal 19 25" xfId="484"/>
    <cellStyle name="Normal 19 26" xfId="485"/>
    <cellStyle name="Normal 19 27" xfId="486"/>
    <cellStyle name="Normal 19 28" xfId="487"/>
    <cellStyle name="Normal 19 29" xfId="488"/>
    <cellStyle name="Normal 19 3" xfId="489"/>
    <cellStyle name="Normal 19 30" xfId="490"/>
    <cellStyle name="Normal 19 31" xfId="491"/>
    <cellStyle name="Normal 19 32" xfId="492"/>
    <cellStyle name="Normal 19 33" xfId="493"/>
    <cellStyle name="Normal 19 34" xfId="494"/>
    <cellStyle name="Normal 19 35" xfId="495"/>
    <cellStyle name="Normal 19 36" xfId="496"/>
    <cellStyle name="Normal 19 37" xfId="497"/>
    <cellStyle name="Normal 19 38" xfId="498"/>
    <cellStyle name="Normal 19 4" xfId="499"/>
    <cellStyle name="Normal 19 5" xfId="500"/>
    <cellStyle name="Normal 19 6" xfId="501"/>
    <cellStyle name="Normal 19 7" xfId="502"/>
    <cellStyle name="Normal 19 8" xfId="503"/>
    <cellStyle name="Normal 19 9" xfId="504"/>
    <cellStyle name="Normal 2" xfId="4"/>
    <cellStyle name="Normal 2 10" xfId="505"/>
    <cellStyle name="Normal 2 10 2" xfId="506"/>
    <cellStyle name="Normal 2 11" xfId="507"/>
    <cellStyle name="Normal 2 11 2" xfId="508"/>
    <cellStyle name="Normal 2 12" xfId="509"/>
    <cellStyle name="Normal 2 12 2" xfId="510"/>
    <cellStyle name="Normal 2 13" xfId="511"/>
    <cellStyle name="Normal 2 13 2" xfId="512"/>
    <cellStyle name="Normal 2 14" xfId="513"/>
    <cellStyle name="Normal 2 14 2" xfId="514"/>
    <cellStyle name="Normal 2 15" xfId="515"/>
    <cellStyle name="Normal 2 15 2" xfId="516"/>
    <cellStyle name="Normal 2 16" xfId="517"/>
    <cellStyle name="Normal 2 16 2" xfId="518"/>
    <cellStyle name="Normal 2 17" xfId="519"/>
    <cellStyle name="Normal 2 17 2" xfId="520"/>
    <cellStyle name="Normal 2 18" xfId="521"/>
    <cellStyle name="Normal 2 18 2" xfId="522"/>
    <cellStyle name="Normal 2 19" xfId="523"/>
    <cellStyle name="Normal 2 19 2" xfId="524"/>
    <cellStyle name="Normal 2 2" xfId="19"/>
    <cellStyle name="Normal 2 2 2" xfId="525"/>
    <cellStyle name="Normal 2 2 2 2" xfId="526"/>
    <cellStyle name="Normal 2 2 3" xfId="527"/>
    <cellStyle name="Normal 2 2 3 2" xfId="528"/>
    <cellStyle name="Normal 2 2 4" xfId="529"/>
    <cellStyle name="Normal 2 2 4 2" xfId="530"/>
    <cellStyle name="Normal 2 2 5" xfId="531"/>
    <cellStyle name="Normal 2 20" xfId="532"/>
    <cellStyle name="Normal 2 20 2" xfId="533"/>
    <cellStyle name="Normal 2 21" xfId="534"/>
    <cellStyle name="Normal 2 21 2" xfId="535"/>
    <cellStyle name="Normal 2 22" xfId="536"/>
    <cellStyle name="Normal 2 23" xfId="1955"/>
    <cellStyle name="Normal 2 3" xfId="537"/>
    <cellStyle name="Normal 2 3 2" xfId="538"/>
    <cellStyle name="Normal 2 4" xfId="539"/>
    <cellStyle name="Normal 2 4 2" xfId="540"/>
    <cellStyle name="Normal 2 5" xfId="541"/>
    <cellStyle name="Normal 2 5 10" xfId="542"/>
    <cellStyle name="Normal 2 5 10 2" xfId="543"/>
    <cellStyle name="Normal 2 5 11" xfId="544"/>
    <cellStyle name="Normal 2 5 2" xfId="545"/>
    <cellStyle name="Normal 2 5 2 2" xfId="546"/>
    <cellStyle name="Normal 2 5 3" xfId="547"/>
    <cellStyle name="Normal 2 5 3 2" xfId="548"/>
    <cellStyle name="Normal 2 5 4" xfId="549"/>
    <cellStyle name="Normal 2 5 4 2" xfId="550"/>
    <cellStyle name="Normal 2 5 5" xfId="551"/>
    <cellStyle name="Normal 2 5 5 2" xfId="552"/>
    <cellStyle name="Normal 2 5 6" xfId="553"/>
    <cellStyle name="Normal 2 5 6 2" xfId="554"/>
    <cellStyle name="Normal 2 5 7" xfId="555"/>
    <cellStyle name="Normal 2 5 7 2" xfId="556"/>
    <cellStyle name="Normal 2 5 8" xfId="557"/>
    <cellStyle name="Normal 2 5 8 2" xfId="558"/>
    <cellStyle name="Normal 2 5 9" xfId="559"/>
    <cellStyle name="Normal 2 5 9 2" xfId="560"/>
    <cellStyle name="Normal 2 6" xfId="561"/>
    <cellStyle name="Normal 2 6 2" xfId="562"/>
    <cellStyle name="Normal 2 7" xfId="563"/>
    <cellStyle name="Normal 2 7 2" xfId="564"/>
    <cellStyle name="Normal 2 8" xfId="565"/>
    <cellStyle name="Normal 2 8 2" xfId="566"/>
    <cellStyle name="Normal 2 9" xfId="567"/>
    <cellStyle name="Normal 2 9 2" xfId="568"/>
    <cellStyle name="Normal 2_cálculo" xfId="569"/>
    <cellStyle name="Normal 20" xfId="570"/>
    <cellStyle name="Normal 20 2" xfId="571"/>
    <cellStyle name="Normal 21" xfId="572"/>
    <cellStyle name="Normal 21 2" xfId="573"/>
    <cellStyle name="Normal 22" xfId="574"/>
    <cellStyle name="Normal 22 2" xfId="575"/>
    <cellStyle name="Normal 23" xfId="576"/>
    <cellStyle name="Normal 23 2" xfId="577"/>
    <cellStyle name="Normal 24" xfId="578"/>
    <cellStyle name="Normal 24 2" xfId="579"/>
    <cellStyle name="Normal 25" xfId="580"/>
    <cellStyle name="Normal 26" xfId="581"/>
    <cellStyle name="Normal 26 2" xfId="582"/>
    <cellStyle name="Normal 27" xfId="583"/>
    <cellStyle name="Normal 27 2" xfId="584"/>
    <cellStyle name="Normal 28" xfId="585"/>
    <cellStyle name="Normal 28 2" xfId="586"/>
    <cellStyle name="Normal 29" xfId="587"/>
    <cellStyle name="Normal 3" xfId="98"/>
    <cellStyle name="Normal 3 10" xfId="589"/>
    <cellStyle name="Normal 3 10 2" xfId="590"/>
    <cellStyle name="Normal 3 11" xfId="591"/>
    <cellStyle name="Normal 3 11 2" xfId="592"/>
    <cellStyle name="Normal 3 12" xfId="593"/>
    <cellStyle name="Normal 3 12 2" xfId="594"/>
    <cellStyle name="Normal 3 12 2 2" xfId="595"/>
    <cellStyle name="Normal 3 12 2 2 2" xfId="596"/>
    <cellStyle name="Normal 3 12 2 3" xfId="597"/>
    <cellStyle name="Normal 3 12 3" xfId="598"/>
    <cellStyle name="Normal 3 12 3 2" xfId="599"/>
    <cellStyle name="Normal 3 12 4" xfId="600"/>
    <cellStyle name="Normal 3 13" xfId="601"/>
    <cellStyle name="Normal 3 13 10" xfId="602"/>
    <cellStyle name="Normal 3 13 10 2" xfId="603"/>
    <cellStyle name="Normal 3 13 11" xfId="604"/>
    <cellStyle name="Normal 3 13 11 2" xfId="605"/>
    <cellStyle name="Normal 3 13 12" xfId="606"/>
    <cellStyle name="Normal 3 13 12 2" xfId="607"/>
    <cellStyle name="Normal 3 13 13" xfId="608"/>
    <cellStyle name="Normal 3 13 13 2" xfId="609"/>
    <cellStyle name="Normal 3 13 14" xfId="610"/>
    <cellStyle name="Normal 3 13 14 2" xfId="611"/>
    <cellStyle name="Normal 3 13 15" xfId="612"/>
    <cellStyle name="Normal 3 13 15 2" xfId="613"/>
    <cellStyle name="Normal 3 13 16" xfId="614"/>
    <cellStyle name="Normal 3 13 16 2" xfId="615"/>
    <cellStyle name="Normal 3 13 17" xfId="616"/>
    <cellStyle name="Normal 3 13 17 2" xfId="617"/>
    <cellStyle name="Normal 3 13 18" xfId="618"/>
    <cellStyle name="Normal 3 13 18 2" xfId="619"/>
    <cellStyle name="Normal 3 13 19" xfId="620"/>
    <cellStyle name="Normal 3 13 19 2" xfId="621"/>
    <cellStyle name="Normal 3 13 2" xfId="622"/>
    <cellStyle name="Normal 3 13 2 2" xfId="623"/>
    <cellStyle name="Normal 3 13 20" xfId="624"/>
    <cellStyle name="Normal 3 13 20 2" xfId="625"/>
    <cellStyle name="Normal 3 13 21" xfId="626"/>
    <cellStyle name="Normal 3 13 21 2" xfId="627"/>
    <cellStyle name="Normal 3 13 22" xfId="628"/>
    <cellStyle name="Normal 3 13 22 2" xfId="629"/>
    <cellStyle name="Normal 3 13 23" xfId="630"/>
    <cellStyle name="Normal 3 13 23 2" xfId="631"/>
    <cellStyle name="Normal 3 13 24" xfId="632"/>
    <cellStyle name="Normal 3 13 24 2" xfId="633"/>
    <cellStyle name="Normal 3 13 25" xfId="634"/>
    <cellStyle name="Normal 3 13 25 2" xfId="635"/>
    <cellStyle name="Normal 3 13 26" xfId="636"/>
    <cellStyle name="Normal 3 13 26 2" xfId="637"/>
    <cellStyle name="Normal 3 13 27" xfId="638"/>
    <cellStyle name="Normal 3 13 27 2" xfId="639"/>
    <cellStyle name="Normal 3 13 28" xfId="640"/>
    <cellStyle name="Normal 3 13 28 2" xfId="641"/>
    <cellStyle name="Normal 3 13 29" xfId="642"/>
    <cellStyle name="Normal 3 13 29 2" xfId="643"/>
    <cellStyle name="Normal 3 13 3" xfId="644"/>
    <cellStyle name="Normal 3 13 3 2" xfId="645"/>
    <cellStyle name="Normal 3 13 30" xfId="646"/>
    <cellStyle name="Normal 3 13 30 2" xfId="647"/>
    <cellStyle name="Normal 3 13 31" xfId="648"/>
    <cellStyle name="Normal 3 13 31 2" xfId="649"/>
    <cellStyle name="Normal 3 13 32" xfId="650"/>
    <cellStyle name="Normal 3 13 32 2" xfId="651"/>
    <cellStyle name="Normal 3 13 33" xfId="652"/>
    <cellStyle name="Normal 3 13 33 2" xfId="653"/>
    <cellStyle name="Normal 3 13 34" xfId="654"/>
    <cellStyle name="Normal 3 13 34 2" xfId="655"/>
    <cellStyle name="Normal 3 13 35" xfId="656"/>
    <cellStyle name="Normal 3 13 35 2" xfId="657"/>
    <cellStyle name="Normal 3 13 36" xfId="658"/>
    <cellStyle name="Normal 3 13 36 2" xfId="659"/>
    <cellStyle name="Normal 3 13 37" xfId="660"/>
    <cellStyle name="Normal 3 13 37 2" xfId="661"/>
    <cellStyle name="Normal 3 13 38" xfId="662"/>
    <cellStyle name="Normal 3 13 38 2" xfId="663"/>
    <cellStyle name="Normal 3 13 39" xfId="664"/>
    <cellStyle name="Normal 3 13 39 2" xfId="665"/>
    <cellStyle name="Normal 3 13 4" xfId="666"/>
    <cellStyle name="Normal 3 13 4 2" xfId="667"/>
    <cellStyle name="Normal 3 13 40" xfId="668"/>
    <cellStyle name="Normal 3 13 40 2" xfId="669"/>
    <cellStyle name="Normal 3 13 41" xfId="670"/>
    <cellStyle name="Normal 3 13 41 2" xfId="671"/>
    <cellStyle name="Normal 3 13 42" xfId="672"/>
    <cellStyle name="Normal 3 13 42 2" xfId="673"/>
    <cellStyle name="Normal 3 13 43" xfId="674"/>
    <cellStyle name="Normal 3 13 43 2" xfId="675"/>
    <cellStyle name="Normal 3 13 44" xfId="676"/>
    <cellStyle name="Normal 3 13 44 2" xfId="677"/>
    <cellStyle name="Normal 3 13 45" xfId="678"/>
    <cellStyle name="Normal 3 13 45 2" xfId="679"/>
    <cellStyle name="Normal 3 13 46" xfId="680"/>
    <cellStyle name="Normal 3 13 5" xfId="681"/>
    <cellStyle name="Normal 3 13 5 2" xfId="682"/>
    <cellStyle name="Normal 3 13 6" xfId="683"/>
    <cellStyle name="Normal 3 13 6 2" xfId="684"/>
    <cellStyle name="Normal 3 13 7" xfId="685"/>
    <cellStyle name="Normal 3 13 7 2" xfId="686"/>
    <cellStyle name="Normal 3 13 8" xfId="687"/>
    <cellStyle name="Normal 3 13 8 2" xfId="688"/>
    <cellStyle name="Normal 3 13 9" xfId="689"/>
    <cellStyle name="Normal 3 13 9 2" xfId="690"/>
    <cellStyle name="Normal 3 14" xfId="691"/>
    <cellStyle name="Normal 3 14 2" xfId="692"/>
    <cellStyle name="Normal 3 15" xfId="693"/>
    <cellStyle name="Normal 3 15 2" xfId="694"/>
    <cellStyle name="Normal 3 16" xfId="695"/>
    <cellStyle name="Normal 3 16 2" xfId="696"/>
    <cellStyle name="Normal 3 16 2 2" xfId="697"/>
    <cellStyle name="Normal 3 16 2 2 2" xfId="698"/>
    <cellStyle name="Normal 3 16 2 3" xfId="699"/>
    <cellStyle name="Normal 3 16 3" xfId="700"/>
    <cellStyle name="Normal 3 16 3 2" xfId="701"/>
    <cellStyle name="Normal 3 16 4" xfId="702"/>
    <cellStyle name="Normal 3 17" xfId="703"/>
    <cellStyle name="Normal 3 17 2" xfId="704"/>
    <cellStyle name="Normal 3 17 2 2" xfId="705"/>
    <cellStyle name="Normal 3 17 2 2 2" xfId="706"/>
    <cellStyle name="Normal 3 17 2 3" xfId="707"/>
    <cellStyle name="Normal 3 17 3" xfId="708"/>
    <cellStyle name="Normal 3 17 3 2" xfId="709"/>
    <cellStyle name="Normal 3 17 4" xfId="710"/>
    <cellStyle name="Normal 3 18" xfId="711"/>
    <cellStyle name="Normal 3 18 2" xfId="712"/>
    <cellStyle name="Normal 3 18 2 2" xfId="713"/>
    <cellStyle name="Normal 3 18 2 2 2" xfId="714"/>
    <cellStyle name="Normal 3 18 2 3" xfId="715"/>
    <cellStyle name="Normal 3 18 3" xfId="716"/>
    <cellStyle name="Normal 3 18 3 2" xfId="717"/>
    <cellStyle name="Normal 3 18 4" xfId="718"/>
    <cellStyle name="Normal 3 19" xfId="719"/>
    <cellStyle name="Normal 3 19 2" xfId="720"/>
    <cellStyle name="Normal 3 19 2 2" xfId="721"/>
    <cellStyle name="Normal 3 19 2 2 2" xfId="722"/>
    <cellStyle name="Normal 3 19 2 3" xfId="723"/>
    <cellStyle name="Normal 3 19 3" xfId="724"/>
    <cellStyle name="Normal 3 19 3 2" xfId="725"/>
    <cellStyle name="Normal 3 19 4" xfId="726"/>
    <cellStyle name="Normal 3 2" xfId="727"/>
    <cellStyle name="Normal 3 2 10" xfId="728"/>
    <cellStyle name="Normal 3 2 10 2" xfId="729"/>
    <cellStyle name="Normal 3 2 11" xfId="730"/>
    <cellStyle name="Normal 3 2 11 2" xfId="731"/>
    <cellStyle name="Normal 3 2 12" xfId="732"/>
    <cellStyle name="Normal 3 2 12 2" xfId="733"/>
    <cellStyle name="Normal 3 2 13" xfId="734"/>
    <cellStyle name="Normal 3 2 13 2" xfId="735"/>
    <cellStyle name="Normal 3 2 14" xfId="736"/>
    <cellStyle name="Normal 3 2 14 2" xfId="737"/>
    <cellStyle name="Normal 3 2 15" xfId="738"/>
    <cellStyle name="Normal 3 2 15 2" xfId="739"/>
    <cellStyle name="Normal 3 2 16" xfId="740"/>
    <cellStyle name="Normal 3 2 16 2" xfId="741"/>
    <cellStyle name="Normal 3 2 17" xfId="742"/>
    <cellStyle name="Normal 3 2 17 2" xfId="743"/>
    <cellStyle name="Normal 3 2 18" xfId="744"/>
    <cellStyle name="Normal 3 2 18 2" xfId="745"/>
    <cellStyle name="Normal 3 2 19" xfId="746"/>
    <cellStyle name="Normal 3 2 19 2" xfId="747"/>
    <cellStyle name="Normal 3 2 2" xfId="748"/>
    <cellStyle name="Normal 3 2 2 2" xfId="749"/>
    <cellStyle name="Normal 3 2 20" xfId="750"/>
    <cellStyle name="Normal 3 2 20 2" xfId="751"/>
    <cellStyle name="Normal 3 2 21" xfId="752"/>
    <cellStyle name="Normal 3 2 21 2" xfId="753"/>
    <cellStyle name="Normal 3 2 22" xfId="754"/>
    <cellStyle name="Normal 3 2 22 2" xfId="755"/>
    <cellStyle name="Normal 3 2 23" xfId="756"/>
    <cellStyle name="Normal 3 2 23 2" xfId="757"/>
    <cellStyle name="Normal 3 2 24" xfId="758"/>
    <cellStyle name="Normal 3 2 24 2" xfId="759"/>
    <cellStyle name="Normal 3 2 25" xfId="760"/>
    <cellStyle name="Normal 3 2 25 2" xfId="761"/>
    <cellStyle name="Normal 3 2 26" xfId="762"/>
    <cellStyle name="Normal 3 2 26 2" xfId="763"/>
    <cellStyle name="Normal 3 2 27" xfId="764"/>
    <cellStyle name="Normal 3 2 27 2" xfId="765"/>
    <cellStyle name="Normal 3 2 28" xfId="766"/>
    <cellStyle name="Normal 3 2 28 2" xfId="767"/>
    <cellStyle name="Normal 3 2 29" xfId="768"/>
    <cellStyle name="Normal 3 2 29 2" xfId="769"/>
    <cellStyle name="Normal 3 2 3" xfId="770"/>
    <cellStyle name="Normal 3 2 3 2" xfId="771"/>
    <cellStyle name="Normal 3 2 30" xfId="772"/>
    <cellStyle name="Normal 3 2 30 2" xfId="773"/>
    <cellStyle name="Normal 3 2 31" xfId="774"/>
    <cellStyle name="Normal 3 2 31 2" xfId="775"/>
    <cellStyle name="Normal 3 2 32" xfId="776"/>
    <cellStyle name="Normal 3 2 32 2" xfId="777"/>
    <cellStyle name="Normal 3 2 33" xfId="778"/>
    <cellStyle name="Normal 3 2 33 2" xfId="779"/>
    <cellStyle name="Normal 3 2 34" xfId="780"/>
    <cellStyle name="Normal 3 2 34 2" xfId="781"/>
    <cellStyle name="Normal 3 2 35" xfId="782"/>
    <cellStyle name="Normal 3 2 35 2" xfId="783"/>
    <cellStyle name="Normal 3 2 36" xfId="784"/>
    <cellStyle name="Normal 3 2 36 2" xfId="785"/>
    <cellStyle name="Normal 3 2 37" xfId="786"/>
    <cellStyle name="Normal 3 2 37 2" xfId="787"/>
    <cellStyle name="Normal 3 2 38" xfId="788"/>
    <cellStyle name="Normal 3 2 38 2" xfId="789"/>
    <cellStyle name="Normal 3 2 39" xfId="790"/>
    <cellStyle name="Normal 3 2 39 2" xfId="791"/>
    <cellStyle name="Normal 3 2 4" xfId="792"/>
    <cellStyle name="Normal 3 2 4 2" xfId="793"/>
    <cellStyle name="Normal 3 2 40" xfId="794"/>
    <cellStyle name="Normal 3 2 40 2" xfId="795"/>
    <cellStyle name="Normal 3 2 41" xfId="796"/>
    <cellStyle name="Normal 3 2 41 2" xfId="797"/>
    <cellStyle name="Normal 3 2 42" xfId="798"/>
    <cellStyle name="Normal 3 2 42 2" xfId="799"/>
    <cellStyle name="Normal 3 2 43" xfId="800"/>
    <cellStyle name="Normal 3 2 43 2" xfId="801"/>
    <cellStyle name="Normal 3 2 44" xfId="802"/>
    <cellStyle name="Normal 3 2 44 2" xfId="803"/>
    <cellStyle name="Normal 3 2 45" xfId="804"/>
    <cellStyle name="Normal 3 2 45 2" xfId="805"/>
    <cellStyle name="Normal 3 2 46" xfId="806"/>
    <cellStyle name="Normal 3 2 46 2" xfId="807"/>
    <cellStyle name="Normal 3 2 47" xfId="808"/>
    <cellStyle name="Normal 3 2 47 2" xfId="809"/>
    <cellStyle name="Normal 3 2 47 2 2" xfId="810"/>
    <cellStyle name="Normal 3 2 47 3" xfId="811"/>
    <cellStyle name="Normal 3 2 48" xfId="812"/>
    <cellStyle name="Normal 3 2 5" xfId="813"/>
    <cellStyle name="Normal 3 2 5 2" xfId="814"/>
    <cellStyle name="Normal 3 2 6" xfId="815"/>
    <cellStyle name="Normal 3 2 6 2" xfId="816"/>
    <cellStyle name="Normal 3 2 7" xfId="817"/>
    <cellStyle name="Normal 3 2 7 2" xfId="818"/>
    <cellStyle name="Normal 3 2 8" xfId="819"/>
    <cellStyle name="Normal 3 2 8 2" xfId="820"/>
    <cellStyle name="Normal 3 2 9" xfId="821"/>
    <cellStyle name="Normal 3 2 9 2" xfId="822"/>
    <cellStyle name="Normal 3 20" xfId="823"/>
    <cellStyle name="Normal 3 20 2" xfId="824"/>
    <cellStyle name="Normal 3 20 2 2" xfId="825"/>
    <cellStyle name="Normal 3 20 2 2 2" xfId="826"/>
    <cellStyle name="Normal 3 20 2 3" xfId="827"/>
    <cellStyle name="Normal 3 20 3" xfId="828"/>
    <cellStyle name="Normal 3 20 3 2" xfId="829"/>
    <cellStyle name="Normal 3 20 4" xfId="830"/>
    <cellStyle name="Normal 3 21" xfId="831"/>
    <cellStyle name="Normal 3 21 2" xfId="832"/>
    <cellStyle name="Normal 3 21 2 2" xfId="833"/>
    <cellStyle name="Normal 3 21 2 2 2" xfId="834"/>
    <cellStyle name="Normal 3 21 2 3" xfId="835"/>
    <cellStyle name="Normal 3 21 3" xfId="836"/>
    <cellStyle name="Normal 3 21 3 2" xfId="837"/>
    <cellStyle name="Normal 3 21 4" xfId="838"/>
    <cellStyle name="Normal 3 22" xfId="839"/>
    <cellStyle name="Normal 3 22 2" xfId="840"/>
    <cellStyle name="Normal 3 22 2 2" xfId="841"/>
    <cellStyle name="Normal 3 22 2 2 2" xfId="842"/>
    <cellStyle name="Normal 3 22 2 3" xfId="843"/>
    <cellStyle name="Normal 3 22 3" xfId="844"/>
    <cellStyle name="Normal 3 22 3 2" xfId="845"/>
    <cellStyle name="Normal 3 22 4" xfId="846"/>
    <cellStyle name="Normal 3 23" xfId="847"/>
    <cellStyle name="Normal 3 23 2" xfId="848"/>
    <cellStyle name="Normal 3 23 2 2" xfId="849"/>
    <cellStyle name="Normal 3 23 2 2 2" xfId="850"/>
    <cellStyle name="Normal 3 23 2 3" xfId="851"/>
    <cellStyle name="Normal 3 23 3" xfId="852"/>
    <cellStyle name="Normal 3 23 3 2" xfId="853"/>
    <cellStyle name="Normal 3 23 4" xfId="854"/>
    <cellStyle name="Normal 3 24" xfId="855"/>
    <cellStyle name="Normal 3 24 2" xfId="856"/>
    <cellStyle name="Normal 3 24 2 2" xfId="857"/>
    <cellStyle name="Normal 3 24 2 2 2" xfId="858"/>
    <cellStyle name="Normal 3 24 2 3" xfId="859"/>
    <cellStyle name="Normal 3 24 3" xfId="860"/>
    <cellStyle name="Normal 3 24 3 2" xfId="861"/>
    <cellStyle name="Normal 3 24 4" xfId="862"/>
    <cellStyle name="Normal 3 25" xfId="863"/>
    <cellStyle name="Normal 3 25 2" xfId="864"/>
    <cellStyle name="Normal 3 25 2 2" xfId="865"/>
    <cellStyle name="Normal 3 25 2 2 2" xfId="866"/>
    <cellStyle name="Normal 3 25 2 3" xfId="867"/>
    <cellStyle name="Normal 3 25 3" xfId="868"/>
    <cellStyle name="Normal 3 25 3 2" xfId="869"/>
    <cellStyle name="Normal 3 25 4" xfId="870"/>
    <cellStyle name="Normal 3 26" xfId="871"/>
    <cellStyle name="Normal 3 26 2" xfId="872"/>
    <cellStyle name="Normal 3 26 2 2" xfId="873"/>
    <cellStyle name="Normal 3 26 2 2 2" xfId="874"/>
    <cellStyle name="Normal 3 26 2 3" xfId="875"/>
    <cellStyle name="Normal 3 26 3" xfId="876"/>
    <cellStyle name="Normal 3 26 3 2" xfId="877"/>
    <cellStyle name="Normal 3 26 4" xfId="878"/>
    <cellStyle name="Normal 3 27" xfId="879"/>
    <cellStyle name="Normal 3 27 2" xfId="880"/>
    <cellStyle name="Normal 3 27 2 2" xfId="881"/>
    <cellStyle name="Normal 3 27 2 2 2" xfId="882"/>
    <cellStyle name="Normal 3 27 2 3" xfId="883"/>
    <cellStyle name="Normal 3 27 3" xfId="884"/>
    <cellStyle name="Normal 3 27 3 2" xfId="885"/>
    <cellStyle name="Normal 3 27 4" xfId="886"/>
    <cellStyle name="Normal 3 28" xfId="887"/>
    <cellStyle name="Normal 3 28 2" xfId="888"/>
    <cellStyle name="Normal 3 28 2 2" xfId="889"/>
    <cellStyle name="Normal 3 28 2 2 2" xfId="890"/>
    <cellStyle name="Normal 3 28 2 3" xfId="891"/>
    <cellStyle name="Normal 3 28 3" xfId="892"/>
    <cellStyle name="Normal 3 28 3 2" xfId="893"/>
    <cellStyle name="Normal 3 28 4" xfId="894"/>
    <cellStyle name="Normal 3 29" xfId="895"/>
    <cellStyle name="Normal 3 29 2" xfId="896"/>
    <cellStyle name="Normal 3 29 2 2" xfId="897"/>
    <cellStyle name="Normal 3 29 2 2 2" xfId="898"/>
    <cellStyle name="Normal 3 29 2 3" xfId="899"/>
    <cellStyle name="Normal 3 29 3" xfId="900"/>
    <cellStyle name="Normal 3 29 3 2" xfId="901"/>
    <cellStyle name="Normal 3 29 4" xfId="902"/>
    <cellStyle name="Normal 3 3" xfId="903"/>
    <cellStyle name="Normal 3 3 2" xfId="904"/>
    <cellStyle name="Normal 3 30" xfId="905"/>
    <cellStyle name="Normal 3 30 2" xfId="906"/>
    <cellStyle name="Normal 3 30 2 2" xfId="907"/>
    <cellStyle name="Normal 3 30 2 2 2" xfId="908"/>
    <cellStyle name="Normal 3 30 2 3" xfId="909"/>
    <cellStyle name="Normal 3 30 3" xfId="910"/>
    <cellStyle name="Normal 3 30 3 2" xfId="911"/>
    <cellStyle name="Normal 3 30 4" xfId="912"/>
    <cellStyle name="Normal 3 31" xfId="913"/>
    <cellStyle name="Normal 3 31 2" xfId="914"/>
    <cellStyle name="Normal 3 31 2 2" xfId="915"/>
    <cellStyle name="Normal 3 31 2 2 2" xfId="916"/>
    <cellStyle name="Normal 3 31 2 3" xfId="917"/>
    <cellStyle name="Normal 3 31 3" xfId="918"/>
    <cellStyle name="Normal 3 31 3 2" xfId="919"/>
    <cellStyle name="Normal 3 31 4" xfId="920"/>
    <cellStyle name="Normal 3 32" xfId="921"/>
    <cellStyle name="Normal 3 32 2" xfId="922"/>
    <cellStyle name="Normal 3 32 2 2" xfId="923"/>
    <cellStyle name="Normal 3 32 2 2 2" xfId="924"/>
    <cellStyle name="Normal 3 32 2 3" xfId="925"/>
    <cellStyle name="Normal 3 32 3" xfId="926"/>
    <cellStyle name="Normal 3 32 3 2" xfId="927"/>
    <cellStyle name="Normal 3 32 4" xfId="928"/>
    <cellStyle name="Normal 3 33" xfId="929"/>
    <cellStyle name="Normal 3 33 2" xfId="930"/>
    <cellStyle name="Normal 3 33 2 2" xfId="931"/>
    <cellStyle name="Normal 3 33 2 2 2" xfId="932"/>
    <cellStyle name="Normal 3 33 2 3" xfId="933"/>
    <cellStyle name="Normal 3 33 3" xfId="934"/>
    <cellStyle name="Normal 3 33 3 2" xfId="935"/>
    <cellStyle name="Normal 3 33 4" xfId="936"/>
    <cellStyle name="Normal 3 34" xfId="937"/>
    <cellStyle name="Normal 3 34 2" xfId="938"/>
    <cellStyle name="Normal 3 34 2 2" xfId="939"/>
    <cellStyle name="Normal 3 34 2 2 2" xfId="940"/>
    <cellStyle name="Normal 3 34 2 3" xfId="941"/>
    <cellStyle name="Normal 3 34 3" xfId="942"/>
    <cellStyle name="Normal 3 34 3 2" xfId="943"/>
    <cellStyle name="Normal 3 34 4" xfId="944"/>
    <cellStyle name="Normal 3 35" xfId="945"/>
    <cellStyle name="Normal 3 35 2" xfId="946"/>
    <cellStyle name="Normal 3 35 2 2" xfId="947"/>
    <cellStyle name="Normal 3 35 2 2 2" xfId="948"/>
    <cellStyle name="Normal 3 35 2 3" xfId="949"/>
    <cellStyle name="Normal 3 35 3" xfId="950"/>
    <cellStyle name="Normal 3 35 3 2" xfId="951"/>
    <cellStyle name="Normal 3 35 4" xfId="952"/>
    <cellStyle name="Normal 3 36" xfId="953"/>
    <cellStyle name="Normal 3 36 2" xfId="954"/>
    <cellStyle name="Normal 3 36 2 2" xfId="955"/>
    <cellStyle name="Normal 3 36 2 2 2" xfId="956"/>
    <cellStyle name="Normal 3 36 2 3" xfId="957"/>
    <cellStyle name="Normal 3 36 3" xfId="958"/>
    <cellStyle name="Normal 3 36 3 2" xfId="959"/>
    <cellStyle name="Normal 3 36 4" xfId="960"/>
    <cellStyle name="Normal 3 37" xfId="961"/>
    <cellStyle name="Normal 3 37 2" xfId="962"/>
    <cellStyle name="Normal 3 37 2 2" xfId="963"/>
    <cellStyle name="Normal 3 37 2 2 2" xfId="964"/>
    <cellStyle name="Normal 3 37 2 3" xfId="965"/>
    <cellStyle name="Normal 3 37 3" xfId="966"/>
    <cellStyle name="Normal 3 37 3 2" xfId="967"/>
    <cellStyle name="Normal 3 37 4" xfId="968"/>
    <cellStyle name="Normal 3 38" xfId="969"/>
    <cellStyle name="Normal 3 38 2" xfId="970"/>
    <cellStyle name="Normal 3 38 2 2" xfId="971"/>
    <cellStyle name="Normal 3 38 2 2 2" xfId="972"/>
    <cellStyle name="Normal 3 38 2 3" xfId="973"/>
    <cellStyle name="Normal 3 38 3" xfId="974"/>
    <cellStyle name="Normal 3 38 3 2" xfId="975"/>
    <cellStyle name="Normal 3 38 4" xfId="976"/>
    <cellStyle name="Normal 3 39" xfId="977"/>
    <cellStyle name="Normal 3 39 2" xfId="978"/>
    <cellStyle name="Normal 3 39 2 2" xfId="979"/>
    <cellStyle name="Normal 3 39 2 2 2" xfId="980"/>
    <cellStyle name="Normal 3 39 2 3" xfId="981"/>
    <cellStyle name="Normal 3 39 3" xfId="982"/>
    <cellStyle name="Normal 3 39 3 2" xfId="983"/>
    <cellStyle name="Normal 3 39 4" xfId="984"/>
    <cellStyle name="Normal 3 4" xfId="985"/>
    <cellStyle name="Normal 3 4 2" xfId="986"/>
    <cellStyle name="Normal 3 40" xfId="987"/>
    <cellStyle name="Normal 3 40 2" xfId="988"/>
    <cellStyle name="Normal 3 40 2 2" xfId="989"/>
    <cellStyle name="Normal 3 40 2 2 2" xfId="990"/>
    <cellStyle name="Normal 3 40 2 3" xfId="991"/>
    <cellStyle name="Normal 3 40 3" xfId="992"/>
    <cellStyle name="Normal 3 40 3 2" xfId="993"/>
    <cellStyle name="Normal 3 40 4" xfId="994"/>
    <cellStyle name="Normal 3 41" xfId="995"/>
    <cellStyle name="Normal 3 41 2" xfId="996"/>
    <cellStyle name="Normal 3 41 2 2" xfId="997"/>
    <cellStyle name="Normal 3 41 2 2 2" xfId="998"/>
    <cellStyle name="Normal 3 41 2 3" xfId="999"/>
    <cellStyle name="Normal 3 41 3" xfId="1000"/>
    <cellStyle name="Normal 3 41 3 2" xfId="1001"/>
    <cellStyle name="Normal 3 41 4" xfId="1002"/>
    <cellStyle name="Normal 3 42" xfId="1003"/>
    <cellStyle name="Normal 3 42 2" xfId="1004"/>
    <cellStyle name="Normal 3 42 2 2" xfId="1005"/>
    <cellStyle name="Normal 3 42 2 2 2" xfId="1006"/>
    <cellStyle name="Normal 3 42 2 3" xfId="1007"/>
    <cellStyle name="Normal 3 42 3" xfId="1008"/>
    <cellStyle name="Normal 3 42 3 2" xfId="1009"/>
    <cellStyle name="Normal 3 42 4" xfId="1010"/>
    <cellStyle name="Normal 3 43" xfId="1011"/>
    <cellStyle name="Normal 3 43 2" xfId="1012"/>
    <cellStyle name="Normal 3 43 2 2" xfId="1013"/>
    <cellStyle name="Normal 3 43 2 2 2" xfId="1014"/>
    <cellStyle name="Normal 3 43 2 3" xfId="1015"/>
    <cellStyle name="Normal 3 43 3" xfId="1016"/>
    <cellStyle name="Normal 3 43 3 2" xfId="1017"/>
    <cellStyle name="Normal 3 43 4" xfId="1018"/>
    <cellStyle name="Normal 3 44" xfId="1019"/>
    <cellStyle name="Normal 3 44 2" xfId="1020"/>
    <cellStyle name="Normal 3 44 2 2" xfId="1021"/>
    <cellStyle name="Normal 3 44 2 2 2" xfId="1022"/>
    <cellStyle name="Normal 3 44 2 3" xfId="1023"/>
    <cellStyle name="Normal 3 44 3" xfId="1024"/>
    <cellStyle name="Normal 3 44 3 2" xfId="1025"/>
    <cellStyle name="Normal 3 44 4" xfId="1026"/>
    <cellStyle name="Normal 3 45" xfId="1027"/>
    <cellStyle name="Normal 3 45 2" xfId="1028"/>
    <cellStyle name="Normal 3 45 2 2" xfId="1029"/>
    <cellStyle name="Normal 3 45 2 2 2" xfId="1030"/>
    <cellStyle name="Normal 3 45 2 3" xfId="1031"/>
    <cellStyle name="Normal 3 45 3" xfId="1032"/>
    <cellStyle name="Normal 3 45 3 2" xfId="1033"/>
    <cellStyle name="Normal 3 45 4" xfId="1034"/>
    <cellStyle name="Normal 3 46" xfId="1035"/>
    <cellStyle name="Normal 3 46 2" xfId="1036"/>
    <cellStyle name="Normal 3 46 2 2" xfId="1037"/>
    <cellStyle name="Normal 3 46 2 2 2" xfId="1038"/>
    <cellStyle name="Normal 3 46 2 3" xfId="1039"/>
    <cellStyle name="Normal 3 46 3" xfId="1040"/>
    <cellStyle name="Normal 3 46 3 2" xfId="1041"/>
    <cellStyle name="Normal 3 46 4" xfId="1042"/>
    <cellStyle name="Normal 3 47" xfId="1043"/>
    <cellStyle name="Normal 3 47 2" xfId="1044"/>
    <cellStyle name="Normal 3 47 2 2" xfId="1045"/>
    <cellStyle name="Normal 3 47 2 2 2" xfId="1046"/>
    <cellStyle name="Normal 3 47 2 3" xfId="1047"/>
    <cellStyle name="Normal 3 47 3" xfId="1048"/>
    <cellStyle name="Normal 3 47 3 2" xfId="1049"/>
    <cellStyle name="Normal 3 47 4" xfId="1050"/>
    <cellStyle name="Normal 3 48" xfId="1051"/>
    <cellStyle name="Normal 3 48 2" xfId="1052"/>
    <cellStyle name="Normal 3 48 2 2" xfId="1053"/>
    <cellStyle name="Normal 3 48 2 2 2" xfId="1054"/>
    <cellStyle name="Normal 3 48 2 3" xfId="1055"/>
    <cellStyle name="Normal 3 48 3" xfId="1056"/>
    <cellStyle name="Normal 3 48 3 2" xfId="1057"/>
    <cellStyle name="Normal 3 48 4" xfId="1058"/>
    <cellStyle name="Normal 3 49" xfId="1059"/>
    <cellStyle name="Normal 3 49 2" xfId="1060"/>
    <cellStyle name="Normal 3 49 2 2" xfId="1061"/>
    <cellStyle name="Normal 3 49 2 2 2" xfId="1062"/>
    <cellStyle name="Normal 3 49 2 3" xfId="1063"/>
    <cellStyle name="Normal 3 49 3" xfId="1064"/>
    <cellStyle name="Normal 3 49 3 2" xfId="1065"/>
    <cellStyle name="Normal 3 49 4" xfId="1066"/>
    <cellStyle name="Normal 3 5" xfId="1067"/>
    <cellStyle name="Normal 3 5 2" xfId="1068"/>
    <cellStyle name="Normal 3 50" xfId="1069"/>
    <cellStyle name="Normal 3 50 2" xfId="1070"/>
    <cellStyle name="Normal 3 50 2 2" xfId="1071"/>
    <cellStyle name="Normal 3 50 2 2 2" xfId="1072"/>
    <cellStyle name="Normal 3 50 2 3" xfId="1073"/>
    <cellStyle name="Normal 3 50 3" xfId="1074"/>
    <cellStyle name="Normal 3 50 3 2" xfId="1075"/>
    <cellStyle name="Normal 3 50 4" xfId="1076"/>
    <cellStyle name="Normal 3 51" xfId="1077"/>
    <cellStyle name="Normal 3 51 2" xfId="1078"/>
    <cellStyle name="Normal 3 51 2 2" xfId="1079"/>
    <cellStyle name="Normal 3 51 2 2 2" xfId="1080"/>
    <cellStyle name="Normal 3 51 2 3" xfId="1081"/>
    <cellStyle name="Normal 3 51 3" xfId="1082"/>
    <cellStyle name="Normal 3 51 3 2" xfId="1083"/>
    <cellStyle name="Normal 3 51 4" xfId="1084"/>
    <cellStyle name="Normal 3 52" xfId="1085"/>
    <cellStyle name="Normal 3 52 2" xfId="1086"/>
    <cellStyle name="Normal 3 52 2 2" xfId="1087"/>
    <cellStyle name="Normal 3 52 2 2 2" xfId="1088"/>
    <cellStyle name="Normal 3 52 2 3" xfId="1089"/>
    <cellStyle name="Normal 3 52 3" xfId="1090"/>
    <cellStyle name="Normal 3 52 3 2" xfId="1091"/>
    <cellStyle name="Normal 3 52 4" xfId="1092"/>
    <cellStyle name="Normal 3 53" xfId="1093"/>
    <cellStyle name="Normal 3 53 2" xfId="1094"/>
    <cellStyle name="Normal 3 53 2 2" xfId="1095"/>
    <cellStyle name="Normal 3 53 2 2 2" xfId="1096"/>
    <cellStyle name="Normal 3 53 2 3" xfId="1097"/>
    <cellStyle name="Normal 3 53 3" xfId="1098"/>
    <cellStyle name="Normal 3 53 3 2" xfId="1099"/>
    <cellStyle name="Normal 3 53 4" xfId="1100"/>
    <cellStyle name="Normal 3 54" xfId="1101"/>
    <cellStyle name="Normal 3 54 2" xfId="1102"/>
    <cellStyle name="Normal 3 54 2 2" xfId="1103"/>
    <cellStyle name="Normal 3 54 2 2 2" xfId="1104"/>
    <cellStyle name="Normal 3 54 2 3" xfId="1105"/>
    <cellStyle name="Normal 3 54 3" xfId="1106"/>
    <cellStyle name="Normal 3 54 3 2" xfId="1107"/>
    <cellStyle name="Normal 3 54 4" xfId="1108"/>
    <cellStyle name="Normal 3 55" xfId="1109"/>
    <cellStyle name="Normal 3 55 2" xfId="1110"/>
    <cellStyle name="Normal 3 55 2 2" xfId="1111"/>
    <cellStyle name="Normal 3 55 2 2 2" xfId="1112"/>
    <cellStyle name="Normal 3 55 2 3" xfId="1113"/>
    <cellStyle name="Normal 3 55 3" xfId="1114"/>
    <cellStyle name="Normal 3 55 3 2" xfId="1115"/>
    <cellStyle name="Normal 3 55 4" xfId="1116"/>
    <cellStyle name="Normal 3 56" xfId="1117"/>
    <cellStyle name="Normal 3 56 2" xfId="1118"/>
    <cellStyle name="Normal 3 56 2 2" xfId="1119"/>
    <cellStyle name="Normal 3 56 2 2 2" xfId="1120"/>
    <cellStyle name="Normal 3 56 2 3" xfId="1121"/>
    <cellStyle name="Normal 3 56 3" xfId="1122"/>
    <cellStyle name="Normal 3 56 3 2" xfId="1123"/>
    <cellStyle name="Normal 3 56 4" xfId="1124"/>
    <cellStyle name="Normal 3 57" xfId="1125"/>
    <cellStyle name="Normal 3 57 2" xfId="1126"/>
    <cellStyle name="Normal 3 57 2 2" xfId="1127"/>
    <cellStyle name="Normal 3 57 2 2 2" xfId="1128"/>
    <cellStyle name="Normal 3 57 2 3" xfId="1129"/>
    <cellStyle name="Normal 3 57 3" xfId="1130"/>
    <cellStyle name="Normal 3 57 3 2" xfId="1131"/>
    <cellStyle name="Normal 3 57 4" xfId="1132"/>
    <cellStyle name="Normal 3 58" xfId="1133"/>
    <cellStyle name="Normal 3 58 2" xfId="1134"/>
    <cellStyle name="Normal 3 58 2 2" xfId="1135"/>
    <cellStyle name="Normal 3 58 3" xfId="1136"/>
    <cellStyle name="Normal 3 59" xfId="1137"/>
    <cellStyle name="Normal 3 6" xfId="1138"/>
    <cellStyle name="Normal 3 6 2" xfId="1139"/>
    <cellStyle name="Normal 3 60" xfId="1140"/>
    <cellStyle name="Normal 3 61" xfId="588"/>
    <cellStyle name="Normal 3 62" xfId="1695"/>
    <cellStyle name="Normal 3 63" xfId="1756"/>
    <cellStyle name="Normal 3 7" xfId="1141"/>
    <cellStyle name="Normal 3 7 2" xfId="1142"/>
    <cellStyle name="Normal 3 8" xfId="1143"/>
    <cellStyle name="Normal 3 8 2" xfId="1144"/>
    <cellStyle name="Normal 3 9" xfId="1145"/>
    <cellStyle name="Normal 3 9 2" xfId="1146"/>
    <cellStyle name="Normal 30" xfId="1147"/>
    <cellStyle name="Normal 31" xfId="1148"/>
    <cellStyle name="Normal 32" xfId="1149"/>
    <cellStyle name="Normal 32 2" xfId="1150"/>
    <cellStyle name="Normal 33" xfId="1151"/>
    <cellStyle name="Normal 33 2" xfId="1152"/>
    <cellStyle name="Normal 34" xfId="1153"/>
    <cellStyle name="Normal 35" xfId="1154"/>
    <cellStyle name="Normal 36" xfId="1155"/>
    <cellStyle name="Normal 37" xfId="1156"/>
    <cellStyle name="Normal 37 2" xfId="1157"/>
    <cellStyle name="Normal 38" xfId="1158"/>
    <cellStyle name="Normal 38 2" xfId="1159"/>
    <cellStyle name="Normal 39" xfId="1160"/>
    <cellStyle name="Normal 4" xfId="99"/>
    <cellStyle name="Normal 4 10" xfId="1162"/>
    <cellStyle name="Normal 4 10 2" xfId="1163"/>
    <cellStyle name="Normal 4 11" xfId="1164"/>
    <cellStyle name="Normal 4 11 2" xfId="1165"/>
    <cellStyle name="Normal 4 12" xfId="1166"/>
    <cellStyle name="Normal 4 12 2" xfId="1167"/>
    <cellStyle name="Normal 4 13" xfId="1168"/>
    <cellStyle name="Normal 4 14" xfId="1169"/>
    <cellStyle name="Normal 4 15" xfId="1161"/>
    <cellStyle name="Normal 4 16" xfId="1696"/>
    <cellStyle name="Normal 4 17" xfId="1755"/>
    <cellStyle name="Normal 4 18" xfId="1964"/>
    <cellStyle name="Normal 4 2" xfId="1170"/>
    <cellStyle name="Normal 4 2 2" xfId="1171"/>
    <cellStyle name="Normal 4 2 2 2" xfId="1172"/>
    <cellStyle name="Normal 4 2 2 3" xfId="1978"/>
    <cellStyle name="Normal 4 2 2 3 2" xfId="2055"/>
    <cellStyle name="Normal 4 2 3" xfId="1173"/>
    <cellStyle name="Normal 4 2 3 2" xfId="1174"/>
    <cellStyle name="Normal 4 2 4" xfId="1175"/>
    <cellStyle name="Normal 4 2 5" xfId="1965"/>
    <cellStyle name="Normal 4 2 5 2" xfId="2054"/>
    <cellStyle name="Normal 4 3" xfId="1176"/>
    <cellStyle name="Normal 4 3 2" xfId="1177"/>
    <cellStyle name="Normal 4 3 2 2" xfId="1980"/>
    <cellStyle name="Normal 4 3 2 2 2" xfId="2057"/>
    <cellStyle name="Normal 4 3 3" xfId="1979"/>
    <cellStyle name="Normal 4 3 3 2" xfId="2056"/>
    <cellStyle name="Normal 4 4" xfId="1178"/>
    <cellStyle name="Normal 4 4 2" xfId="1179"/>
    <cellStyle name="Normal 4 5" xfId="1180"/>
    <cellStyle name="Normal 4 5 2" xfId="1181"/>
    <cellStyle name="Normal 4 6" xfId="1182"/>
    <cellStyle name="Normal 4 6 2" xfId="1183"/>
    <cellStyle name="Normal 4 7" xfId="1184"/>
    <cellStyle name="Normal 4 7 2" xfId="1185"/>
    <cellStyle name="Normal 4 8" xfId="1186"/>
    <cellStyle name="Normal 4 8 2" xfId="1187"/>
    <cellStyle name="Normal 4 9" xfId="1188"/>
    <cellStyle name="Normal 4 9 2" xfId="1189"/>
    <cellStyle name="Normal 40" xfId="1190"/>
    <cellStyle name="Normal 41" xfId="1191"/>
    <cellStyle name="Normal 42" xfId="1192"/>
    <cellStyle name="Normal 42 2" xfId="1193"/>
    <cellStyle name="Normal 43" xfId="1194"/>
    <cellStyle name="Normal 43 2" xfId="1195"/>
    <cellStyle name="Normal 44" xfId="1196"/>
    <cellStyle name="Normal 45" xfId="1197"/>
    <cellStyle name="Normal 46" xfId="1198"/>
    <cellStyle name="Normal 47" xfId="1199"/>
    <cellStyle name="Normal 47 2" xfId="1200"/>
    <cellStyle name="Normal 48" xfId="1201"/>
    <cellStyle name="Normal 48 2" xfId="1202"/>
    <cellStyle name="Normal 49" xfId="1203"/>
    <cellStyle name="Normal 5" xfId="100"/>
    <cellStyle name="Normal 5 2" xfId="1205"/>
    <cellStyle name="Normal 5 2 2" xfId="1206"/>
    <cellStyle name="Normal 5 2 3" xfId="2058"/>
    <cellStyle name="Normal 5 2 4" xfId="1995"/>
    <cellStyle name="Normal 5 3" xfId="1207"/>
    <cellStyle name="Normal 5 3 2" xfId="1208"/>
    <cellStyle name="Normal 5 4" xfId="1204"/>
    <cellStyle name="Normal 5 5" xfId="1697"/>
    <cellStyle name="Normal 5 6" xfId="1754"/>
    <cellStyle name="Normal 5 7" xfId="1994"/>
    <cellStyle name="Normal 50" xfId="1209"/>
    <cellStyle name="Normal 50 2" xfId="1210"/>
    <cellStyle name="Normal 50 3" xfId="1211"/>
    <cellStyle name="Normal 51" xfId="1212"/>
    <cellStyle name="Normal 52" xfId="1213"/>
    <cellStyle name="Normal 53" xfId="1214"/>
    <cellStyle name="Normal 54" xfId="1215"/>
    <cellStyle name="Normal 55" xfId="1216"/>
    <cellStyle name="Normal 55 2" xfId="1217"/>
    <cellStyle name="Normal 56" xfId="1218"/>
    <cellStyle name="Normal 56 2" xfId="1219"/>
    <cellStyle name="Normal 57" xfId="1220"/>
    <cellStyle name="Normal 57 2" xfId="1221"/>
    <cellStyle name="Normal 58" xfId="1222"/>
    <cellStyle name="Normal 58 2" xfId="1223"/>
    <cellStyle name="Normal 59" xfId="1224"/>
    <cellStyle name="Normal 59 2" xfId="1225"/>
    <cellStyle name="Normal 6" xfId="11"/>
    <cellStyle name="Normal 6 10" xfId="1227"/>
    <cellStyle name="Normal 6 10 2" xfId="1228"/>
    <cellStyle name="Normal 6 11" xfId="1229"/>
    <cellStyle name="Normal 6 12" xfId="1230"/>
    <cellStyle name="Normal 6 13" xfId="1231"/>
    <cellStyle name="Normal 6 14" xfId="1232"/>
    <cellStyle name="Normal 6 15" xfId="1233"/>
    <cellStyle name="Normal 6 16" xfId="1234"/>
    <cellStyle name="Normal 6 17" xfId="1235"/>
    <cellStyle name="Normal 6 18" xfId="1236"/>
    <cellStyle name="Normal 6 19" xfId="1237"/>
    <cellStyle name="Normal 6 2" xfId="1238"/>
    <cellStyle name="Normal 6 2 10" xfId="1239"/>
    <cellStyle name="Normal 6 2 10 2" xfId="1240"/>
    <cellStyle name="Normal 6 2 11" xfId="1241"/>
    <cellStyle name="Normal 6 2 11 2" xfId="1242"/>
    <cellStyle name="Normal 6 2 12" xfId="1243"/>
    <cellStyle name="Normal 6 2 12 2" xfId="1244"/>
    <cellStyle name="Normal 6 2 13" xfId="1245"/>
    <cellStyle name="Normal 6 2 13 2" xfId="1246"/>
    <cellStyle name="Normal 6 2 14" xfId="1247"/>
    <cellStyle name="Normal 6 2 14 2" xfId="1248"/>
    <cellStyle name="Normal 6 2 15" xfId="1249"/>
    <cellStyle name="Normal 6 2 15 2" xfId="1250"/>
    <cellStyle name="Normal 6 2 16" xfId="1251"/>
    <cellStyle name="Normal 6 2 16 2" xfId="1252"/>
    <cellStyle name="Normal 6 2 17" xfId="1253"/>
    <cellStyle name="Normal 6 2 17 2" xfId="1254"/>
    <cellStyle name="Normal 6 2 18" xfId="1255"/>
    <cellStyle name="Normal 6 2 18 2" xfId="1256"/>
    <cellStyle name="Normal 6 2 19" xfId="1257"/>
    <cellStyle name="Normal 6 2 19 2" xfId="1258"/>
    <cellStyle name="Normal 6 2 2" xfId="1259"/>
    <cellStyle name="Normal 6 2 2 2" xfId="1260"/>
    <cellStyle name="Normal 6 2 20" xfId="1261"/>
    <cellStyle name="Normal 6 2 20 2" xfId="1262"/>
    <cellStyle name="Normal 6 2 21" xfId="1263"/>
    <cellStyle name="Normal 6 2 21 2" xfId="1264"/>
    <cellStyle name="Normal 6 2 22" xfId="1265"/>
    <cellStyle name="Normal 6 2 22 2" xfId="1266"/>
    <cellStyle name="Normal 6 2 23" xfId="1267"/>
    <cellStyle name="Normal 6 2 23 2" xfId="1268"/>
    <cellStyle name="Normal 6 2 24" xfId="1269"/>
    <cellStyle name="Normal 6 2 24 2" xfId="1270"/>
    <cellStyle name="Normal 6 2 25" xfId="1271"/>
    <cellStyle name="Normal 6 2 25 2" xfId="1272"/>
    <cellStyle name="Normal 6 2 26" xfId="1273"/>
    <cellStyle name="Normal 6 2 26 2" xfId="1274"/>
    <cellStyle name="Normal 6 2 27" xfId="1275"/>
    <cellStyle name="Normal 6 2 27 2" xfId="1276"/>
    <cellStyle name="Normal 6 2 28" xfId="1277"/>
    <cellStyle name="Normal 6 2 28 2" xfId="1278"/>
    <cellStyle name="Normal 6 2 29" xfId="1279"/>
    <cellStyle name="Normal 6 2 29 2" xfId="1280"/>
    <cellStyle name="Normal 6 2 3" xfId="1281"/>
    <cellStyle name="Normal 6 2 3 2" xfId="1282"/>
    <cellStyle name="Normal 6 2 30" xfId="1283"/>
    <cellStyle name="Normal 6 2 30 2" xfId="1284"/>
    <cellStyle name="Normal 6 2 31" xfId="1285"/>
    <cellStyle name="Normal 6 2 31 2" xfId="1286"/>
    <cellStyle name="Normal 6 2 32" xfId="1287"/>
    <cellStyle name="Normal 6 2 32 2" xfId="1288"/>
    <cellStyle name="Normal 6 2 33" xfId="1289"/>
    <cellStyle name="Normal 6 2 33 2" xfId="1290"/>
    <cellStyle name="Normal 6 2 34" xfId="1291"/>
    <cellStyle name="Normal 6 2 34 2" xfId="1292"/>
    <cellStyle name="Normal 6 2 35" xfId="1293"/>
    <cellStyle name="Normal 6 2 35 2" xfId="1294"/>
    <cellStyle name="Normal 6 2 36" xfId="1295"/>
    <cellStyle name="Normal 6 2 36 2" xfId="1296"/>
    <cellStyle name="Normal 6 2 37" xfId="1297"/>
    <cellStyle name="Normal 6 2 37 2" xfId="1298"/>
    <cellStyle name="Normal 6 2 38" xfId="1299"/>
    <cellStyle name="Normal 6 2 38 2" xfId="1300"/>
    <cellStyle name="Normal 6 2 39" xfId="1301"/>
    <cellStyle name="Normal 6 2 39 2" xfId="1302"/>
    <cellStyle name="Normal 6 2 4" xfId="1303"/>
    <cellStyle name="Normal 6 2 4 2" xfId="1304"/>
    <cellStyle name="Normal 6 2 40" xfId="1305"/>
    <cellStyle name="Normal 6 2 40 2" xfId="1306"/>
    <cellStyle name="Normal 6 2 41" xfId="1307"/>
    <cellStyle name="Normal 6 2 41 2" xfId="1308"/>
    <cellStyle name="Normal 6 2 42" xfId="1309"/>
    <cellStyle name="Normal 6 2 42 2" xfId="1310"/>
    <cellStyle name="Normal 6 2 43" xfId="1311"/>
    <cellStyle name="Normal 6 2 43 2" xfId="1312"/>
    <cellStyle name="Normal 6 2 44" xfId="1313"/>
    <cellStyle name="Normal 6 2 44 2" xfId="1314"/>
    <cellStyle name="Normal 6 2 45" xfId="1315"/>
    <cellStyle name="Normal 6 2 45 2" xfId="1316"/>
    <cellStyle name="Normal 6 2 46" xfId="1317"/>
    <cellStyle name="Normal 6 2 46 2" xfId="1318"/>
    <cellStyle name="Normal 6 2 47" xfId="1983"/>
    <cellStyle name="Normal 6 2 5" xfId="1319"/>
    <cellStyle name="Normal 6 2 5 2" xfId="1320"/>
    <cellStyle name="Normal 6 2 6" xfId="1321"/>
    <cellStyle name="Normal 6 2 6 2" xfId="1322"/>
    <cellStyle name="Normal 6 2 7" xfId="1323"/>
    <cellStyle name="Normal 6 2 7 2" xfId="1324"/>
    <cellStyle name="Normal 6 2 8" xfId="1325"/>
    <cellStyle name="Normal 6 2 8 2" xfId="1326"/>
    <cellStyle name="Normal 6 2 9" xfId="1327"/>
    <cellStyle name="Normal 6 2 9 2" xfId="1328"/>
    <cellStyle name="Normal 6 20" xfId="1329"/>
    <cellStyle name="Normal 6 21" xfId="1330"/>
    <cellStyle name="Normal 6 22" xfId="1331"/>
    <cellStyle name="Normal 6 23" xfId="1332"/>
    <cellStyle name="Normal 6 24" xfId="1333"/>
    <cellStyle name="Normal 6 25" xfId="1334"/>
    <cellStyle name="Normal 6 26" xfId="1335"/>
    <cellStyle name="Normal 6 27" xfId="1336"/>
    <cellStyle name="Normal 6 28" xfId="1337"/>
    <cellStyle name="Normal 6 29" xfId="1338"/>
    <cellStyle name="Normal 6 3" xfId="1339"/>
    <cellStyle name="Normal 6 3 2" xfId="1340"/>
    <cellStyle name="Normal 6 30" xfId="1341"/>
    <cellStyle name="Normal 6 31" xfId="1342"/>
    <cellStyle name="Normal 6 32" xfId="1343"/>
    <cellStyle name="Normal 6 33" xfId="1344"/>
    <cellStyle name="Normal 6 34" xfId="1345"/>
    <cellStyle name="Normal 6 35" xfId="1346"/>
    <cellStyle name="Normal 6 36" xfId="1347"/>
    <cellStyle name="Normal 6 37" xfId="1348"/>
    <cellStyle name="Normal 6 38" xfId="1349"/>
    <cellStyle name="Normal 6 39" xfId="1350"/>
    <cellStyle name="Normal 6 4" xfId="1351"/>
    <cellStyle name="Normal 6 4 2" xfId="1352"/>
    <cellStyle name="Normal 6 40" xfId="1353"/>
    <cellStyle name="Normal 6 41" xfId="1354"/>
    <cellStyle name="Normal 6 42" xfId="1355"/>
    <cellStyle name="Normal 6 43" xfId="1356"/>
    <cellStyle name="Normal 6 44" xfId="1357"/>
    <cellStyle name="Normal 6 45" xfId="1358"/>
    <cellStyle name="Normal 6 46" xfId="1359"/>
    <cellStyle name="Normal 6 47" xfId="1360"/>
    <cellStyle name="Normal 6 48" xfId="1361"/>
    <cellStyle name="Normal 6 49" xfId="1362"/>
    <cellStyle name="Normal 6 5" xfId="1363"/>
    <cellStyle name="Normal 6 5 2" xfId="1364"/>
    <cellStyle name="Normal 6 50" xfId="1365"/>
    <cellStyle name="Normal 6 51" xfId="1366"/>
    <cellStyle name="Normal 6 52" xfId="1367"/>
    <cellStyle name="Normal 6 53" xfId="1368"/>
    <cellStyle name="Normal 6 54" xfId="1369"/>
    <cellStyle name="Normal 6 55" xfId="1370"/>
    <cellStyle name="Normal 6 56" xfId="1226"/>
    <cellStyle name="Normal 6 57" xfId="1698"/>
    <cellStyle name="Normal 6 58" xfId="1763"/>
    <cellStyle name="Normal 6 59" xfId="1981"/>
    <cellStyle name="Normal 6 6" xfId="1371"/>
    <cellStyle name="Normal 6 6 2" xfId="1372"/>
    <cellStyle name="Normal 6 7" xfId="1373"/>
    <cellStyle name="Normal 6 7 2" xfId="1374"/>
    <cellStyle name="Normal 6 8" xfId="1375"/>
    <cellStyle name="Normal 6 8 2" xfId="1376"/>
    <cellStyle name="Normal 6 9" xfId="1377"/>
    <cellStyle name="Normal 6 9 2" xfId="1378"/>
    <cellStyle name="Normal 60" xfId="1379"/>
    <cellStyle name="Normal 60 2" xfId="1380"/>
    <cellStyle name="Normal 61" xfId="2"/>
    <cellStyle name="Normal 61 2" xfId="6"/>
    <cellStyle name="Normal 61_ARQ-COMP" xfId="1884"/>
    <cellStyle name="Normal 62" xfId="1719"/>
    <cellStyle name="Normal 62 2" xfId="1737"/>
    <cellStyle name="Normal 62_ARQ-COMP" xfId="1885"/>
    <cellStyle name="Normal 63" xfId="1722"/>
    <cellStyle name="Normal 63 2" xfId="1740"/>
    <cellStyle name="Normal 63_ARQ-COMP" xfId="1887"/>
    <cellStyle name="Normal 64" xfId="1723"/>
    <cellStyle name="Normal 64 2" xfId="1741"/>
    <cellStyle name="Normal 64_ARQ-COMP" xfId="1889"/>
    <cellStyle name="Normal 65" xfId="1724"/>
    <cellStyle name="Normal 65 2" xfId="1742"/>
    <cellStyle name="Normal 65_ARQ-COMP" xfId="1888"/>
    <cellStyle name="Normal 66" xfId="1725"/>
    <cellStyle name="Normal 66 2" xfId="1743"/>
    <cellStyle name="Normal 66_ARQ-COMP" xfId="1886"/>
    <cellStyle name="Normal 67" xfId="1731"/>
    <cellStyle name="Normal 67 2" xfId="1878"/>
    <cellStyle name="Normal 68" xfId="1735"/>
    <cellStyle name="Normal 68 2" xfId="1882"/>
    <cellStyle name="Normal 69" xfId="1765"/>
    <cellStyle name="Normal 69 2" xfId="1913"/>
    <cellStyle name="Normal 7" xfId="1381"/>
    <cellStyle name="Normal 7 2" xfId="1382"/>
    <cellStyle name="Normal 7 3" xfId="1984"/>
    <cellStyle name="Normal 7 3 2" xfId="2059"/>
    <cellStyle name="Normal 70" xfId="1892"/>
    <cellStyle name="Normal 71" xfId="1891"/>
    <cellStyle name="Normal 72" xfId="1895"/>
    <cellStyle name="Normal 73" xfId="1896"/>
    <cellStyle name="Normal 74" xfId="1897"/>
    <cellStyle name="Normal 75" xfId="1898"/>
    <cellStyle name="Normal 76" xfId="1899"/>
    <cellStyle name="Normal 77" xfId="1900"/>
    <cellStyle name="Normal 78" xfId="1901"/>
    <cellStyle name="Normal 79" xfId="1902"/>
    <cellStyle name="Normal 8" xfId="1383"/>
    <cellStyle name="Normal 8 2" xfId="1384"/>
    <cellStyle name="Normal 8 3" xfId="1985"/>
    <cellStyle name="Normal 80" xfId="1903"/>
    <cellStyle name="Normal 81" xfId="1904"/>
    <cellStyle name="Normal 82" xfId="1905"/>
    <cellStyle name="Normal 83" xfId="1906"/>
    <cellStyle name="Normal 84" xfId="1907"/>
    <cellStyle name="Normal 85" xfId="1914"/>
    <cellStyle name="Normal 9" xfId="1385"/>
    <cellStyle name="Normal 9 2" xfId="1386"/>
    <cellStyle name="Normal 9 3" xfId="1986"/>
    <cellStyle name="Nota 2" xfId="102"/>
    <cellStyle name="Nota 2 2" xfId="1388"/>
    <cellStyle name="Nota 2 3" xfId="1387"/>
    <cellStyle name="Nota 2 4" xfId="1699"/>
    <cellStyle name="Nota 2 5" xfId="1752"/>
    <cellStyle name="Nota 3" xfId="101"/>
    <cellStyle name="Nota 3 2" xfId="1390"/>
    <cellStyle name="Nota 3 3" xfId="1391"/>
    <cellStyle name="Nota 3 4" xfId="1389"/>
    <cellStyle name="Nota 3 5" xfId="1700"/>
    <cellStyle name="Nota 3 6" xfId="1753"/>
    <cellStyle name="Note" xfId="103"/>
    <cellStyle name="Note 2" xfId="1970"/>
    <cellStyle name="Note 3" xfId="1956"/>
    <cellStyle name="Note 3 2" xfId="2039"/>
    <cellStyle name="Output" xfId="104"/>
    <cellStyle name="Output 2" xfId="1957"/>
    <cellStyle name="Output 2 2" xfId="2040"/>
    <cellStyle name="Percent 2" xfId="1958"/>
    <cellStyle name="Percent 2 2" xfId="1971"/>
    <cellStyle name="planilhas" xfId="1392"/>
    <cellStyle name="planilhas 10" xfId="1393"/>
    <cellStyle name="planilhas 10 2" xfId="1394"/>
    <cellStyle name="planilhas 11" xfId="1395"/>
    <cellStyle name="planilhas 11 2" xfId="1396"/>
    <cellStyle name="planilhas 12" xfId="1397"/>
    <cellStyle name="planilhas 12 2" xfId="1398"/>
    <cellStyle name="planilhas 13" xfId="1399"/>
    <cellStyle name="planilhas 13 2" xfId="1400"/>
    <cellStyle name="planilhas 14" xfId="1401"/>
    <cellStyle name="planilhas 14 2" xfId="1402"/>
    <cellStyle name="planilhas 15" xfId="1403"/>
    <cellStyle name="planilhas 15 2" xfId="1404"/>
    <cellStyle name="planilhas 16" xfId="1405"/>
    <cellStyle name="planilhas 16 2" xfId="1406"/>
    <cellStyle name="planilhas 17" xfId="1407"/>
    <cellStyle name="planilhas 17 2" xfId="1408"/>
    <cellStyle name="planilhas 18" xfId="1409"/>
    <cellStyle name="planilhas 18 2" xfId="1410"/>
    <cellStyle name="planilhas 19" xfId="1411"/>
    <cellStyle name="planilhas 19 2" xfId="1412"/>
    <cellStyle name="planilhas 2" xfId="1413"/>
    <cellStyle name="planilhas 2 2" xfId="1414"/>
    <cellStyle name="planilhas 20" xfId="1415"/>
    <cellStyle name="planilhas 20 2" xfId="1416"/>
    <cellStyle name="planilhas 21" xfId="1417"/>
    <cellStyle name="planilhas 21 2" xfId="1418"/>
    <cellStyle name="planilhas 22" xfId="1419"/>
    <cellStyle name="planilhas 22 2" xfId="1420"/>
    <cellStyle name="planilhas 23" xfId="1421"/>
    <cellStyle name="planilhas 3" xfId="1422"/>
    <cellStyle name="planilhas 3 2" xfId="1423"/>
    <cellStyle name="planilhas 4" xfId="1424"/>
    <cellStyle name="planilhas 4 2" xfId="1425"/>
    <cellStyle name="planilhas 5" xfId="1426"/>
    <cellStyle name="planilhas 5 2" xfId="1427"/>
    <cellStyle name="planilhas 6" xfId="1428"/>
    <cellStyle name="planilhas 6 2" xfId="1429"/>
    <cellStyle name="planilhas 7" xfId="1430"/>
    <cellStyle name="planilhas 7 2" xfId="1431"/>
    <cellStyle name="planilhas 8" xfId="1432"/>
    <cellStyle name="planilhas 8 2" xfId="1433"/>
    <cellStyle name="planilhas 9" xfId="1434"/>
    <cellStyle name="planilhas 9 2" xfId="1435"/>
    <cellStyle name="Porcentagem" xfId="3" builtinId="5"/>
    <cellStyle name="Porcentagem 10" xfId="18"/>
    <cellStyle name="Porcentagem 10 2" xfId="1437"/>
    <cellStyle name="Porcentagem 11" xfId="1438"/>
    <cellStyle name="Porcentagem 11 2" xfId="1439"/>
    <cellStyle name="Porcentagem 12" xfId="1440"/>
    <cellStyle name="Porcentagem 12 2" xfId="1441"/>
    <cellStyle name="Porcentagem 13" xfId="1442"/>
    <cellStyle name="Porcentagem 13 2" xfId="1443"/>
    <cellStyle name="Porcentagem 13 3" xfId="1726"/>
    <cellStyle name="Porcentagem 14" xfId="1444"/>
    <cellStyle name="Porcentagem 14 2" xfId="1445"/>
    <cellStyle name="Porcentagem 14 3" xfId="1727"/>
    <cellStyle name="Porcentagem 15" xfId="1446"/>
    <cellStyle name="Porcentagem 15 2" xfId="1447"/>
    <cellStyle name="Porcentagem 16" xfId="1448"/>
    <cellStyle name="Porcentagem 16 2" xfId="1449"/>
    <cellStyle name="Porcentagem 16 3" xfId="1733"/>
    <cellStyle name="Porcentagem 16 3 2" xfId="1880"/>
    <cellStyle name="Porcentagem 17" xfId="1436"/>
    <cellStyle name="Porcentagem 17 2" xfId="1701"/>
    <cellStyle name="Porcentagem 18" xfId="1720"/>
    <cellStyle name="Porcentagem 18 2" xfId="1738"/>
    <cellStyle name="Porcentagem 19" xfId="1732"/>
    <cellStyle name="Porcentagem 19 2" xfId="1879"/>
    <cellStyle name="Porcentagem 2" xfId="5"/>
    <cellStyle name="Porcentagem 2 2" xfId="21"/>
    <cellStyle name="Porcentagem 2 2 2" xfId="1451"/>
    <cellStyle name="Porcentagem 2 2 2 2" xfId="1973"/>
    <cellStyle name="Porcentagem 2 2 2 2 2" xfId="2060"/>
    <cellStyle name="Porcentagem 2 2 3" xfId="1452"/>
    <cellStyle name="Porcentagem 2 3" xfId="1453"/>
    <cellStyle name="Porcentagem 2 3 2" xfId="1454"/>
    <cellStyle name="Porcentagem 2 3 3" xfId="1972"/>
    <cellStyle name="Porcentagem 2 3 3 2" xfId="2061"/>
    <cellStyle name="Porcentagem 2 4" xfId="1455"/>
    <cellStyle name="Porcentagem 2 5" xfId="1456"/>
    <cellStyle name="Porcentagem 2 6" xfId="1450"/>
    <cellStyle name="Porcentagem 2 7" xfId="1702"/>
    <cellStyle name="Porcentagem 2 8" xfId="1751"/>
    <cellStyle name="Porcentagem 2 9" xfId="105"/>
    <cellStyle name="Porcentagem 20" xfId="1890"/>
    <cellStyle name="Porcentagem 3" xfId="1457"/>
    <cellStyle name="Porcentagem 3 10" xfId="1458"/>
    <cellStyle name="Porcentagem 3 10 2" xfId="1459"/>
    <cellStyle name="Porcentagem 3 11" xfId="1460"/>
    <cellStyle name="Porcentagem 3 11 2" xfId="1461"/>
    <cellStyle name="Porcentagem 3 12" xfId="1462"/>
    <cellStyle name="Porcentagem 3 12 2" xfId="1463"/>
    <cellStyle name="Porcentagem 3 13" xfId="1464"/>
    <cellStyle name="Porcentagem 3 14" xfId="1465"/>
    <cellStyle name="Porcentagem 3 15" xfId="1982"/>
    <cellStyle name="Porcentagem 3 2" xfId="1466"/>
    <cellStyle name="Porcentagem 3 2 2" xfId="1467"/>
    <cellStyle name="Porcentagem 3 2 3" xfId="1468"/>
    <cellStyle name="Porcentagem 3 3" xfId="1469"/>
    <cellStyle name="Porcentagem 3 3 2" xfId="1470"/>
    <cellStyle name="Porcentagem 3 4" xfId="1471"/>
    <cellStyle name="Porcentagem 3 4 2" xfId="1472"/>
    <cellStyle name="Porcentagem 3 5" xfId="1473"/>
    <cellStyle name="Porcentagem 3 5 2" xfId="1474"/>
    <cellStyle name="Porcentagem 3 6" xfId="1475"/>
    <cellStyle name="Porcentagem 3 6 2" xfId="1476"/>
    <cellStyle name="Porcentagem 3 7" xfId="1477"/>
    <cellStyle name="Porcentagem 3 7 2" xfId="1478"/>
    <cellStyle name="Porcentagem 3 8" xfId="1479"/>
    <cellStyle name="Porcentagem 3 8 2" xfId="1480"/>
    <cellStyle name="Porcentagem 3 9" xfId="1481"/>
    <cellStyle name="Porcentagem 3 9 2" xfId="1482"/>
    <cellStyle name="Porcentagem 4" xfId="1483"/>
    <cellStyle name="Porcentagem 4 10" xfId="1484"/>
    <cellStyle name="Porcentagem 4 10 2" xfId="1485"/>
    <cellStyle name="Porcentagem 4 11" xfId="1486"/>
    <cellStyle name="Porcentagem 4 12" xfId="1487"/>
    <cellStyle name="Porcentagem 4 2" xfId="1488"/>
    <cellStyle name="Porcentagem 4 2 2" xfId="1489"/>
    <cellStyle name="Porcentagem 4 3" xfId="1490"/>
    <cellStyle name="Porcentagem 4 3 2" xfId="1491"/>
    <cellStyle name="Porcentagem 4 4" xfId="1492"/>
    <cellStyle name="Porcentagem 4 4 2" xfId="1493"/>
    <cellStyle name="Porcentagem 4 5" xfId="1494"/>
    <cellStyle name="Porcentagem 4 5 2" xfId="1495"/>
    <cellStyle name="Porcentagem 4 6" xfId="1496"/>
    <cellStyle name="Porcentagem 4 6 2" xfId="1497"/>
    <cellStyle name="Porcentagem 4 7" xfId="1498"/>
    <cellStyle name="Porcentagem 4 7 2" xfId="1499"/>
    <cellStyle name="Porcentagem 4 8" xfId="1500"/>
    <cellStyle name="Porcentagem 4 8 2" xfId="1501"/>
    <cellStyle name="Porcentagem 4 9" xfId="1502"/>
    <cellStyle name="Porcentagem 4 9 2" xfId="1503"/>
    <cellStyle name="Porcentagem 5" xfId="1504"/>
    <cellStyle name="Porcentagem 5 10" xfId="1505"/>
    <cellStyle name="Porcentagem 5 10 2" xfId="1506"/>
    <cellStyle name="Porcentagem 5 11" xfId="1507"/>
    <cellStyle name="Porcentagem 5 11 2" xfId="1508"/>
    <cellStyle name="Porcentagem 5 12" xfId="1509"/>
    <cellStyle name="Porcentagem 5 2" xfId="1510"/>
    <cellStyle name="Porcentagem 5 2 2" xfId="1511"/>
    <cellStyle name="Porcentagem 5 3" xfId="1512"/>
    <cellStyle name="Porcentagem 5 3 2" xfId="1513"/>
    <cellStyle name="Porcentagem 5 4" xfId="1514"/>
    <cellStyle name="Porcentagem 5 4 2" xfId="1515"/>
    <cellStyle name="Porcentagem 5 5" xfId="1516"/>
    <cellStyle name="Porcentagem 5 5 2" xfId="1517"/>
    <cellStyle name="Porcentagem 5 6" xfId="1518"/>
    <cellStyle name="Porcentagem 5 6 2" xfId="1519"/>
    <cellStyle name="Porcentagem 5 7" xfId="1520"/>
    <cellStyle name="Porcentagem 5 7 2" xfId="1521"/>
    <cellStyle name="Porcentagem 5 8" xfId="1522"/>
    <cellStyle name="Porcentagem 5 8 2" xfId="1523"/>
    <cellStyle name="Porcentagem 5 9" xfId="1524"/>
    <cellStyle name="Porcentagem 5 9 2" xfId="1525"/>
    <cellStyle name="Porcentagem 6" xfId="1526"/>
    <cellStyle name="Porcentagem 6 2" xfId="1527"/>
    <cellStyle name="Porcentagem 7" xfId="1528"/>
    <cellStyle name="Porcentagem 7 2" xfId="1529"/>
    <cellStyle name="Porcentagem 8" xfId="1530"/>
    <cellStyle name="Porcentagem 8 2" xfId="1531"/>
    <cellStyle name="Porcentagem 9" xfId="1532"/>
    <cellStyle name="Porcentagem 9 2" xfId="1533"/>
    <cellStyle name="Porcentagem 9 2 2" xfId="1534"/>
    <cellStyle name="Porcentagem 9 3" xfId="1535"/>
    <cellStyle name="Porcentagem 9 4" xfId="1536"/>
    <cellStyle name="Saída 2" xfId="107"/>
    <cellStyle name="Saída 2 2" xfId="1537"/>
    <cellStyle name="Saída 2 3" xfId="1703"/>
    <cellStyle name="Saída 2 4" xfId="1750"/>
    <cellStyle name="Saída 3" xfId="106"/>
    <cellStyle name="Separador de milhares 10" xfId="1538"/>
    <cellStyle name="Separador de milhares 10 2" xfId="1539"/>
    <cellStyle name="Separador de milhares 10 2 2" xfId="1776"/>
    <cellStyle name="Separador de milhares 10 2 3" xfId="2063"/>
    <cellStyle name="Separador de milhares 10 3" xfId="1775"/>
    <cellStyle name="Separador de milhares 10 4" xfId="2062"/>
    <cellStyle name="Separador de milhares 11" xfId="1540"/>
    <cellStyle name="Separador de milhares 11 2" xfId="1705"/>
    <cellStyle name="Separador de milhares 11 2 2" xfId="2170"/>
    <cellStyle name="Separador de milhares 11 3" xfId="1704"/>
    <cellStyle name="Separador de milhares 11 3 2" xfId="2169"/>
    <cellStyle name="Separador de milhares 11 4" xfId="2064"/>
    <cellStyle name="Separador de milhares 12" xfId="1541"/>
    <cellStyle name="Separador de milhares 12 2" xfId="1707"/>
    <cellStyle name="Separador de milhares 12 2 2" xfId="2172"/>
    <cellStyle name="Separador de milhares 12 3" xfId="1706"/>
    <cellStyle name="Separador de milhares 12 3 2" xfId="2171"/>
    <cellStyle name="Separador de milhares 12 4" xfId="2065"/>
    <cellStyle name="Separador de milhares 13" xfId="1683"/>
    <cellStyle name="Separador de milhares 13 2" xfId="1708"/>
    <cellStyle name="Separador de milhares 13 2 2" xfId="1871"/>
    <cellStyle name="Separador de milhares 13 2 3" xfId="2173"/>
    <cellStyle name="Separador de milhares 13 3" xfId="2163"/>
    <cellStyle name="Separador de milhares 14" xfId="1744"/>
    <cellStyle name="Separador de milhares 14 2" xfId="1875"/>
    <cellStyle name="Separador de milhares 15" xfId="1877"/>
    <cellStyle name="Separador de milhares 2" xfId="14"/>
    <cellStyle name="Separador de milhares 2 10" xfId="1542"/>
    <cellStyle name="Separador de milhares 2 10 2" xfId="1543"/>
    <cellStyle name="Separador de milhares 2 10 2 2" xfId="1778"/>
    <cellStyle name="Separador de milhares 2 10 2 3" xfId="2067"/>
    <cellStyle name="Separador de milhares 2 10 3" xfId="1777"/>
    <cellStyle name="Separador de milhares 2 10 4" xfId="2066"/>
    <cellStyle name="Separador de milhares 2 11" xfId="1544"/>
    <cellStyle name="Separador de milhares 2 11 2" xfId="1545"/>
    <cellStyle name="Separador de milhares 2 11 2 2" xfId="1780"/>
    <cellStyle name="Separador de milhares 2 11 2 3" xfId="2069"/>
    <cellStyle name="Separador de milhares 2 11 3" xfId="1779"/>
    <cellStyle name="Separador de milhares 2 11 4" xfId="2068"/>
    <cellStyle name="Separador de milhares 2 12" xfId="1546"/>
    <cellStyle name="Separador de milhares 2 12 2" xfId="1547"/>
    <cellStyle name="Separador de milhares 2 12 2 2" xfId="1782"/>
    <cellStyle name="Separador de milhares 2 12 2 3" xfId="2071"/>
    <cellStyle name="Separador de milhares 2 12 3" xfId="1781"/>
    <cellStyle name="Separador de milhares 2 12 4" xfId="2070"/>
    <cellStyle name="Separador de milhares 2 13" xfId="1548"/>
    <cellStyle name="Separador de milhares 2 13 2" xfId="1549"/>
    <cellStyle name="Separador de milhares 2 13 2 2" xfId="1784"/>
    <cellStyle name="Separador de milhares 2 13 2 3" xfId="2073"/>
    <cellStyle name="Separador de milhares 2 13 3" xfId="1783"/>
    <cellStyle name="Separador de milhares 2 13 4" xfId="2072"/>
    <cellStyle name="Separador de milhares 2 14" xfId="1550"/>
    <cellStyle name="Separador de milhares 2 14 2" xfId="1551"/>
    <cellStyle name="Separador de milhares 2 14 2 2" xfId="1786"/>
    <cellStyle name="Separador de milhares 2 14 2 3" xfId="2075"/>
    <cellStyle name="Separador de milhares 2 14 3" xfId="1785"/>
    <cellStyle name="Separador de milhares 2 14 4" xfId="2074"/>
    <cellStyle name="Separador de milhares 2 15" xfId="1552"/>
    <cellStyle name="Separador de milhares 2 15 2" xfId="1553"/>
    <cellStyle name="Separador de milhares 2 15 2 2" xfId="1788"/>
    <cellStyle name="Separador de milhares 2 15 2 3" xfId="2077"/>
    <cellStyle name="Separador de milhares 2 15 3" xfId="1787"/>
    <cellStyle name="Separador de milhares 2 15 4" xfId="2076"/>
    <cellStyle name="Separador de milhares 2 16" xfId="1554"/>
    <cellStyle name="Separador de milhares 2 16 2" xfId="1555"/>
    <cellStyle name="Separador de milhares 2 16 2 2" xfId="1790"/>
    <cellStyle name="Separador de milhares 2 16 2 3" xfId="2079"/>
    <cellStyle name="Separador de milhares 2 16 3" xfId="1789"/>
    <cellStyle name="Separador de milhares 2 16 4" xfId="2078"/>
    <cellStyle name="Separador de milhares 2 17" xfId="1556"/>
    <cellStyle name="Separador de milhares 2 17 2" xfId="1557"/>
    <cellStyle name="Separador de milhares 2 17 2 2" xfId="1792"/>
    <cellStyle name="Separador de milhares 2 17 2 3" xfId="2081"/>
    <cellStyle name="Separador de milhares 2 17 3" xfId="1791"/>
    <cellStyle name="Separador de milhares 2 17 4" xfId="2080"/>
    <cellStyle name="Separador de milhares 2 18" xfId="1558"/>
    <cellStyle name="Separador de milhares 2 18 2" xfId="1559"/>
    <cellStyle name="Separador de milhares 2 18 2 2" xfId="1794"/>
    <cellStyle name="Separador de milhares 2 18 2 3" xfId="2083"/>
    <cellStyle name="Separador de milhares 2 18 3" xfId="1793"/>
    <cellStyle name="Separador de milhares 2 18 4" xfId="2082"/>
    <cellStyle name="Separador de milhares 2 19" xfId="1560"/>
    <cellStyle name="Separador de milhares 2 19 2" xfId="1561"/>
    <cellStyle name="Separador de milhares 2 19 2 2" xfId="1796"/>
    <cellStyle name="Separador de milhares 2 19 2 3" xfId="2085"/>
    <cellStyle name="Separador de milhares 2 19 3" xfId="1795"/>
    <cellStyle name="Separador de milhares 2 19 4" xfId="2084"/>
    <cellStyle name="Separador de milhares 2 2" xfId="20"/>
    <cellStyle name="Separador de milhares 2 2 10" xfId="1563"/>
    <cellStyle name="Separador de milhares 2 2 10 2" xfId="1564"/>
    <cellStyle name="Separador de milhares 2 2 10 2 2" xfId="1799"/>
    <cellStyle name="Separador de milhares 2 2 10 2 3" xfId="2088"/>
    <cellStyle name="Separador de milhares 2 2 10 3" xfId="1798"/>
    <cellStyle name="Separador de milhares 2 2 10 4" xfId="2087"/>
    <cellStyle name="Separador de milhares 2 2 11" xfId="1565"/>
    <cellStyle name="Separador de milhares 2 2 11 2" xfId="1566"/>
    <cellStyle name="Separador de milhares 2 2 11 2 2" xfId="1801"/>
    <cellStyle name="Separador de milhares 2 2 11 2 3" xfId="2090"/>
    <cellStyle name="Separador de milhares 2 2 11 3" xfId="1800"/>
    <cellStyle name="Separador de milhares 2 2 11 4" xfId="2089"/>
    <cellStyle name="Separador de milhares 2 2 12" xfId="1567"/>
    <cellStyle name="Separador de milhares 2 2 13" xfId="1568"/>
    <cellStyle name="Separador de milhares 2 2 13 2" xfId="1802"/>
    <cellStyle name="Separador de milhares 2 2 13 3" xfId="2091"/>
    <cellStyle name="Separador de milhares 2 2 14" xfId="1797"/>
    <cellStyle name="Separador de milhares 2 2 14 2" xfId="2086"/>
    <cellStyle name="Separador de milhares 2 2 15" xfId="1967"/>
    <cellStyle name="Separador de milhares 2 2 16" xfId="1996"/>
    <cellStyle name="Separador de milhares 2 2 17" xfId="1562"/>
    <cellStyle name="Separador de milhares 2 2 2" xfId="1569"/>
    <cellStyle name="Separador de milhares 2 2 2 2" xfId="1570"/>
    <cellStyle name="Separador de milhares 2 2 2 2 2" xfId="1804"/>
    <cellStyle name="Separador de milhares 2 2 2 2 3" xfId="2093"/>
    <cellStyle name="Separador de milhares 2 2 2 3" xfId="1803"/>
    <cellStyle name="Separador de milhares 2 2 2 4" xfId="2092"/>
    <cellStyle name="Separador de milhares 2 2 3" xfId="1571"/>
    <cellStyle name="Separador de milhares 2 2 3 2" xfId="1572"/>
    <cellStyle name="Separador de milhares 2 2 3 2 2" xfId="1806"/>
    <cellStyle name="Separador de milhares 2 2 3 2 3" xfId="2095"/>
    <cellStyle name="Separador de milhares 2 2 3 3" xfId="1805"/>
    <cellStyle name="Separador de milhares 2 2 3 4" xfId="2094"/>
    <cellStyle name="Separador de milhares 2 2 4" xfId="1573"/>
    <cellStyle name="Separador de milhares 2 2 4 2" xfId="1574"/>
    <cellStyle name="Separador de milhares 2 2 4 2 2" xfId="1808"/>
    <cellStyle name="Separador de milhares 2 2 4 2 3" xfId="2097"/>
    <cellStyle name="Separador de milhares 2 2 4 3" xfId="1807"/>
    <cellStyle name="Separador de milhares 2 2 4 4" xfId="2096"/>
    <cellStyle name="Separador de milhares 2 2 5" xfId="1575"/>
    <cellStyle name="Separador de milhares 2 2 5 2" xfId="1576"/>
    <cellStyle name="Separador de milhares 2 2 5 2 2" xfId="1810"/>
    <cellStyle name="Separador de milhares 2 2 5 2 3" xfId="2099"/>
    <cellStyle name="Separador de milhares 2 2 5 3" xfId="1809"/>
    <cellStyle name="Separador de milhares 2 2 5 4" xfId="2098"/>
    <cellStyle name="Separador de milhares 2 2 6" xfId="1577"/>
    <cellStyle name="Separador de milhares 2 2 6 2" xfId="1578"/>
    <cellStyle name="Separador de milhares 2 2 6 2 2" xfId="1812"/>
    <cellStyle name="Separador de milhares 2 2 6 2 3" xfId="2101"/>
    <cellStyle name="Separador de milhares 2 2 6 3" xfId="1811"/>
    <cellStyle name="Separador de milhares 2 2 6 4" xfId="2100"/>
    <cellStyle name="Separador de milhares 2 2 7" xfId="1579"/>
    <cellStyle name="Separador de milhares 2 2 7 2" xfId="1580"/>
    <cellStyle name="Separador de milhares 2 2 7 2 2" xfId="1814"/>
    <cellStyle name="Separador de milhares 2 2 7 2 3" xfId="2103"/>
    <cellStyle name="Separador de milhares 2 2 7 3" xfId="1813"/>
    <cellStyle name="Separador de milhares 2 2 7 4" xfId="2102"/>
    <cellStyle name="Separador de milhares 2 2 8" xfId="1581"/>
    <cellStyle name="Separador de milhares 2 2 8 2" xfId="1582"/>
    <cellStyle name="Separador de milhares 2 2 8 2 2" xfId="1816"/>
    <cellStyle name="Separador de milhares 2 2 8 2 3" xfId="2105"/>
    <cellStyle name="Separador de milhares 2 2 8 3" xfId="1815"/>
    <cellStyle name="Separador de milhares 2 2 8 4" xfId="2104"/>
    <cellStyle name="Separador de milhares 2 2 9" xfId="1583"/>
    <cellStyle name="Separador de milhares 2 2 9 2" xfId="1584"/>
    <cellStyle name="Separador de milhares 2 2 9 2 2" xfId="1818"/>
    <cellStyle name="Separador de milhares 2 2 9 2 3" xfId="2107"/>
    <cellStyle name="Separador de milhares 2 2 9 3" xfId="1817"/>
    <cellStyle name="Separador de milhares 2 2 9 4" xfId="2106"/>
    <cellStyle name="Separador de milhares 2 20" xfId="1585"/>
    <cellStyle name="Separador de milhares 2 20 2" xfId="1586"/>
    <cellStyle name="Separador de milhares 2 20 2 2" xfId="1820"/>
    <cellStyle name="Separador de milhares 2 20 2 3" xfId="2109"/>
    <cellStyle name="Separador de milhares 2 20 3" xfId="1819"/>
    <cellStyle name="Separador de milhares 2 20 4" xfId="2108"/>
    <cellStyle name="Separador de milhares 2 21" xfId="1587"/>
    <cellStyle name="Separador de milhares 2 21 2" xfId="1588"/>
    <cellStyle name="Separador de milhares 2 21 2 2" xfId="1822"/>
    <cellStyle name="Separador de milhares 2 21 2 3" xfId="2111"/>
    <cellStyle name="Separador de milhares 2 21 3" xfId="1821"/>
    <cellStyle name="Separador de milhares 2 21 4" xfId="2110"/>
    <cellStyle name="Separador de milhares 2 22" xfId="1589"/>
    <cellStyle name="Separador de milhares 2 23" xfId="1590"/>
    <cellStyle name="Separador de milhares 2 23 2" xfId="1823"/>
    <cellStyle name="Separador de milhares 2 23 3" xfId="2112"/>
    <cellStyle name="Separador de milhares 2 24" xfId="1766"/>
    <cellStyle name="Separador de milhares 2 24 2" xfId="2041"/>
    <cellStyle name="Separador de milhares 2 25" xfId="108"/>
    <cellStyle name="Separador de milhares 2 3" xfId="1591"/>
    <cellStyle name="Separador de milhares 2 3 10" xfId="1592"/>
    <cellStyle name="Separador de milhares 2 3 10 2" xfId="1593"/>
    <cellStyle name="Separador de milhares 2 3 10 2 2" xfId="1825"/>
    <cellStyle name="Separador de milhares 2 3 10 2 3" xfId="2114"/>
    <cellStyle name="Separador de milhares 2 3 10 3" xfId="1824"/>
    <cellStyle name="Separador de milhares 2 3 10 4" xfId="2113"/>
    <cellStyle name="Separador de milhares 2 3 11" xfId="1594"/>
    <cellStyle name="Separador de milhares 2 3 2" xfId="1595"/>
    <cellStyle name="Separador de milhares 2 3 2 2" xfId="1596"/>
    <cellStyle name="Separador de milhares 2 3 2 2 2" xfId="1827"/>
    <cellStyle name="Separador de milhares 2 3 2 2 3" xfId="2116"/>
    <cellStyle name="Separador de milhares 2 3 2 3" xfId="1826"/>
    <cellStyle name="Separador de milhares 2 3 2 4" xfId="2115"/>
    <cellStyle name="Separador de milhares 2 3 3" xfId="1597"/>
    <cellStyle name="Separador de milhares 2 3 3 2" xfId="1598"/>
    <cellStyle name="Separador de milhares 2 3 3 2 2" xfId="1829"/>
    <cellStyle name="Separador de milhares 2 3 3 2 3" xfId="2118"/>
    <cellStyle name="Separador de milhares 2 3 3 3" xfId="1828"/>
    <cellStyle name="Separador de milhares 2 3 3 4" xfId="2117"/>
    <cellStyle name="Separador de milhares 2 3 4" xfId="1599"/>
    <cellStyle name="Separador de milhares 2 3 4 2" xfId="1600"/>
    <cellStyle name="Separador de milhares 2 3 4 2 2" xfId="1831"/>
    <cellStyle name="Separador de milhares 2 3 4 2 3" xfId="2120"/>
    <cellStyle name="Separador de milhares 2 3 4 3" xfId="1830"/>
    <cellStyle name="Separador de milhares 2 3 4 4" xfId="2119"/>
    <cellStyle name="Separador de milhares 2 3 5" xfId="1601"/>
    <cellStyle name="Separador de milhares 2 3 5 2" xfId="1602"/>
    <cellStyle name="Separador de milhares 2 3 5 2 2" xfId="1833"/>
    <cellStyle name="Separador de milhares 2 3 5 2 3" xfId="2122"/>
    <cellStyle name="Separador de milhares 2 3 5 3" xfId="1832"/>
    <cellStyle name="Separador de milhares 2 3 5 4" xfId="2121"/>
    <cellStyle name="Separador de milhares 2 3 6" xfId="1603"/>
    <cellStyle name="Separador de milhares 2 3 6 2" xfId="1604"/>
    <cellStyle name="Separador de milhares 2 3 6 2 2" xfId="1835"/>
    <cellStyle name="Separador de milhares 2 3 6 2 3" xfId="2124"/>
    <cellStyle name="Separador de milhares 2 3 6 3" xfId="1834"/>
    <cellStyle name="Separador de milhares 2 3 6 4" xfId="2123"/>
    <cellStyle name="Separador de milhares 2 3 7" xfId="1605"/>
    <cellStyle name="Separador de milhares 2 3 7 2" xfId="1606"/>
    <cellStyle name="Separador de milhares 2 3 7 2 2" xfId="1837"/>
    <cellStyle name="Separador de milhares 2 3 7 2 3" xfId="2126"/>
    <cellStyle name="Separador de milhares 2 3 7 3" xfId="1836"/>
    <cellStyle name="Separador de milhares 2 3 7 4" xfId="2125"/>
    <cellStyle name="Separador de milhares 2 3 8" xfId="1607"/>
    <cellStyle name="Separador de milhares 2 3 8 2" xfId="1608"/>
    <cellStyle name="Separador de milhares 2 3 8 2 2" xfId="1839"/>
    <cellStyle name="Separador de milhares 2 3 8 2 3" xfId="2128"/>
    <cellStyle name="Separador de milhares 2 3 8 3" xfId="1838"/>
    <cellStyle name="Separador de milhares 2 3 8 4" xfId="2127"/>
    <cellStyle name="Separador de milhares 2 3 9" xfId="1609"/>
    <cellStyle name="Separador de milhares 2 3 9 2" xfId="1610"/>
    <cellStyle name="Separador de milhares 2 3 9 2 2" xfId="1841"/>
    <cellStyle name="Separador de milhares 2 3 9 2 3" xfId="2130"/>
    <cellStyle name="Separador de milhares 2 3 9 3" xfId="1840"/>
    <cellStyle name="Separador de milhares 2 3 9 4" xfId="2129"/>
    <cellStyle name="Separador de milhares 2 4" xfId="1611"/>
    <cellStyle name="Separador de milhares 2 4 2" xfId="1612"/>
    <cellStyle name="Separador de milhares 2 4 2 2" xfId="1843"/>
    <cellStyle name="Separador de milhares 2 4 2 3" xfId="2132"/>
    <cellStyle name="Separador de milhares 2 4 3" xfId="1842"/>
    <cellStyle name="Separador de milhares 2 4 4" xfId="2131"/>
    <cellStyle name="Separador de milhares 2 5" xfId="1613"/>
    <cellStyle name="Separador de milhares 2 5 2" xfId="1614"/>
    <cellStyle name="Separador de milhares 2 5 2 2" xfId="1845"/>
    <cellStyle name="Separador de milhares 2 5 2 3" xfId="2134"/>
    <cellStyle name="Separador de milhares 2 5 3" xfId="1844"/>
    <cellStyle name="Separador de milhares 2 5 4" xfId="2133"/>
    <cellStyle name="Separador de milhares 2 6" xfId="1615"/>
    <cellStyle name="Separador de milhares 2 6 2" xfId="1616"/>
    <cellStyle name="Separador de milhares 2 6 2 2" xfId="1847"/>
    <cellStyle name="Separador de milhares 2 6 2 3" xfId="2136"/>
    <cellStyle name="Separador de milhares 2 6 3" xfId="1846"/>
    <cellStyle name="Separador de milhares 2 6 4" xfId="2135"/>
    <cellStyle name="Separador de milhares 2 7" xfId="1617"/>
    <cellStyle name="Separador de milhares 2 7 2" xfId="1618"/>
    <cellStyle name="Separador de milhares 2 7 2 2" xfId="1849"/>
    <cellStyle name="Separador de milhares 2 7 2 3" xfId="2138"/>
    <cellStyle name="Separador de milhares 2 7 3" xfId="1848"/>
    <cellStyle name="Separador de milhares 2 7 4" xfId="2137"/>
    <cellStyle name="Separador de milhares 2 8" xfId="1619"/>
    <cellStyle name="Separador de milhares 2 8 2" xfId="1620"/>
    <cellStyle name="Separador de milhares 2 8 2 2" xfId="1851"/>
    <cellStyle name="Separador de milhares 2 8 2 3" xfId="2140"/>
    <cellStyle name="Separador de milhares 2 8 3" xfId="1850"/>
    <cellStyle name="Separador de milhares 2 8 4" xfId="2139"/>
    <cellStyle name="Separador de milhares 2 9" xfId="1621"/>
    <cellStyle name="Separador de milhares 2 9 2" xfId="1622"/>
    <cellStyle name="Separador de milhares 2 9 2 2" xfId="1853"/>
    <cellStyle name="Separador de milhares 2 9 2 3" xfId="2142"/>
    <cellStyle name="Separador de milhares 2 9 3" xfId="1852"/>
    <cellStyle name="Separador de milhares 2 9 4" xfId="2141"/>
    <cellStyle name="Separador de milhares 3" xfId="1623"/>
    <cellStyle name="Separador de milhares 3 10" xfId="1624"/>
    <cellStyle name="Separador de milhares 3 10 2" xfId="1625"/>
    <cellStyle name="Separador de milhares 3 11" xfId="1626"/>
    <cellStyle name="Separador de milhares 3 12" xfId="1627"/>
    <cellStyle name="Separador de milhares 3 12 2" xfId="1628"/>
    <cellStyle name="Separador de milhares 3 12 2 2" xfId="1855"/>
    <cellStyle name="Separador de milhares 3 12 2 3" xfId="2145"/>
    <cellStyle name="Separador de milhares 3 12 3" xfId="1854"/>
    <cellStyle name="Separador de milhares 3 12 4" xfId="2144"/>
    <cellStyle name="Separador de milhares 3 13" xfId="1629"/>
    <cellStyle name="Separador de milhares 3 14" xfId="1959"/>
    <cellStyle name="Separador de milhares 3 14 2" xfId="2143"/>
    <cellStyle name="Separador de milhares 3 2" xfId="1630"/>
    <cellStyle name="Separador de milhares 3 2 2" xfId="1631"/>
    <cellStyle name="Separador de milhares 3 2 3" xfId="1974"/>
    <cellStyle name="Separador de milhares 3 2 3 2" xfId="2146"/>
    <cellStyle name="Separador de milhares 3 2 4" xfId="1997"/>
    <cellStyle name="Separador de milhares 3 3" xfId="1632"/>
    <cellStyle name="Separador de milhares 3 3 2" xfId="1633"/>
    <cellStyle name="Separador de milhares 3 4" xfId="1634"/>
    <cellStyle name="Separador de milhares 3 4 2" xfId="1635"/>
    <cellStyle name="Separador de milhares 3 5" xfId="1636"/>
    <cellStyle name="Separador de milhares 3 5 2" xfId="1637"/>
    <cellStyle name="Separador de milhares 3 6" xfId="1638"/>
    <cellStyle name="Separador de milhares 3 6 2" xfId="1639"/>
    <cellStyle name="Separador de milhares 3 7" xfId="1640"/>
    <cellStyle name="Separador de milhares 3 7 2" xfId="1641"/>
    <cellStyle name="Separador de milhares 3 8" xfId="1642"/>
    <cellStyle name="Separador de milhares 3 8 2" xfId="1643"/>
    <cellStyle name="Separador de milhares 3 9" xfId="1644"/>
    <cellStyle name="Separador de milhares 3 9 2" xfId="1645"/>
    <cellStyle name="Separador de milhares 4" xfId="1646"/>
    <cellStyle name="Separador de milhares 4 2" xfId="1647"/>
    <cellStyle name="Separador de milhares 4 2 2" xfId="1857"/>
    <cellStyle name="Separador de milhares 4 2 3" xfId="2148"/>
    <cellStyle name="Separador de milhares 4 3" xfId="1856"/>
    <cellStyle name="Separador de milhares 4 4" xfId="2147"/>
    <cellStyle name="Separador de milhares 5" xfId="1648"/>
    <cellStyle name="Separador de milhares 5 2" xfId="1649"/>
    <cellStyle name="Separador de milhares 5 2 2" xfId="1650"/>
    <cellStyle name="Separador de milhares 5 2 2 2" xfId="1860"/>
    <cellStyle name="Separador de milhares 5 2 2 3" xfId="2151"/>
    <cellStyle name="Separador de milhares 5 2 3" xfId="1859"/>
    <cellStyle name="Separador de milhares 5 2 4" xfId="2150"/>
    <cellStyle name="Separador de milhares 5 3" xfId="1651"/>
    <cellStyle name="Separador de milhares 5 3 2" xfId="1861"/>
    <cellStyle name="Separador de milhares 5 3 3" xfId="2152"/>
    <cellStyle name="Separador de milhares 5 4" xfId="1652"/>
    <cellStyle name="Separador de milhares 5 4 2" xfId="1862"/>
    <cellStyle name="Separador de milhares 5 4 3" xfId="2153"/>
    <cellStyle name="Separador de milhares 5 5" xfId="1858"/>
    <cellStyle name="Separador de milhares 5 6" xfId="2149"/>
    <cellStyle name="Separador de milhares 6" xfId="1653"/>
    <cellStyle name="Separador de milhares 6 2" xfId="1654"/>
    <cellStyle name="Separador de milhares 6 2 2" xfId="1864"/>
    <cellStyle name="Separador de milhares 6 2 2 2" xfId="2155"/>
    <cellStyle name="Separador de milhares 6 2 3" xfId="1976"/>
    <cellStyle name="Separador de milhares 6 2 4" xfId="1998"/>
    <cellStyle name="Separador de milhares 6 3" xfId="1728"/>
    <cellStyle name="Separador de milhares 6 3 2" xfId="1863"/>
    <cellStyle name="Separador de milhares 6 3 3" xfId="2180"/>
    <cellStyle name="Separador de milhares 6 4" xfId="2154"/>
    <cellStyle name="Separador de milhares 7" xfId="1655"/>
    <cellStyle name="Separador de milhares 7 2" xfId="1656"/>
    <cellStyle name="Separador de milhares 7 2 2" xfId="1866"/>
    <cellStyle name="Separador de milhares 7 2 3" xfId="2157"/>
    <cellStyle name="Separador de milhares 7 3" xfId="1865"/>
    <cellStyle name="Separador de milhares 7 3 2" xfId="1910"/>
    <cellStyle name="Separador de milhares 7 4" xfId="1764"/>
    <cellStyle name="Separador de milhares 7 4 2" xfId="1908"/>
    <cellStyle name="Separador de milhares 7 5" xfId="2156"/>
    <cellStyle name="Separador de milhares 8" xfId="1657"/>
    <cellStyle name="Separador de milhares 8 2" xfId="1658"/>
    <cellStyle name="Separador de milhares 8 2 2" xfId="1730"/>
    <cellStyle name="Separador de milhares 8 2 2 2" xfId="1868"/>
    <cellStyle name="Separador de milhares 8 2 2 3" xfId="2182"/>
    <cellStyle name="Separador de milhares 8 2 3" xfId="2159"/>
    <cellStyle name="Separador de milhares 8 3" xfId="1710"/>
    <cellStyle name="Separador de milhares 8 3 2" xfId="1867"/>
    <cellStyle name="Separador de milhares 8 3 3" xfId="2175"/>
    <cellStyle name="Separador de milhares 8 4" xfId="1709"/>
    <cellStyle name="Separador de milhares 8 4 2" xfId="2174"/>
    <cellStyle name="Separador de milhares 8 5" xfId="1729"/>
    <cellStyle name="Separador de milhares 8 5 2" xfId="2181"/>
    <cellStyle name="Separador de milhares 8 6" xfId="1909"/>
    <cellStyle name="Separador de milhares 8 7" xfId="2158"/>
    <cellStyle name="Separador de milhares 9" xfId="1659"/>
    <cellStyle name="Separador de milhares 9 2" xfId="1660"/>
    <cellStyle name="Separador de milhares 9 2 2" xfId="1870"/>
    <cellStyle name="Separador de milhares 9 2 3" xfId="2161"/>
    <cellStyle name="Separador de milhares 9 3" xfId="1869"/>
    <cellStyle name="Separador de milhares 9 4" xfId="2160"/>
    <cellStyle name="TableStyleLight1" xfId="1661"/>
    <cellStyle name="Texto de Aviso 2" xfId="110"/>
    <cellStyle name="Texto de Aviso 2 2" xfId="1662"/>
    <cellStyle name="Texto de Aviso 2 3" xfId="1711"/>
    <cellStyle name="Texto de Aviso 2 4" xfId="1749"/>
    <cellStyle name="Texto de Aviso 3" xfId="109"/>
    <cellStyle name="Texto Explicativo 2" xfId="112"/>
    <cellStyle name="Texto Explicativo 2 2" xfId="1663"/>
    <cellStyle name="Texto Explicativo 2 3" xfId="1712"/>
    <cellStyle name="Texto Explicativo 2 4" xfId="1748"/>
    <cellStyle name="Texto Explicativo 3" xfId="111"/>
    <cellStyle name="Title" xfId="1960"/>
    <cellStyle name="Título 1 1" xfId="114"/>
    <cellStyle name="Título 1 1 1" xfId="1665"/>
    <cellStyle name="Título 1 1 1 2" xfId="1962"/>
    <cellStyle name="Título 1 1 1 2 2" xfId="2162"/>
    <cellStyle name="Título 1 1 10" xfId="1666"/>
    <cellStyle name="Título 1 1 11" xfId="1667"/>
    <cellStyle name="Título 1 1 12" xfId="1668"/>
    <cellStyle name="Título 1 1 13" xfId="1664"/>
    <cellStyle name="Título 1 1 14" xfId="1713"/>
    <cellStyle name="Título 1 1 15" xfId="1747"/>
    <cellStyle name="Título 1 1 16" xfId="1961"/>
    <cellStyle name="Título 1 1 2" xfId="1669"/>
    <cellStyle name="Título 1 1 3" xfId="1670"/>
    <cellStyle name="Título 1 1 4" xfId="1671"/>
    <cellStyle name="Título 1 1 5" xfId="1672"/>
    <cellStyle name="Título 1 1 6" xfId="1673"/>
    <cellStyle name="Título 1 1 7" xfId="1674"/>
    <cellStyle name="Título 1 1 8" xfId="1675"/>
    <cellStyle name="Título 1 1 9" xfId="1676"/>
    <cellStyle name="Título 1 2" xfId="1677"/>
    <cellStyle name="Título 2 2" xfId="1678"/>
    <cellStyle name="Título 3 2" xfId="1679"/>
    <cellStyle name="Título 4 2" xfId="1680"/>
    <cellStyle name="Título 5" xfId="115"/>
    <cellStyle name="Título 5 2" xfId="1681"/>
    <cellStyle name="Título 5 3" xfId="1714"/>
    <cellStyle name="Título 5 4" xfId="1746"/>
    <cellStyle name="Título 6" xfId="113"/>
    <cellStyle name="Total 2" xfId="117"/>
    <cellStyle name="Total 2 2" xfId="1682"/>
    <cellStyle name="Total 2 3" xfId="1715"/>
    <cellStyle name="Total 2 4" xfId="1745"/>
    <cellStyle name="Total 3" xfId="116"/>
    <cellStyle name="Verificar Célula" xfId="118"/>
    <cellStyle name="Vírgula" xfId="10" builtinId="3"/>
    <cellStyle name="Vírgula 10" xfId="1687"/>
    <cellStyle name="Vírgula 2" xfId="15"/>
    <cellStyle name="Vírgula 2 2" xfId="1685"/>
    <cellStyle name="Vírgula 2 2 2" xfId="1873"/>
    <cellStyle name="Vírgula 2 2 2 2" xfId="2165"/>
    <cellStyle name="Vírgula 2 2 3" xfId="1975"/>
    <cellStyle name="Vírgula 2 2 4" xfId="1999"/>
    <cellStyle name="Vírgula 2 3" xfId="1872"/>
    <cellStyle name="Vírgula 2 3 2" xfId="1911"/>
    <cellStyle name="Vírgula 2 3 3" xfId="2164"/>
    <cellStyle name="Vírgula 2 4" xfId="1876"/>
    <cellStyle name="Vírgula 2 5" xfId="1684"/>
    <cellStyle name="Vírgula 3" xfId="1686"/>
    <cellStyle name="Vírgula 3 2" xfId="1717"/>
    <cellStyle name="Vírgula 3 2 2" xfId="1874"/>
    <cellStyle name="Vírgula 3 2 2 2" xfId="2177"/>
    <cellStyle name="Vírgula 3 2 3" xfId="1977"/>
    <cellStyle name="Vírgula 3 2 4" xfId="2000"/>
    <cellStyle name="Vírgula 3 3" xfId="1736"/>
    <cellStyle name="Vírgula 3 3 2" xfId="1883"/>
    <cellStyle name="Vírgula 3 3 3" xfId="2166"/>
    <cellStyle name="Vírgula 4" xfId="1718"/>
    <cellStyle name="Vírgula 4 2" xfId="1966"/>
    <cellStyle name="Vírgula 4 2 2" xfId="13"/>
    <cellStyle name="Vírgula 4 2 2 2" xfId="1991"/>
    <cellStyle name="Vírgula 4 2 3" xfId="2178"/>
    <cellStyle name="Vírgula 4 3" xfId="2001"/>
    <cellStyle name="Vírgula 5" xfId="1716"/>
    <cellStyle name="Vírgula 5 2" xfId="1987"/>
    <cellStyle name="Vírgula 5 2 2" xfId="2176"/>
    <cellStyle name="Vírgula 5 3" xfId="2002"/>
    <cellStyle name="Vírgula 6" xfId="1721"/>
    <cellStyle name="Vírgula 6 2" xfId="1739"/>
    <cellStyle name="Vírgula 6 2 2" xfId="2179"/>
    <cellStyle name="Vírgula 6 3" xfId="1993"/>
    <cellStyle name="Vírgula 7" xfId="1734"/>
    <cellStyle name="Vírgula 7 2" xfId="1881"/>
    <cellStyle name="Vírgula 7 3" xfId="1912"/>
    <cellStyle name="Vírgula 7 4" xfId="2167"/>
    <cellStyle name="Vírgula 8" xfId="12"/>
    <cellStyle name="Vírgula 8 2" xfId="1990"/>
    <cellStyle name="Vírgula 9" xfId="16"/>
    <cellStyle name="Vírgula 9 2" xfId="1992"/>
    <cellStyle name="Warning Text" xfId="119"/>
    <cellStyle name="Warning Text 2" xfId="1963"/>
    <cellStyle name="Warning Text 2 2" xfId="2042"/>
  </cellStyles>
  <dxfs count="345">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color theme="0"/>
      </font>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1.xml"/><Relationship Id="rId21" Type="http://schemas.openxmlformats.org/officeDocument/2006/relationships/worksheet" Target="worksheets/sheet21.xml"/><Relationship Id="rId34" Type="http://schemas.openxmlformats.org/officeDocument/2006/relationships/externalLink" Target="externalLinks/externalLink6.xml"/><Relationship Id="rId42" Type="http://schemas.openxmlformats.org/officeDocument/2006/relationships/externalLink" Target="externalLinks/externalLink14.xml"/><Relationship Id="rId47"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37" Type="http://schemas.openxmlformats.org/officeDocument/2006/relationships/externalLink" Target="externalLinks/externalLink9.xml"/><Relationship Id="rId40" Type="http://schemas.openxmlformats.org/officeDocument/2006/relationships/externalLink" Target="externalLinks/externalLink12.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externalLink" Target="externalLinks/externalLink7.xml"/><Relationship Id="rId43" Type="http://schemas.openxmlformats.org/officeDocument/2006/relationships/externalLink" Target="externalLinks/externalLink1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5.xml"/><Relationship Id="rId38" Type="http://schemas.openxmlformats.org/officeDocument/2006/relationships/externalLink" Target="externalLinks/externalLink10.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externalLink" Target="externalLinks/externalLink1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4.png"/></Relationships>
</file>

<file path=xl/drawings/_rels/drawing11.xml.rels><?xml version="1.0" encoding="UTF-8" standalone="yes"?>
<Relationships xmlns="http://schemas.openxmlformats.org/package/2006/relationships"><Relationship Id="rId1" Type="http://schemas.openxmlformats.org/officeDocument/2006/relationships/image" Target="../media/image4.png"/></Relationships>
</file>

<file path=xl/drawings/_rels/drawing12.xml.rels><?xml version="1.0" encoding="UTF-8" standalone="yes"?>
<Relationships xmlns="http://schemas.openxmlformats.org/package/2006/relationships"><Relationship Id="rId1" Type="http://schemas.openxmlformats.org/officeDocument/2006/relationships/image" Target="../media/image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4.png"/></Relationships>
</file>

<file path=xl/drawings/_rels/drawing17.xml.rels><?xml version="1.0" encoding="UTF-8" standalone="yes"?>
<Relationships xmlns="http://schemas.openxmlformats.org/package/2006/relationships"><Relationship Id="rId1" Type="http://schemas.openxmlformats.org/officeDocument/2006/relationships/image" Target="../media/image4.png"/></Relationships>
</file>

<file path=xl/drawings/_rels/drawing18.xml.rels><?xml version="1.0" encoding="UTF-8" standalone="yes"?>
<Relationships xmlns="http://schemas.openxmlformats.org/package/2006/relationships"><Relationship Id="rId1" Type="http://schemas.openxmlformats.org/officeDocument/2006/relationships/image" Target="../media/image4.png"/></Relationships>
</file>

<file path=xl/drawings/_rels/drawing19.xml.rels><?xml version="1.0" encoding="UTF-8" standalone="yes"?>
<Relationships xmlns="http://schemas.openxmlformats.org/package/2006/relationships"><Relationship Id="rId1" Type="http://schemas.openxmlformats.org/officeDocument/2006/relationships/image" Target="../media/image4.png"/></Relationships>
</file>

<file path=xl/drawings/_rels/drawing20.xml.rels><?xml version="1.0" encoding="UTF-8" standalone="yes"?>
<Relationships xmlns="http://schemas.openxmlformats.org/package/2006/relationships"><Relationship Id="rId1" Type="http://schemas.openxmlformats.org/officeDocument/2006/relationships/image" Target="../media/image4.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90767</xdr:colOff>
      <xdr:row>0</xdr:row>
      <xdr:rowOff>35860</xdr:rowOff>
    </xdr:from>
    <xdr:to>
      <xdr:col>1</xdr:col>
      <xdr:colOff>123825</xdr:colOff>
      <xdr:row>0</xdr:row>
      <xdr:rowOff>756558</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767" y="35860"/>
          <a:ext cx="642658" cy="7206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38100</xdr:rowOff>
    </xdr:from>
    <xdr:to>
      <xdr:col>7</xdr:col>
      <xdr:colOff>114300</xdr:colOff>
      <xdr:row>2</xdr:row>
      <xdr:rowOff>171450</xdr:rowOff>
    </xdr:to>
    <xdr:sp macro="" textlink="">
      <xdr:nvSpPr>
        <xdr:cNvPr id="27649" name="Object 1" hidden="1">
          <a:extLst>
            <a:ext uri="{63B3BB69-23CF-44E3-9099-C40C66FF867C}">
              <a14:compatExt xmlns:a14="http://schemas.microsoft.com/office/drawing/2010/main" spid="_x0000_s27649"/>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1</xdr:row>
          <xdr:rowOff>66675</xdr:rowOff>
        </xdr:from>
        <xdr:to>
          <xdr:col>6</xdr:col>
          <xdr:colOff>666750</xdr:colOff>
          <xdr:row>3</xdr:row>
          <xdr:rowOff>9525</xdr:rowOff>
        </xdr:to>
        <xdr:sp macro="" textlink="">
          <xdr:nvSpPr>
            <xdr:cNvPr id="6145" name="Object 1" hidden="1">
              <a:extLst>
                <a:ext uri="{63B3BB69-23CF-44E3-9099-C40C66FF867C}">
                  <a14:compatExt spid="_x0000_s6145"/>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128868</xdr:rowOff>
    </xdr:from>
    <xdr:to>
      <xdr:col>1</xdr:col>
      <xdr:colOff>228600</xdr:colOff>
      <xdr:row>2</xdr:row>
      <xdr:rowOff>184896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28868"/>
          <a:ext cx="747993" cy="8180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108856</xdr:colOff>
      <xdr:row>0</xdr:row>
      <xdr:rowOff>190498</xdr:rowOff>
    </xdr:from>
    <xdr:to>
      <xdr:col>1</xdr:col>
      <xdr:colOff>333957</xdr:colOff>
      <xdr:row>3</xdr:row>
      <xdr:rowOff>249009</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856" y="190498"/>
          <a:ext cx="1000708" cy="105183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140154</xdr:colOff>
      <xdr:row>0</xdr:row>
      <xdr:rowOff>93889</xdr:rowOff>
    </xdr:from>
    <xdr:to>
      <xdr:col>1</xdr:col>
      <xdr:colOff>298317</xdr:colOff>
      <xdr:row>4</xdr:row>
      <xdr:rowOff>103653</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0154" y="93889"/>
          <a:ext cx="767763" cy="85748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190500</xdr:colOff>
      <xdr:row>0</xdr:row>
      <xdr:rowOff>114300</xdr:rowOff>
    </xdr:from>
    <xdr:to>
      <xdr:col>1</xdr:col>
      <xdr:colOff>180975</xdr:colOff>
      <xdr:row>4</xdr:row>
      <xdr:rowOff>74518</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409825"/>
          <a:ext cx="647700" cy="76031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142875</xdr:colOff>
      <xdr:row>0</xdr:row>
      <xdr:rowOff>85725</xdr:rowOff>
    </xdr:from>
    <xdr:to>
      <xdr:col>1</xdr:col>
      <xdr:colOff>180975</xdr:colOff>
      <xdr:row>4</xdr:row>
      <xdr:rowOff>19050</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 y="85725"/>
          <a:ext cx="647700" cy="7334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171450</xdr:colOff>
      <xdr:row>0</xdr:row>
      <xdr:rowOff>76200</xdr:rowOff>
    </xdr:from>
    <xdr:to>
      <xdr:col>1</xdr:col>
      <xdr:colOff>209550</xdr:colOff>
      <xdr:row>4</xdr:row>
      <xdr:rowOff>9525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 y="76200"/>
          <a:ext cx="647700" cy="7334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190500</xdr:colOff>
      <xdr:row>0</xdr:row>
      <xdr:rowOff>114300</xdr:rowOff>
    </xdr:from>
    <xdr:to>
      <xdr:col>1</xdr:col>
      <xdr:colOff>228600</xdr:colOff>
      <xdr:row>4</xdr:row>
      <xdr:rowOff>112618</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14300"/>
          <a:ext cx="647700" cy="760318"/>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133350</xdr:colOff>
      <xdr:row>1</xdr:row>
      <xdr:rowOff>1</xdr:rowOff>
    </xdr:from>
    <xdr:to>
      <xdr:col>1</xdr:col>
      <xdr:colOff>171450</xdr:colOff>
      <xdr:row>4</xdr:row>
      <xdr:rowOff>66676</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6"/>
          <a:ext cx="647700" cy="7429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190500</xdr:colOff>
      <xdr:row>0</xdr:row>
      <xdr:rowOff>114300</xdr:rowOff>
    </xdr:from>
    <xdr:to>
      <xdr:col>1</xdr:col>
      <xdr:colOff>228600</xdr:colOff>
      <xdr:row>4</xdr:row>
      <xdr:rowOff>57150</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14300"/>
          <a:ext cx="647700" cy="74295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190500</xdr:colOff>
      <xdr:row>0</xdr:row>
      <xdr:rowOff>114300</xdr:rowOff>
    </xdr:from>
    <xdr:to>
      <xdr:col>1</xdr:col>
      <xdr:colOff>228600</xdr:colOff>
      <xdr:row>4</xdr:row>
      <xdr:rowOff>38100</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14300"/>
          <a:ext cx="647700" cy="7239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180975</xdr:colOff>
      <xdr:row>0</xdr:row>
      <xdr:rowOff>114301</xdr:rowOff>
    </xdr:from>
    <xdr:to>
      <xdr:col>1</xdr:col>
      <xdr:colOff>189048</xdr:colOff>
      <xdr:row>4</xdr:row>
      <xdr:rowOff>66676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114301"/>
          <a:ext cx="617673" cy="66675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152400</xdr:colOff>
      <xdr:row>0</xdr:row>
      <xdr:rowOff>95250</xdr:rowOff>
    </xdr:from>
    <xdr:to>
      <xdr:col>1</xdr:col>
      <xdr:colOff>84273</xdr:colOff>
      <xdr:row>4</xdr:row>
      <xdr:rowOff>19050</xdr:rowOff>
    </xdr:to>
    <xdr:pic>
      <xdr:nvPicPr>
        <xdr:cNvPr id="4" name="Imagem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00" y="95250"/>
          <a:ext cx="617673" cy="7239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161925</xdr:colOff>
      <xdr:row>0</xdr:row>
      <xdr:rowOff>152400</xdr:rowOff>
    </xdr:from>
    <xdr:to>
      <xdr:col>1</xdr:col>
      <xdr:colOff>122373</xdr:colOff>
      <xdr:row>4</xdr:row>
      <xdr:rowOff>28575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152400"/>
          <a:ext cx="617673" cy="67627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190500</xdr:colOff>
      <xdr:row>0</xdr:row>
      <xdr:rowOff>133350</xdr:rowOff>
    </xdr:from>
    <xdr:to>
      <xdr:col>1</xdr:col>
      <xdr:colOff>160473</xdr:colOff>
      <xdr:row>4</xdr:row>
      <xdr:rowOff>38100</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33350"/>
          <a:ext cx="617673" cy="70485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171450</xdr:colOff>
      <xdr:row>0</xdr:row>
      <xdr:rowOff>142875</xdr:rowOff>
    </xdr:from>
    <xdr:to>
      <xdr:col>0</xdr:col>
      <xdr:colOff>789123</xdr:colOff>
      <xdr:row>4</xdr:row>
      <xdr:rowOff>47625</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 y="142875"/>
          <a:ext cx="617673" cy="70485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85725</xdr:colOff>
      <xdr:row>0</xdr:row>
      <xdr:rowOff>66675</xdr:rowOff>
    </xdr:from>
    <xdr:to>
      <xdr:col>0</xdr:col>
      <xdr:colOff>703398</xdr:colOff>
      <xdr:row>3</xdr:row>
      <xdr:rowOff>171450</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3449300"/>
          <a:ext cx="617673" cy="70485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123825</xdr:colOff>
      <xdr:row>0</xdr:row>
      <xdr:rowOff>161925</xdr:rowOff>
    </xdr:from>
    <xdr:to>
      <xdr:col>1</xdr:col>
      <xdr:colOff>65223</xdr:colOff>
      <xdr:row>4</xdr:row>
      <xdr:rowOff>19050</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1029950"/>
          <a:ext cx="617673" cy="65722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0</xdr:col>
      <xdr:colOff>703398</xdr:colOff>
      <xdr:row>4</xdr:row>
      <xdr:rowOff>9525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8773775"/>
          <a:ext cx="617673" cy="71437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95250</xdr:colOff>
      <xdr:row>118</xdr:row>
      <xdr:rowOff>85725</xdr:rowOff>
    </xdr:from>
    <xdr:to>
      <xdr:col>1</xdr:col>
      <xdr:colOff>0</xdr:colOff>
      <xdr:row>120</xdr:row>
      <xdr:rowOff>66675</xdr:rowOff>
    </xdr:to>
    <xdr:pic>
      <xdr:nvPicPr>
        <xdr:cNvPr id="5" name="Imagem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23841075"/>
          <a:ext cx="561975" cy="666750"/>
        </a:xfrm>
        <a:prstGeom prst="rect">
          <a:avLst/>
        </a:prstGeom>
      </xdr:spPr>
    </xdr:pic>
    <xdr:clientData/>
  </xdr:twoCellAnchor>
  <xdr:twoCellAnchor editAs="oneCell">
    <xdr:from>
      <xdr:col>0</xdr:col>
      <xdr:colOff>114301</xdr:colOff>
      <xdr:row>0</xdr:row>
      <xdr:rowOff>114300</xdr:rowOff>
    </xdr:from>
    <xdr:to>
      <xdr:col>1</xdr:col>
      <xdr:colOff>47626</xdr:colOff>
      <xdr:row>2</xdr:row>
      <xdr:rowOff>161925</xdr:rowOff>
    </xdr:to>
    <xdr:pic>
      <xdr:nvPicPr>
        <xdr:cNvPr id="14" name="Imagem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1" y="114300"/>
          <a:ext cx="590550" cy="666750"/>
        </a:xfrm>
        <a:prstGeom prst="rect">
          <a:avLst/>
        </a:prstGeom>
      </xdr:spPr>
    </xdr:pic>
    <xdr:clientData/>
  </xdr:twoCellAnchor>
  <xdr:oneCellAnchor>
    <xdr:from>
      <xdr:col>0</xdr:col>
      <xdr:colOff>114300</xdr:colOff>
      <xdr:row>36</xdr:row>
      <xdr:rowOff>76200</xdr:rowOff>
    </xdr:from>
    <xdr:ext cx="619125" cy="666750"/>
    <xdr:pic>
      <xdr:nvPicPr>
        <xdr:cNvPr id="16" name="Imagem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7620000"/>
          <a:ext cx="619125" cy="666750"/>
        </a:xfrm>
        <a:prstGeom prst="rect">
          <a:avLst/>
        </a:prstGeom>
      </xdr:spPr>
    </xdr:pic>
    <xdr:clientData/>
  </xdr:oneCellAnchor>
  <xdr:oneCellAnchor>
    <xdr:from>
      <xdr:col>0</xdr:col>
      <xdr:colOff>104775</xdr:colOff>
      <xdr:row>74</xdr:row>
      <xdr:rowOff>85725</xdr:rowOff>
    </xdr:from>
    <xdr:ext cx="600075" cy="666750"/>
    <xdr:pic>
      <xdr:nvPicPr>
        <xdr:cNvPr id="18" name="Imagem 1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15163800"/>
          <a:ext cx="600075" cy="666750"/>
        </a:xfrm>
        <a:prstGeom prst="rect">
          <a:avLst/>
        </a:prstGeom>
      </xdr:spPr>
    </xdr:pic>
    <xdr:clientData/>
  </xdr:oneCellAnchor>
  <xdr:oneCellAnchor>
    <xdr:from>
      <xdr:col>0</xdr:col>
      <xdr:colOff>95250</xdr:colOff>
      <xdr:row>290</xdr:row>
      <xdr:rowOff>114300</xdr:rowOff>
    </xdr:from>
    <xdr:ext cx="600075" cy="666750"/>
    <xdr:pic>
      <xdr:nvPicPr>
        <xdr:cNvPr id="28" name="Imagem 2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59035950"/>
          <a:ext cx="600075" cy="666750"/>
        </a:xfrm>
        <a:prstGeom prst="rect">
          <a:avLst/>
        </a:prstGeom>
      </xdr:spPr>
    </xdr:pic>
    <xdr:clientData/>
  </xdr:oneCellAnchor>
  <xdr:oneCellAnchor>
    <xdr:from>
      <xdr:col>0</xdr:col>
      <xdr:colOff>123825</xdr:colOff>
      <xdr:row>333</xdr:row>
      <xdr:rowOff>104775</xdr:rowOff>
    </xdr:from>
    <xdr:ext cx="581025" cy="666750"/>
    <xdr:pic>
      <xdr:nvPicPr>
        <xdr:cNvPr id="31" name="Imagem 3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67608450"/>
          <a:ext cx="581025" cy="666750"/>
        </a:xfrm>
        <a:prstGeom prst="rect">
          <a:avLst/>
        </a:prstGeom>
      </xdr:spPr>
    </xdr:pic>
    <xdr:clientData/>
  </xdr:oneCellAnchor>
  <xdr:oneCellAnchor>
    <xdr:from>
      <xdr:col>0</xdr:col>
      <xdr:colOff>104775</xdr:colOff>
      <xdr:row>247</xdr:row>
      <xdr:rowOff>95250</xdr:rowOff>
    </xdr:from>
    <xdr:ext cx="581025" cy="666750"/>
    <xdr:pic>
      <xdr:nvPicPr>
        <xdr:cNvPr id="32" name="Imagem 3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50091975"/>
          <a:ext cx="581025" cy="666750"/>
        </a:xfrm>
        <a:prstGeom prst="rect">
          <a:avLst/>
        </a:prstGeom>
      </xdr:spPr>
    </xdr:pic>
    <xdr:clientData/>
  </xdr:oneCellAnchor>
  <xdr:oneCellAnchor>
    <xdr:from>
      <xdr:col>0</xdr:col>
      <xdr:colOff>114300</xdr:colOff>
      <xdr:row>204</xdr:row>
      <xdr:rowOff>95250</xdr:rowOff>
    </xdr:from>
    <xdr:ext cx="600075" cy="666750"/>
    <xdr:pic>
      <xdr:nvPicPr>
        <xdr:cNvPr id="33" name="Imagem 3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41538525"/>
          <a:ext cx="600075" cy="666750"/>
        </a:xfrm>
        <a:prstGeom prst="rect">
          <a:avLst/>
        </a:prstGeom>
      </xdr:spPr>
    </xdr:pic>
    <xdr:clientData/>
  </xdr:oneCellAnchor>
  <xdr:oneCellAnchor>
    <xdr:from>
      <xdr:col>0</xdr:col>
      <xdr:colOff>104776</xdr:colOff>
      <xdr:row>161</xdr:row>
      <xdr:rowOff>123825</xdr:rowOff>
    </xdr:from>
    <xdr:ext cx="590550" cy="666750"/>
    <xdr:pic>
      <xdr:nvPicPr>
        <xdr:cNvPr id="34" name="Imagem 3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6" y="32813625"/>
          <a:ext cx="590550" cy="666750"/>
        </a:xfrm>
        <a:prstGeom prst="rect">
          <a:avLst/>
        </a:prstGeom>
      </xdr:spPr>
    </xdr:pic>
    <xdr:clientData/>
  </xdr:oneCellAnchor>
</xdr:wsDr>
</file>

<file path=xl/drawings/drawing22.xml><?xml version="1.0" encoding="utf-8"?>
<xdr:wsDr xmlns:xdr="http://schemas.openxmlformats.org/drawingml/2006/spreadsheetDrawing" xmlns:a="http://schemas.openxmlformats.org/drawingml/2006/main">
  <xdr:twoCellAnchor editAs="oneCell">
    <xdr:from>
      <xdr:col>0</xdr:col>
      <xdr:colOff>66676</xdr:colOff>
      <xdr:row>0</xdr:row>
      <xdr:rowOff>95250</xdr:rowOff>
    </xdr:from>
    <xdr:to>
      <xdr:col>1</xdr:col>
      <xdr:colOff>19051</xdr:colOff>
      <xdr:row>2</xdr:row>
      <xdr:rowOff>171450</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95250"/>
          <a:ext cx="609600" cy="66675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124239</xdr:colOff>
      <xdr:row>0</xdr:row>
      <xdr:rowOff>124239</xdr:rowOff>
    </xdr:from>
    <xdr:to>
      <xdr:col>1</xdr:col>
      <xdr:colOff>186166</xdr:colOff>
      <xdr:row>5</xdr:row>
      <xdr:rowOff>27609</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239" y="124239"/>
          <a:ext cx="1090627" cy="11701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Users\fabiano\Downloads\10039\ca_arqs\eletrica\e0104500.doc"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40.30\DocObras\Obras\ENGENHARIA\Contratos%20e%20Medi&#231;&#245;es\COMAN\MEDI&#199;&#213;ES\MEDI&#199;&#195;O%20RECIS&#211;RIA\MEDI&#199;&#195;O%20RESCIS&#211;RIA\2&#170;%20medica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o-m11\publico\WINDOWS\TEMP\B5348E-LM001_R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Vitoria\C\AAGUA\ORCAMENT\2000\INTERIOR\AFONSO%20CLAUDIO\ACSP8%20010%2000%20-%20CAPTA&#199;&#195;O%20SERRA%20PELAD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itoria\c\Documents%20and%20Settings\&#193;tila\Meus%20documentos\HPS\Ponte%20Nova\CMFDM1%20313%2001%20-%20Unid.de%20Proc&#186;%20de%20Res&#237;duos%20-%20Cub&#237;culo%20do%20BIOG&#193;S%20e%20Queimado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pu-a\01-md-2005\EQUIP\MAQUINAS\I02011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Vitoria\C\AAGUA\Orcament\2002\INTERIOR\CONCEI&#199;&#195;O%20DA%20BARRA\CBSD1%20066%2002%20-%20TRAVESSIA%203%20%20-%20(%20SOBRE%20O%20RIO%2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Marcia\Receita%20Federal%20-%20RJ\Preg&#227;o%203-2013%20-%20Ag.%20Modelo%20B%20Pirai%20e%20Resende\EDITAL%201-2013-%20ADAPTACAO%20PROJETO%20BASICO%20-%20AGENCIA%20MODELO\ANEXO%20V%20-%20PLANILHA%20DE%20OR&#199;AMENTO%20E%20CRONOGRAMA.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rev1%20-%20ADUTORA%20DE%20&#193;GUA%20TRATADA%20DN%20250%20F&#186;F&#186;%20-%20GRAVIDADE.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ADUTORA%20DE%20&#193;GUA%20TRATADA%20DN%20250%20F&#186;F&#186;%20-%20GRAVIDAD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U:\JUSTI&#199;A%20FEDERAL\Predio%20Sede%20%20Vitoria%20ES%20-%202009\Justi&#231;a%20Federal%201&#170;%20Instancia\PLANILHA%20OR&#199;AMENTARIA\Or&#231;amento\JFES_Planilha_Orc_Rev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Vitoria\c\Drenagem\Or&#231;ament\2001\Interior\Nova%20Ven&#233;cia\Estim.%20-%20Eng&#186;%20Mari&#226;ngela\NVSD1%20076%2001%20-%20SISTEMA%20DE%20DRENAGEM%20-%20NOVA%20VEN&#201;CI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rthur\c\Documents%20and%20Settings\Marlem\Configura&#231;&#245;es%20locais\Temporary%20Internet%20Files\Content.IE5\MNSRGR4Z\RL.ORC.TODOS.R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W:\RL.ORC.AGU.005.R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onnectdb\Documentos\ORCAMENTO\orcamento%202007\p%20m%20serra\CD%20CP030-07\Edital\Anexo%20I\Planilha%20de%20Pre&#231;os\RL.ORC.AGU.005.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ERGÊNCIA"/>
      <sheetName val="CAPA"/>
      <sheetName val="Controle"/>
      <sheetName val="LOJAS"/>
      <sheetName val="CONDOMINOS"/>
      <sheetName val="QUADROS DE DISTRIBUIÇÃO"/>
      <sheetName val="BARRAMENTO BLINDADO"/>
      <sheetName val="TRANSFORMADORES"/>
      <sheetName val="GERAL ORIGINAL"/>
      <sheetName val="GERAL POR ITENS"/>
      <sheetName val="MOTORES"/>
      <sheetName val="ANTIGO COND"/>
      <sheetName val="ANTIGO GERAL"/>
      <sheetName val="H_MOT"/>
      <sheetName val="C_MOT"/>
    </sheetNames>
    <sheetDataSet>
      <sheetData sheetId="0" refreshError="1">
        <row r="2">
          <cell r="A2" t="str">
            <v>TABELA DE CARGAS – POR TRANSFORMADOR/PBT EM EMERGÊNCIA</v>
          </cell>
        </row>
        <row r="4">
          <cell r="A4" t="str">
            <v>TRANSFORMADOR 1.1 – PBT-1.1 EM EMERGÊNCIA</v>
          </cell>
        </row>
        <row r="6">
          <cell r="A6" t="str">
            <v>FINALIDADE</v>
          </cell>
          <cell r="B6" t="str">
            <v>POT. UNIT. (kW)</v>
          </cell>
          <cell r="C6" t="str">
            <v>POT. UNIT. (CV)</v>
          </cell>
          <cell r="D6" t="str">
            <v>T I P O</v>
          </cell>
          <cell r="E6" t="str">
            <v>POT-M (KW)</v>
          </cell>
          <cell r="F6" t="str">
            <v>FP- M</v>
          </cell>
          <cell r="G6" t="str">
            <v>QTDE.</v>
          </cell>
          <cell r="H6" t="str">
            <v>PÓLOS</v>
          </cell>
          <cell r="I6" t="str">
            <v>F.D.</v>
          </cell>
          <cell r="J6" t="str">
            <v>F.P.</v>
          </cell>
          <cell r="K6" t="str">
            <v>POT. INSTALADA (kW)</v>
          </cell>
          <cell r="L6" t="str">
            <v>POT. INSTALADA (kVA)</v>
          </cell>
          <cell r="M6" t="str">
            <v>POT. DEMANDADA (kW)</v>
          </cell>
          <cell r="N6" t="str">
            <v>POT. DEMANDADA (kVA)</v>
          </cell>
        </row>
        <row r="7">
          <cell r="A7" t="str">
            <v>BARRAMENTO BLINDADO BB1.1/1.3 – ILUMINAÇÃO HALL</v>
          </cell>
          <cell r="B7">
            <v>123.78</v>
          </cell>
          <cell r="E7" t="e">
            <v>#N/A</v>
          </cell>
          <cell r="F7" t="e">
            <v>#N/A</v>
          </cell>
          <cell r="G7">
            <v>1</v>
          </cell>
          <cell r="I7">
            <v>0.71596423332687886</v>
          </cell>
          <cell r="J7">
            <v>0.97999999999999976</v>
          </cell>
          <cell r="K7">
            <v>123.78</v>
          </cell>
          <cell r="L7">
            <v>126.30612244897962</v>
          </cell>
          <cell r="M7">
            <v>88.622052801201065</v>
          </cell>
          <cell r="N7">
            <v>90.430666123674584</v>
          </cell>
        </row>
        <row r="8">
          <cell r="A8" t="str">
            <v>QD-B1-3S</v>
          </cell>
          <cell r="B8">
            <v>140.32509426511928</v>
          </cell>
          <cell r="E8" t="e">
            <v>#N/A</v>
          </cell>
          <cell r="F8" t="e">
            <v>#N/A</v>
          </cell>
          <cell r="G8">
            <v>1</v>
          </cell>
          <cell r="I8">
            <v>1</v>
          </cell>
          <cell r="J8">
            <v>0.77296462798671983</v>
          </cell>
          <cell r="K8">
            <v>140.32509426511928</v>
          </cell>
          <cell r="L8">
            <v>181.54141752982022</v>
          </cell>
          <cell r="M8">
            <v>140.32509426511928</v>
          </cell>
          <cell r="N8">
            <v>181.54141752982022</v>
          </cell>
        </row>
        <row r="9">
          <cell r="A9" t="str">
            <v>NO BREAK</v>
          </cell>
          <cell r="B9">
            <v>30</v>
          </cell>
          <cell r="G9">
            <v>2</v>
          </cell>
          <cell r="I9">
            <v>0.5</v>
          </cell>
          <cell r="J9">
            <v>1</v>
          </cell>
          <cell r="K9">
            <v>60</v>
          </cell>
          <cell r="L9">
            <v>60</v>
          </cell>
          <cell r="M9">
            <v>30</v>
          </cell>
          <cell r="N9">
            <v>30</v>
          </cell>
        </row>
        <row r="10">
          <cell r="A10" t="str">
            <v>TOTAL</v>
          </cell>
          <cell r="I10">
            <v>0.79896043489677604</v>
          </cell>
          <cell r="J10">
            <v>0.85752015197356957</v>
          </cell>
          <cell r="K10">
            <v>324.10509426511931</v>
          </cell>
          <cell r="L10">
            <v>367.84753997879983</v>
          </cell>
          <cell r="M10">
            <v>258.94714706632033</v>
          </cell>
          <cell r="N10">
            <v>301.97208365349479</v>
          </cell>
        </row>
        <row r="12">
          <cell r="A12" t="str">
            <v>RESUMO GERAL:</v>
          </cell>
          <cell r="B12" t="str">
            <v>kW</v>
          </cell>
          <cell r="C12" t="str">
            <v>kVA</v>
          </cell>
        </row>
        <row r="13">
          <cell r="A13" t="str">
            <v>DEMANDAS</v>
          </cell>
          <cell r="B13">
            <v>258.94714706632033</v>
          </cell>
          <cell r="C13">
            <v>301.97208365349479</v>
          </cell>
        </row>
        <row r="14">
          <cell r="A14" t="str">
            <v>RESERVA     (%)</v>
          </cell>
          <cell r="B14">
            <v>0.2</v>
          </cell>
        </row>
        <row r="15">
          <cell r="A15" t="str">
            <v>FATOR DE SIMULTANEIDADE</v>
          </cell>
          <cell r="B15">
            <v>1</v>
          </cell>
        </row>
        <row r="17">
          <cell r="A17" t="str">
            <v xml:space="preserve">DEMANDA FINAL </v>
          </cell>
          <cell r="B17">
            <v>310.73657647958436</v>
          </cell>
          <cell r="C17">
            <v>362.36650038419373</v>
          </cell>
        </row>
        <row r="19">
          <cell r="A19" t="str">
            <v>TENSÃO (V)</v>
          </cell>
          <cell r="B19">
            <v>380</v>
          </cell>
          <cell r="C19" t="str">
            <v>V</v>
          </cell>
        </row>
        <row r="20">
          <cell r="A20" t="str">
            <v>CORRENTE (A)</v>
          </cell>
          <cell r="B20">
            <v>550.55893826872864</v>
          </cell>
          <cell r="C20" t="str">
            <v>A</v>
          </cell>
        </row>
        <row r="21">
          <cell r="A21" t="str">
            <v>DISJUNTOR GERAL</v>
          </cell>
          <cell r="B21">
            <v>2500</v>
          </cell>
          <cell r="C21" t="str">
            <v>A</v>
          </cell>
        </row>
        <row r="23">
          <cell r="A23" t="str">
            <v>TRANSFORMADOR DE 1500KVA</v>
          </cell>
        </row>
        <row r="27">
          <cell r="A27" t="str">
            <v>TRANSFORMADOR 1.2 – PBT-1.2 EM EMERGÊNCIA</v>
          </cell>
        </row>
        <row r="29">
          <cell r="A29" t="str">
            <v>FINALIDADE</v>
          </cell>
          <cell r="B29" t="str">
            <v>POT. UNIT. (kW)</v>
          </cell>
          <cell r="C29" t="str">
            <v>POT. UNIT. (CV)</v>
          </cell>
          <cell r="D29" t="str">
            <v>T I P O</v>
          </cell>
          <cell r="E29" t="str">
            <v>POT-M (KW)</v>
          </cell>
          <cell r="F29" t="str">
            <v>FP- M</v>
          </cell>
          <cell r="G29" t="str">
            <v>QTDE.</v>
          </cell>
          <cell r="H29" t="str">
            <v>PÓLOS</v>
          </cell>
          <cell r="I29" t="str">
            <v>F.D.</v>
          </cell>
          <cell r="J29" t="str">
            <v>F.P.</v>
          </cell>
          <cell r="K29" t="str">
            <v>POT. INSTALADA (kW)</v>
          </cell>
          <cell r="L29" t="str">
            <v>POT. INSTALADA (kVA)</v>
          </cell>
          <cell r="M29" t="str">
            <v>POT. DEMANDADA (kW)</v>
          </cell>
          <cell r="N29" t="str">
            <v>POT. DEMANDADA (kVA)</v>
          </cell>
        </row>
        <row r="30">
          <cell r="A30" t="str">
            <v>ELEVADORES SUBSOLO</v>
          </cell>
          <cell r="B30">
            <v>20</v>
          </cell>
          <cell r="E30" t="e">
            <v>#N/A</v>
          </cell>
          <cell r="F30" t="e">
            <v>#N/A</v>
          </cell>
          <cell r="G30">
            <v>2</v>
          </cell>
          <cell r="I30">
            <v>0</v>
          </cell>
          <cell r="J30">
            <v>0.8</v>
          </cell>
          <cell r="K30">
            <v>40</v>
          </cell>
          <cell r="L30">
            <v>50</v>
          </cell>
          <cell r="M30">
            <v>0</v>
          </cell>
          <cell r="N30">
            <v>0</v>
          </cell>
        </row>
        <row r="31">
          <cell r="A31" t="str">
            <v>ILUMINAÇÃO E COMANDO ELEVADORES SUBSOLO</v>
          </cell>
          <cell r="B31">
            <v>1.3</v>
          </cell>
          <cell r="E31" t="e">
            <v>#N/A</v>
          </cell>
          <cell r="F31" t="e">
            <v>#N/A</v>
          </cell>
          <cell r="G31">
            <v>1</v>
          </cell>
          <cell r="I31">
            <v>0.74</v>
          </cell>
          <cell r="J31">
            <v>0.8</v>
          </cell>
          <cell r="K31">
            <v>1.3</v>
          </cell>
          <cell r="L31">
            <v>1.625</v>
          </cell>
          <cell r="M31">
            <v>0.96199999999999997</v>
          </cell>
          <cell r="N31">
            <v>1.2024999999999999</v>
          </cell>
        </row>
        <row r="32">
          <cell r="A32" t="str">
            <v>ELEVADORES GARAGEM</v>
          </cell>
          <cell r="B32">
            <v>20</v>
          </cell>
          <cell r="E32" t="e">
            <v>#N/A</v>
          </cell>
          <cell r="F32" t="e">
            <v>#N/A</v>
          </cell>
          <cell r="G32">
            <v>2</v>
          </cell>
          <cell r="I32">
            <v>0.74</v>
          </cell>
          <cell r="J32">
            <v>0.8</v>
          </cell>
          <cell r="K32">
            <v>40</v>
          </cell>
          <cell r="L32">
            <v>50</v>
          </cell>
          <cell r="M32">
            <v>29.6</v>
          </cell>
          <cell r="N32">
            <v>37</v>
          </cell>
        </row>
        <row r="33">
          <cell r="A33" t="str">
            <v>ILUMINAÇÃO E COMANDO ELEVADORES GARAGEM</v>
          </cell>
          <cell r="B33">
            <v>1.3</v>
          </cell>
          <cell r="E33" t="e">
            <v>#N/A</v>
          </cell>
          <cell r="F33" t="e">
            <v>#N/A</v>
          </cell>
          <cell r="G33">
            <v>1</v>
          </cell>
          <cell r="I33">
            <v>0</v>
          </cell>
          <cell r="J33">
            <v>0.8</v>
          </cell>
          <cell r="K33">
            <v>1.3</v>
          </cell>
          <cell r="L33">
            <v>1.625</v>
          </cell>
          <cell r="M33">
            <v>0</v>
          </cell>
          <cell r="N33">
            <v>0</v>
          </cell>
        </row>
        <row r="34">
          <cell r="A34" t="str">
            <v>ELEVADORES ZONA BAIXA</v>
          </cell>
          <cell r="B34">
            <v>50</v>
          </cell>
          <cell r="E34" t="e">
            <v>#N/A</v>
          </cell>
          <cell r="F34" t="e">
            <v>#N/A</v>
          </cell>
          <cell r="G34">
            <v>8</v>
          </cell>
          <cell r="I34">
            <v>0.125</v>
          </cell>
          <cell r="J34">
            <v>0.8</v>
          </cell>
          <cell r="K34">
            <v>400</v>
          </cell>
          <cell r="L34">
            <v>500</v>
          </cell>
          <cell r="M34">
            <v>50</v>
          </cell>
          <cell r="N34">
            <v>62.5</v>
          </cell>
        </row>
        <row r="35">
          <cell r="A35" t="str">
            <v>ILUMINAÇÃO E COMANDO ELEVADORES ZONA BAIXA</v>
          </cell>
          <cell r="B35">
            <v>3</v>
          </cell>
          <cell r="E35" t="e">
            <v>#N/A</v>
          </cell>
          <cell r="F35" t="e">
            <v>#N/A</v>
          </cell>
          <cell r="G35">
            <v>1</v>
          </cell>
          <cell r="I35">
            <v>0.1</v>
          </cell>
          <cell r="J35">
            <v>0.8</v>
          </cell>
          <cell r="K35">
            <v>3</v>
          </cell>
          <cell r="L35">
            <v>3.75</v>
          </cell>
          <cell r="M35">
            <v>0.30000000000000004</v>
          </cell>
          <cell r="N35">
            <v>0.375</v>
          </cell>
        </row>
        <row r="36">
          <cell r="A36" t="str">
            <v>QD-B1-3S-AC</v>
          </cell>
          <cell r="B36">
            <v>140.32509426511928</v>
          </cell>
          <cell r="E36" t="e">
            <v>#N/A</v>
          </cell>
          <cell r="F36" t="e">
            <v>#N/A</v>
          </cell>
          <cell r="G36">
            <v>1</v>
          </cell>
          <cell r="I36">
            <v>0</v>
          </cell>
          <cell r="J36">
            <v>0.77296462798671983</v>
          </cell>
          <cell r="K36">
            <v>140.32509426511928</v>
          </cell>
          <cell r="L36">
            <v>181.54141752982022</v>
          </cell>
          <cell r="M36">
            <v>0</v>
          </cell>
          <cell r="N36">
            <v>0</v>
          </cell>
        </row>
        <row r="37">
          <cell r="A37" t="str">
            <v>VENTILAÇÃO</v>
          </cell>
          <cell r="B37">
            <v>0.56488549618320616</v>
          </cell>
          <cell r="C37">
            <v>0.5</v>
          </cell>
          <cell r="D37" t="str">
            <v>C</v>
          </cell>
          <cell r="E37">
            <v>0.56488549618320616</v>
          </cell>
          <cell r="F37">
            <v>0.73</v>
          </cell>
          <cell r="G37">
            <v>1</v>
          </cell>
          <cell r="I37">
            <v>0</v>
          </cell>
          <cell r="J37">
            <v>0.73</v>
          </cell>
          <cell r="K37">
            <v>0.56488549618320616</v>
          </cell>
          <cell r="L37">
            <v>0.77381574819617283</v>
          </cell>
          <cell r="M37">
            <v>0</v>
          </cell>
          <cell r="N37">
            <v>0</v>
          </cell>
        </row>
        <row r="38">
          <cell r="A38" t="str">
            <v>VENTILAÇÃO</v>
          </cell>
          <cell r="B38">
            <v>0.80291970802919721</v>
          </cell>
          <cell r="C38">
            <v>0.75</v>
          </cell>
          <cell r="D38" t="str">
            <v>C</v>
          </cell>
          <cell r="E38">
            <v>0.80291970802919721</v>
          </cell>
          <cell r="F38">
            <v>0.77</v>
          </cell>
          <cell r="G38">
            <v>1</v>
          </cell>
          <cell r="I38">
            <v>0</v>
          </cell>
          <cell r="J38">
            <v>0.77</v>
          </cell>
          <cell r="K38">
            <v>0.80291970802919721</v>
          </cell>
          <cell r="L38">
            <v>1.0427528675703859</v>
          </cell>
          <cell r="M38">
            <v>0</v>
          </cell>
          <cell r="N38">
            <v>0</v>
          </cell>
        </row>
        <row r="39">
          <cell r="A39" t="str">
            <v>VENTILAÇÃO</v>
          </cell>
          <cell r="B39">
            <v>1.8987341772151898</v>
          </cell>
          <cell r="C39">
            <v>2</v>
          </cell>
          <cell r="D39" t="str">
            <v>C</v>
          </cell>
          <cell r="E39">
            <v>1.8987341772151898</v>
          </cell>
          <cell r="F39">
            <v>0.82</v>
          </cell>
          <cell r="G39">
            <v>1</v>
          </cell>
          <cell r="I39">
            <v>0</v>
          </cell>
          <cell r="J39">
            <v>0.82</v>
          </cell>
          <cell r="K39">
            <v>1.8987341772151898</v>
          </cell>
          <cell r="L39">
            <v>2.3155294844087684</v>
          </cell>
          <cell r="M39">
            <v>0</v>
          </cell>
          <cell r="N39">
            <v>0</v>
          </cell>
        </row>
        <row r="40">
          <cell r="A40" t="str">
            <v>FANCOIL</v>
          </cell>
          <cell r="B40">
            <v>6.3805104408352662</v>
          </cell>
          <cell r="C40">
            <v>7.5</v>
          </cell>
          <cell r="D40" t="str">
            <v>C</v>
          </cell>
          <cell r="E40">
            <v>6.3805104408352662</v>
          </cell>
          <cell r="F40">
            <v>0.8</v>
          </cell>
          <cell r="G40">
            <v>2</v>
          </cell>
          <cell r="I40">
            <v>0</v>
          </cell>
          <cell r="J40">
            <v>0.8</v>
          </cell>
          <cell r="K40">
            <v>12.761020881670532</v>
          </cell>
          <cell r="L40">
            <v>15.951276102088165</v>
          </cell>
          <cell r="M40">
            <v>0</v>
          </cell>
          <cell r="N40">
            <v>0</v>
          </cell>
        </row>
        <row r="41">
          <cell r="A41" t="str">
            <v>UNIDADE CONDENSADORA</v>
          </cell>
          <cell r="B41">
            <v>43.4</v>
          </cell>
          <cell r="G41">
            <v>1</v>
          </cell>
          <cell r="I41">
            <v>0</v>
          </cell>
          <cell r="J41">
            <v>0.8</v>
          </cell>
          <cell r="K41">
            <v>43.4</v>
          </cell>
          <cell r="L41">
            <v>54.249999999999993</v>
          </cell>
          <cell r="M41">
            <v>0</v>
          </cell>
          <cell r="N41">
            <v>0</v>
          </cell>
        </row>
        <row r="42">
          <cell r="A42" t="str">
            <v>FANCOIL ESCRITÓRIOS</v>
          </cell>
          <cell r="B42">
            <v>8.6705202312138727</v>
          </cell>
          <cell r="C42">
            <v>10</v>
          </cell>
          <cell r="D42" t="str">
            <v>C</v>
          </cell>
          <cell r="E42">
            <v>8.6705202312138727</v>
          </cell>
          <cell r="F42">
            <v>0.85</v>
          </cell>
          <cell r="G42">
            <v>32</v>
          </cell>
          <cell r="I42">
            <v>0</v>
          </cell>
          <cell r="J42">
            <v>0.85</v>
          </cell>
          <cell r="K42">
            <v>277.45664739884393</v>
          </cell>
          <cell r="L42">
            <v>326.41958517511051</v>
          </cell>
          <cell r="M42">
            <v>0</v>
          </cell>
          <cell r="N42">
            <v>0</v>
          </cell>
        </row>
        <row r="43">
          <cell r="A43" t="str">
            <v>ILUMINAÇÃO, TOMADAS E AR CONDICIONADO FAST FOOD</v>
          </cell>
          <cell r="B43">
            <v>258.76900000000001</v>
          </cell>
          <cell r="G43">
            <v>1</v>
          </cell>
          <cell r="I43">
            <v>0</v>
          </cell>
          <cell r="J43">
            <v>0.9</v>
          </cell>
          <cell r="K43">
            <v>258.76900000000001</v>
          </cell>
          <cell r="L43">
            <v>287.52111111111111</v>
          </cell>
          <cell r="M43">
            <v>0</v>
          </cell>
          <cell r="N43">
            <v>0</v>
          </cell>
        </row>
        <row r="44">
          <cell r="A44" t="str">
            <v>BOMBA DE RECALQUE DE ÁGUA FRIA</v>
          </cell>
          <cell r="B44">
            <v>20.670391061452513</v>
          </cell>
          <cell r="C44">
            <v>25</v>
          </cell>
          <cell r="D44" t="str">
            <v>H</v>
          </cell>
          <cell r="E44">
            <v>20.670391061452513</v>
          </cell>
          <cell r="F44">
            <v>0.85</v>
          </cell>
          <cell r="G44">
            <v>2</v>
          </cell>
          <cell r="I44">
            <v>0</v>
          </cell>
          <cell r="J44">
            <v>0.85</v>
          </cell>
          <cell r="K44">
            <v>41.340782122905026</v>
          </cell>
          <cell r="L44">
            <v>48.636214262241211</v>
          </cell>
          <cell r="M44">
            <v>0</v>
          </cell>
          <cell r="N44">
            <v>0</v>
          </cell>
        </row>
        <row r="45">
          <cell r="A45" t="str">
            <v>BOMBA DE RECALQUE DE ÁGUAS PLUVIAIS</v>
          </cell>
          <cell r="B45">
            <v>8.6705202312138727</v>
          </cell>
          <cell r="C45">
            <v>10</v>
          </cell>
          <cell r="D45" t="str">
            <v>H</v>
          </cell>
          <cell r="E45">
            <v>8.6705202312138727</v>
          </cell>
          <cell r="F45">
            <v>0.85</v>
          </cell>
          <cell r="G45">
            <v>6</v>
          </cell>
          <cell r="I45">
            <v>0</v>
          </cell>
          <cell r="J45">
            <v>0.85</v>
          </cell>
          <cell r="K45">
            <v>52.02312138728324</v>
          </cell>
          <cell r="L45">
            <v>61.203672220333225</v>
          </cell>
          <cell r="M45">
            <v>0</v>
          </cell>
          <cell r="N45">
            <v>0</v>
          </cell>
        </row>
        <row r="46">
          <cell r="A46" t="str">
            <v>BOMBA DE RECALQUE DE ESGOTO</v>
          </cell>
          <cell r="B46">
            <v>8.6705202312138727</v>
          </cell>
          <cell r="C46">
            <v>10</v>
          </cell>
          <cell r="D46" t="str">
            <v>H</v>
          </cell>
          <cell r="E46">
            <v>8.6705202312138727</v>
          </cell>
          <cell r="F46">
            <v>0.85</v>
          </cell>
          <cell r="G46">
            <v>6</v>
          </cell>
          <cell r="I46">
            <v>0</v>
          </cell>
          <cell r="J46">
            <v>0.85</v>
          </cell>
          <cell r="K46">
            <v>52.02312138728324</v>
          </cell>
          <cell r="L46">
            <v>61.203672220333225</v>
          </cell>
          <cell r="M46">
            <v>0</v>
          </cell>
          <cell r="N46">
            <v>0</v>
          </cell>
        </row>
        <row r="47">
          <cell r="A47" t="str">
            <v>BOMBA DE RECALQUE DE REUSO</v>
          </cell>
          <cell r="B47">
            <v>1.0135135135135136</v>
          </cell>
          <cell r="C47">
            <v>1</v>
          </cell>
          <cell r="D47" t="str">
            <v>H</v>
          </cell>
          <cell r="E47">
            <v>1.0135135135135136</v>
          </cell>
          <cell r="F47">
            <v>0.78</v>
          </cell>
          <cell r="G47">
            <v>2</v>
          </cell>
          <cell r="I47">
            <v>0</v>
          </cell>
          <cell r="J47">
            <v>0.78</v>
          </cell>
          <cell r="K47">
            <v>2.0270270270270272</v>
          </cell>
          <cell r="L47">
            <v>2.5987525987525988</v>
          </cell>
          <cell r="M47">
            <v>0</v>
          </cell>
          <cell r="N47">
            <v>0</v>
          </cell>
        </row>
        <row r="48">
          <cell r="A48" t="str">
            <v>BOMBA DE RECALQUE DO POÇO DE RETARDO</v>
          </cell>
          <cell r="B48">
            <v>1.0135135135135136</v>
          </cell>
          <cell r="C48">
            <v>1</v>
          </cell>
          <cell r="D48" t="str">
            <v>H</v>
          </cell>
          <cell r="E48">
            <v>1.0135135135135136</v>
          </cell>
          <cell r="F48">
            <v>0.78</v>
          </cell>
          <cell r="G48">
            <v>2</v>
          </cell>
          <cell r="I48">
            <v>0</v>
          </cell>
          <cell r="J48">
            <v>0.78</v>
          </cell>
          <cell r="K48">
            <v>2.0270270270270272</v>
          </cell>
          <cell r="L48">
            <v>2.5987525987525988</v>
          </cell>
          <cell r="M48">
            <v>0</v>
          </cell>
          <cell r="N48">
            <v>0</v>
          </cell>
        </row>
        <row r="49">
          <cell r="A49" t="str">
            <v>ESCADA ROLANTE</v>
          </cell>
          <cell r="B49">
            <v>10</v>
          </cell>
          <cell r="G49">
            <v>2</v>
          </cell>
          <cell r="I49">
            <v>0</v>
          </cell>
          <cell r="J49">
            <v>0.8</v>
          </cell>
          <cell r="K49">
            <v>20</v>
          </cell>
          <cell r="L49">
            <v>25</v>
          </cell>
          <cell r="M49">
            <v>0</v>
          </cell>
          <cell r="N49">
            <v>0</v>
          </cell>
        </row>
        <row r="50">
          <cell r="A50" t="str">
            <v>TOTAL</v>
          </cell>
          <cell r="I50">
            <v>5.8131468987100983E-2</v>
          </cell>
          <cell r="J50">
            <v>0.79999999999999993</v>
          </cell>
          <cell r="K50">
            <v>1391.0193808785871</v>
          </cell>
          <cell r="L50">
            <v>1678.056551918718</v>
          </cell>
          <cell r="M50">
            <v>80.861999999999995</v>
          </cell>
          <cell r="N50">
            <v>101.0775</v>
          </cell>
        </row>
        <row r="52">
          <cell r="I52" t="str">
            <v>COM O PAINEL DE SEGURANÇA EM FUNCIONAMENTO</v>
          </cell>
        </row>
        <row r="53">
          <cell r="A53" t="str">
            <v>RESUMO GERAL:</v>
          </cell>
          <cell r="B53" t="str">
            <v>kW</v>
          </cell>
          <cell r="C53" t="str">
            <v>kVA</v>
          </cell>
          <cell r="I53" t="str">
            <v>kW</v>
          </cell>
          <cell r="J53" t="str">
            <v>kVA</v>
          </cell>
        </row>
        <row r="54">
          <cell r="A54" t="str">
            <v>DEMANDAS</v>
          </cell>
          <cell r="B54">
            <v>80.861999999999995</v>
          </cell>
          <cell r="C54">
            <v>101.0775</v>
          </cell>
          <cell r="I54">
            <v>442.08736295026449</v>
          </cell>
          <cell r="J54">
            <v>529.01118759655708</v>
          </cell>
        </row>
        <row r="55">
          <cell r="A55" t="str">
            <v>RESERVA     (%)</v>
          </cell>
          <cell r="B55">
            <v>0.2</v>
          </cell>
          <cell r="I55">
            <v>0</v>
          </cell>
        </row>
        <row r="56">
          <cell r="A56" t="str">
            <v>FATOR DE SIMULTANEIDADE</v>
          </cell>
          <cell r="B56">
            <v>1</v>
          </cell>
          <cell r="I56">
            <v>1</v>
          </cell>
        </row>
        <row r="58">
          <cell r="A58" t="str">
            <v xml:space="preserve">DEMANDA FINAL </v>
          </cell>
          <cell r="B58">
            <v>97.034399999999991</v>
          </cell>
          <cell r="C58">
            <v>121.29299999999999</v>
          </cell>
          <cell r="I58">
            <v>442.08736295026449</v>
          </cell>
          <cell r="J58">
            <v>529.01118759655708</v>
          </cell>
        </row>
        <row r="60">
          <cell r="A60" t="str">
            <v>TENSÃO (V)</v>
          </cell>
          <cell r="B60">
            <v>380</v>
          </cell>
          <cell r="C60" t="str">
            <v>V</v>
          </cell>
          <cell r="I60">
            <v>380</v>
          </cell>
          <cell r="J60" t="str">
            <v>V</v>
          </cell>
        </row>
        <row r="61">
          <cell r="A61" t="str">
            <v>CORRENTE (A)</v>
          </cell>
          <cell r="B61">
            <v>184.28564789688755</v>
          </cell>
          <cell r="C61" t="str">
            <v>A</v>
          </cell>
          <cell r="I61">
            <v>803.74934621893647</v>
          </cell>
          <cell r="J61" t="str">
            <v>A</v>
          </cell>
        </row>
        <row r="62">
          <cell r="A62" t="str">
            <v>DISJUNTOR GERAL</v>
          </cell>
          <cell r="B62">
            <v>2500</v>
          </cell>
          <cell r="C62" t="str">
            <v>A</v>
          </cell>
          <cell r="I62">
            <v>2500</v>
          </cell>
          <cell r="J62" t="str">
            <v>A</v>
          </cell>
        </row>
        <row r="64">
          <cell r="A64" t="str">
            <v>TRANSFORMADOR DE 1500KVA</v>
          </cell>
        </row>
        <row r="69">
          <cell r="A69" t="str">
            <v>PBT-SEG EM EMERGÊNCIA</v>
          </cell>
        </row>
        <row r="71">
          <cell r="A71" t="str">
            <v>EM REGIME NORMAL</v>
          </cell>
        </row>
        <row r="72">
          <cell r="A72" t="str">
            <v>FINALIDADE</v>
          </cell>
          <cell r="B72" t="str">
            <v>POT. UNIT. (kW)</v>
          </cell>
          <cell r="C72" t="str">
            <v>POT. UNIT. (CV)</v>
          </cell>
          <cell r="D72" t="str">
            <v>T I P O</v>
          </cell>
          <cell r="E72" t="str">
            <v>POT-M (KW)</v>
          </cell>
          <cell r="F72" t="str">
            <v>FP- M</v>
          </cell>
          <cell r="G72" t="str">
            <v>QTDE.</v>
          </cell>
          <cell r="H72" t="str">
            <v>PÓLOS</v>
          </cell>
          <cell r="I72" t="str">
            <v>F.D.</v>
          </cell>
          <cell r="J72" t="str">
            <v>F.P.</v>
          </cell>
          <cell r="K72" t="str">
            <v>POT. INSTALADA (kW)</v>
          </cell>
          <cell r="L72" t="str">
            <v>POT. INSTALADA (kVA)</v>
          </cell>
          <cell r="M72" t="str">
            <v>POT. DEMANDADA (kW)</v>
          </cell>
          <cell r="N72" t="str">
            <v>POT. DEMANDADA (kVA)</v>
          </cell>
        </row>
        <row r="73">
          <cell r="A73" t="str">
            <v>ELEVADOR DE SEGUANÇA</v>
          </cell>
          <cell r="B73">
            <v>35</v>
          </cell>
          <cell r="E73" t="e">
            <v>#N/A</v>
          </cell>
          <cell r="F73" t="e">
            <v>#N/A</v>
          </cell>
          <cell r="G73">
            <v>1</v>
          </cell>
          <cell r="I73">
            <v>1</v>
          </cell>
          <cell r="J73">
            <v>0.8</v>
          </cell>
          <cell r="K73">
            <v>35</v>
          </cell>
          <cell r="L73">
            <v>43.75</v>
          </cell>
          <cell r="M73">
            <v>35</v>
          </cell>
          <cell r="N73">
            <v>43.75</v>
          </cell>
        </row>
        <row r="74">
          <cell r="A74" t="str">
            <v>ILUMINAÇÃO E COMANDO ELEVADORE DE SEGURANÇA</v>
          </cell>
          <cell r="B74">
            <v>3</v>
          </cell>
          <cell r="E74" t="e">
            <v>#N/A</v>
          </cell>
          <cell r="F74" t="e">
            <v>#N/A</v>
          </cell>
          <cell r="G74">
            <v>1</v>
          </cell>
          <cell r="I74">
            <v>1</v>
          </cell>
          <cell r="J74">
            <v>0.8</v>
          </cell>
          <cell r="K74">
            <v>3</v>
          </cell>
          <cell r="L74">
            <v>3.75</v>
          </cell>
          <cell r="M74">
            <v>3</v>
          </cell>
          <cell r="N74">
            <v>3.75</v>
          </cell>
        </row>
        <row r="75">
          <cell r="A75" t="str">
            <v>PRESSURIZAÇÃO ESCADA 5SS</v>
          </cell>
          <cell r="B75">
            <v>6.3805104408352662</v>
          </cell>
          <cell r="C75">
            <v>7.5</v>
          </cell>
          <cell r="D75" t="str">
            <v>C</v>
          </cell>
          <cell r="E75">
            <v>6.3805104408352662</v>
          </cell>
          <cell r="F75">
            <v>0.8</v>
          </cell>
          <cell r="G75">
            <v>4</v>
          </cell>
          <cell r="I75">
            <v>0</v>
          </cell>
          <cell r="J75">
            <v>0.8</v>
          </cell>
          <cell r="K75">
            <v>25.522041763341065</v>
          </cell>
          <cell r="L75">
            <v>31.902552204176331</v>
          </cell>
          <cell r="M75">
            <v>0</v>
          </cell>
          <cell r="N75">
            <v>0</v>
          </cell>
        </row>
        <row r="76">
          <cell r="A76" t="str">
            <v>PRESSURIZAÇÃO ESCADA 3SS</v>
          </cell>
          <cell r="B76">
            <v>8.6705202312138727</v>
          </cell>
          <cell r="C76">
            <v>10</v>
          </cell>
          <cell r="D76" t="str">
            <v>C</v>
          </cell>
          <cell r="E76">
            <v>8.6705202312138727</v>
          </cell>
          <cell r="F76">
            <v>0.85</v>
          </cell>
          <cell r="G76">
            <v>2</v>
          </cell>
          <cell r="I76">
            <v>0</v>
          </cell>
          <cell r="J76">
            <v>0.85</v>
          </cell>
          <cell r="K76">
            <v>17.341040462427745</v>
          </cell>
          <cell r="L76">
            <v>20.401224073444407</v>
          </cell>
          <cell r="M76">
            <v>0</v>
          </cell>
          <cell r="N76">
            <v>0</v>
          </cell>
        </row>
        <row r="77">
          <cell r="A77" t="str">
            <v>PRESSURIZAÇÃO ESCADA 1SS</v>
          </cell>
          <cell r="B77">
            <v>16.930022573363431</v>
          </cell>
          <cell r="C77">
            <v>20</v>
          </cell>
          <cell r="D77" t="str">
            <v>C</v>
          </cell>
          <cell r="E77">
            <v>16.930022573363431</v>
          </cell>
          <cell r="F77">
            <v>0.84</v>
          </cell>
          <cell r="G77">
            <v>5</v>
          </cell>
          <cell r="I77">
            <v>0</v>
          </cell>
          <cell r="J77">
            <v>0.84</v>
          </cell>
          <cell r="K77">
            <v>84.650112866817153</v>
          </cell>
          <cell r="L77">
            <v>100.77394388906805</v>
          </cell>
          <cell r="M77">
            <v>0</v>
          </cell>
          <cell r="N77">
            <v>0</v>
          </cell>
        </row>
        <row r="78">
          <cell r="A78" t="str">
            <v>EXAUSTÃO DE FUMAÇA</v>
          </cell>
          <cell r="B78">
            <v>16.930022573363431</v>
          </cell>
          <cell r="C78">
            <v>20</v>
          </cell>
          <cell r="D78" t="str">
            <v>C</v>
          </cell>
          <cell r="E78">
            <v>16.930022573363431</v>
          </cell>
          <cell r="F78">
            <v>0.84</v>
          </cell>
          <cell r="G78">
            <v>2</v>
          </cell>
          <cell r="I78">
            <v>0</v>
          </cell>
          <cell r="J78">
            <v>0.84</v>
          </cell>
          <cell r="K78">
            <v>33.860045146726861</v>
          </cell>
          <cell r="L78">
            <v>40.309577555627214</v>
          </cell>
          <cell r="M78">
            <v>0</v>
          </cell>
          <cell r="N78">
            <v>0</v>
          </cell>
        </row>
        <row r="79">
          <cell r="A79" t="str">
            <v>ELEVADOR DE SEGUANÇA</v>
          </cell>
          <cell r="B79">
            <v>35</v>
          </cell>
          <cell r="E79" t="e">
            <v>#N/A</v>
          </cell>
          <cell r="F79" t="e">
            <v>#N/A</v>
          </cell>
          <cell r="G79">
            <v>1</v>
          </cell>
          <cell r="I79">
            <v>1</v>
          </cell>
          <cell r="J79">
            <v>0.8</v>
          </cell>
          <cell r="K79">
            <v>35</v>
          </cell>
          <cell r="L79">
            <v>43.75</v>
          </cell>
          <cell r="M79">
            <v>35</v>
          </cell>
          <cell r="N79">
            <v>43.75</v>
          </cell>
        </row>
        <row r="80">
          <cell r="A80" t="str">
            <v>ILUMINAÇÃO E COMANDO ELEVADORE DE SEGURANÇA</v>
          </cell>
          <cell r="B80">
            <v>3</v>
          </cell>
          <cell r="E80" t="e">
            <v>#N/A</v>
          </cell>
          <cell r="F80" t="e">
            <v>#N/A</v>
          </cell>
          <cell r="G80">
            <v>1</v>
          </cell>
          <cell r="I80">
            <v>1</v>
          </cell>
          <cell r="J80">
            <v>0.8</v>
          </cell>
          <cell r="K80">
            <v>3</v>
          </cell>
          <cell r="L80">
            <v>3.75</v>
          </cell>
          <cell r="M80">
            <v>3</v>
          </cell>
          <cell r="N80">
            <v>3.75</v>
          </cell>
        </row>
        <row r="81">
          <cell r="A81" t="str">
            <v>PRESSURIZAÇÃO ESCADA 5SS</v>
          </cell>
          <cell r="B81">
            <v>6.3805104408352662</v>
          </cell>
          <cell r="C81">
            <v>7.5</v>
          </cell>
          <cell r="D81" t="str">
            <v>C</v>
          </cell>
          <cell r="E81">
            <v>6.3805104408352662</v>
          </cell>
          <cell r="F81">
            <v>0.8</v>
          </cell>
          <cell r="G81">
            <v>4</v>
          </cell>
          <cell r="I81">
            <v>0</v>
          </cell>
          <cell r="J81">
            <v>0.8</v>
          </cell>
          <cell r="K81">
            <v>25.522041763341065</v>
          </cell>
          <cell r="L81">
            <v>31.902552204176331</v>
          </cell>
          <cell r="M81">
            <v>0</v>
          </cell>
          <cell r="N81">
            <v>0</v>
          </cell>
        </row>
        <row r="82">
          <cell r="A82" t="str">
            <v>PRESSURIZAÇÃO ESCADA 3SS</v>
          </cell>
          <cell r="B82">
            <v>8.6705202312138727</v>
          </cell>
          <cell r="C82">
            <v>10</v>
          </cell>
          <cell r="D82" t="str">
            <v>C</v>
          </cell>
          <cell r="E82">
            <v>8.6705202312138727</v>
          </cell>
          <cell r="F82">
            <v>0.85</v>
          </cell>
          <cell r="G82">
            <v>2</v>
          </cell>
          <cell r="I82">
            <v>0</v>
          </cell>
          <cell r="J82">
            <v>0.85</v>
          </cell>
          <cell r="K82">
            <v>17.341040462427745</v>
          </cell>
          <cell r="L82">
            <v>20.401224073444407</v>
          </cell>
          <cell r="M82">
            <v>0</v>
          </cell>
          <cell r="N82">
            <v>0</v>
          </cell>
        </row>
        <row r="83">
          <cell r="A83" t="str">
            <v>PRESSURIZAÇÃO ESCADA 1SS</v>
          </cell>
          <cell r="B83">
            <v>16.930022573363431</v>
          </cell>
          <cell r="C83">
            <v>20</v>
          </cell>
          <cell r="D83" t="str">
            <v>C</v>
          </cell>
          <cell r="E83">
            <v>16.930022573363431</v>
          </cell>
          <cell r="F83">
            <v>0.84</v>
          </cell>
          <cell r="G83">
            <v>5</v>
          </cell>
          <cell r="I83">
            <v>0</v>
          </cell>
          <cell r="J83">
            <v>0.84</v>
          </cell>
          <cell r="K83">
            <v>84.650112866817153</v>
          </cell>
          <cell r="L83">
            <v>100.77394388906805</v>
          </cell>
          <cell r="M83">
            <v>0</v>
          </cell>
          <cell r="N83">
            <v>0</v>
          </cell>
        </row>
        <row r="84">
          <cell r="A84" t="str">
            <v>EXAUSTÃO DE FUMAÇA</v>
          </cell>
          <cell r="B84">
            <v>16.930022573363431</v>
          </cell>
          <cell r="C84">
            <v>20</v>
          </cell>
          <cell r="D84" t="str">
            <v>C</v>
          </cell>
          <cell r="E84">
            <v>16.930022573363431</v>
          </cell>
          <cell r="F84">
            <v>0.84</v>
          </cell>
          <cell r="G84">
            <v>2</v>
          </cell>
          <cell r="I84">
            <v>0</v>
          </cell>
          <cell r="J84">
            <v>0.84</v>
          </cell>
          <cell r="K84">
            <v>33.860045146726861</v>
          </cell>
          <cell r="L84">
            <v>40.309577555627214</v>
          </cell>
          <cell r="M84">
            <v>0</v>
          </cell>
          <cell r="N84">
            <v>0</v>
          </cell>
        </row>
        <row r="85">
          <cell r="A85" t="str">
            <v>BOMBA DE RECALQUE DE ÓLEO DIESEL</v>
          </cell>
          <cell r="B85">
            <v>2.7500000000000004</v>
          </cell>
          <cell r="C85">
            <v>3</v>
          </cell>
          <cell r="D85" t="str">
            <v>H</v>
          </cell>
          <cell r="E85">
            <v>2.7500000000000004</v>
          </cell>
          <cell r="F85">
            <v>0.77</v>
          </cell>
          <cell r="G85">
            <v>2</v>
          </cell>
          <cell r="I85">
            <v>0.5</v>
          </cell>
          <cell r="J85">
            <v>0.77</v>
          </cell>
          <cell r="K85">
            <v>5.5000000000000009</v>
          </cell>
          <cell r="L85">
            <v>7.1428571428571441</v>
          </cell>
          <cell r="M85">
            <v>2.7500000000000004</v>
          </cell>
          <cell r="N85">
            <v>3.5714285714285721</v>
          </cell>
        </row>
        <row r="86">
          <cell r="A86" t="str">
            <v>ILUMINAÇÃO E TOMADAS GERADOR</v>
          </cell>
          <cell r="B86">
            <v>11.67</v>
          </cell>
          <cell r="E86" t="e">
            <v>#N/A</v>
          </cell>
          <cell r="F86" t="e">
            <v>#N/A</v>
          </cell>
          <cell r="G86">
            <v>1</v>
          </cell>
          <cell r="I86">
            <v>0.9</v>
          </cell>
          <cell r="J86">
            <v>0.94</v>
          </cell>
          <cell r="K86">
            <v>11.67</v>
          </cell>
          <cell r="L86">
            <v>12.414893617021278</v>
          </cell>
          <cell r="M86">
            <v>10.503</v>
          </cell>
          <cell r="N86">
            <v>11.17340425531915</v>
          </cell>
        </row>
        <row r="87">
          <cell r="A87" t="str">
            <v>BOMBA DE INCÊNDIO JOCKEY</v>
          </cell>
          <cell r="B87">
            <v>4.3632075471698117</v>
          </cell>
          <cell r="C87">
            <v>5</v>
          </cell>
          <cell r="D87" t="str">
            <v>H</v>
          </cell>
          <cell r="E87">
            <v>4.3632075471698117</v>
          </cell>
          <cell r="F87">
            <v>0.83</v>
          </cell>
          <cell r="G87">
            <v>1</v>
          </cell>
          <cell r="I87">
            <v>1</v>
          </cell>
          <cell r="J87">
            <v>0.83</v>
          </cell>
          <cell r="K87">
            <v>4.3632075471698117</v>
          </cell>
          <cell r="L87">
            <v>5.2568765628551954</v>
          </cell>
          <cell r="M87">
            <v>4.3632075471698117</v>
          </cell>
          <cell r="N87">
            <v>5.2568765628551954</v>
          </cell>
        </row>
        <row r="88">
          <cell r="A88" t="str">
            <v>BOMBA DE INCÊNDIO PRINCIPAL</v>
          </cell>
          <cell r="B88">
            <v>119.56521739130434</v>
          </cell>
          <cell r="C88">
            <v>150</v>
          </cell>
          <cell r="D88" t="str">
            <v>H</v>
          </cell>
          <cell r="E88">
            <v>119.56521739130434</v>
          </cell>
          <cell r="F88">
            <v>0.86</v>
          </cell>
          <cell r="G88">
            <v>1</v>
          </cell>
          <cell r="I88">
            <v>0</v>
          </cell>
          <cell r="J88">
            <v>0.86</v>
          </cell>
          <cell r="K88">
            <v>119.56521739130434</v>
          </cell>
          <cell r="L88">
            <v>139.02932254802832</v>
          </cell>
          <cell r="M88">
            <v>0</v>
          </cell>
          <cell r="N88">
            <v>0</v>
          </cell>
        </row>
        <row r="89">
          <cell r="A89" t="str">
            <v>RETIFICADOR SUBESTAÇÃO</v>
          </cell>
          <cell r="B89">
            <v>10</v>
          </cell>
          <cell r="G89">
            <v>1</v>
          </cell>
          <cell r="I89">
            <v>1</v>
          </cell>
          <cell r="J89">
            <v>0.8</v>
          </cell>
          <cell r="K89">
            <v>10</v>
          </cell>
          <cell r="L89">
            <v>12.5</v>
          </cell>
          <cell r="M89">
            <v>10</v>
          </cell>
          <cell r="N89">
            <v>12.5</v>
          </cell>
        </row>
        <row r="90">
          <cell r="A90" t="str">
            <v>TOTAL</v>
          </cell>
          <cell r="I90">
            <v>0.18844624461614121</v>
          </cell>
          <cell r="J90">
            <v>0.81266524224042402</v>
          </cell>
          <cell r="K90">
            <v>549.84490541709977</v>
          </cell>
          <cell r="L90">
            <v>658.11854531539404</v>
          </cell>
          <cell r="M90">
            <v>103.61620754716981</v>
          </cell>
          <cell r="N90">
            <v>127.50170938960292</v>
          </cell>
        </row>
        <row r="92">
          <cell r="A92" t="str">
            <v>RESUMO GERAL:</v>
          </cell>
          <cell r="B92" t="str">
            <v>kW</v>
          </cell>
          <cell r="C92" t="str">
            <v>kVA</v>
          </cell>
        </row>
        <row r="93">
          <cell r="A93" t="str">
            <v>DEMANDAS</v>
          </cell>
          <cell r="B93">
            <v>103.61620754716981</v>
          </cell>
          <cell r="C93">
            <v>127.50170938960292</v>
          </cell>
        </row>
        <row r="94">
          <cell r="A94" t="str">
            <v>RESERVA     (%)</v>
          </cell>
          <cell r="B94">
            <v>0.2</v>
          </cell>
        </row>
        <row r="95">
          <cell r="A95" t="str">
            <v>FATOR DE SIMULTANEIDADE</v>
          </cell>
          <cell r="B95">
            <v>1</v>
          </cell>
        </row>
        <row r="97">
          <cell r="A97" t="str">
            <v xml:space="preserve">DEMANDA FINAL </v>
          </cell>
          <cell r="B97">
            <v>124.33944905660377</v>
          </cell>
          <cell r="C97">
            <v>153.00205126752351</v>
          </cell>
        </row>
        <row r="99">
          <cell r="A99" t="str">
            <v>TENSÃO (V)</v>
          </cell>
          <cell r="B99">
            <v>380</v>
          </cell>
          <cell r="C99" t="str">
            <v>V</v>
          </cell>
        </row>
        <row r="100">
          <cell r="A100" t="str">
            <v>CORRENTE (A)</v>
          </cell>
          <cell r="B100">
            <v>232.46256706807799</v>
          </cell>
          <cell r="C100" t="str">
            <v>A</v>
          </cell>
        </row>
        <row r="101">
          <cell r="A101" t="str">
            <v>DISJUNTOR GERAL</v>
          </cell>
          <cell r="B101">
            <v>1250</v>
          </cell>
          <cell r="C101" t="str">
            <v>A</v>
          </cell>
        </row>
        <row r="104">
          <cell r="A104" t="str">
            <v>EM FUNCIONAMENTO</v>
          </cell>
        </row>
        <row r="105">
          <cell r="A105" t="str">
            <v>FINALIDADE</v>
          </cell>
          <cell r="B105" t="str">
            <v>POT. UNIT. (kW)</v>
          </cell>
          <cell r="C105" t="str">
            <v>POT. UNIT. (CV)</v>
          </cell>
          <cell r="D105" t="str">
            <v>T I P O</v>
          </cell>
          <cell r="E105" t="str">
            <v>POT-M (KW)</v>
          </cell>
          <cell r="F105" t="str">
            <v>FP- M</v>
          </cell>
          <cell r="G105" t="str">
            <v>QTDE.</v>
          </cell>
          <cell r="H105" t="str">
            <v>PÓLOS</v>
          </cell>
          <cell r="I105" t="str">
            <v>F.D.</v>
          </cell>
          <cell r="J105" t="str">
            <v>F.P.</v>
          </cell>
          <cell r="K105" t="str">
            <v>POT. INSTALADA (kW)</v>
          </cell>
          <cell r="L105" t="str">
            <v>POT. INSTALADA (kVA)</v>
          </cell>
          <cell r="M105" t="str">
            <v>POT. DEMANDADA (kW)</v>
          </cell>
          <cell r="N105" t="str">
            <v>POT. DEMANDADA (kVA)</v>
          </cell>
        </row>
        <row r="106">
          <cell r="A106" t="str">
            <v>ELEVADOR DE SEGUANÇA</v>
          </cell>
          <cell r="B106">
            <v>35</v>
          </cell>
          <cell r="E106" t="e">
            <v>#N/A</v>
          </cell>
          <cell r="F106" t="e">
            <v>#N/A</v>
          </cell>
          <cell r="G106">
            <v>1</v>
          </cell>
          <cell r="I106">
            <v>1</v>
          </cell>
          <cell r="J106">
            <v>0.8</v>
          </cell>
          <cell r="K106">
            <v>35</v>
          </cell>
          <cell r="L106">
            <v>43.75</v>
          </cell>
          <cell r="M106">
            <v>35</v>
          </cell>
          <cell r="N106">
            <v>43.75</v>
          </cell>
        </row>
        <row r="107">
          <cell r="A107" t="str">
            <v>ILUMINAÇÃO E COMANDO ELEVADORE DE SEGURANÇA</v>
          </cell>
          <cell r="B107">
            <v>3</v>
          </cell>
          <cell r="E107" t="e">
            <v>#N/A</v>
          </cell>
          <cell r="F107" t="e">
            <v>#N/A</v>
          </cell>
          <cell r="G107">
            <v>1</v>
          </cell>
          <cell r="I107">
            <v>1</v>
          </cell>
          <cell r="J107">
            <v>0.8</v>
          </cell>
          <cell r="K107">
            <v>3</v>
          </cell>
          <cell r="L107">
            <v>3.75</v>
          </cell>
          <cell r="M107">
            <v>3</v>
          </cell>
          <cell r="N107">
            <v>3.75</v>
          </cell>
        </row>
        <row r="108">
          <cell r="A108" t="str">
            <v>PRESSURIZAÇÃO ESCADA 5SS</v>
          </cell>
          <cell r="B108">
            <v>6.3805104408352662</v>
          </cell>
          <cell r="C108">
            <v>7.5</v>
          </cell>
          <cell r="D108" t="str">
            <v>C</v>
          </cell>
          <cell r="E108">
            <v>6.3805104408352662</v>
          </cell>
          <cell r="F108">
            <v>0.8</v>
          </cell>
          <cell r="G108">
            <v>4</v>
          </cell>
          <cell r="I108">
            <v>0.5</v>
          </cell>
          <cell r="J108">
            <v>0.8</v>
          </cell>
          <cell r="K108">
            <v>25.522041763341065</v>
          </cell>
          <cell r="L108">
            <v>31.902552204176331</v>
          </cell>
          <cell r="M108">
            <v>12.761020881670532</v>
          </cell>
          <cell r="N108">
            <v>15.951276102088165</v>
          </cell>
        </row>
        <row r="109">
          <cell r="A109" t="str">
            <v>PRESSURIZAÇÃO ESCADA 3SS</v>
          </cell>
          <cell r="B109">
            <v>8.6705202312138727</v>
          </cell>
          <cell r="C109">
            <v>10</v>
          </cell>
          <cell r="D109" t="str">
            <v>C</v>
          </cell>
          <cell r="E109">
            <v>8.6705202312138727</v>
          </cell>
          <cell r="F109">
            <v>0.85</v>
          </cell>
          <cell r="G109">
            <v>2</v>
          </cell>
          <cell r="I109">
            <v>0.5</v>
          </cell>
          <cell r="J109">
            <v>0.85</v>
          </cell>
          <cell r="K109">
            <v>17.341040462427745</v>
          </cell>
          <cell r="L109">
            <v>20.401224073444407</v>
          </cell>
          <cell r="M109">
            <v>8.6705202312138727</v>
          </cell>
          <cell r="N109">
            <v>10.200612036722204</v>
          </cell>
        </row>
        <row r="110">
          <cell r="A110" t="str">
            <v>PRESSURIZAÇÃO ESCADA 1SS</v>
          </cell>
          <cell r="B110">
            <v>16.930022573363431</v>
          </cell>
          <cell r="C110">
            <v>20</v>
          </cell>
          <cell r="D110" t="str">
            <v>C</v>
          </cell>
          <cell r="E110">
            <v>16.930022573363431</v>
          </cell>
          <cell r="F110">
            <v>0.84</v>
          </cell>
          <cell r="G110">
            <v>5</v>
          </cell>
          <cell r="I110">
            <v>0.8</v>
          </cell>
          <cell r="J110">
            <v>0.84</v>
          </cell>
          <cell r="K110">
            <v>84.650112866817153</v>
          </cell>
          <cell r="L110">
            <v>100.77394388906805</v>
          </cell>
          <cell r="M110">
            <v>67.720090293453723</v>
          </cell>
          <cell r="N110">
            <v>80.619155111254443</v>
          </cell>
        </row>
        <row r="111">
          <cell r="A111" t="str">
            <v>EXAUSTÃO DE FUMAÇA</v>
          </cell>
          <cell r="B111">
            <v>16.930022573363431</v>
          </cell>
          <cell r="C111">
            <v>20</v>
          </cell>
          <cell r="D111" t="str">
            <v>C</v>
          </cell>
          <cell r="E111">
            <v>16.930022573363431</v>
          </cell>
          <cell r="F111">
            <v>0.84</v>
          </cell>
          <cell r="G111">
            <v>2</v>
          </cell>
          <cell r="I111">
            <v>1</v>
          </cell>
          <cell r="J111">
            <v>0.84</v>
          </cell>
          <cell r="K111">
            <v>33.860045146726861</v>
          </cell>
          <cell r="L111">
            <v>40.309577555627214</v>
          </cell>
          <cell r="M111">
            <v>33.860045146726861</v>
          </cell>
          <cell r="N111">
            <v>40.309577555627214</v>
          </cell>
        </row>
        <row r="112">
          <cell r="A112" t="str">
            <v>ELEVADOR DE SEGUANÇA</v>
          </cell>
          <cell r="B112">
            <v>35</v>
          </cell>
          <cell r="E112" t="e">
            <v>#N/A</v>
          </cell>
          <cell r="F112" t="e">
            <v>#N/A</v>
          </cell>
          <cell r="G112">
            <v>1</v>
          </cell>
          <cell r="I112">
            <v>1</v>
          </cell>
          <cell r="J112">
            <v>0.8</v>
          </cell>
          <cell r="K112">
            <v>35</v>
          </cell>
          <cell r="L112">
            <v>43.75</v>
          </cell>
          <cell r="M112">
            <v>35</v>
          </cell>
          <cell r="N112">
            <v>43.75</v>
          </cell>
        </row>
        <row r="113">
          <cell r="A113" t="str">
            <v>ILUMINAÇÃO E COMANDO ELEVADORE DE SEGURANÇA</v>
          </cell>
          <cell r="B113">
            <v>3</v>
          </cell>
          <cell r="E113" t="e">
            <v>#N/A</v>
          </cell>
          <cell r="F113" t="e">
            <v>#N/A</v>
          </cell>
          <cell r="G113">
            <v>1</v>
          </cell>
          <cell r="I113">
            <v>1</v>
          </cell>
          <cell r="J113">
            <v>0.8</v>
          </cell>
          <cell r="K113">
            <v>3</v>
          </cell>
          <cell r="L113">
            <v>3.75</v>
          </cell>
          <cell r="M113">
            <v>3</v>
          </cell>
          <cell r="N113">
            <v>3.75</v>
          </cell>
        </row>
        <row r="114">
          <cell r="A114" t="str">
            <v>PRESSURIZAÇÃO ESCADA 5SS</v>
          </cell>
          <cell r="B114">
            <v>6.3805104408352662</v>
          </cell>
          <cell r="C114">
            <v>7.5</v>
          </cell>
          <cell r="D114" t="str">
            <v>C</v>
          </cell>
          <cell r="E114">
            <v>6.3805104408352662</v>
          </cell>
          <cell r="F114">
            <v>0.8</v>
          </cell>
          <cell r="G114">
            <v>4</v>
          </cell>
          <cell r="I114">
            <v>0.5</v>
          </cell>
          <cell r="J114">
            <v>0.8</v>
          </cell>
          <cell r="K114">
            <v>25.522041763341065</v>
          </cell>
          <cell r="L114">
            <v>31.902552204176331</v>
          </cell>
          <cell r="M114">
            <v>12.761020881670532</v>
          </cell>
          <cell r="N114">
            <v>15.951276102088165</v>
          </cell>
        </row>
        <row r="115">
          <cell r="A115" t="str">
            <v>PRESSURIZAÇÃO ESCADA 3SS</v>
          </cell>
          <cell r="B115">
            <v>8.6705202312138727</v>
          </cell>
          <cell r="C115">
            <v>10</v>
          </cell>
          <cell r="D115" t="str">
            <v>C</v>
          </cell>
          <cell r="E115">
            <v>8.6705202312138727</v>
          </cell>
          <cell r="F115">
            <v>0.85</v>
          </cell>
          <cell r="G115">
            <v>2</v>
          </cell>
          <cell r="I115">
            <v>0.5</v>
          </cell>
          <cell r="J115">
            <v>0.85</v>
          </cell>
          <cell r="K115">
            <v>17.341040462427745</v>
          </cell>
          <cell r="L115">
            <v>20.401224073444407</v>
          </cell>
          <cell r="M115">
            <v>8.6705202312138727</v>
          </cell>
          <cell r="N115">
            <v>10.200612036722204</v>
          </cell>
        </row>
        <row r="116">
          <cell r="A116" t="str">
            <v>PRESSURIZAÇÃO ESCADA 1SS</v>
          </cell>
          <cell r="B116">
            <v>16.930022573363431</v>
          </cell>
          <cell r="C116">
            <v>20</v>
          </cell>
          <cell r="D116" t="str">
            <v>C</v>
          </cell>
          <cell r="E116">
            <v>16.930022573363431</v>
          </cell>
          <cell r="F116">
            <v>0.84</v>
          </cell>
          <cell r="G116">
            <v>5</v>
          </cell>
          <cell r="I116">
            <v>0.8</v>
          </cell>
          <cell r="J116">
            <v>0.84</v>
          </cell>
          <cell r="K116">
            <v>84.650112866817153</v>
          </cell>
          <cell r="L116">
            <v>100.77394388906805</v>
          </cell>
          <cell r="M116">
            <v>67.720090293453723</v>
          </cell>
          <cell r="N116">
            <v>80.619155111254443</v>
          </cell>
        </row>
        <row r="117">
          <cell r="A117" t="str">
            <v>EXAUSTÃO DE FUMAÇA</v>
          </cell>
          <cell r="B117">
            <v>16.930022573363431</v>
          </cell>
          <cell r="C117">
            <v>20</v>
          </cell>
          <cell r="D117" t="str">
            <v>C</v>
          </cell>
          <cell r="E117">
            <v>16.930022573363431</v>
          </cell>
          <cell r="F117">
            <v>0.84</v>
          </cell>
          <cell r="G117">
            <v>2</v>
          </cell>
          <cell r="I117">
            <v>1</v>
          </cell>
          <cell r="J117">
            <v>0.84</v>
          </cell>
          <cell r="K117">
            <v>33.860045146726861</v>
          </cell>
          <cell r="L117">
            <v>40.309577555627214</v>
          </cell>
          <cell r="M117">
            <v>33.860045146726861</v>
          </cell>
          <cell r="N117">
            <v>40.309577555627214</v>
          </cell>
        </row>
        <row r="118">
          <cell r="A118" t="str">
            <v>BOMBA DE RECALQUE DE ÓLEO DIESEL</v>
          </cell>
          <cell r="B118">
            <v>2.7500000000000004</v>
          </cell>
          <cell r="C118">
            <v>3</v>
          </cell>
          <cell r="D118" t="str">
            <v>H</v>
          </cell>
          <cell r="E118">
            <v>2.7500000000000004</v>
          </cell>
          <cell r="F118">
            <v>0.77</v>
          </cell>
          <cell r="G118">
            <v>2</v>
          </cell>
          <cell r="I118">
            <v>0.5</v>
          </cell>
          <cell r="J118">
            <v>0.77</v>
          </cell>
          <cell r="K118">
            <v>5.5000000000000009</v>
          </cell>
          <cell r="L118">
            <v>7.1428571428571441</v>
          </cell>
          <cell r="M118">
            <v>2.7500000000000004</v>
          </cell>
          <cell r="N118">
            <v>3.5714285714285721</v>
          </cell>
        </row>
        <row r="119">
          <cell r="A119" t="str">
            <v>ILUMINAÇÃO E TOMADAS GERADOR</v>
          </cell>
          <cell r="B119">
            <v>11.67</v>
          </cell>
          <cell r="G119">
            <v>1</v>
          </cell>
          <cell r="I119">
            <v>0.9</v>
          </cell>
          <cell r="J119">
            <v>0.94</v>
          </cell>
          <cell r="K119">
            <v>11.67</v>
          </cell>
          <cell r="L119">
            <v>12.414893617021278</v>
          </cell>
          <cell r="M119">
            <v>10.503</v>
          </cell>
          <cell r="N119">
            <v>11.17340425531915</v>
          </cell>
        </row>
        <row r="120">
          <cell r="A120" t="str">
            <v>BOMBA DE INCÊNDIO JOCKEY</v>
          </cell>
          <cell r="B120">
            <v>6.3805104408352662</v>
          </cell>
          <cell r="C120">
            <v>7.5</v>
          </cell>
          <cell r="D120" t="str">
            <v>H</v>
          </cell>
          <cell r="E120">
            <v>6.3805104408352662</v>
          </cell>
          <cell r="F120">
            <v>0.8</v>
          </cell>
          <cell r="G120">
            <v>1</v>
          </cell>
          <cell r="I120">
            <v>0</v>
          </cell>
          <cell r="J120">
            <v>0.8</v>
          </cell>
          <cell r="K120">
            <v>6.3805104408352662</v>
          </cell>
          <cell r="L120">
            <v>7.9756380510440827</v>
          </cell>
          <cell r="M120">
            <v>0</v>
          </cell>
          <cell r="N120">
            <v>0</v>
          </cell>
        </row>
        <row r="121">
          <cell r="A121" t="str">
            <v>BOMBA DE INCÊNDIO PRINCIPAL</v>
          </cell>
          <cell r="B121">
            <v>119.56521739130434</v>
          </cell>
          <cell r="C121">
            <v>150</v>
          </cell>
          <cell r="D121" t="str">
            <v>H</v>
          </cell>
          <cell r="E121">
            <v>119.56521739130434</v>
          </cell>
          <cell r="F121">
            <v>0.86</v>
          </cell>
          <cell r="G121">
            <v>1</v>
          </cell>
          <cell r="I121">
            <v>1</v>
          </cell>
          <cell r="J121">
            <v>0.86</v>
          </cell>
          <cell r="K121">
            <v>119.56521739130434</v>
          </cell>
          <cell r="L121">
            <v>139.02932254802832</v>
          </cell>
          <cell r="M121">
            <v>119.56521739130434</v>
          </cell>
          <cell r="N121">
            <v>139.02932254802832</v>
          </cell>
        </row>
        <row r="122">
          <cell r="A122" t="str">
            <v>RETIFICADOR SUBESTAÇÃO</v>
          </cell>
          <cell r="B122">
            <v>10</v>
          </cell>
          <cell r="G122">
            <v>1</v>
          </cell>
          <cell r="I122">
            <v>1</v>
          </cell>
          <cell r="J122">
            <v>0.8</v>
          </cell>
          <cell r="K122">
            <v>10</v>
          </cell>
          <cell r="L122">
            <v>12.5</v>
          </cell>
          <cell r="M122">
            <v>10</v>
          </cell>
          <cell r="N122">
            <v>12.5</v>
          </cell>
        </row>
        <row r="123">
          <cell r="A123" t="str">
            <v>TOTAL</v>
          </cell>
          <cell r="I123">
            <v>0.84231455515010045</v>
          </cell>
          <cell r="J123">
            <v>0.83689583526671951</v>
          </cell>
          <cell r="K123">
            <v>551.86220831076525</v>
          </cell>
          <cell r="L123">
            <v>660.83730680358292</v>
          </cell>
          <cell r="M123">
            <v>464.8415704974343</v>
          </cell>
          <cell r="N123">
            <v>555.43539698615996</v>
          </cell>
        </row>
        <row r="125">
          <cell r="A125" t="str">
            <v>RESUMO GERAL:</v>
          </cell>
          <cell r="B125" t="str">
            <v>kW</v>
          </cell>
          <cell r="C125" t="str">
            <v>kVA</v>
          </cell>
        </row>
        <row r="126">
          <cell r="A126" t="str">
            <v>DEMANDAS</v>
          </cell>
          <cell r="B126">
            <v>464.8415704974343</v>
          </cell>
          <cell r="C126">
            <v>555.43539698615996</v>
          </cell>
        </row>
        <row r="127">
          <cell r="A127" t="str">
            <v>RESERVA     (%)</v>
          </cell>
          <cell r="B127">
            <v>0.2</v>
          </cell>
        </row>
        <row r="128">
          <cell r="A128" t="str">
            <v>FATOR DE SIMULTANEIDADE</v>
          </cell>
          <cell r="B128">
            <v>1</v>
          </cell>
        </row>
        <row r="130">
          <cell r="A130" t="str">
            <v xml:space="preserve">DEMANDA FINAL </v>
          </cell>
          <cell r="B130">
            <v>557.80988459692117</v>
          </cell>
          <cell r="C130">
            <v>666.5224763833919</v>
          </cell>
        </row>
        <row r="131">
          <cell r="J131" t="str">
            <v>CORRENTE DE PARTIDA (PIOR CASO)</v>
          </cell>
        </row>
        <row r="132">
          <cell r="A132" t="str">
            <v>TENSÃO (V)</v>
          </cell>
          <cell r="B132">
            <v>380</v>
          </cell>
          <cell r="C132" t="str">
            <v>V</v>
          </cell>
          <cell r="J132">
            <v>1223.676134633914</v>
          </cell>
          <cell r="K132" t="str">
            <v>A</v>
          </cell>
        </row>
        <row r="133">
          <cell r="A133" t="str">
            <v>CORRENTE (A)</v>
          </cell>
          <cell r="B133">
            <v>1012.676134633914</v>
          </cell>
          <cell r="C133" t="str">
            <v>A</v>
          </cell>
        </row>
        <row r="134">
          <cell r="A134" t="str">
            <v>DISJUNTOR GERAL</v>
          </cell>
          <cell r="B134">
            <v>1250</v>
          </cell>
          <cell r="C134" t="str">
            <v>A</v>
          </cell>
          <cell r="I134" t="str">
            <v>Ip/In</v>
          </cell>
          <cell r="J134">
            <v>0.97894090770713116</v>
          </cell>
          <cell r="K134" t="str">
            <v>A</v>
          </cell>
        </row>
        <row r="136">
          <cell r="A136" t="str">
            <v>TRANSFORMADOR DE 750KVA</v>
          </cell>
        </row>
        <row r="139">
          <cell r="A139" t="str">
            <v>TRANSFORMADOR 2.1 – PBT-2.1 EM EMERGÊNCIA</v>
          </cell>
        </row>
        <row r="141">
          <cell r="A141" t="str">
            <v>FINALIDADE</v>
          </cell>
          <cell r="B141" t="str">
            <v>POT. UNIT. (kW)</v>
          </cell>
          <cell r="C141" t="str">
            <v>POT. UNIT. (CV)</v>
          </cell>
          <cell r="D141" t="str">
            <v>T I P O</v>
          </cell>
          <cell r="E141" t="str">
            <v>POT-M (KW)</v>
          </cell>
          <cell r="F141" t="str">
            <v>FP- M</v>
          </cell>
          <cell r="G141" t="str">
            <v>QTDE.</v>
          </cell>
          <cell r="H141" t="str">
            <v>PÓLOS</v>
          </cell>
          <cell r="I141" t="str">
            <v>F.D.</v>
          </cell>
          <cell r="J141" t="str">
            <v>F.P.</v>
          </cell>
          <cell r="K141" t="str">
            <v>POT. INSTALADA (kW)</v>
          </cell>
          <cell r="L141" t="str">
            <v>POT. INSTALADA (kVA)</v>
          </cell>
          <cell r="M141" t="str">
            <v>POT. DEMANDADA (kW)</v>
          </cell>
          <cell r="N141" t="str">
            <v>POT. DEMANDADA (kVA)</v>
          </cell>
        </row>
        <row r="142">
          <cell r="A142" t="str">
            <v>ILUMINAÇÃO HELIPONTO</v>
          </cell>
          <cell r="B142">
            <v>10</v>
          </cell>
          <cell r="E142" t="e">
            <v>#N/A</v>
          </cell>
          <cell r="F142" t="e">
            <v>#N/A</v>
          </cell>
          <cell r="G142">
            <v>1</v>
          </cell>
          <cell r="I142">
            <v>1</v>
          </cell>
          <cell r="J142">
            <v>0.9</v>
          </cell>
          <cell r="K142">
            <v>10</v>
          </cell>
          <cell r="L142">
            <v>11.111111111111111</v>
          </cell>
          <cell r="M142">
            <v>10</v>
          </cell>
          <cell r="N142">
            <v>11.111111111111111</v>
          </cell>
        </row>
        <row r="143">
          <cell r="A143" t="str">
            <v>ELEVADORE HELIPONTO</v>
          </cell>
          <cell r="B143">
            <v>12</v>
          </cell>
          <cell r="E143" t="e">
            <v>#N/A</v>
          </cell>
          <cell r="F143" t="e">
            <v>#N/A</v>
          </cell>
          <cell r="G143">
            <v>2</v>
          </cell>
          <cell r="I143">
            <v>1</v>
          </cell>
          <cell r="J143">
            <v>0.9</v>
          </cell>
          <cell r="K143">
            <v>24</v>
          </cell>
          <cell r="L143">
            <v>26.666666666666664</v>
          </cell>
          <cell r="M143">
            <v>24</v>
          </cell>
          <cell r="N143">
            <v>26.666666666666664</v>
          </cell>
        </row>
        <row r="144">
          <cell r="A144" t="str">
            <v>ILUMINAÇÃO E COMANDO ELEVADORE HELIPONTO</v>
          </cell>
          <cell r="B144">
            <v>1.3</v>
          </cell>
          <cell r="E144" t="e">
            <v>#N/A</v>
          </cell>
          <cell r="F144" t="e">
            <v>#N/A</v>
          </cell>
          <cell r="G144">
            <v>1</v>
          </cell>
          <cell r="I144">
            <v>1</v>
          </cell>
          <cell r="J144">
            <v>0.8</v>
          </cell>
          <cell r="K144">
            <v>1.3</v>
          </cell>
          <cell r="L144">
            <v>1.625</v>
          </cell>
          <cell r="M144">
            <v>1.3</v>
          </cell>
          <cell r="N144">
            <v>1.625</v>
          </cell>
        </row>
        <row r="145">
          <cell r="A145" t="str">
            <v>ELEVADORES ZONA ALTA</v>
          </cell>
          <cell r="B145">
            <v>70</v>
          </cell>
          <cell r="E145" t="e">
            <v>#N/A</v>
          </cell>
          <cell r="F145" t="e">
            <v>#N/A</v>
          </cell>
          <cell r="G145">
            <v>8</v>
          </cell>
          <cell r="I145">
            <v>0.13</v>
          </cell>
          <cell r="J145">
            <v>0.8</v>
          </cell>
          <cell r="K145">
            <v>560</v>
          </cell>
          <cell r="L145">
            <v>700</v>
          </cell>
          <cell r="M145">
            <v>72.8</v>
          </cell>
          <cell r="N145">
            <v>91</v>
          </cell>
        </row>
        <row r="146">
          <cell r="A146" t="str">
            <v>ILUMINAÇÃO E COMANDO ELEVADORES ZONA ALTA</v>
          </cell>
          <cell r="B146">
            <v>3</v>
          </cell>
          <cell r="E146" t="e">
            <v>#N/A</v>
          </cell>
          <cell r="F146" t="e">
            <v>#N/A</v>
          </cell>
          <cell r="G146">
            <v>1</v>
          </cell>
          <cell r="I146">
            <v>0.13</v>
          </cell>
          <cell r="J146">
            <v>0.8</v>
          </cell>
          <cell r="K146">
            <v>3</v>
          </cell>
          <cell r="L146">
            <v>3.75</v>
          </cell>
          <cell r="M146">
            <v>0.39</v>
          </cell>
          <cell r="N146">
            <v>0.48750000000000004</v>
          </cell>
        </row>
        <row r="147">
          <cell r="A147" t="str">
            <v>VENTILAÇÃO</v>
          </cell>
          <cell r="B147">
            <v>83.25</v>
          </cell>
          <cell r="G147">
            <v>1</v>
          </cell>
          <cell r="I147">
            <v>0</v>
          </cell>
          <cell r="J147">
            <v>0.8</v>
          </cell>
          <cell r="K147">
            <v>83.25</v>
          </cell>
          <cell r="L147">
            <v>104.0625</v>
          </cell>
          <cell r="M147">
            <v>0</v>
          </cell>
          <cell r="N147">
            <v>0</v>
          </cell>
        </row>
        <row r="148">
          <cell r="A148" t="str">
            <v>BOMBAS DA CENTRAL DE ÁGUA GELADA</v>
          </cell>
          <cell r="B148">
            <v>535</v>
          </cell>
          <cell r="G148">
            <v>1</v>
          </cell>
          <cell r="I148">
            <v>0</v>
          </cell>
          <cell r="J148">
            <v>1.8</v>
          </cell>
          <cell r="K148">
            <v>535</v>
          </cell>
          <cell r="L148">
            <v>297.22222222222223</v>
          </cell>
          <cell r="M148">
            <v>0</v>
          </cell>
          <cell r="N148">
            <v>0</v>
          </cell>
        </row>
        <row r="153">
          <cell r="A153" t="str">
            <v>TOTAL</v>
          </cell>
          <cell r="I153">
            <v>8.9178414368501088E-2</v>
          </cell>
          <cell r="J153">
            <v>0.82886217251514727</v>
          </cell>
          <cell r="K153">
            <v>1216.55</v>
          </cell>
          <cell r="L153">
            <v>1144.4375</v>
          </cell>
          <cell r="M153">
            <v>108.49</v>
          </cell>
          <cell r="N153">
            <v>130.89027777777778</v>
          </cell>
        </row>
        <row r="155">
          <cell r="A155" t="str">
            <v>RESUMO GERAL:</v>
          </cell>
          <cell r="B155" t="str">
            <v>kW</v>
          </cell>
          <cell r="C155" t="str">
            <v>kVA</v>
          </cell>
        </row>
        <row r="156">
          <cell r="A156" t="str">
            <v>DEMANDAS</v>
          </cell>
          <cell r="B156">
            <v>108.49</v>
          </cell>
          <cell r="C156">
            <v>130.89027777777778</v>
          </cell>
        </row>
        <row r="157">
          <cell r="A157" t="str">
            <v>RESERVA     (%)</v>
          </cell>
          <cell r="B157">
            <v>0.2</v>
          </cell>
        </row>
        <row r="158">
          <cell r="A158" t="str">
            <v>FATOR DE SIMULTANEIDADE</v>
          </cell>
          <cell r="B158">
            <v>1</v>
          </cell>
        </row>
        <row r="160">
          <cell r="A160" t="str">
            <v xml:space="preserve">DEMANDA FINAL </v>
          </cell>
          <cell r="B160">
            <v>130.18799999999999</v>
          </cell>
          <cell r="C160">
            <v>157.06833333333333</v>
          </cell>
        </row>
        <row r="162">
          <cell r="A162" t="str">
            <v>TENSÃO (V)</v>
          </cell>
          <cell r="B162">
            <v>380</v>
          </cell>
          <cell r="C162" t="str">
            <v>V</v>
          </cell>
        </row>
        <row r="163">
          <cell r="A163" t="str">
            <v>CORRENTE (A)</v>
          </cell>
          <cell r="B163">
            <v>238.64064350306808</v>
          </cell>
          <cell r="C163" t="str">
            <v>A</v>
          </cell>
        </row>
        <row r="164">
          <cell r="A164" t="str">
            <v>DISJUNTOR GERAL</v>
          </cell>
          <cell r="B164">
            <v>2500</v>
          </cell>
          <cell r="C164" t="str">
            <v>A</v>
          </cell>
        </row>
        <row r="166">
          <cell r="A166" t="str">
            <v>TRANSFORMADOR DE 1500KVA</v>
          </cell>
        </row>
        <row r="170">
          <cell r="A170" t="str">
            <v>TRANSFORMADOR 2.2 – PBT-2.2 EM EMERGÊNCIA</v>
          </cell>
        </row>
        <row r="172">
          <cell r="A172" t="str">
            <v>FINALIDADE</v>
          </cell>
          <cell r="B172" t="str">
            <v>POT. UNIT. (kW)</v>
          </cell>
          <cell r="C172" t="str">
            <v>POT. UNIT. (CV)</v>
          </cell>
          <cell r="D172" t="str">
            <v>T I P O</v>
          </cell>
          <cell r="E172" t="str">
            <v>POT-M (KW)</v>
          </cell>
          <cell r="F172" t="str">
            <v>FP- M</v>
          </cell>
          <cell r="G172" t="str">
            <v>QTDE.</v>
          </cell>
          <cell r="H172" t="str">
            <v>PÓLOS</v>
          </cell>
          <cell r="I172" t="str">
            <v>F.D.</v>
          </cell>
          <cell r="J172" t="str">
            <v>F.P.</v>
          </cell>
          <cell r="K172" t="str">
            <v>POT. INSTALADA (kW)</v>
          </cell>
          <cell r="L172" t="str">
            <v>POT. INSTALADA (kVA)</v>
          </cell>
          <cell r="M172" t="str">
            <v>POT. DEMANDADA (kW)</v>
          </cell>
          <cell r="N172" t="str">
            <v>POT. DEMANDADA (kVA)</v>
          </cell>
        </row>
        <row r="173">
          <cell r="A173" t="str">
            <v>BARRAMENTO BLINDADO BB2.1/2.3 ESCRITÓRIOS</v>
          </cell>
          <cell r="B173">
            <v>96.05</v>
          </cell>
          <cell r="E173" t="e">
            <v>#N/A</v>
          </cell>
          <cell r="F173" t="e">
            <v>#N/A</v>
          </cell>
          <cell r="G173">
            <v>1</v>
          </cell>
          <cell r="I173">
            <v>1</v>
          </cell>
          <cell r="J173">
            <v>0.98</v>
          </cell>
          <cell r="K173">
            <v>96.05</v>
          </cell>
          <cell r="L173">
            <v>98.010204081632651</v>
          </cell>
          <cell r="M173">
            <v>96.05</v>
          </cell>
          <cell r="N173">
            <v>98.010204081632651</v>
          </cell>
        </row>
        <row r="174">
          <cell r="A174" t="str">
            <v>BARRAMENTO BLINDADO 2.2/2.4 FANCOIL ESCRITÓRIOS</v>
          </cell>
          <cell r="B174">
            <v>8.5227272727272734</v>
          </cell>
          <cell r="C174">
            <v>10</v>
          </cell>
          <cell r="D174" t="str">
            <v>C</v>
          </cell>
          <cell r="E174">
            <v>8.5227272727272734</v>
          </cell>
          <cell r="F174">
            <v>0.77</v>
          </cell>
          <cell r="G174">
            <v>34</v>
          </cell>
          <cell r="I174">
            <v>0</v>
          </cell>
          <cell r="J174">
            <v>0.77</v>
          </cell>
          <cell r="K174">
            <v>289.77272727272731</v>
          </cell>
          <cell r="L174">
            <v>376.32821723730819</v>
          </cell>
          <cell r="M174">
            <v>0</v>
          </cell>
          <cell r="N174">
            <v>0</v>
          </cell>
        </row>
        <row r="175">
          <cell r="A175" t="str">
            <v>TOTAL</v>
          </cell>
          <cell r="I175">
            <v>0.24894852793911473</v>
          </cell>
          <cell r="J175">
            <v>0.98</v>
          </cell>
          <cell r="K175">
            <v>385.82272727272732</v>
          </cell>
          <cell r="L175">
            <v>474.33842131894085</v>
          </cell>
          <cell r="M175">
            <v>96.05</v>
          </cell>
          <cell r="N175">
            <v>98.010204081632651</v>
          </cell>
        </row>
        <row r="178">
          <cell r="A178" t="str">
            <v>RESUMO GERAL:</v>
          </cell>
          <cell r="B178" t="str">
            <v>kW</v>
          </cell>
          <cell r="C178" t="str">
            <v>kVA</v>
          </cell>
        </row>
        <row r="179">
          <cell r="A179" t="str">
            <v>DEMANDAS</v>
          </cell>
          <cell r="B179">
            <v>96.05</v>
          </cell>
          <cell r="C179">
            <v>98.010204081632651</v>
          </cell>
        </row>
        <row r="180">
          <cell r="A180" t="str">
            <v>RESERVA     (%)</v>
          </cell>
          <cell r="B180">
            <v>0.2</v>
          </cell>
        </row>
        <row r="181">
          <cell r="A181" t="str">
            <v>FATOR DE SIMULTANEIDADE</v>
          </cell>
          <cell r="B181">
            <v>1</v>
          </cell>
        </row>
        <row r="183">
          <cell r="A183" t="str">
            <v xml:space="preserve">DEMANDA FINAL </v>
          </cell>
          <cell r="B183">
            <v>115.25999999999999</v>
          </cell>
          <cell r="C183">
            <v>117.61224489795917</v>
          </cell>
        </row>
        <row r="185">
          <cell r="A185" t="str">
            <v>TENSÃO (V)</v>
          </cell>
          <cell r="B185">
            <v>380</v>
          </cell>
          <cell r="C185" t="str">
            <v>V</v>
          </cell>
        </row>
        <row r="186">
          <cell r="A186" t="str">
            <v>CORRENTE (A)</v>
          </cell>
          <cell r="B186">
            <v>178.69331908377086</v>
          </cell>
          <cell r="C186" t="str">
            <v>A</v>
          </cell>
        </row>
        <row r="187">
          <cell r="A187" t="str">
            <v>DISJUNTOR GERAL</v>
          </cell>
          <cell r="B187">
            <v>2500</v>
          </cell>
          <cell r="C187" t="str">
            <v>A</v>
          </cell>
        </row>
        <row r="189">
          <cell r="A189" t="str">
            <v>TRANSFORMADOR DE 1500KVA</v>
          </cell>
        </row>
        <row r="192">
          <cell r="A192" t="str">
            <v>TRANSFORMADOR 2.3 – PBT-2.3</v>
          </cell>
        </row>
        <row r="194">
          <cell r="A194" t="str">
            <v>FINALIDADE</v>
          </cell>
          <cell r="B194" t="str">
            <v>POT. UNIT. (kW)</v>
          </cell>
          <cell r="C194" t="str">
            <v>POT. UNIT. (CV)</v>
          </cell>
          <cell r="D194" t="str">
            <v>T I P O</v>
          </cell>
          <cell r="E194" t="str">
            <v>POT-M (KW)</v>
          </cell>
          <cell r="F194" t="str">
            <v>FP- M</v>
          </cell>
          <cell r="G194" t="str">
            <v>QTDE.</v>
          </cell>
          <cell r="H194" t="str">
            <v>PÓLOS</v>
          </cell>
          <cell r="I194" t="str">
            <v>F.D.</v>
          </cell>
          <cell r="J194" t="str">
            <v>F.P.</v>
          </cell>
          <cell r="K194" t="str">
            <v>POT. INSTALADA (kW)</v>
          </cell>
          <cell r="L194" t="str">
            <v>POT. INSTALADA (kVA)</v>
          </cell>
          <cell r="M194" t="str">
            <v>POT. DEMANDADA (kW)</v>
          </cell>
          <cell r="N194" t="str">
            <v>POT. DEMANDADA (kVA)</v>
          </cell>
        </row>
        <row r="195">
          <cell r="A195" t="str">
            <v>CHILER</v>
          </cell>
          <cell r="B195">
            <v>500</v>
          </cell>
          <cell r="E195" t="e">
            <v>#N/A</v>
          </cell>
          <cell r="F195" t="e">
            <v>#N/A</v>
          </cell>
          <cell r="G195">
            <v>2</v>
          </cell>
          <cell r="I195">
            <v>9.9999999999999995E-7</v>
          </cell>
          <cell r="J195">
            <v>0.9</v>
          </cell>
          <cell r="K195">
            <v>1000</v>
          </cell>
          <cell r="L195">
            <v>1111.1111111111111</v>
          </cell>
          <cell r="M195">
            <v>1E-3</v>
          </cell>
          <cell r="N195">
            <v>1.1111111111111111E-3</v>
          </cell>
        </row>
        <row r="196">
          <cell r="A196" t="str">
            <v>CHILER</v>
          </cell>
          <cell r="B196">
            <v>310</v>
          </cell>
          <cell r="E196" t="e">
            <v>#N/A</v>
          </cell>
          <cell r="F196" t="e">
            <v>#N/A</v>
          </cell>
          <cell r="G196">
            <v>1</v>
          </cell>
          <cell r="I196">
            <v>9.9999999999999995E-7</v>
          </cell>
          <cell r="J196">
            <v>0.9</v>
          </cell>
          <cell r="K196">
            <v>310</v>
          </cell>
          <cell r="L196">
            <v>344.44444444444446</v>
          </cell>
          <cell r="M196">
            <v>3.1E-4</v>
          </cell>
          <cell r="N196">
            <v>3.4444444444444442E-4</v>
          </cell>
        </row>
        <row r="197">
          <cell r="A197" t="str">
            <v>TOTAL</v>
          </cell>
          <cell r="I197">
            <v>9.9999999999999995E-7</v>
          </cell>
          <cell r="J197">
            <v>0.9</v>
          </cell>
          <cell r="K197">
            <v>1310</v>
          </cell>
          <cell r="L197">
            <v>1455.5555555555557</v>
          </cell>
          <cell r="M197">
            <v>1.31E-3</v>
          </cell>
          <cell r="N197">
            <v>1.4555555555555554E-3</v>
          </cell>
        </row>
        <row r="200">
          <cell r="A200" t="str">
            <v>RESUMO GERAL:</v>
          </cell>
          <cell r="B200" t="str">
            <v>kW</v>
          </cell>
          <cell r="C200" t="str">
            <v>kVA</v>
          </cell>
        </row>
        <row r="201">
          <cell r="A201" t="str">
            <v>DEMANDAS</v>
          </cell>
          <cell r="B201">
            <v>1.31E-3</v>
          </cell>
          <cell r="C201">
            <v>1.4555555555555554E-3</v>
          </cell>
        </row>
        <row r="202">
          <cell r="A202" t="str">
            <v>RESERVA     (%)</v>
          </cell>
          <cell r="B202">
            <v>0.2</v>
          </cell>
        </row>
        <row r="203">
          <cell r="A203" t="str">
            <v>FATOR DE SIMULTANEIDADE</v>
          </cell>
          <cell r="B203">
            <v>1</v>
          </cell>
        </row>
        <row r="205">
          <cell r="A205" t="str">
            <v xml:space="preserve">DEMANDA FINAL </v>
          </cell>
          <cell r="B205">
            <v>1.5719999999999998E-3</v>
          </cell>
          <cell r="C205">
            <v>1.7466666666666665E-3</v>
          </cell>
        </row>
        <row r="207">
          <cell r="A207" t="str">
            <v>TENSÃO (V)</v>
          </cell>
          <cell r="B207">
            <v>380</v>
          </cell>
          <cell r="C207" t="str">
            <v>V</v>
          </cell>
        </row>
        <row r="208">
          <cell r="A208" t="str">
            <v>CORRENTE (A)</v>
          </cell>
          <cell r="B208">
            <v>2.6537854478540695E-3</v>
          </cell>
          <cell r="C208" t="str">
            <v>A</v>
          </cell>
        </row>
        <row r="209">
          <cell r="A209" t="str">
            <v>DISJUNTOR GERAL</v>
          </cell>
          <cell r="B209">
            <v>2500</v>
          </cell>
          <cell r="C209" t="str">
            <v>A</v>
          </cell>
        </row>
        <row r="211">
          <cell r="A211" t="str">
            <v>TRANSFORMADOR DE 1500KVA</v>
          </cell>
        </row>
        <row r="215">
          <cell r="A215" t="str">
            <v>DEMANDA TOTAL DO GERADOR EM EMERGÊNCIA – 1º FASE</v>
          </cell>
        </row>
        <row r="217">
          <cell r="A217" t="str">
            <v>FINALIDADE</v>
          </cell>
          <cell r="B217" t="str">
            <v>POT. UNIT. (kW)</v>
          </cell>
          <cell r="C217" t="str">
            <v>POT. UNIT. (CV)</v>
          </cell>
          <cell r="D217" t="str">
            <v>T I P O</v>
          </cell>
          <cell r="E217" t="str">
            <v>POT-M (KW)</v>
          </cell>
          <cell r="F217" t="str">
            <v>FP- M</v>
          </cell>
          <cell r="G217" t="str">
            <v>QTDE.</v>
          </cell>
          <cell r="H217" t="str">
            <v>PÓLOS</v>
          </cell>
          <cell r="I217" t="str">
            <v>F.D.</v>
          </cell>
          <cell r="J217" t="str">
            <v>F.P.</v>
          </cell>
          <cell r="K217" t="str">
            <v>POT. INSTALADA (kW)</v>
          </cell>
          <cell r="L217" t="str">
            <v>POT. INSTALADA (kVA)</v>
          </cell>
          <cell r="M217" t="str">
            <v>POT. DEMANDADA (kW)</v>
          </cell>
          <cell r="N217" t="str">
            <v>POT. DEMANDADA (kVA)</v>
          </cell>
        </row>
        <row r="218">
          <cell r="A218" t="str">
            <v>TRANSFORMADOR 1.1  PBT-1.1</v>
          </cell>
          <cell r="B218">
            <v>324.10509426511931</v>
          </cell>
          <cell r="E218" t="e">
            <v>#N/A</v>
          </cell>
          <cell r="F218" t="e">
            <v>#N/A</v>
          </cell>
          <cell r="G218">
            <v>1</v>
          </cell>
          <cell r="I218">
            <v>0.79896043489677604</v>
          </cell>
          <cell r="J218">
            <v>0.85752015197356957</v>
          </cell>
          <cell r="K218">
            <v>324.10509426511931</v>
          </cell>
          <cell r="L218">
            <v>377.95624221681129</v>
          </cell>
          <cell r="M218">
            <v>258.94714706632033</v>
          </cell>
          <cell r="N218">
            <v>301.97208365349479</v>
          </cell>
        </row>
        <row r="219">
          <cell r="A219" t="str">
            <v>TRANSFORMADOR 1.2  PBT-1.2</v>
          </cell>
          <cell r="B219">
            <v>1391.0193808785871</v>
          </cell>
          <cell r="E219" t="e">
            <v>#N/A</v>
          </cell>
          <cell r="F219" t="e">
            <v>#N/A</v>
          </cell>
          <cell r="G219">
            <v>1</v>
          </cell>
          <cell r="I219">
            <v>5.8131468987100983E-2</v>
          </cell>
          <cell r="J219">
            <v>0.79999999999999993</v>
          </cell>
          <cell r="K219">
            <v>1391.0193808785871</v>
          </cell>
          <cell r="L219">
            <v>1738.7742260982341</v>
          </cell>
          <cell r="M219">
            <v>80.861999999999995</v>
          </cell>
          <cell r="N219">
            <v>101.0775</v>
          </cell>
        </row>
        <row r="220">
          <cell r="A220" t="str">
            <v>TRANSFORMADOR 2.1  PBT-2.1</v>
          </cell>
          <cell r="B220">
            <v>1216.55</v>
          </cell>
          <cell r="E220" t="e">
            <v>#N/A</v>
          </cell>
          <cell r="F220" t="e">
            <v>#N/A</v>
          </cell>
          <cell r="G220">
            <v>1</v>
          </cell>
          <cell r="I220">
            <v>8.9178414368501088E-2</v>
          </cell>
          <cell r="J220">
            <v>0.82886217251514727</v>
          </cell>
          <cell r="K220">
            <v>1216.55</v>
          </cell>
          <cell r="L220">
            <v>1467.7349749336856</v>
          </cell>
          <cell r="M220">
            <v>108.49</v>
          </cell>
          <cell r="N220">
            <v>130.89027777777778</v>
          </cell>
        </row>
        <row r="221">
          <cell r="A221" t="str">
            <v>TRANSFORMADOR 2.2  PBT-2.2</v>
          </cell>
          <cell r="B221">
            <v>385.82272727272732</v>
          </cell>
          <cell r="E221" t="e">
            <v>#N/A</v>
          </cell>
          <cell r="F221" t="e">
            <v>#N/A</v>
          </cell>
          <cell r="G221">
            <v>1</v>
          </cell>
          <cell r="I221">
            <v>0.24894852793911473</v>
          </cell>
          <cell r="J221">
            <v>0.98</v>
          </cell>
          <cell r="K221">
            <v>385.82272727272732</v>
          </cell>
          <cell r="L221">
            <v>393.6966604823748</v>
          </cell>
          <cell r="M221">
            <v>96.05</v>
          </cell>
          <cell r="N221">
            <v>98.010204081632651</v>
          </cell>
        </row>
        <row r="222">
          <cell r="A222" t="str">
            <v>TRANSFORMADOR 2.3  PBT-2.3</v>
          </cell>
          <cell r="B222">
            <v>1310</v>
          </cell>
          <cell r="E222" t="e">
            <v>#N/A</v>
          </cell>
          <cell r="F222" t="e">
            <v>#N/A</v>
          </cell>
          <cell r="G222">
            <v>1</v>
          </cell>
          <cell r="I222">
            <v>9.9999999999999995E-7</v>
          </cell>
          <cell r="J222">
            <v>0.9</v>
          </cell>
          <cell r="K222">
            <v>1310</v>
          </cell>
          <cell r="L222">
            <v>1455.5555555555554</v>
          </cell>
          <cell r="M222">
            <v>1.31E-3</v>
          </cell>
          <cell r="N222">
            <v>1.4555555555555554E-3</v>
          </cell>
        </row>
        <row r="223">
          <cell r="A223" t="str">
            <v>TRANSFORMADOR CM1.1 PBT-SEG</v>
          </cell>
          <cell r="B223">
            <v>551.86220831076525</v>
          </cell>
          <cell r="E223" t="e">
            <v>#N/A</v>
          </cell>
          <cell r="F223" t="e">
            <v>#N/A</v>
          </cell>
          <cell r="G223">
            <v>1</v>
          </cell>
          <cell r="I223">
            <v>0.84231455515010045</v>
          </cell>
          <cell r="J223">
            <v>0.83689583526671951</v>
          </cell>
          <cell r="K223">
            <v>551.86220831076525</v>
          </cell>
          <cell r="L223">
            <v>659.41564655401373</v>
          </cell>
          <cell r="M223">
            <v>464.8415704974343</v>
          </cell>
          <cell r="N223">
            <v>555.43539698615996</v>
          </cell>
        </row>
        <row r="224">
          <cell r="A224" t="str">
            <v>TOTAL</v>
          </cell>
          <cell r="I224">
            <v>0.19484881189623038</v>
          </cell>
          <cell r="J224">
            <v>0.84992685384910982</v>
          </cell>
          <cell r="K224">
            <v>5179.3594107271983</v>
          </cell>
          <cell r="L224">
            <v>6093.1333058406753</v>
          </cell>
          <cell r="M224">
            <v>1009.1920275637546</v>
          </cell>
          <cell r="N224">
            <v>1187.3869180546208</v>
          </cell>
        </row>
        <row r="227">
          <cell r="A227" t="str">
            <v>RESUMO GERAL:</v>
          </cell>
          <cell r="B227" t="str">
            <v>kW</v>
          </cell>
          <cell r="C227" t="str">
            <v>kVA</v>
          </cell>
        </row>
        <row r="228">
          <cell r="A228" t="str">
            <v>DEMANDAS</v>
          </cell>
          <cell r="B228">
            <v>1009.1920275637546</v>
          </cell>
          <cell r="C228">
            <v>1187.3869180546208</v>
          </cell>
        </row>
        <row r="229">
          <cell r="A229" t="str">
            <v>RESERVA     (%)</v>
          </cell>
          <cell r="B229">
            <v>0.2</v>
          </cell>
        </row>
        <row r="230">
          <cell r="A230" t="str">
            <v>FATOR DE SIMULTANEIDADE</v>
          </cell>
          <cell r="B230">
            <v>1</v>
          </cell>
        </row>
        <row r="232">
          <cell r="A232" t="str">
            <v xml:space="preserve">DEMANDA FINAL </v>
          </cell>
          <cell r="B232">
            <v>1211.0304330765055</v>
          </cell>
          <cell r="C232">
            <v>1424.8643016655449</v>
          </cell>
        </row>
        <row r="234">
          <cell r="A234" t="str">
            <v>TENSÃO (V)</v>
          </cell>
          <cell r="B234">
            <v>380</v>
          </cell>
          <cell r="C234" t="str">
            <v>V</v>
          </cell>
        </row>
        <row r="235">
          <cell r="A235" t="str">
            <v>CORRENTE (A)</v>
          </cell>
          <cell r="B235">
            <v>2164.8573371718176</v>
          </cell>
          <cell r="C235" t="str">
            <v>A</v>
          </cell>
        </row>
        <row r="236">
          <cell r="A236" t="str">
            <v>DISJUNTOR GERAL</v>
          </cell>
          <cell r="B236">
            <v>1250</v>
          </cell>
          <cell r="C236" t="str">
            <v>A</v>
          </cell>
        </row>
        <row r="238">
          <cell r="A238" t="str">
            <v>ADOTADO GERADOR DE 1165/1040KVA</v>
          </cell>
        </row>
        <row r="243">
          <cell r="A243" t="str">
            <v>TABELA DE EMERGÊNICA GERAL – 1º FASE</v>
          </cell>
        </row>
        <row r="245">
          <cell r="A245" t="str">
            <v>FINALIDADE</v>
          </cell>
          <cell r="B245" t="str">
            <v>POT. UNIT. (kW)</v>
          </cell>
          <cell r="C245" t="str">
            <v>POT. UNIT. (CV)</v>
          </cell>
          <cell r="D245" t="str">
            <v>T I P O</v>
          </cell>
          <cell r="E245" t="str">
            <v>POT-M (KW)</v>
          </cell>
          <cell r="F245" t="str">
            <v>FP- M</v>
          </cell>
          <cell r="G245" t="str">
            <v>QTDE.</v>
          </cell>
          <cell r="H245" t="str">
            <v>PÓLOS</v>
          </cell>
          <cell r="I245" t="str">
            <v>F.D.</v>
          </cell>
          <cell r="J245" t="str">
            <v>F.P.</v>
          </cell>
          <cell r="K245" t="str">
            <v>POT. INSTALADA (kW)</v>
          </cell>
          <cell r="L245" t="str">
            <v>POT. INSTALADA (kVA)</v>
          </cell>
          <cell r="M245" t="str">
            <v>POT. DEMANDADA (kW)</v>
          </cell>
          <cell r="N245" t="str">
            <v>POT. DEMANDADA (kVA)</v>
          </cell>
        </row>
        <row r="246">
          <cell r="A246" t="str">
            <v>BARRAMENTO BLINDADO BB1.1/1.3 – ILUMINAÇÃO HALL</v>
          </cell>
          <cell r="B246">
            <v>123.78</v>
          </cell>
          <cell r="E246" t="e">
            <v>#N/A</v>
          </cell>
          <cell r="F246" t="e">
            <v>#N/A</v>
          </cell>
          <cell r="G246">
            <v>1</v>
          </cell>
          <cell r="I246">
            <v>0.72387274236801691</v>
          </cell>
          <cell r="J246">
            <v>0.98</v>
          </cell>
          <cell r="K246">
            <v>123.78</v>
          </cell>
          <cell r="L246">
            <v>126.30612244897959</v>
          </cell>
          <cell r="M246">
            <v>89.600968050313128</v>
          </cell>
          <cell r="N246">
            <v>91.4295592350134</v>
          </cell>
        </row>
        <row r="247">
          <cell r="A247" t="str">
            <v>QD-B1-3S</v>
          </cell>
          <cell r="B247">
            <v>140.32509426511928</v>
          </cell>
          <cell r="E247" t="e">
            <v>#N/A</v>
          </cell>
          <cell r="F247" t="e">
            <v>#N/A</v>
          </cell>
          <cell r="G247">
            <v>1</v>
          </cell>
          <cell r="I247">
            <v>1</v>
          </cell>
          <cell r="J247">
            <v>0.77296462798671983</v>
          </cell>
          <cell r="K247">
            <v>140.32509426511928</v>
          </cell>
          <cell r="L247">
            <v>181.54141752982022</v>
          </cell>
          <cell r="M247">
            <v>140.32509426511928</v>
          </cell>
          <cell r="N247">
            <v>181.54141752982022</v>
          </cell>
        </row>
        <row r="248">
          <cell r="A248" t="str">
            <v>NO BREAK</v>
          </cell>
          <cell r="B248">
            <v>30</v>
          </cell>
          <cell r="G248">
            <v>2</v>
          </cell>
          <cell r="I248">
            <v>0.5</v>
          </cell>
          <cell r="J248">
            <v>1</v>
          </cell>
          <cell r="K248">
            <v>60</v>
          </cell>
          <cell r="L248">
            <v>60</v>
          </cell>
          <cell r="M248">
            <v>30</v>
          </cell>
          <cell r="N248">
            <v>30</v>
          </cell>
        </row>
        <row r="249">
          <cell r="A249" t="str">
            <v>ILUMINAÇÃO E COMANDO ELEVADORES SUBSOLO</v>
          </cell>
          <cell r="B249">
            <v>1.3</v>
          </cell>
          <cell r="E249" t="e">
            <v>#N/A</v>
          </cell>
          <cell r="F249" t="e">
            <v>#N/A</v>
          </cell>
          <cell r="G249">
            <v>1</v>
          </cell>
          <cell r="I249">
            <v>0.74</v>
          </cell>
          <cell r="J249">
            <v>0.8</v>
          </cell>
          <cell r="K249">
            <v>1.3</v>
          </cell>
          <cell r="L249">
            <v>1.625</v>
          </cell>
          <cell r="M249">
            <v>0.96199999999999997</v>
          </cell>
          <cell r="N249">
            <v>1.2024999999999999</v>
          </cell>
        </row>
        <row r="250">
          <cell r="A250" t="str">
            <v>ELEVADORES GARAGEM</v>
          </cell>
          <cell r="B250">
            <v>20</v>
          </cell>
          <cell r="E250" t="e">
            <v>#N/A</v>
          </cell>
          <cell r="F250" t="e">
            <v>#N/A</v>
          </cell>
          <cell r="G250">
            <v>2</v>
          </cell>
          <cell r="I250">
            <v>0.74</v>
          </cell>
          <cell r="J250">
            <v>0.8</v>
          </cell>
          <cell r="K250">
            <v>40</v>
          </cell>
          <cell r="L250">
            <v>50</v>
          </cell>
          <cell r="M250">
            <v>29.6</v>
          </cell>
          <cell r="N250">
            <v>37</v>
          </cell>
        </row>
        <row r="251">
          <cell r="A251" t="str">
            <v>ELEVADORES ZONA BAIXA</v>
          </cell>
          <cell r="B251">
            <v>50</v>
          </cell>
          <cell r="E251" t="e">
            <v>#N/A</v>
          </cell>
          <cell r="F251" t="e">
            <v>#N/A</v>
          </cell>
          <cell r="G251">
            <v>8</v>
          </cell>
          <cell r="I251">
            <v>0.125</v>
          </cell>
          <cell r="J251">
            <v>0.8</v>
          </cell>
          <cell r="K251">
            <v>400</v>
          </cell>
          <cell r="L251">
            <v>500</v>
          </cell>
          <cell r="M251">
            <v>50</v>
          </cell>
          <cell r="N251">
            <v>62.5</v>
          </cell>
        </row>
        <row r="252">
          <cell r="A252" t="str">
            <v>ILUMINAÇÃO E COMANDO ELEVADORES ZONA BAIXA</v>
          </cell>
          <cell r="B252">
            <v>3</v>
          </cell>
          <cell r="E252" t="e">
            <v>#N/A</v>
          </cell>
          <cell r="F252" t="e">
            <v>#N/A</v>
          </cell>
          <cell r="G252">
            <v>1</v>
          </cell>
          <cell r="I252">
            <v>0.1</v>
          </cell>
          <cell r="J252">
            <v>0.8</v>
          </cell>
          <cell r="K252">
            <v>3</v>
          </cell>
          <cell r="L252">
            <v>3.75</v>
          </cell>
          <cell r="M252">
            <v>0.3</v>
          </cell>
          <cell r="N252">
            <v>0.375</v>
          </cell>
        </row>
        <row r="253">
          <cell r="A253" t="str">
            <v>ELEVADOR DE SEGUANÇA</v>
          </cell>
          <cell r="B253">
            <v>35</v>
          </cell>
          <cell r="E253" t="e">
            <v>#N/A</v>
          </cell>
          <cell r="F253" t="e">
            <v>#N/A</v>
          </cell>
          <cell r="G253">
            <v>1</v>
          </cell>
          <cell r="I253">
            <v>1</v>
          </cell>
          <cell r="J253">
            <v>0.8</v>
          </cell>
          <cell r="K253">
            <v>35</v>
          </cell>
          <cell r="L253">
            <v>43.75</v>
          </cell>
          <cell r="M253">
            <v>35</v>
          </cell>
          <cell r="N253">
            <v>43.75</v>
          </cell>
        </row>
        <row r="254">
          <cell r="A254" t="str">
            <v>ILUMINAÇÃO E COMANDO ELEVADORE DE SEGURANÇA</v>
          </cell>
          <cell r="B254">
            <v>3</v>
          </cell>
          <cell r="E254" t="e">
            <v>#N/A</v>
          </cell>
          <cell r="F254" t="e">
            <v>#N/A</v>
          </cell>
          <cell r="G254">
            <v>1</v>
          </cell>
          <cell r="I254">
            <v>1</v>
          </cell>
          <cell r="J254">
            <v>0.8</v>
          </cell>
          <cell r="K254">
            <v>3</v>
          </cell>
          <cell r="L254">
            <v>3.75</v>
          </cell>
          <cell r="M254">
            <v>3</v>
          </cell>
          <cell r="N254">
            <v>3.75</v>
          </cell>
        </row>
        <row r="255">
          <cell r="A255" t="str">
            <v>PRESSURIZAÇÃO ESCADA 5SS</v>
          </cell>
          <cell r="B255">
            <v>6.3805104408352662</v>
          </cell>
          <cell r="C255">
            <v>7.5</v>
          </cell>
          <cell r="D255" t="str">
            <v>C</v>
          </cell>
          <cell r="E255">
            <v>6.3805104408352662</v>
          </cell>
          <cell r="F255">
            <v>0.8</v>
          </cell>
          <cell r="G255">
            <v>4</v>
          </cell>
          <cell r="I255">
            <v>0.5</v>
          </cell>
          <cell r="J255">
            <v>0.8</v>
          </cell>
          <cell r="K255">
            <v>25.522041763341065</v>
          </cell>
          <cell r="L255">
            <v>31.902552204176331</v>
          </cell>
          <cell r="M255">
            <v>12.761020881670532</v>
          </cell>
          <cell r="N255">
            <v>15.951276102088165</v>
          </cell>
        </row>
        <row r="256">
          <cell r="A256" t="str">
            <v>PRESSURIZAÇÃO ESCADA 3SS</v>
          </cell>
          <cell r="B256">
            <v>8.6705202312138727</v>
          </cell>
          <cell r="C256">
            <v>10</v>
          </cell>
          <cell r="D256" t="str">
            <v>C</v>
          </cell>
          <cell r="E256">
            <v>8.6705202312138727</v>
          </cell>
          <cell r="F256">
            <v>0.85</v>
          </cell>
          <cell r="G256">
            <v>2</v>
          </cell>
          <cell r="I256">
            <v>0.5</v>
          </cell>
          <cell r="J256">
            <v>0.85</v>
          </cell>
          <cell r="K256">
            <v>17.341040462427745</v>
          </cell>
          <cell r="L256">
            <v>20.401224073444407</v>
          </cell>
          <cell r="M256">
            <v>8.6705202312138727</v>
          </cell>
          <cell r="N256">
            <v>10.200612036722204</v>
          </cell>
        </row>
        <row r="257">
          <cell r="A257" t="str">
            <v>PRESSURIZAÇÃO ESCADA 1SS</v>
          </cell>
          <cell r="B257">
            <v>16.930022573363431</v>
          </cell>
          <cell r="C257">
            <v>20</v>
          </cell>
          <cell r="D257" t="str">
            <v>C</v>
          </cell>
          <cell r="E257">
            <v>16.930022573363431</v>
          </cell>
          <cell r="F257">
            <v>0.84</v>
          </cell>
          <cell r="G257">
            <v>5</v>
          </cell>
          <cell r="I257">
            <v>0.8</v>
          </cell>
          <cell r="J257">
            <v>0.84</v>
          </cell>
          <cell r="K257">
            <v>84.650112866817153</v>
          </cell>
          <cell r="L257">
            <v>100.77394388906805</v>
          </cell>
          <cell r="M257">
            <v>67.720090293453723</v>
          </cell>
          <cell r="N257">
            <v>80.619155111254443</v>
          </cell>
        </row>
        <row r="258">
          <cell r="A258" t="str">
            <v>EXAUSTÃO DE FUMAÇA</v>
          </cell>
          <cell r="B258">
            <v>16.930022573363431</v>
          </cell>
          <cell r="C258">
            <v>20</v>
          </cell>
          <cell r="D258" t="str">
            <v>C</v>
          </cell>
          <cell r="E258">
            <v>16.930022573363431</v>
          </cell>
          <cell r="F258">
            <v>0.84</v>
          </cell>
          <cell r="G258">
            <v>2</v>
          </cell>
          <cell r="I258">
            <v>1</v>
          </cell>
          <cell r="J258">
            <v>0.84</v>
          </cell>
          <cell r="K258">
            <v>33.860045146726861</v>
          </cell>
          <cell r="L258">
            <v>40.309577555627214</v>
          </cell>
          <cell r="M258">
            <v>33.860045146726861</v>
          </cell>
          <cell r="N258">
            <v>40.309577555627214</v>
          </cell>
        </row>
        <row r="259">
          <cell r="A259" t="str">
            <v>ELEVADOR DE SEGUANÇA</v>
          </cell>
          <cell r="B259">
            <v>35</v>
          </cell>
          <cell r="E259" t="e">
            <v>#N/A</v>
          </cell>
          <cell r="F259" t="e">
            <v>#N/A</v>
          </cell>
          <cell r="G259">
            <v>1</v>
          </cell>
          <cell r="I259">
            <v>1</v>
          </cell>
          <cell r="J259">
            <v>0.8</v>
          </cell>
          <cell r="K259">
            <v>35</v>
          </cell>
          <cell r="L259">
            <v>43.75</v>
          </cell>
          <cell r="M259">
            <v>35</v>
          </cell>
          <cell r="N259">
            <v>43.75</v>
          </cell>
        </row>
        <row r="260">
          <cell r="A260" t="str">
            <v>ILUMINAÇÃO E COMANDO ELEVADORE DE SEGURANÇA</v>
          </cell>
          <cell r="B260">
            <v>3</v>
          </cell>
          <cell r="E260" t="e">
            <v>#N/A</v>
          </cell>
          <cell r="F260" t="e">
            <v>#N/A</v>
          </cell>
          <cell r="G260">
            <v>1</v>
          </cell>
          <cell r="I260">
            <v>1</v>
          </cell>
          <cell r="J260">
            <v>0.8</v>
          </cell>
          <cell r="K260">
            <v>3</v>
          </cell>
          <cell r="L260">
            <v>3.75</v>
          </cell>
          <cell r="M260">
            <v>3</v>
          </cell>
          <cell r="N260">
            <v>3.75</v>
          </cell>
        </row>
        <row r="261">
          <cell r="A261" t="str">
            <v>PRESSURIZAÇÃO ESCADA 5SS</v>
          </cell>
          <cell r="B261">
            <v>6.3805104408352662</v>
          </cell>
          <cell r="C261">
            <v>7.5</v>
          </cell>
          <cell r="D261" t="str">
            <v>C</v>
          </cell>
          <cell r="E261">
            <v>6.3805104408352662</v>
          </cell>
          <cell r="F261">
            <v>0.8</v>
          </cell>
          <cell r="G261">
            <v>4</v>
          </cell>
          <cell r="I261">
            <v>0.5</v>
          </cell>
          <cell r="J261">
            <v>0.8</v>
          </cell>
          <cell r="K261">
            <v>25.522041763341065</v>
          </cell>
          <cell r="L261">
            <v>31.902552204176331</v>
          </cell>
          <cell r="M261">
            <v>12.761020881670532</v>
          </cell>
          <cell r="N261">
            <v>15.951276102088165</v>
          </cell>
        </row>
        <row r="262">
          <cell r="A262" t="str">
            <v>PRESSURIZAÇÃO ESCADA 3SS</v>
          </cell>
          <cell r="B262">
            <v>8.6705202312138727</v>
          </cell>
          <cell r="C262">
            <v>10</v>
          </cell>
          <cell r="D262" t="str">
            <v>C</v>
          </cell>
          <cell r="E262">
            <v>8.6705202312138727</v>
          </cell>
          <cell r="F262">
            <v>0.85</v>
          </cell>
          <cell r="G262">
            <v>2</v>
          </cell>
          <cell r="I262">
            <v>0.5</v>
          </cell>
          <cell r="J262">
            <v>0.85</v>
          </cell>
          <cell r="K262">
            <v>17.341040462427745</v>
          </cell>
          <cell r="L262">
            <v>20.401224073444407</v>
          </cell>
          <cell r="M262">
            <v>8.6705202312138727</v>
          </cell>
          <cell r="N262">
            <v>10.200612036722204</v>
          </cell>
        </row>
        <row r="263">
          <cell r="A263" t="str">
            <v>PRESSURIZAÇÃO ESCADA 1SS</v>
          </cell>
          <cell r="B263">
            <v>16.930022573363431</v>
          </cell>
          <cell r="C263">
            <v>20</v>
          </cell>
          <cell r="D263" t="str">
            <v>C</v>
          </cell>
          <cell r="E263">
            <v>16.930022573363431</v>
          </cell>
          <cell r="F263">
            <v>0.84</v>
          </cell>
          <cell r="G263">
            <v>5</v>
          </cell>
          <cell r="I263">
            <v>0.8</v>
          </cell>
          <cell r="J263">
            <v>0.84</v>
          </cell>
          <cell r="K263">
            <v>84.650112866817153</v>
          </cell>
          <cell r="L263">
            <v>100.77394388906805</v>
          </cell>
          <cell r="M263">
            <v>67.720090293453723</v>
          </cell>
          <cell r="N263">
            <v>80.619155111254443</v>
          </cell>
        </row>
        <row r="264">
          <cell r="A264" t="str">
            <v>EXAUSTÃO DE FUMAÇA</v>
          </cell>
          <cell r="B264">
            <v>16.930022573363431</v>
          </cell>
          <cell r="C264">
            <v>20</v>
          </cell>
          <cell r="D264" t="str">
            <v>C</v>
          </cell>
          <cell r="E264">
            <v>16.930022573363431</v>
          </cell>
          <cell r="F264">
            <v>0.84</v>
          </cell>
          <cell r="G264">
            <v>2</v>
          </cell>
          <cell r="I264">
            <v>1</v>
          </cell>
          <cell r="J264">
            <v>0.84</v>
          </cell>
          <cell r="K264">
            <v>33.860045146726861</v>
          </cell>
          <cell r="L264">
            <v>40.309577555627214</v>
          </cell>
          <cell r="M264">
            <v>33.860045146726861</v>
          </cell>
          <cell r="N264">
            <v>40.309577555627214</v>
          </cell>
        </row>
        <row r="265">
          <cell r="A265" t="str">
            <v>BOMBA DE RECALQUE DE ÓLEO DIESEL</v>
          </cell>
          <cell r="B265">
            <v>2.75</v>
          </cell>
          <cell r="C265">
            <v>3</v>
          </cell>
          <cell r="D265" t="str">
            <v>H</v>
          </cell>
          <cell r="E265">
            <v>2.75</v>
          </cell>
          <cell r="F265">
            <v>0.77</v>
          </cell>
          <cell r="G265">
            <v>2</v>
          </cell>
          <cell r="I265">
            <v>0.5</v>
          </cell>
          <cell r="J265">
            <v>0.77</v>
          </cell>
          <cell r="K265">
            <v>5.5</v>
          </cell>
          <cell r="L265">
            <v>7.1428571428571441</v>
          </cell>
          <cell r="M265">
            <v>2.75</v>
          </cell>
          <cell r="N265">
            <v>3.5714285714285721</v>
          </cell>
        </row>
        <row r="266">
          <cell r="A266" t="str">
            <v>ILUMINAÇÃO E TOMADAS GERADOR</v>
          </cell>
          <cell r="B266">
            <v>11.67</v>
          </cell>
          <cell r="G266">
            <v>1</v>
          </cell>
          <cell r="I266">
            <v>0.9</v>
          </cell>
          <cell r="J266">
            <v>0.94</v>
          </cell>
          <cell r="K266">
            <v>11.67</v>
          </cell>
          <cell r="L266">
            <v>12.414893617021276</v>
          </cell>
          <cell r="M266">
            <v>10.503</v>
          </cell>
          <cell r="N266">
            <v>11.173404255319149</v>
          </cell>
        </row>
        <row r="267">
          <cell r="A267" t="str">
            <v>BOMBA DE INCÊNDIO PRINCIPAL</v>
          </cell>
          <cell r="B267">
            <v>119.56521739130434</v>
          </cell>
          <cell r="C267">
            <v>150</v>
          </cell>
          <cell r="D267" t="str">
            <v>H</v>
          </cell>
          <cell r="E267">
            <v>119.56521739130434</v>
          </cell>
          <cell r="F267">
            <v>0.86</v>
          </cell>
          <cell r="G267">
            <v>1</v>
          </cell>
          <cell r="I267">
            <v>1</v>
          </cell>
          <cell r="J267">
            <v>0.86</v>
          </cell>
          <cell r="K267">
            <v>119.56521739130434</v>
          </cell>
          <cell r="L267">
            <v>139.02932254802832</v>
          </cell>
          <cell r="M267">
            <v>119.56521739130434</v>
          </cell>
          <cell r="N267">
            <v>139.02932254802832</v>
          </cell>
        </row>
        <row r="268">
          <cell r="A268" t="str">
            <v>RETIFICADOR SUBESTAÇÃO</v>
          </cell>
          <cell r="B268">
            <v>10</v>
          </cell>
          <cell r="G268">
            <v>1</v>
          </cell>
          <cell r="I268">
            <v>1</v>
          </cell>
          <cell r="J268">
            <v>0.8</v>
          </cell>
          <cell r="K268">
            <v>10</v>
          </cell>
          <cell r="L268">
            <v>12.5</v>
          </cell>
          <cell r="M268">
            <v>10</v>
          </cell>
          <cell r="N268">
            <v>12.5</v>
          </cell>
        </row>
        <row r="269">
          <cell r="A269" t="str">
            <v>ILUMINAÇÃO HELIPONTO</v>
          </cell>
          <cell r="B269">
            <v>10</v>
          </cell>
          <cell r="E269" t="e">
            <v>#N/A</v>
          </cell>
          <cell r="F269" t="e">
            <v>#N/A</v>
          </cell>
          <cell r="G269">
            <v>1</v>
          </cell>
          <cell r="I269">
            <v>1</v>
          </cell>
          <cell r="J269">
            <v>0.9</v>
          </cell>
          <cell r="K269">
            <v>10</v>
          </cell>
          <cell r="L269">
            <v>11.111111111111111</v>
          </cell>
          <cell r="M269">
            <v>10</v>
          </cell>
          <cell r="N269">
            <v>11.111111111111111</v>
          </cell>
        </row>
        <row r="270">
          <cell r="A270" t="str">
            <v>ELEVADORE HELIPONTO</v>
          </cell>
          <cell r="B270">
            <v>12</v>
          </cell>
          <cell r="E270" t="e">
            <v>#N/A</v>
          </cell>
          <cell r="F270" t="e">
            <v>#N/A</v>
          </cell>
          <cell r="G270">
            <v>2</v>
          </cell>
          <cell r="I270">
            <v>1</v>
          </cell>
          <cell r="J270">
            <v>0.9</v>
          </cell>
          <cell r="K270">
            <v>24</v>
          </cell>
          <cell r="L270">
            <v>26.666666666666664</v>
          </cell>
          <cell r="M270">
            <v>24</v>
          </cell>
          <cell r="N270">
            <v>26.666666666666664</v>
          </cell>
        </row>
        <row r="271">
          <cell r="A271" t="str">
            <v>ILUMINAÇÃO E COMANDO ELEVADORE HELIPONTO</v>
          </cell>
          <cell r="B271">
            <v>1.3</v>
          </cell>
          <cell r="E271" t="e">
            <v>#N/A</v>
          </cell>
          <cell r="F271" t="e">
            <v>#N/A</v>
          </cell>
          <cell r="G271">
            <v>1</v>
          </cell>
          <cell r="I271">
            <v>1</v>
          </cell>
          <cell r="J271">
            <v>0.8</v>
          </cell>
          <cell r="K271">
            <v>1.3</v>
          </cell>
          <cell r="L271">
            <v>1.625</v>
          </cell>
          <cell r="M271">
            <v>1.3</v>
          </cell>
          <cell r="N271">
            <v>1.625</v>
          </cell>
        </row>
        <row r="272">
          <cell r="A272" t="str">
            <v>ELEVADORES ZONA ALTA</v>
          </cell>
          <cell r="B272">
            <v>70</v>
          </cell>
          <cell r="E272" t="e">
            <v>#N/A</v>
          </cell>
          <cell r="F272" t="e">
            <v>#N/A</v>
          </cell>
          <cell r="G272">
            <v>8</v>
          </cell>
          <cell r="I272">
            <v>0.13</v>
          </cell>
          <cell r="J272">
            <v>0.8</v>
          </cell>
          <cell r="K272">
            <v>560</v>
          </cell>
          <cell r="L272">
            <v>700</v>
          </cell>
          <cell r="M272">
            <v>72.8</v>
          </cell>
          <cell r="N272">
            <v>91</v>
          </cell>
        </row>
        <row r="273">
          <cell r="A273" t="str">
            <v>ILUMINAÇÃO E COMANDO ELEVADORES ZONA ALTA</v>
          </cell>
          <cell r="B273">
            <v>3</v>
          </cell>
          <cell r="E273" t="e">
            <v>#N/A</v>
          </cell>
          <cell r="F273" t="e">
            <v>#N/A</v>
          </cell>
          <cell r="G273">
            <v>1</v>
          </cell>
          <cell r="I273">
            <v>0.13</v>
          </cell>
          <cell r="J273">
            <v>0.8</v>
          </cell>
          <cell r="K273">
            <v>3</v>
          </cell>
          <cell r="L273">
            <v>3.75</v>
          </cell>
          <cell r="M273">
            <v>0.39</v>
          </cell>
          <cell r="N273">
            <v>0.48749999999999999</v>
          </cell>
        </row>
        <row r="274">
          <cell r="A274" t="str">
            <v>BARRAMENTO BLINDADO BB2.1/2.3 ESCRITÓRIOS</v>
          </cell>
          <cell r="B274">
            <v>96.05</v>
          </cell>
          <cell r="E274" t="e">
            <v>#N/A</v>
          </cell>
          <cell r="F274" t="e">
            <v>#N/A</v>
          </cell>
          <cell r="G274">
            <v>1</v>
          </cell>
          <cell r="I274">
            <v>1</v>
          </cell>
          <cell r="J274">
            <v>0.98</v>
          </cell>
          <cell r="K274">
            <v>96.05</v>
          </cell>
          <cell r="L274">
            <v>98.010204081632637</v>
          </cell>
          <cell r="M274">
            <v>96.05</v>
          </cell>
          <cell r="N274">
            <v>98.010204081632637</v>
          </cell>
        </row>
        <row r="275">
          <cell r="A275" t="str">
            <v>TOTAL</v>
          </cell>
          <cell r="I275">
            <v>0.50301320878545841</v>
          </cell>
          <cell r="J275">
            <v>0.850036125133944</v>
          </cell>
          <cell r="K275">
            <v>2008.2367921350492</v>
          </cell>
          <cell r="L275">
            <v>2417.2471905907491</v>
          </cell>
          <cell r="M275">
            <v>1010.1696328128667</v>
          </cell>
          <cell r="N275">
            <v>1188.3843556104039</v>
          </cell>
        </row>
        <row r="278">
          <cell r="A278" t="str">
            <v>RESUMO GERAL:</v>
          </cell>
          <cell r="B278" t="str">
            <v>kW</v>
          </cell>
          <cell r="C278" t="str">
            <v>kVA</v>
          </cell>
        </row>
        <row r="279">
          <cell r="A279" t="str">
            <v>DEMANDAS</v>
          </cell>
          <cell r="B279">
            <v>1010.1696328128667</v>
          </cell>
          <cell r="C279">
            <v>1188.3843556104039</v>
          </cell>
        </row>
        <row r="280">
          <cell r="A280" t="str">
            <v>RESERVA     (%)</v>
          </cell>
          <cell r="B280">
            <v>0</v>
          </cell>
        </row>
        <row r="281">
          <cell r="A281" t="str">
            <v>FATOR DE SIMULTANEIDADE</v>
          </cell>
          <cell r="B281">
            <v>0.8</v>
          </cell>
        </row>
        <row r="283">
          <cell r="A283" t="str">
            <v xml:space="preserve">DEMANDA FINAL </v>
          </cell>
          <cell r="B283">
            <v>808.13570625029342</v>
          </cell>
          <cell r="C283">
            <v>950.70748448832319</v>
          </cell>
        </row>
        <row r="285">
          <cell r="A285" t="str">
            <v>TENSÃO (V)</v>
          </cell>
          <cell r="B285">
            <v>380</v>
          </cell>
          <cell r="C285" t="str">
            <v>V</v>
          </cell>
        </row>
        <row r="286">
          <cell r="A286" t="str">
            <v>CORRENTE (A)</v>
          </cell>
          <cell r="B286">
            <v>1444.4505844471721</v>
          </cell>
          <cell r="C286" t="str">
            <v>A</v>
          </cell>
        </row>
        <row r="287">
          <cell r="A287" t="str">
            <v>DISJUNTOR GERAL</v>
          </cell>
          <cell r="B287">
            <v>1250</v>
          </cell>
          <cell r="C287" t="str">
            <v>A</v>
          </cell>
        </row>
        <row r="289">
          <cell r="A289" t="str">
            <v>ADOTADO GERADOR DE 1040KVA/830KW</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e Medição - MO37587"/>
      <sheetName val="RESUMO - MO37588"/>
      <sheetName val="Memo Calc 2ª Med"/>
      <sheetName val="memorial"/>
    </sheetNames>
    <sheetDataSet>
      <sheetData sheetId="0"/>
      <sheetData sheetId="1"/>
      <sheetData sheetId="2"/>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ELET&amp;AC"/>
      <sheetName val="Cabos"/>
      <sheetName val="ATERR"/>
      <sheetName val="ILUM"/>
      <sheetName val="Memoria"/>
      <sheetName val="Paineis"/>
      <sheetName val="Lista Cabos Compras"/>
      <sheetName val="Lista Cabos Compras (Apoio)"/>
      <sheetName val="Lista Materiais"/>
      <sheetName val="DADOS"/>
      <sheetName val="Anexos"/>
      <sheetName val="Capa  LISTA CAB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ESPELHO  "/>
    </sheetNames>
    <sheetDataSet>
      <sheetData sheetId="0"/>
      <sheetData sheetId="1"/>
      <sheetData sheetId="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
      <sheetName val="CAPA -1"/>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
      <sheetName val="MATERIAL"/>
      <sheetName val="COMPOSIÇÃO"/>
    </sheetNames>
    <sheetDataSet>
      <sheetData sheetId="0"/>
      <sheetData sheetId="1" refreshError="1"/>
      <sheetData sheetId="2" refreshError="1"/>
      <sheetData sheetId="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NORÁRIOS"/>
      <sheetName val="Plan1"/>
      <sheetName val="BDI"/>
      <sheetName val="ORÇAMENTO"/>
      <sheetName val="CRONOGRAMA"/>
    </sheetNames>
    <sheetDataSet>
      <sheetData sheetId="0" refreshError="1"/>
      <sheetData sheetId="1" refreshError="1">
        <row r="3">
          <cell r="E3" t="str">
            <v>Selecionar</v>
          </cell>
        </row>
        <row r="4">
          <cell r="E4" t="str">
            <v>Item 01</v>
          </cell>
        </row>
        <row r="5">
          <cell r="E5" t="str">
            <v>Item 02</v>
          </cell>
        </row>
      </sheetData>
      <sheetData sheetId="2" refreshError="1"/>
      <sheetData sheetId="3" refreshError="1"/>
      <sheetData sheetId="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
      <sheetName val="resumo"/>
      <sheetName val="ORCAMENTO"/>
      <sheetName val="ADMI_25.01"/>
      <sheetName val="ITEM 25 - ADIMINS. LOCAL"/>
      <sheetName val="20.01-04-EL_SP_SON_SEG"/>
      <sheetName val="20.05 - HS"/>
      <sheetName val="20.06-INC"/>
      <sheetName val="20.07- GLP"/>
      <sheetName val="ITEM 22.01 SINALIZACAO"/>
    </sheetNames>
    <sheetDataSet>
      <sheetData sheetId="0" refreshError="1"/>
      <sheetData sheetId="1" refreshError="1"/>
      <sheetData sheetId="2" refreshError="1"/>
      <sheetData sheetId="3" refreshError="1">
        <row r="48">
          <cell r="G48">
            <v>306106.84999999998</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MATERIAIS"/>
      <sheetName val="TABELA"/>
      <sheetName val="SERVIÇOS"/>
      <sheetName val="ESPELHO  "/>
      <sheetName val="Módulo1"/>
    </sheetNames>
    <sheetDataSet>
      <sheetData sheetId="0"/>
      <sheetData sheetId="1"/>
      <sheetData sheetId="2"/>
      <sheetData sheetId="3"/>
      <sheetData sheetId="4"/>
      <sheetData sheetId="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Água"/>
      <sheetName val="QCI - 10-01-06"/>
      <sheetName val="Serviços Esgoto"/>
      <sheetName val="Remanejamento de Famílas"/>
      <sheetName val="Sistema Viário e Drenagem"/>
      <sheetName val="UHB"/>
      <sheetName val="Reflorestamento"/>
      <sheetName val="CEI"/>
    </sheetNames>
    <sheetDataSet>
      <sheetData sheetId="0"/>
      <sheetData sheetId="1"/>
      <sheetData sheetId="2"/>
      <sheetData sheetId="3"/>
      <sheetData sheetId="4"/>
      <sheetData sheetId="5"/>
      <sheetData sheetId="6"/>
      <sheetData sheetId="7"/>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s>
    <sheetDataSet>
      <sheetData sheetId="0"/>
      <sheetData sheetId="1" refreshError="1"/>
      <sheetData sheetId="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s>
    <sheetDataSet>
      <sheetData sheetId="0"/>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2.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hyperlink" Target="http://www.centralcondominios.com/" TargetMode="External"/><Relationship Id="rId1" Type="http://schemas.openxmlformats.org/officeDocument/2006/relationships/hyperlink" Target="http://www.solixeiras.com/" TargetMode="External"/><Relationship Id="rId4"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8" Type="http://schemas.openxmlformats.org/officeDocument/2006/relationships/hyperlink" Target="http://www.controleeautomacao.net/" TargetMode="External"/><Relationship Id="rId13" Type="http://schemas.openxmlformats.org/officeDocument/2006/relationships/hyperlink" Target="http://mutter.com.br/" TargetMode="External"/><Relationship Id="rId3" Type="http://schemas.openxmlformats.org/officeDocument/2006/relationships/hyperlink" Target="http://www.decorecenter.com.br/" TargetMode="External"/><Relationship Id="rId7" Type="http://schemas.openxmlformats.org/officeDocument/2006/relationships/hyperlink" Target="http://www.tendtudo.com.br/" TargetMode="External"/><Relationship Id="rId12" Type="http://schemas.openxmlformats.org/officeDocument/2006/relationships/hyperlink" Target="http://www.eletropiresshop.com.br/" TargetMode="External"/><Relationship Id="rId2" Type="http://schemas.openxmlformats.org/officeDocument/2006/relationships/hyperlink" Target="http://www.royalmaquinas.com.br/" TargetMode="External"/><Relationship Id="rId16" Type="http://schemas.openxmlformats.org/officeDocument/2006/relationships/vmlDrawing" Target="../drawings/vmlDrawing4.vml"/><Relationship Id="rId1" Type="http://schemas.openxmlformats.org/officeDocument/2006/relationships/hyperlink" Target="http://bemfixa.produto.rakuten.com.br/" TargetMode="External"/><Relationship Id="rId6" Type="http://schemas.openxmlformats.org/officeDocument/2006/relationships/hyperlink" Target="http://www.lojastamoyo.com.br/" TargetMode="External"/><Relationship Id="rId11" Type="http://schemas.openxmlformats.org/officeDocument/2006/relationships/hyperlink" Target="http://www.lojaeletrica.com.br/" TargetMode="External"/><Relationship Id="rId5" Type="http://schemas.openxmlformats.org/officeDocument/2006/relationships/hyperlink" Target="http://www.limaparafusos.com.br/" TargetMode="External"/><Relationship Id="rId15" Type="http://schemas.openxmlformats.org/officeDocument/2006/relationships/drawing" Target="../drawings/drawing23.xml"/><Relationship Id="rId10" Type="http://schemas.openxmlformats.org/officeDocument/2006/relationships/hyperlink" Target="http://www.eletropiresshop.com.br/" TargetMode="External"/><Relationship Id="rId4" Type="http://schemas.openxmlformats.org/officeDocument/2006/relationships/hyperlink" Target="http://www.limaparafusos.com.br/" TargetMode="External"/><Relationship Id="rId9" Type="http://schemas.openxmlformats.org/officeDocument/2006/relationships/hyperlink" Target="http://www.lojaeletrica.com.br/" TargetMode="External"/><Relationship Id="rId14"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09"/>
  <sheetViews>
    <sheetView tabSelected="1" view="pageBreakPreview" zoomScaleNormal="100" zoomScaleSheetLayoutView="100" workbookViewId="0">
      <selection activeCell="H87" sqref="H87"/>
    </sheetView>
  </sheetViews>
  <sheetFormatPr defaultRowHeight="15"/>
  <cols>
    <col min="1" max="1" width="9.140625" style="162"/>
    <col min="2" max="2" width="11" style="162" customWidth="1"/>
    <col min="3" max="3" width="9.140625" style="156"/>
    <col min="4" max="4" width="58.42578125" style="578" customWidth="1"/>
    <col min="5" max="6" width="9.140625" style="162"/>
    <col min="7" max="7" width="13.140625" style="167" customWidth="1"/>
    <col min="8" max="8" width="17.140625" style="167" customWidth="1"/>
    <col min="9" max="9" width="14.5703125" style="167" customWidth="1"/>
    <col min="10" max="10" width="14.42578125" style="167" bestFit="1" customWidth="1"/>
    <col min="11" max="11" width="9.140625" style="162"/>
    <col min="12" max="12" width="13.28515625" bestFit="1" customWidth="1"/>
  </cols>
  <sheetData>
    <row r="1" spans="1:11" ht="64.5" customHeight="1" thickBot="1">
      <c r="A1" s="1243" t="s">
        <v>43</v>
      </c>
      <c r="B1" s="1244"/>
      <c r="C1" s="1244"/>
      <c r="D1" s="1244"/>
      <c r="E1" s="1244"/>
      <c r="F1" s="1244"/>
      <c r="G1" s="1244"/>
      <c r="H1" s="1244"/>
      <c r="I1" s="1244"/>
      <c r="J1" s="1244"/>
      <c r="K1" s="1245"/>
    </row>
    <row r="2" spans="1:11">
      <c r="A2" s="1246" t="s">
        <v>52</v>
      </c>
      <c r="B2" s="1247"/>
      <c r="C2" s="1247"/>
      <c r="D2" s="1247"/>
      <c r="E2" s="932"/>
      <c r="F2" s="933"/>
      <c r="G2" s="1255" t="s">
        <v>102</v>
      </c>
      <c r="H2" s="1255"/>
      <c r="I2" s="1255"/>
      <c r="J2" s="1255"/>
      <c r="K2" s="1256"/>
    </row>
    <row r="3" spans="1:11" ht="39.75" customHeight="1">
      <c r="A3" s="1248" t="s">
        <v>53</v>
      </c>
      <c r="B3" s="1249"/>
      <c r="C3" s="1249"/>
      <c r="D3" s="1249"/>
      <c r="E3" s="1249"/>
      <c r="F3" s="2"/>
      <c r="G3" s="1253" t="s">
        <v>296</v>
      </c>
      <c r="H3" s="1253"/>
      <c r="I3" s="1253"/>
      <c r="J3" s="1253"/>
      <c r="K3" s="1254"/>
    </row>
    <row r="4" spans="1:11" ht="15.75" thickBot="1">
      <c r="A4" s="736"/>
      <c r="B4" s="737"/>
      <c r="C4" s="737"/>
      <c r="D4" s="737"/>
      <c r="E4" s="737"/>
      <c r="F4" s="196"/>
      <c r="G4" s="1257" t="s">
        <v>1081</v>
      </c>
      <c r="H4" s="1257"/>
      <c r="I4" s="1257"/>
      <c r="J4" s="1257"/>
      <c r="K4" s="1258"/>
    </row>
    <row r="5" spans="1:11" ht="20.25" customHeight="1" thickBot="1">
      <c r="A5" s="1250" t="s">
        <v>44</v>
      </c>
      <c r="B5" s="1251"/>
      <c r="C5" s="1251"/>
      <c r="D5" s="1251"/>
      <c r="E5" s="1251"/>
      <c r="F5" s="1251"/>
      <c r="G5" s="1251"/>
      <c r="H5" s="1251"/>
      <c r="I5" s="1251"/>
      <c r="J5" s="1251"/>
      <c r="K5" s="1252"/>
    </row>
    <row r="6" spans="1:11" ht="38.25">
      <c r="A6" s="914" t="s">
        <v>49</v>
      </c>
      <c r="B6" s="160" t="s">
        <v>50</v>
      </c>
      <c r="C6" s="153" t="s">
        <v>51</v>
      </c>
      <c r="D6" s="1101" t="s">
        <v>45</v>
      </c>
      <c r="E6" s="160" t="s">
        <v>46</v>
      </c>
      <c r="F6" s="197" t="s">
        <v>47</v>
      </c>
      <c r="G6" s="198" t="s">
        <v>96</v>
      </c>
      <c r="H6" s="198" t="s">
        <v>95</v>
      </c>
      <c r="I6" s="171" t="s">
        <v>97</v>
      </c>
      <c r="J6" s="171" t="s">
        <v>98</v>
      </c>
      <c r="K6" s="915" t="s">
        <v>48</v>
      </c>
    </row>
    <row r="7" spans="1:11">
      <c r="A7" s="916"/>
      <c r="B7" s="157"/>
      <c r="C7" s="5" t="s">
        <v>54</v>
      </c>
      <c r="D7" s="143" t="s">
        <v>297</v>
      </c>
      <c r="E7" s="144"/>
      <c r="F7" s="145"/>
      <c r="G7" s="163"/>
      <c r="H7" s="199"/>
      <c r="I7" s="163"/>
      <c r="J7" s="563"/>
      <c r="K7" s="917"/>
    </row>
    <row r="8" spans="1:11" ht="26.25" thickBot="1">
      <c r="A8" s="916"/>
      <c r="B8" s="168" t="s">
        <v>892</v>
      </c>
      <c r="C8" s="168" t="s">
        <v>999</v>
      </c>
      <c r="D8" s="146" t="s">
        <v>298</v>
      </c>
      <c r="E8" s="147" t="s">
        <v>104</v>
      </c>
      <c r="F8" s="148">
        <f>'MEMORIA DE CÁLCULO'!J8</f>
        <v>1</v>
      </c>
      <c r="G8" s="164">
        <f>'COMP-01'!I33</f>
        <v>12519.8676</v>
      </c>
      <c r="H8" s="201" t="s">
        <v>399</v>
      </c>
      <c r="I8" s="166">
        <f>G8</f>
        <v>12519.8676</v>
      </c>
      <c r="J8" s="564">
        <f>F8*I8</f>
        <v>12519.8676</v>
      </c>
      <c r="K8" s="918">
        <f>J8/$J$99</f>
        <v>4.8829939939105949E-2</v>
      </c>
    </row>
    <row r="9" spans="1:11" ht="15.75" thickBot="1">
      <c r="A9" s="149"/>
      <c r="B9" s="159"/>
      <c r="C9" s="159"/>
      <c r="D9" s="150" t="s">
        <v>8</v>
      </c>
      <c r="E9" s="151"/>
      <c r="F9" s="152"/>
      <c r="G9" s="165"/>
      <c r="H9" s="200"/>
      <c r="I9" s="165"/>
      <c r="J9" s="165">
        <f>SUM(J7:J8)</f>
        <v>12519.8676</v>
      </c>
      <c r="K9" s="712">
        <f t="shared" ref="K9:K72" si="0">J9/$J$99</f>
        <v>4.8829939939105949E-2</v>
      </c>
    </row>
    <row r="10" spans="1:11">
      <c r="A10" s="916"/>
      <c r="B10" s="157"/>
      <c r="C10" s="5" t="s">
        <v>107</v>
      </c>
      <c r="D10" s="6" t="s">
        <v>21</v>
      </c>
      <c r="E10" s="157"/>
      <c r="F10" s="157"/>
      <c r="G10" s="166"/>
      <c r="H10" s="166"/>
      <c r="I10" s="166"/>
      <c r="J10" s="166"/>
      <c r="K10" s="918"/>
    </row>
    <row r="11" spans="1:11">
      <c r="A11" s="916"/>
      <c r="B11" s="157"/>
      <c r="C11" s="5" t="s">
        <v>106</v>
      </c>
      <c r="D11" s="6" t="s">
        <v>9</v>
      </c>
      <c r="E11" s="157"/>
      <c r="F11" s="157"/>
      <c r="G11" s="166"/>
      <c r="H11" s="166"/>
      <c r="I11" s="166"/>
      <c r="J11" s="166"/>
      <c r="K11" s="918"/>
    </row>
    <row r="12" spans="1:11">
      <c r="A12" s="919" t="s">
        <v>58</v>
      </c>
      <c r="B12" s="158">
        <v>98459</v>
      </c>
      <c r="C12" s="158" t="s">
        <v>111</v>
      </c>
      <c r="D12" s="146" t="s">
        <v>108</v>
      </c>
      <c r="E12" s="158" t="s">
        <v>57</v>
      </c>
      <c r="F12" s="565">
        <f>'MEMORIA DE CÁLCULO'!J15</f>
        <v>246.62</v>
      </c>
      <c r="G12" s="164">
        <v>81.209999999999994</v>
      </c>
      <c r="H12" s="164">
        <f>ROUND(G12*0.2654,2)</f>
        <v>21.55</v>
      </c>
      <c r="I12" s="164">
        <f>G12+H12</f>
        <v>102.75999999999999</v>
      </c>
      <c r="J12" s="166">
        <f>F12*I12</f>
        <v>25342.671199999997</v>
      </c>
      <c r="K12" s="918">
        <f t="shared" si="0"/>
        <v>9.8841389711861655E-2</v>
      </c>
    </row>
    <row r="13" spans="1:11">
      <c r="A13" s="919" t="s">
        <v>58</v>
      </c>
      <c r="B13" s="158" t="s">
        <v>109</v>
      </c>
      <c r="C13" s="158" t="s">
        <v>301</v>
      </c>
      <c r="D13" s="146" t="s">
        <v>110</v>
      </c>
      <c r="E13" s="158" t="s">
        <v>57</v>
      </c>
      <c r="F13" s="565">
        <f>'MEMORIA DE CÁLCULO'!J21</f>
        <v>8</v>
      </c>
      <c r="G13" s="164">
        <v>272.87</v>
      </c>
      <c r="H13" s="164">
        <f>ROUND(G13*0.2654,2)</f>
        <v>72.42</v>
      </c>
      <c r="I13" s="164">
        <f>G13+H13</f>
        <v>345.29</v>
      </c>
      <c r="J13" s="166">
        <f>F13*I13</f>
        <v>2762.32</v>
      </c>
      <c r="K13" s="918">
        <f t="shared" si="0"/>
        <v>1.0773589945359419E-2</v>
      </c>
    </row>
    <row r="14" spans="1:11" ht="51">
      <c r="A14" s="919" t="s">
        <v>58</v>
      </c>
      <c r="B14" s="158" t="s">
        <v>112</v>
      </c>
      <c r="C14" s="158" t="s">
        <v>302</v>
      </c>
      <c r="D14" s="146" t="s">
        <v>805</v>
      </c>
      <c r="E14" s="158" t="s">
        <v>113</v>
      </c>
      <c r="F14" s="565">
        <f>'MEMORIA DE CÁLCULO'!J25</f>
        <v>6</v>
      </c>
      <c r="G14" s="164">
        <v>394.53</v>
      </c>
      <c r="H14" s="164">
        <f>ROUND(G14*0.2654,2)</f>
        <v>104.71</v>
      </c>
      <c r="I14" s="164">
        <f>G14+H14</f>
        <v>499.23999999999995</v>
      </c>
      <c r="J14" s="166">
        <f>F14*I14</f>
        <v>2995.4399999999996</v>
      </c>
      <c r="K14" s="918">
        <f t="shared" si="0"/>
        <v>1.1682803681661578E-2</v>
      </c>
    </row>
    <row r="15" spans="1:11" ht="25.5">
      <c r="A15" s="916" t="s">
        <v>58</v>
      </c>
      <c r="B15" s="157">
        <v>97637</v>
      </c>
      <c r="C15" s="158" t="s">
        <v>303</v>
      </c>
      <c r="D15" s="574" t="s">
        <v>146</v>
      </c>
      <c r="E15" s="157" t="s">
        <v>57</v>
      </c>
      <c r="F15" s="566">
        <f>'MEMORIA DE CÁLCULO'!J29</f>
        <v>246.62</v>
      </c>
      <c r="G15" s="166">
        <v>1.93</v>
      </c>
      <c r="H15" s="164">
        <f>ROUND(G15*0.2654,2)</f>
        <v>0.51</v>
      </c>
      <c r="I15" s="164">
        <f>G15+H15</f>
        <v>2.44</v>
      </c>
      <c r="J15" s="166">
        <f>F15*I15</f>
        <v>601.75279999999998</v>
      </c>
      <c r="K15" s="918">
        <f t="shared" si="0"/>
        <v>2.3469539791450217E-3</v>
      </c>
    </row>
    <row r="16" spans="1:11">
      <c r="A16" s="916"/>
      <c r="B16" s="157"/>
      <c r="C16" s="161" t="s">
        <v>114</v>
      </c>
      <c r="D16" s="6" t="s">
        <v>7</v>
      </c>
      <c r="E16" s="157"/>
      <c r="F16" s="157"/>
      <c r="G16" s="166"/>
      <c r="H16" s="166"/>
      <c r="I16" s="166"/>
      <c r="J16" s="166"/>
      <c r="K16" s="918"/>
    </row>
    <row r="17" spans="1:11" ht="38.25">
      <c r="A17" s="919" t="s">
        <v>58</v>
      </c>
      <c r="B17" s="158" t="s">
        <v>299</v>
      </c>
      <c r="C17" s="158" t="s">
        <v>115</v>
      </c>
      <c r="D17" s="146" t="s">
        <v>300</v>
      </c>
      <c r="E17" s="158" t="s">
        <v>57</v>
      </c>
      <c r="F17" s="565">
        <f>'MEMORIA DE CÁLCULO'!J34</f>
        <v>518.76</v>
      </c>
      <c r="G17" s="164">
        <v>12.12</v>
      </c>
      <c r="H17" s="164">
        <f>ROUND(G17*0.2654,2)</f>
        <v>3.22</v>
      </c>
      <c r="I17" s="164">
        <f>G17+H17</f>
        <v>15.34</v>
      </c>
      <c r="J17" s="166">
        <f>F17*I17</f>
        <v>7957.7784000000001</v>
      </c>
      <c r="K17" s="918">
        <f t="shared" si="0"/>
        <v>3.1036897013249139E-2</v>
      </c>
    </row>
    <row r="18" spans="1:11" ht="25.5">
      <c r="A18" s="919" t="s">
        <v>56</v>
      </c>
      <c r="B18" s="158">
        <v>20344</v>
      </c>
      <c r="C18" s="158" t="s">
        <v>304</v>
      </c>
      <c r="D18" s="146" t="s">
        <v>379</v>
      </c>
      <c r="E18" s="158" t="s">
        <v>104</v>
      </c>
      <c r="F18" s="565">
        <f>'MEMORIA DE CÁLCULO'!J38</f>
        <v>2</v>
      </c>
      <c r="G18" s="164">
        <v>790</v>
      </c>
      <c r="H18" s="164">
        <f>ROUND(G18*0.2654,2)</f>
        <v>209.67</v>
      </c>
      <c r="I18" s="164">
        <f>G18+H18</f>
        <v>999.67</v>
      </c>
      <c r="J18" s="166">
        <f>F18*I18</f>
        <v>1999.34</v>
      </c>
      <c r="K18" s="918">
        <f t="shared" si="0"/>
        <v>7.7978182547115823E-3</v>
      </c>
    </row>
    <row r="19" spans="1:11">
      <c r="A19" s="916"/>
      <c r="B19" s="157"/>
      <c r="C19" s="5" t="s">
        <v>116</v>
      </c>
      <c r="D19" s="7" t="s">
        <v>55</v>
      </c>
      <c r="E19" s="157"/>
      <c r="F19" s="157"/>
      <c r="G19" s="166"/>
      <c r="H19" s="166"/>
      <c r="I19" s="166"/>
      <c r="J19" s="166"/>
      <c r="K19" s="918"/>
    </row>
    <row r="20" spans="1:11">
      <c r="A20" s="916" t="s">
        <v>56</v>
      </c>
      <c r="B20" s="157">
        <v>10216</v>
      </c>
      <c r="C20" s="157" t="s">
        <v>117</v>
      </c>
      <c r="D20" s="146" t="s">
        <v>0</v>
      </c>
      <c r="E20" s="157" t="s">
        <v>105</v>
      </c>
      <c r="F20" s="566">
        <f>'MEMORIA DE CÁLCULO'!J44</f>
        <v>272.15999999999997</v>
      </c>
      <c r="G20" s="166">
        <v>6.12</v>
      </c>
      <c r="H20" s="166">
        <f>ROUND(G20*0.2654,2)</f>
        <v>1.62</v>
      </c>
      <c r="I20" s="166">
        <f>G20+H20</f>
        <v>7.74</v>
      </c>
      <c r="J20" s="166">
        <f t="shared" ref="J20:J27" si="1">ROUND(I20*F20,2)</f>
        <v>2106.52</v>
      </c>
      <c r="K20" s="918">
        <f t="shared" si="0"/>
        <v>8.2158412825807728E-3</v>
      </c>
    </row>
    <row r="21" spans="1:11" ht="25.5">
      <c r="A21" s="916" t="s">
        <v>58</v>
      </c>
      <c r="B21" s="157">
        <v>97635</v>
      </c>
      <c r="C21" s="157" t="s">
        <v>306</v>
      </c>
      <c r="D21" s="146" t="s">
        <v>1</v>
      </c>
      <c r="E21" s="157" t="s">
        <v>57</v>
      </c>
      <c r="F21" s="566">
        <f>'MEMORIA DE CÁLCULO'!J50</f>
        <v>391.34</v>
      </c>
      <c r="G21" s="166">
        <v>10.029999999999999</v>
      </c>
      <c r="H21" s="166">
        <f>ROUND(G21*0.2654,2)</f>
        <v>2.66</v>
      </c>
      <c r="I21" s="166">
        <f>G21+H21</f>
        <v>12.69</v>
      </c>
      <c r="J21" s="166">
        <f t="shared" si="1"/>
        <v>4966.1000000000004</v>
      </c>
      <c r="K21" s="918">
        <f t="shared" si="0"/>
        <v>1.9368764309583758E-2</v>
      </c>
    </row>
    <row r="22" spans="1:11" ht="25.5">
      <c r="A22" s="916" t="s">
        <v>58</v>
      </c>
      <c r="B22" s="157">
        <v>97636</v>
      </c>
      <c r="C22" s="157" t="s">
        <v>307</v>
      </c>
      <c r="D22" s="146" t="s">
        <v>2</v>
      </c>
      <c r="E22" s="157" t="s">
        <v>57</v>
      </c>
      <c r="F22" s="566">
        <f>'MEMORIA DE CÁLCULO'!J54</f>
        <v>7.71</v>
      </c>
      <c r="G22" s="166">
        <v>9.4</v>
      </c>
      <c r="H22" s="166">
        <f>ROUND(G22*0.2654,2)</f>
        <v>2.4900000000000002</v>
      </c>
      <c r="I22" s="166">
        <f>G22+H22</f>
        <v>11.89</v>
      </c>
      <c r="J22" s="166">
        <f t="shared" si="1"/>
        <v>91.67</v>
      </c>
      <c r="K22" s="918">
        <f t="shared" si="0"/>
        <v>3.5753098492973223E-4</v>
      </c>
    </row>
    <row r="23" spans="1:11" ht="25.5">
      <c r="A23" s="916" t="s">
        <v>56</v>
      </c>
      <c r="B23" s="157">
        <v>10219</v>
      </c>
      <c r="C23" s="157" t="s">
        <v>1056</v>
      </c>
      <c r="D23" s="146" t="s">
        <v>817</v>
      </c>
      <c r="E23" s="157" t="s">
        <v>103</v>
      </c>
      <c r="F23" s="566">
        <f>'MEMORIA DE CÁLCULO'!J59</f>
        <v>0.85896000000000006</v>
      </c>
      <c r="G23" s="166">
        <v>202.83</v>
      </c>
      <c r="H23" s="166">
        <f>ROUND(G23*0.2654,2)</f>
        <v>53.83</v>
      </c>
      <c r="I23" s="166">
        <f>G23+H23</f>
        <v>256.66000000000003</v>
      </c>
      <c r="J23" s="166">
        <f t="shared" si="1"/>
        <v>220.46</v>
      </c>
      <c r="K23" s="918">
        <f t="shared" si="0"/>
        <v>8.5983725251018617E-4</v>
      </c>
    </row>
    <row r="24" spans="1:11">
      <c r="A24" s="916" t="s">
        <v>56</v>
      </c>
      <c r="B24" s="157">
        <v>10229</v>
      </c>
      <c r="C24" s="157" t="s">
        <v>308</v>
      </c>
      <c r="D24" s="146" t="s">
        <v>3</v>
      </c>
      <c r="E24" s="157" t="s">
        <v>104</v>
      </c>
      <c r="F24" s="566">
        <f>'MEMORIA DE CÁLCULO'!J69</f>
        <v>4</v>
      </c>
      <c r="G24" s="166">
        <v>24.49</v>
      </c>
      <c r="H24" s="166">
        <f>ROUND(G24*0.2654,2)</f>
        <v>6.5</v>
      </c>
      <c r="I24" s="166">
        <f>G24+H24</f>
        <v>30.99</v>
      </c>
      <c r="J24" s="166">
        <f t="shared" si="1"/>
        <v>123.96</v>
      </c>
      <c r="K24" s="918">
        <f t="shared" si="0"/>
        <v>4.8346831997261484E-4</v>
      </c>
    </row>
    <row r="25" spans="1:11" ht="42" customHeight="1">
      <c r="A25" s="916"/>
      <c r="B25" s="157" t="s">
        <v>952</v>
      </c>
      <c r="C25" s="157" t="s">
        <v>309</v>
      </c>
      <c r="D25" s="146" t="s">
        <v>1033</v>
      </c>
      <c r="E25" s="157" t="s">
        <v>104</v>
      </c>
      <c r="F25" s="566">
        <f>'MEMORIA DE CÁLCULO'!J73</f>
        <v>8</v>
      </c>
      <c r="G25" s="166">
        <f>'COMP-02'!I36</f>
        <v>52.893719999999995</v>
      </c>
      <c r="H25" s="201" t="s">
        <v>399</v>
      </c>
      <c r="I25" s="166">
        <f>G25</f>
        <v>52.893719999999995</v>
      </c>
      <c r="J25" s="166">
        <f t="shared" si="1"/>
        <v>423.15</v>
      </c>
      <c r="K25" s="918">
        <f t="shared" si="0"/>
        <v>1.6503680186867697E-3</v>
      </c>
    </row>
    <row r="26" spans="1:11" ht="25.5">
      <c r="A26" s="916" t="s">
        <v>56</v>
      </c>
      <c r="B26" s="157">
        <v>10403</v>
      </c>
      <c r="C26" s="157" t="s">
        <v>310</v>
      </c>
      <c r="D26" s="146" t="s">
        <v>4</v>
      </c>
      <c r="E26" s="157" t="s">
        <v>104</v>
      </c>
      <c r="F26" s="566">
        <f>'MEMORIA DE CÁLCULO'!J77</f>
        <v>31</v>
      </c>
      <c r="G26" s="166">
        <v>32.340000000000003</v>
      </c>
      <c r="H26" s="166">
        <f>ROUND(G26*0.2654,2)</f>
        <v>8.58</v>
      </c>
      <c r="I26" s="166">
        <f>G26+H26</f>
        <v>40.92</v>
      </c>
      <c r="J26" s="166">
        <f t="shared" si="1"/>
        <v>1268.52</v>
      </c>
      <c r="K26" s="918">
        <f t="shared" si="0"/>
        <v>4.9474768736016573E-3</v>
      </c>
    </row>
    <row r="27" spans="1:11" ht="25.5">
      <c r="A27" s="916" t="s">
        <v>56</v>
      </c>
      <c r="B27" s="157">
        <v>10404</v>
      </c>
      <c r="C27" s="157" t="s">
        <v>1057</v>
      </c>
      <c r="D27" s="146" t="s">
        <v>5</v>
      </c>
      <c r="E27" s="157" t="s">
        <v>104</v>
      </c>
      <c r="F27" s="566">
        <f>'MEMORIA DE CÁLCULO'!J81</f>
        <v>6</v>
      </c>
      <c r="G27" s="166">
        <v>80.42</v>
      </c>
      <c r="H27" s="166">
        <f>ROUND(G27*0.2654,2)</f>
        <v>21.34</v>
      </c>
      <c r="I27" s="166">
        <f>G27+H27</f>
        <v>101.76</v>
      </c>
      <c r="J27" s="166">
        <f t="shared" si="1"/>
        <v>610.55999999999995</v>
      </c>
      <c r="K27" s="918">
        <f t="shared" si="0"/>
        <v>2.3813037870480777E-3</v>
      </c>
    </row>
    <row r="28" spans="1:11" ht="26.25" thickBot="1">
      <c r="A28" s="916"/>
      <c r="B28" s="157" t="s">
        <v>953</v>
      </c>
      <c r="C28" s="157" t="s">
        <v>311</v>
      </c>
      <c r="D28" s="637" t="s">
        <v>6</v>
      </c>
      <c r="E28" s="157" t="s">
        <v>104</v>
      </c>
      <c r="F28" s="566">
        <f>'MEMORIA DE CÁLCULO'!J85</f>
        <v>1</v>
      </c>
      <c r="G28" s="166">
        <f>'COMP-03'!I39</f>
        <v>488.79972432</v>
      </c>
      <c r="H28" s="201" t="s">
        <v>399</v>
      </c>
      <c r="I28" s="166">
        <f>G28</f>
        <v>488.79972432</v>
      </c>
      <c r="J28" s="166">
        <f>F28*I28</f>
        <v>488.79972432</v>
      </c>
      <c r="K28" s="918">
        <f t="shared" si="0"/>
        <v>1.906414823491995E-3</v>
      </c>
    </row>
    <row r="29" spans="1:11" ht="15.75" thickBot="1">
      <c r="A29" s="149"/>
      <c r="B29" s="159"/>
      <c r="C29" s="159"/>
      <c r="D29" s="150" t="s">
        <v>10</v>
      </c>
      <c r="E29" s="151"/>
      <c r="F29" s="152"/>
      <c r="G29" s="165"/>
      <c r="H29" s="200"/>
      <c r="I29" s="165"/>
      <c r="J29" s="165">
        <f>SUM(J10:J28)</f>
        <v>51959.042124319982</v>
      </c>
      <c r="K29" s="712">
        <f t="shared" si="0"/>
        <v>0.20265045823839389</v>
      </c>
    </row>
    <row r="30" spans="1:11">
      <c r="A30" s="916"/>
      <c r="B30" s="157"/>
      <c r="C30" s="5" t="s">
        <v>312</v>
      </c>
      <c r="D30" s="57" t="s">
        <v>11</v>
      </c>
      <c r="E30" s="157"/>
      <c r="F30" s="157"/>
      <c r="G30" s="166"/>
      <c r="H30" s="166"/>
      <c r="I30" s="166"/>
      <c r="J30" s="166"/>
      <c r="K30" s="918"/>
    </row>
    <row r="31" spans="1:11">
      <c r="A31" s="916"/>
      <c r="B31" s="157"/>
      <c r="C31" s="5" t="s">
        <v>313</v>
      </c>
      <c r="D31" s="57" t="s">
        <v>12</v>
      </c>
      <c r="E31" s="157"/>
      <c r="F31" s="157"/>
      <c r="G31" s="166"/>
      <c r="H31" s="166"/>
      <c r="I31" s="166"/>
      <c r="J31" s="166"/>
      <c r="K31" s="918"/>
    </row>
    <row r="32" spans="1:11" ht="25.5">
      <c r="A32" s="916" t="s">
        <v>58</v>
      </c>
      <c r="B32" s="157">
        <v>93358</v>
      </c>
      <c r="C32" s="157" t="s">
        <v>314</v>
      </c>
      <c r="D32" s="574" t="s">
        <v>118</v>
      </c>
      <c r="E32" s="157" t="s">
        <v>103</v>
      </c>
      <c r="F32" s="566">
        <f>'MEMORIA DE CÁLCULO'!J91</f>
        <v>2.9299999999999993</v>
      </c>
      <c r="G32" s="166">
        <v>53.99</v>
      </c>
      <c r="H32" s="166">
        <f>ROUND(G32*0.2654,2)</f>
        <v>14.33</v>
      </c>
      <c r="I32" s="166">
        <f>G32+H32</f>
        <v>68.320000000000007</v>
      </c>
      <c r="J32" s="166">
        <f>ROUND(I32*F32,2)</f>
        <v>200.18</v>
      </c>
      <c r="K32" s="918">
        <f t="shared" si="0"/>
        <v>7.8074127373441474E-4</v>
      </c>
    </row>
    <row r="33" spans="1:11" ht="40.5" customHeight="1">
      <c r="A33" s="916" t="s">
        <v>58</v>
      </c>
      <c r="B33" s="157" t="s">
        <v>119</v>
      </c>
      <c r="C33" s="157" t="s">
        <v>315</v>
      </c>
      <c r="D33" s="574" t="s">
        <v>120</v>
      </c>
      <c r="E33" s="157" t="s">
        <v>103</v>
      </c>
      <c r="F33" s="566">
        <f>'MEMORIA DE CÁLCULO'!J99</f>
        <v>57.695000000000007</v>
      </c>
      <c r="G33" s="166">
        <v>2.86</v>
      </c>
      <c r="H33" s="166">
        <f>ROUND(G33*0.2654,2)</f>
        <v>0.76</v>
      </c>
      <c r="I33" s="166">
        <f>G33+H33</f>
        <v>3.62</v>
      </c>
      <c r="J33" s="166">
        <f>ROUND(I33*F33,2)</f>
        <v>208.86</v>
      </c>
      <c r="K33" s="918">
        <f t="shared" si="0"/>
        <v>8.1459497668183564E-4</v>
      </c>
    </row>
    <row r="34" spans="1:11" ht="43.5" customHeight="1">
      <c r="A34" s="916" t="s">
        <v>58</v>
      </c>
      <c r="B34" s="157" t="s">
        <v>101</v>
      </c>
      <c r="C34" s="157" t="s">
        <v>794</v>
      </c>
      <c r="D34" s="574" t="s">
        <v>99</v>
      </c>
      <c r="E34" s="157" t="s">
        <v>103</v>
      </c>
      <c r="F34" s="566">
        <f>'MEMORIA DE CÁLCULO'!J103</f>
        <v>13.275</v>
      </c>
      <c r="G34" s="166">
        <v>1.4</v>
      </c>
      <c r="H34" s="166">
        <f>ROUND(G34*0.2654,2)</f>
        <v>0.37</v>
      </c>
      <c r="I34" s="166">
        <f>G34+H34</f>
        <v>1.77</v>
      </c>
      <c r="J34" s="166">
        <f>ROUND(I34*F34,2)</f>
        <v>23.5</v>
      </c>
      <c r="K34" s="918">
        <f t="shared" si="0"/>
        <v>9.1654610514330822E-5</v>
      </c>
    </row>
    <row r="35" spans="1:11">
      <c r="A35" s="916"/>
      <c r="B35" s="157"/>
      <c r="C35" s="5" t="s">
        <v>316</v>
      </c>
      <c r="D35" s="575" t="s">
        <v>13</v>
      </c>
      <c r="E35" s="157"/>
      <c r="F35" s="157"/>
      <c r="G35" s="166"/>
      <c r="H35" s="166"/>
      <c r="I35" s="166"/>
      <c r="J35" s="166"/>
      <c r="K35" s="918"/>
    </row>
    <row r="36" spans="1:11" ht="41.25" customHeight="1">
      <c r="A36" s="916" t="s">
        <v>58</v>
      </c>
      <c r="B36" s="157">
        <v>96387</v>
      </c>
      <c r="C36" s="157" t="s">
        <v>321</v>
      </c>
      <c r="D36" s="574" t="s">
        <v>100</v>
      </c>
      <c r="E36" s="157" t="s">
        <v>103</v>
      </c>
      <c r="F36" s="566">
        <f>'MEMORIA DE CÁLCULO'!J108</f>
        <v>60.726000000000006</v>
      </c>
      <c r="G36" s="166">
        <v>6.32</v>
      </c>
      <c r="H36" s="166">
        <f>ROUND(G36*0.2654,2)</f>
        <v>1.68</v>
      </c>
      <c r="I36" s="166">
        <f>G36+H36</f>
        <v>8</v>
      </c>
      <c r="J36" s="166">
        <f>ROUND(I36*F36,2)</f>
        <v>485.81</v>
      </c>
      <c r="K36" s="918">
        <f t="shared" si="0"/>
        <v>1.8947543120837046E-3</v>
      </c>
    </row>
    <row r="37" spans="1:11">
      <c r="A37" s="916"/>
      <c r="B37" s="157"/>
      <c r="C37" s="5" t="s">
        <v>318</v>
      </c>
      <c r="D37" s="575" t="s">
        <v>14</v>
      </c>
      <c r="E37" s="157"/>
      <c r="F37" s="157"/>
      <c r="G37" s="166"/>
      <c r="H37" s="166"/>
      <c r="I37" s="166"/>
      <c r="J37" s="166"/>
      <c r="K37" s="918"/>
    </row>
    <row r="38" spans="1:11" ht="51">
      <c r="A38" s="916" t="s">
        <v>58</v>
      </c>
      <c r="B38" s="157">
        <v>93177</v>
      </c>
      <c r="C38" s="157" t="s">
        <v>322</v>
      </c>
      <c r="D38" s="574" t="s">
        <v>1135</v>
      </c>
      <c r="E38" s="157" t="s">
        <v>1030</v>
      </c>
      <c r="F38" s="566">
        <f>'MEMORIA DE CÁLCULO'!J114</f>
        <v>84.960000000000008</v>
      </c>
      <c r="G38" s="166">
        <v>1.52</v>
      </c>
      <c r="H38" s="166">
        <f>ROUND(G38*0.2654,2)</f>
        <v>0.4</v>
      </c>
      <c r="I38" s="166">
        <f>G38+H38</f>
        <v>1.92</v>
      </c>
      <c r="J38" s="166">
        <f>ROUND(I38*F38,2)</f>
        <v>163.12</v>
      </c>
      <c r="K38" s="918">
        <f>J38/$J$99</f>
        <v>6.3620000285521895E-4</v>
      </c>
    </row>
    <row r="39" spans="1:11" ht="54" customHeight="1" thickBot="1">
      <c r="A39" s="916" t="s">
        <v>56</v>
      </c>
      <c r="B39" s="157">
        <v>30304</v>
      </c>
      <c r="C39" s="157" t="s">
        <v>323</v>
      </c>
      <c r="D39" s="169" t="s">
        <v>305</v>
      </c>
      <c r="E39" s="157" t="s">
        <v>103</v>
      </c>
      <c r="F39" s="566">
        <f>'MEMORIA DE CÁLCULO'!J120</f>
        <v>151.32772850000003</v>
      </c>
      <c r="G39" s="166">
        <v>45.59</v>
      </c>
      <c r="H39" s="166">
        <f>ROUND(G39*0.2654,2)</f>
        <v>12.1</v>
      </c>
      <c r="I39" s="166">
        <f>G39+H39</f>
        <v>57.690000000000005</v>
      </c>
      <c r="J39" s="166">
        <f>ROUND(I39*F39,2)</f>
        <v>8730.1</v>
      </c>
      <c r="K39" s="918">
        <f t="shared" si="0"/>
        <v>3.4049102776645086E-2</v>
      </c>
    </row>
    <row r="40" spans="1:11" ht="15.75" thickBot="1">
      <c r="A40" s="149"/>
      <c r="B40" s="159"/>
      <c r="C40" s="159"/>
      <c r="D40" s="150" t="s">
        <v>15</v>
      </c>
      <c r="E40" s="151"/>
      <c r="F40" s="152"/>
      <c r="G40" s="165"/>
      <c r="H40" s="200"/>
      <c r="I40" s="165"/>
      <c r="J40" s="165">
        <f>SUM(J30:J39)</f>
        <v>9811.57</v>
      </c>
      <c r="K40" s="712">
        <f t="shared" si="0"/>
        <v>3.8267047952514593E-2</v>
      </c>
    </row>
    <row r="41" spans="1:11">
      <c r="A41" s="916"/>
      <c r="B41" s="157"/>
      <c r="C41" s="5" t="s">
        <v>317</v>
      </c>
      <c r="D41" s="575" t="s">
        <v>320</v>
      </c>
      <c r="E41" s="157"/>
      <c r="F41" s="157"/>
      <c r="G41" s="166"/>
      <c r="H41" s="166"/>
      <c r="I41" s="166"/>
      <c r="J41" s="166"/>
      <c r="K41" s="918"/>
    </row>
    <row r="42" spans="1:11" ht="54" customHeight="1">
      <c r="A42" s="916" t="s">
        <v>58</v>
      </c>
      <c r="B42" s="157">
        <v>95993</v>
      </c>
      <c r="C42" s="157" t="s">
        <v>795</v>
      </c>
      <c r="D42" s="574" t="s">
        <v>378</v>
      </c>
      <c r="E42" s="157" t="s">
        <v>103</v>
      </c>
      <c r="F42" s="566">
        <f>'MEMORIA DE CÁLCULO'!J143</f>
        <v>3.54</v>
      </c>
      <c r="G42" s="166">
        <v>737.57</v>
      </c>
      <c r="H42" s="166">
        <f>ROUND(G42*0.2654,2)</f>
        <v>195.75</v>
      </c>
      <c r="I42" s="166">
        <f>G42+H42</f>
        <v>933.32</v>
      </c>
      <c r="J42" s="166">
        <f>ROUND(I42*F42,2)</f>
        <v>3303.95</v>
      </c>
      <c r="K42" s="918">
        <f t="shared" si="0"/>
        <v>1.2886053208886099E-2</v>
      </c>
    </row>
    <row r="43" spans="1:11" ht="15.75" thickBot="1">
      <c r="A43" s="916" t="s">
        <v>58</v>
      </c>
      <c r="B43" s="157">
        <v>72942</v>
      </c>
      <c r="C43" s="157" t="s">
        <v>797</v>
      </c>
      <c r="D43" s="195" t="s">
        <v>167</v>
      </c>
      <c r="E43" s="157" t="s">
        <v>57</v>
      </c>
      <c r="F43" s="566">
        <f>'MEMORIA DE CÁLCULO'!J146</f>
        <v>88.5</v>
      </c>
      <c r="G43" s="166">
        <v>1.38</v>
      </c>
      <c r="H43" s="166">
        <f>ROUND(G43*0.2654,2)</f>
        <v>0.37</v>
      </c>
      <c r="I43" s="166">
        <f>G43+H43</f>
        <v>1.75</v>
      </c>
      <c r="J43" s="166">
        <f>ROUND(I43*F43,2)</f>
        <v>154.88</v>
      </c>
      <c r="K43" s="918">
        <f t="shared" si="0"/>
        <v>6.0406238623232167E-4</v>
      </c>
    </row>
    <row r="44" spans="1:11" ht="15.75" thickBot="1">
      <c r="A44" s="149"/>
      <c r="B44" s="159"/>
      <c r="C44" s="159"/>
      <c r="D44" s="150" t="s">
        <v>19</v>
      </c>
      <c r="E44" s="151"/>
      <c r="F44" s="152"/>
      <c r="G44" s="165"/>
      <c r="H44" s="200"/>
      <c r="I44" s="200"/>
      <c r="J44" s="165">
        <f>SUM(J41:J43)</f>
        <v>3458.83</v>
      </c>
      <c r="K44" s="712">
        <f t="shared" si="0"/>
        <v>1.349011559511842E-2</v>
      </c>
    </row>
    <row r="45" spans="1:11">
      <c r="A45" s="916"/>
      <c r="B45" s="157"/>
      <c r="C45" s="5" t="s">
        <v>324</v>
      </c>
      <c r="D45" s="57" t="s">
        <v>16</v>
      </c>
      <c r="E45" s="157"/>
      <c r="F45" s="157"/>
      <c r="G45" s="166"/>
      <c r="H45" s="166"/>
      <c r="I45" s="166"/>
      <c r="J45" s="166"/>
      <c r="K45" s="918">
        <f t="shared" si="0"/>
        <v>0</v>
      </c>
    </row>
    <row r="46" spans="1:11">
      <c r="A46" s="916"/>
      <c r="B46" s="157"/>
      <c r="C46" s="5" t="s">
        <v>325</v>
      </c>
      <c r="D46" s="57" t="s">
        <v>17</v>
      </c>
      <c r="E46" s="157"/>
      <c r="F46" s="157"/>
      <c r="G46" s="166"/>
      <c r="H46" s="166"/>
      <c r="I46" s="166"/>
      <c r="J46" s="166"/>
      <c r="K46" s="918">
        <f t="shared" si="0"/>
        <v>0</v>
      </c>
    </row>
    <row r="47" spans="1:11">
      <c r="A47" s="916" t="s">
        <v>56</v>
      </c>
      <c r="B47" s="157">
        <v>140703</v>
      </c>
      <c r="C47" s="157" t="s">
        <v>326</v>
      </c>
      <c r="D47" s="195" t="s">
        <v>18</v>
      </c>
      <c r="E47" s="157" t="s">
        <v>147</v>
      </c>
      <c r="F47" s="566">
        <f>'MEMORIA DE CÁLCULO'!J152</f>
        <v>1</v>
      </c>
      <c r="G47" s="166">
        <v>229.14</v>
      </c>
      <c r="H47" s="166">
        <f>ROUND(G47*0.2654,2)</f>
        <v>60.81</v>
      </c>
      <c r="I47" s="166">
        <f>G47+H47</f>
        <v>289.95</v>
      </c>
      <c r="J47" s="166">
        <f>ROUND(I47*F47,2)</f>
        <v>289.95</v>
      </c>
      <c r="K47" s="918">
        <f t="shared" si="0"/>
        <v>1.1308618858991584E-3</v>
      </c>
    </row>
    <row r="48" spans="1:11" ht="29.25" customHeight="1" thickBot="1">
      <c r="A48" s="916" t="s">
        <v>56</v>
      </c>
      <c r="B48" s="157">
        <v>170309</v>
      </c>
      <c r="C48" s="157" t="s">
        <v>327</v>
      </c>
      <c r="D48" s="169" t="s">
        <v>319</v>
      </c>
      <c r="E48" s="157" t="s">
        <v>104</v>
      </c>
      <c r="F48" s="566">
        <f>'MEMORIA DE CÁLCULO'!J155</f>
        <v>1</v>
      </c>
      <c r="G48" s="166">
        <v>79.849999999999994</v>
      </c>
      <c r="H48" s="166">
        <f>ROUND(G48*0.2654,2)</f>
        <v>21.19</v>
      </c>
      <c r="I48" s="166">
        <f>G48+H48</f>
        <v>101.03999999999999</v>
      </c>
      <c r="J48" s="166">
        <f>ROUND(I48*F48,2)</f>
        <v>101.04</v>
      </c>
      <c r="K48" s="918">
        <f t="shared" si="0"/>
        <v>3.9407582324970156E-4</v>
      </c>
    </row>
    <row r="49" spans="1:11" ht="15.75" thickBot="1">
      <c r="A49" s="149"/>
      <c r="B49" s="159"/>
      <c r="C49" s="159"/>
      <c r="D49" s="150" t="s">
        <v>24</v>
      </c>
      <c r="E49" s="151"/>
      <c r="F49" s="152"/>
      <c r="G49" s="165"/>
      <c r="H49" s="200"/>
      <c r="I49" s="200"/>
      <c r="J49" s="165">
        <f>SUM(J45:J48)</f>
        <v>390.99</v>
      </c>
      <c r="K49" s="712">
        <f t="shared" si="0"/>
        <v>1.5249377091488599E-3</v>
      </c>
    </row>
    <row r="50" spans="1:11">
      <c r="A50" s="916"/>
      <c r="B50" s="157"/>
      <c r="C50" s="5" t="s">
        <v>328</v>
      </c>
      <c r="D50" s="576" t="s">
        <v>20</v>
      </c>
      <c r="E50" s="157"/>
      <c r="F50" s="157"/>
      <c r="G50" s="166"/>
      <c r="H50" s="166"/>
      <c r="I50" s="166"/>
      <c r="J50" s="166"/>
      <c r="K50" s="918"/>
    </row>
    <row r="51" spans="1:11" ht="51">
      <c r="A51" s="916" t="s">
        <v>56</v>
      </c>
      <c r="B51" s="157">
        <v>150701</v>
      </c>
      <c r="C51" s="157" t="s">
        <v>333</v>
      </c>
      <c r="D51" s="169" t="s">
        <v>978</v>
      </c>
      <c r="E51" s="157" t="s">
        <v>105</v>
      </c>
      <c r="F51" s="566">
        <f>'MEMORIA DE CÁLCULO'!J160</f>
        <v>65.81</v>
      </c>
      <c r="G51" s="166">
        <v>34.020000000000003</v>
      </c>
      <c r="H51" s="166">
        <f>ROUND(G51*0.2654,2)</f>
        <v>9.0299999999999994</v>
      </c>
      <c r="I51" s="166">
        <f t="shared" ref="I51:I54" si="2">G51+H51</f>
        <v>43.050000000000004</v>
      </c>
      <c r="J51" s="166">
        <f t="shared" ref="J51:J54" si="3">ROUND(I51*F51,2)</f>
        <v>2833.12</v>
      </c>
      <c r="K51" s="918">
        <f t="shared" si="0"/>
        <v>1.104972383576004E-2</v>
      </c>
    </row>
    <row r="52" spans="1:11" ht="25.5">
      <c r="A52" s="916" t="s">
        <v>56</v>
      </c>
      <c r="B52" s="157">
        <v>151137</v>
      </c>
      <c r="C52" s="157" t="s">
        <v>902</v>
      </c>
      <c r="D52" s="169" t="s">
        <v>988</v>
      </c>
      <c r="E52" s="157" t="s">
        <v>105</v>
      </c>
      <c r="F52" s="566">
        <f>'MEMORIA DE CÁLCULO'!J164</f>
        <v>65.81</v>
      </c>
      <c r="G52" s="166">
        <v>16.18</v>
      </c>
      <c r="H52" s="166">
        <f>ROUND(G52*0.2654,2)</f>
        <v>4.29</v>
      </c>
      <c r="I52" s="166">
        <f t="shared" si="2"/>
        <v>20.47</v>
      </c>
      <c r="J52" s="166">
        <f>ROUND(I52*F52,2)</f>
        <v>1347.13</v>
      </c>
      <c r="K52" s="918">
        <f t="shared" si="0"/>
        <v>5.2540712962625743E-3</v>
      </c>
    </row>
    <row r="53" spans="1:11" ht="40.5" customHeight="1">
      <c r="A53" s="916" t="s">
        <v>58</v>
      </c>
      <c r="B53" s="157">
        <v>95752</v>
      </c>
      <c r="C53" s="157" t="s">
        <v>801</v>
      </c>
      <c r="D53" s="169" t="s">
        <v>993</v>
      </c>
      <c r="E53" s="157" t="s">
        <v>105</v>
      </c>
      <c r="F53" s="566">
        <f>'MEMORIA DE CÁLCULO'!J174</f>
        <v>12.4</v>
      </c>
      <c r="G53" s="166">
        <v>45.36</v>
      </c>
      <c r="H53" s="166">
        <f>ROUND(G53*0.2654,2)</f>
        <v>12.04</v>
      </c>
      <c r="I53" s="166">
        <f>G53+H53</f>
        <v>57.4</v>
      </c>
      <c r="J53" s="166">
        <f>ROUND(I53*F53,2)</f>
        <v>711.76</v>
      </c>
      <c r="K53" s="918">
        <f t="shared" si="0"/>
        <v>2.7760036416885152E-3</v>
      </c>
    </row>
    <row r="54" spans="1:11" ht="51">
      <c r="A54" s="916" t="s">
        <v>56</v>
      </c>
      <c r="B54" s="157">
        <v>150614</v>
      </c>
      <c r="C54" s="157" t="s">
        <v>987</v>
      </c>
      <c r="D54" s="169" t="s">
        <v>329</v>
      </c>
      <c r="E54" s="157" t="s">
        <v>104</v>
      </c>
      <c r="F54" s="566">
        <f>'MEMORIA DE CÁLCULO'!J178</f>
        <v>9</v>
      </c>
      <c r="G54" s="166">
        <v>85.97</v>
      </c>
      <c r="H54" s="166">
        <f>ROUND(G54*0.2654,2)</f>
        <v>22.82</v>
      </c>
      <c r="I54" s="166">
        <f t="shared" si="2"/>
        <v>108.78999999999999</v>
      </c>
      <c r="J54" s="166">
        <f t="shared" si="3"/>
        <v>979.11</v>
      </c>
      <c r="K54" s="918">
        <f t="shared" si="0"/>
        <v>3.818721093646232E-3</v>
      </c>
    </row>
    <row r="55" spans="1:11" ht="89.25">
      <c r="A55" s="916"/>
      <c r="B55" s="157" t="s">
        <v>954</v>
      </c>
      <c r="C55" s="157" t="s">
        <v>903</v>
      </c>
      <c r="D55" s="169" t="s">
        <v>1218</v>
      </c>
      <c r="E55" s="157" t="s">
        <v>104</v>
      </c>
      <c r="F55" s="566">
        <f>'MEMORIA DE CÁLCULO'!J182</f>
        <v>6</v>
      </c>
      <c r="G55" s="166">
        <f>'ELE-01'!I45</f>
        <v>4595.8373888400001</v>
      </c>
      <c r="H55" s="201" t="s">
        <v>399</v>
      </c>
      <c r="I55" s="166">
        <f>G55</f>
        <v>4595.8373888400001</v>
      </c>
      <c r="J55" s="166">
        <f>ROUND(I55*F55,2)</f>
        <v>27575.02</v>
      </c>
      <c r="K55" s="918">
        <f t="shared" si="0"/>
        <v>0.10754798800105884</v>
      </c>
    </row>
    <row r="56" spans="1:11" ht="38.25">
      <c r="A56" s="916" t="s">
        <v>58</v>
      </c>
      <c r="B56" s="157">
        <v>91933</v>
      </c>
      <c r="C56" s="157" t="s">
        <v>904</v>
      </c>
      <c r="D56" s="169" t="s">
        <v>995</v>
      </c>
      <c r="E56" s="157" t="s">
        <v>105</v>
      </c>
      <c r="F56" s="566">
        <f>'MEMORIA DE CÁLCULO'!J186</f>
        <v>11.5</v>
      </c>
      <c r="G56" s="166">
        <v>8.15</v>
      </c>
      <c r="H56" s="166">
        <f>ROUND(G56*0.2654,2)</f>
        <v>2.16</v>
      </c>
      <c r="I56" s="166">
        <f>G56+H56</f>
        <v>10.31</v>
      </c>
      <c r="J56" s="166">
        <f t="shared" ref="J56:J57" si="4">ROUND(I56*F56,2)</f>
        <v>118.57</v>
      </c>
      <c r="K56" s="918">
        <f t="shared" si="0"/>
        <v>4.6244626249720023E-4</v>
      </c>
    </row>
    <row r="57" spans="1:11" ht="38.25">
      <c r="A57" s="916" t="s">
        <v>58</v>
      </c>
      <c r="B57" s="157">
        <v>91929</v>
      </c>
      <c r="C57" s="157" t="s">
        <v>905</v>
      </c>
      <c r="D57" s="169" t="s">
        <v>977</v>
      </c>
      <c r="E57" s="157" t="s">
        <v>105</v>
      </c>
      <c r="F57" s="566">
        <f>'MEMORIA DE CÁLCULO'!J191</f>
        <v>235.53</v>
      </c>
      <c r="G57" s="166">
        <v>3.91</v>
      </c>
      <c r="H57" s="166">
        <f>ROUND(G57*0.2654,2)</f>
        <v>1.04</v>
      </c>
      <c r="I57" s="166">
        <f>G57+H57</f>
        <v>4.95</v>
      </c>
      <c r="J57" s="166">
        <f t="shared" si="4"/>
        <v>1165.8699999999999</v>
      </c>
      <c r="K57" s="918">
        <f t="shared" si="0"/>
        <v>4.5471217344826755E-3</v>
      </c>
    </row>
    <row r="58" spans="1:11" ht="38.25">
      <c r="A58" s="916" t="s">
        <v>58</v>
      </c>
      <c r="B58" s="157">
        <v>91927</v>
      </c>
      <c r="C58" s="157" t="s">
        <v>906</v>
      </c>
      <c r="D58" s="169" t="s">
        <v>930</v>
      </c>
      <c r="E58" s="157" t="s">
        <v>105</v>
      </c>
      <c r="F58" s="566">
        <f>'MEMORIA DE CÁLCULO'!J202</f>
        <v>82.8</v>
      </c>
      <c r="G58" s="166">
        <v>2.8</v>
      </c>
      <c r="H58" s="166">
        <f>ROUND(G58*0.2654,2)</f>
        <v>0.74</v>
      </c>
      <c r="I58" s="166">
        <f>G58+H58</f>
        <v>3.54</v>
      </c>
      <c r="J58" s="166">
        <f>ROUND(I58*F58,2)</f>
        <v>293.11</v>
      </c>
      <c r="K58" s="918">
        <f t="shared" si="0"/>
        <v>1.1431865058661918E-3</v>
      </c>
    </row>
    <row r="59" spans="1:11" ht="51">
      <c r="A59" s="916"/>
      <c r="B59" s="157" t="s">
        <v>1006</v>
      </c>
      <c r="C59" s="157" t="s">
        <v>907</v>
      </c>
      <c r="D59" s="169" t="s">
        <v>968</v>
      </c>
      <c r="E59" s="157" t="s">
        <v>104</v>
      </c>
      <c r="F59" s="566">
        <f>'MEMORIA DE CÁLCULO'!J207</f>
        <v>6</v>
      </c>
      <c r="G59" s="166">
        <f>'ELE-02'!I41</f>
        <v>113.867019</v>
      </c>
      <c r="H59" s="201" t="s">
        <v>399</v>
      </c>
      <c r="I59" s="166">
        <f>G59</f>
        <v>113.867019</v>
      </c>
      <c r="J59" s="166">
        <f>ROUND(I59*F59,2)</f>
        <v>683.2</v>
      </c>
      <c r="K59" s="918">
        <f t="shared" si="0"/>
        <v>2.6646140384421627E-3</v>
      </c>
    </row>
    <row r="60" spans="1:11" ht="51">
      <c r="A60" s="916"/>
      <c r="B60" s="157" t="s">
        <v>1007</v>
      </c>
      <c r="C60" s="157" t="s">
        <v>994</v>
      </c>
      <c r="D60" s="169" t="s">
        <v>973</v>
      </c>
      <c r="E60" s="157" t="s">
        <v>104</v>
      </c>
      <c r="F60" s="566">
        <f>'MEMORIA DE CÁLCULO'!J211</f>
        <v>1</v>
      </c>
      <c r="G60" s="166">
        <f>'ELE-03'!I41</f>
        <v>133.01505180000001</v>
      </c>
      <c r="H60" s="201" t="s">
        <v>399</v>
      </c>
      <c r="I60" s="166">
        <f>G60</f>
        <v>133.01505180000001</v>
      </c>
      <c r="J60" s="166">
        <f>ROUND(I60*F60,2)</f>
        <v>133.02000000000001</v>
      </c>
      <c r="K60" s="918">
        <f t="shared" si="0"/>
        <v>5.1880409747303354E-4</v>
      </c>
    </row>
    <row r="61" spans="1:11" ht="51.75" thickBot="1">
      <c r="A61" s="916"/>
      <c r="B61" s="157" t="s">
        <v>1008</v>
      </c>
      <c r="C61" s="157" t="s">
        <v>997</v>
      </c>
      <c r="D61" s="169" t="s">
        <v>1140</v>
      </c>
      <c r="E61" s="157" t="s">
        <v>104</v>
      </c>
      <c r="F61" s="566">
        <f>'MEMORIA DE CÁLCULO'!J215</f>
        <v>1</v>
      </c>
      <c r="G61" s="166">
        <f>'ELE-04'!I42</f>
        <v>12299.962170000001</v>
      </c>
      <c r="H61" s="201" t="s">
        <v>399</v>
      </c>
      <c r="I61" s="166">
        <f>F61*G61</f>
        <v>12299.962170000001</v>
      </c>
      <c r="J61" s="166">
        <f>ROUND(I61*F61,2)</f>
        <v>12299.96</v>
      </c>
      <c r="K61" s="918">
        <f t="shared" si="0"/>
        <v>4.7972257154972275E-2</v>
      </c>
    </row>
    <row r="62" spans="1:11" ht="15.75" thickBot="1">
      <c r="A62" s="149"/>
      <c r="B62" s="159"/>
      <c r="C62" s="159"/>
      <c r="D62" s="150" t="s">
        <v>824</v>
      </c>
      <c r="E62" s="151"/>
      <c r="F62" s="152"/>
      <c r="G62" s="165"/>
      <c r="H62" s="200"/>
      <c r="I62" s="165"/>
      <c r="J62" s="165">
        <f>SUM(J50:J61)</f>
        <v>48139.869999999995</v>
      </c>
      <c r="K62" s="712">
        <f t="shared" si="0"/>
        <v>0.18775493766214973</v>
      </c>
    </row>
    <row r="63" spans="1:11">
      <c r="A63" s="916"/>
      <c r="B63" s="157"/>
      <c r="C63" s="5" t="s">
        <v>330</v>
      </c>
      <c r="D63" s="577" t="s">
        <v>25</v>
      </c>
      <c r="E63" s="157"/>
      <c r="F63" s="157"/>
      <c r="G63" s="166"/>
      <c r="H63" s="166"/>
      <c r="I63" s="166"/>
      <c r="J63" s="166"/>
      <c r="K63" s="918"/>
    </row>
    <row r="64" spans="1:11">
      <c r="A64" s="916"/>
      <c r="B64" s="157"/>
      <c r="C64" s="5" t="s">
        <v>332</v>
      </c>
      <c r="D64" s="1" t="s">
        <v>26</v>
      </c>
      <c r="E64" s="157"/>
      <c r="F64" s="157"/>
      <c r="G64" s="166"/>
      <c r="H64" s="166"/>
      <c r="I64" s="166"/>
      <c r="J64" s="166"/>
      <c r="K64" s="918"/>
    </row>
    <row r="65" spans="1:12" ht="31.5" customHeight="1">
      <c r="A65" s="916" t="s">
        <v>56</v>
      </c>
      <c r="B65" s="157">
        <v>130209</v>
      </c>
      <c r="C65" s="157" t="s">
        <v>331</v>
      </c>
      <c r="D65" s="169" t="s">
        <v>780</v>
      </c>
      <c r="E65" s="157" t="s">
        <v>57</v>
      </c>
      <c r="F65" s="566">
        <f>'MEMORIA DE CÁLCULO'!J222</f>
        <v>22.636000000000003</v>
      </c>
      <c r="G65" s="166">
        <v>56.48</v>
      </c>
      <c r="H65" s="166">
        <f>ROUND(G65*0.2654,2)</f>
        <v>14.99</v>
      </c>
      <c r="I65" s="166">
        <f>G65+H65</f>
        <v>71.47</v>
      </c>
      <c r="J65" s="166">
        <f>ROUND(I65*F65,2)</f>
        <v>1617.79</v>
      </c>
      <c r="K65" s="918">
        <f t="shared" si="0"/>
        <v>6.3096983976161387E-3</v>
      </c>
      <c r="L65" s="371"/>
    </row>
    <row r="66" spans="1:12" ht="38.25">
      <c r="A66" s="916" t="s">
        <v>58</v>
      </c>
      <c r="B66" s="157">
        <v>93679</v>
      </c>
      <c r="C66" s="157" t="s">
        <v>336</v>
      </c>
      <c r="D66" s="169" t="s">
        <v>27</v>
      </c>
      <c r="E66" s="157" t="s">
        <v>57</v>
      </c>
      <c r="F66" s="566">
        <f>'MEMORIA DE CÁLCULO'!J228</f>
        <v>102.8</v>
      </c>
      <c r="G66" s="166">
        <v>53.58</v>
      </c>
      <c r="H66" s="166">
        <f>ROUND(G66*0.2654,2)</f>
        <v>14.22</v>
      </c>
      <c r="I66" s="166">
        <f>G66+H66</f>
        <v>67.8</v>
      </c>
      <c r="J66" s="166">
        <f t="shared" ref="J66:J68" si="5">ROUND(I66*F66,2)</f>
        <v>6969.84</v>
      </c>
      <c r="K66" s="918">
        <f t="shared" si="0"/>
        <v>2.7183743427540579E-2</v>
      </c>
    </row>
    <row r="67" spans="1:12" ht="51">
      <c r="A67" s="916" t="s">
        <v>56</v>
      </c>
      <c r="B67" s="157">
        <v>200253</v>
      </c>
      <c r="C67" s="157" t="s">
        <v>337</v>
      </c>
      <c r="D67" s="169" t="s">
        <v>334</v>
      </c>
      <c r="E67" s="157" t="s">
        <v>57</v>
      </c>
      <c r="F67" s="566">
        <f>'MEMORIA DE CÁLCULO'!J236</f>
        <v>25.799999999999997</v>
      </c>
      <c r="G67" s="166">
        <v>45.97</v>
      </c>
      <c r="H67" s="166">
        <f>ROUND(G67*0.2654,2)</f>
        <v>12.2</v>
      </c>
      <c r="I67" s="166">
        <f>G67+H67</f>
        <v>58.17</v>
      </c>
      <c r="J67" s="166">
        <f t="shared" si="5"/>
        <v>1500.79</v>
      </c>
      <c r="K67" s="918">
        <f t="shared" si="0"/>
        <v>5.8533754431405348E-3</v>
      </c>
    </row>
    <row r="68" spans="1:12" ht="51">
      <c r="A68" s="916" t="s">
        <v>56</v>
      </c>
      <c r="B68" s="157">
        <v>200254</v>
      </c>
      <c r="C68" s="157" t="s">
        <v>338</v>
      </c>
      <c r="D68" s="169" t="s">
        <v>335</v>
      </c>
      <c r="E68" s="157" t="s">
        <v>57</v>
      </c>
      <c r="F68" s="566">
        <f>'MEMORIA DE CÁLCULO'!J240</f>
        <v>0.88</v>
      </c>
      <c r="G68" s="166">
        <v>45.97</v>
      </c>
      <c r="H68" s="166">
        <f>ROUND(G68*0.2654,2)</f>
        <v>12.2</v>
      </c>
      <c r="I68" s="166">
        <f>G68+H68</f>
        <v>58.17</v>
      </c>
      <c r="J68" s="166">
        <f t="shared" si="5"/>
        <v>51.19</v>
      </c>
      <c r="K68" s="918">
        <f t="shared" si="0"/>
        <v>1.9965104307355722E-4</v>
      </c>
    </row>
    <row r="69" spans="1:12" ht="114.75">
      <c r="A69" s="916"/>
      <c r="B69" s="157" t="s">
        <v>955</v>
      </c>
      <c r="C69" s="157" t="s">
        <v>339</v>
      </c>
      <c r="D69" s="169" t="s">
        <v>1134</v>
      </c>
      <c r="E69" s="157" t="s">
        <v>57</v>
      </c>
      <c r="F69" s="566">
        <f>'MEMORIA DE CÁLCULO'!J244</f>
        <v>218.75</v>
      </c>
      <c r="G69" s="166">
        <f>'COMP-04'!I44</f>
        <v>67.195115155800011</v>
      </c>
      <c r="H69" s="201" t="s">
        <v>399</v>
      </c>
      <c r="I69" s="166">
        <f>G69</f>
        <v>67.195115155800011</v>
      </c>
      <c r="J69" s="166">
        <f>ROUND(I69*F69,2)</f>
        <v>14698.93</v>
      </c>
      <c r="K69" s="918">
        <f t="shared" si="0"/>
        <v>5.7328710813932461E-2</v>
      </c>
    </row>
    <row r="70" spans="1:12" ht="114.75">
      <c r="A70" s="916"/>
      <c r="B70" s="157" t="s">
        <v>956</v>
      </c>
      <c r="C70" s="157" t="s">
        <v>340</v>
      </c>
      <c r="D70" s="169" t="s">
        <v>1013</v>
      </c>
      <c r="E70" s="157" t="s">
        <v>57</v>
      </c>
      <c r="F70" s="566">
        <f>'MEMORIA DE CÁLCULO'!J254</f>
        <v>43.22</v>
      </c>
      <c r="G70" s="166">
        <f>'COMP-05'!I45</f>
        <v>90.339281155799995</v>
      </c>
      <c r="H70" s="201" t="s">
        <v>399</v>
      </c>
      <c r="I70" s="166">
        <f>G70</f>
        <v>90.339281155799995</v>
      </c>
      <c r="J70" s="166">
        <f>ROUND(I70*F70,2)</f>
        <v>3904.46</v>
      </c>
      <c r="K70" s="918">
        <f t="shared" si="0"/>
        <v>1.5228160024203581E-2</v>
      </c>
    </row>
    <row r="71" spans="1:12" ht="63.75">
      <c r="A71" s="916" t="s">
        <v>58</v>
      </c>
      <c r="B71" s="157">
        <v>94275</v>
      </c>
      <c r="C71" s="157" t="s">
        <v>341</v>
      </c>
      <c r="D71" s="169" t="s">
        <v>29</v>
      </c>
      <c r="E71" s="157" t="s">
        <v>105</v>
      </c>
      <c r="F71" s="566">
        <f>'MEMORIA DE CÁLCULO'!J258</f>
        <v>133.79000000000002</v>
      </c>
      <c r="G71" s="166">
        <v>27.63</v>
      </c>
      <c r="H71" s="166">
        <f>ROUND(G71*0.2654,2)</f>
        <v>7.33</v>
      </c>
      <c r="I71" s="166">
        <f>G71+H71</f>
        <v>34.96</v>
      </c>
      <c r="J71" s="166">
        <f t="shared" ref="J71:J73" si="6">ROUND(I71*F71,2)</f>
        <v>4677.3</v>
      </c>
      <c r="K71" s="918">
        <f t="shared" si="0"/>
        <v>1.8242387649305514E-2</v>
      </c>
    </row>
    <row r="72" spans="1:12" ht="63.75">
      <c r="A72" s="916" t="s">
        <v>58</v>
      </c>
      <c r="B72" s="157">
        <v>94276</v>
      </c>
      <c r="C72" s="157" t="s">
        <v>342</v>
      </c>
      <c r="D72" s="169" t="s">
        <v>30</v>
      </c>
      <c r="E72" s="157" t="s">
        <v>105</v>
      </c>
      <c r="F72" s="566">
        <f>'MEMORIA DE CÁLCULO'!J263</f>
        <v>11</v>
      </c>
      <c r="G72" s="166">
        <v>30.54</v>
      </c>
      <c r="H72" s="166">
        <f>ROUND(G72*0.2654,2)</f>
        <v>8.11</v>
      </c>
      <c r="I72" s="166">
        <f>G72+H72</f>
        <v>38.65</v>
      </c>
      <c r="J72" s="166">
        <f t="shared" si="6"/>
        <v>425.15</v>
      </c>
      <c r="K72" s="918">
        <f t="shared" si="0"/>
        <v>1.6581684110709681E-3</v>
      </c>
    </row>
    <row r="73" spans="1:12" ht="48.75" customHeight="1">
      <c r="A73" s="916" t="s">
        <v>58</v>
      </c>
      <c r="B73" s="157">
        <v>94993</v>
      </c>
      <c r="C73" s="157" t="s">
        <v>343</v>
      </c>
      <c r="D73" s="169" t="s">
        <v>31</v>
      </c>
      <c r="E73" s="157" t="s">
        <v>57</v>
      </c>
      <c r="F73" s="566">
        <f>'MEMORIA DE CÁLCULO'!J267</f>
        <v>26.84</v>
      </c>
      <c r="G73" s="166">
        <v>46.37</v>
      </c>
      <c r="H73" s="166">
        <f>ROUND(G73*0.2654,2)</f>
        <v>12.31</v>
      </c>
      <c r="I73" s="166">
        <f>G73+H73</f>
        <v>58.68</v>
      </c>
      <c r="J73" s="166">
        <f t="shared" si="6"/>
        <v>1574.97</v>
      </c>
      <c r="K73" s="918">
        <f t="shared" ref="K73:K97" si="7">J73/$J$99</f>
        <v>6.1426919966704524E-3</v>
      </c>
    </row>
    <row r="74" spans="1:12">
      <c r="A74" s="916"/>
      <c r="B74" s="157"/>
      <c r="C74" s="155"/>
      <c r="D74" s="169"/>
      <c r="E74" s="157"/>
      <c r="F74" s="157"/>
      <c r="G74" s="166"/>
      <c r="H74" s="166"/>
      <c r="I74" s="166"/>
      <c r="J74" s="166"/>
      <c r="K74" s="918"/>
    </row>
    <row r="75" spans="1:12">
      <c r="A75" s="916"/>
      <c r="B75" s="157"/>
      <c r="C75" s="161" t="s">
        <v>344</v>
      </c>
      <c r="D75" s="1" t="s">
        <v>32</v>
      </c>
      <c r="E75" s="64"/>
      <c r="F75" s="157"/>
      <c r="G75" s="166"/>
      <c r="H75" s="166"/>
      <c r="I75" s="166"/>
      <c r="J75" s="166"/>
      <c r="K75" s="918"/>
    </row>
    <row r="76" spans="1:12" ht="24" customHeight="1">
      <c r="A76" s="916"/>
      <c r="B76" s="157" t="s">
        <v>168</v>
      </c>
      <c r="C76" s="157" t="s">
        <v>345</v>
      </c>
      <c r="D76" s="169" t="s">
        <v>33</v>
      </c>
      <c r="E76" s="170" t="s">
        <v>104</v>
      </c>
      <c r="F76" s="566">
        <f>'MEMORIA DE CÁLCULO'!J272</f>
        <v>1</v>
      </c>
      <c r="G76" s="166">
        <f>PAI!I34</f>
        <v>262.98885642480002</v>
      </c>
      <c r="H76" s="201" t="s">
        <v>399</v>
      </c>
      <c r="I76" s="166">
        <f t="shared" ref="I76:I84" si="8">G76</f>
        <v>262.98885642480002</v>
      </c>
      <c r="J76" s="166">
        <f t="shared" ref="J76:J84" si="9">ROUND(I76*F76,2)</f>
        <v>262.99</v>
      </c>
      <c r="K76" s="918">
        <f t="shared" si="7"/>
        <v>1.0257125965601646E-3</v>
      </c>
    </row>
    <row r="77" spans="1:12" ht="27.75" customHeight="1">
      <c r="A77" s="916"/>
      <c r="B77" s="157" t="s">
        <v>169</v>
      </c>
      <c r="C77" s="157" t="s">
        <v>346</v>
      </c>
      <c r="D77" s="169" t="s">
        <v>34</v>
      </c>
      <c r="E77" s="170" t="s">
        <v>104</v>
      </c>
      <c r="F77" s="566">
        <f>'MEMORIA DE CÁLCULO'!J276</f>
        <v>20</v>
      </c>
      <c r="G77" s="166">
        <f>PAI!I72</f>
        <v>4.8425466059999991</v>
      </c>
      <c r="H77" s="201" t="s">
        <v>399</v>
      </c>
      <c r="I77" s="166">
        <f t="shared" si="8"/>
        <v>4.8425466059999991</v>
      </c>
      <c r="J77" s="166">
        <f t="shared" si="9"/>
        <v>96.85</v>
      </c>
      <c r="K77" s="918">
        <f t="shared" si="7"/>
        <v>3.7773400120480596E-4</v>
      </c>
    </row>
    <row r="78" spans="1:12" ht="28.5" customHeight="1">
      <c r="A78" s="916"/>
      <c r="B78" s="157" t="s">
        <v>170</v>
      </c>
      <c r="C78" s="157" t="s">
        <v>347</v>
      </c>
      <c r="D78" s="169" t="s">
        <v>885</v>
      </c>
      <c r="E78" s="170" t="s">
        <v>104</v>
      </c>
      <c r="F78" s="566">
        <f>'MEMORIA DE CÁLCULO'!J280</f>
        <v>30</v>
      </c>
      <c r="G78" s="166">
        <f>PAI!I111</f>
        <v>47.904728652000003</v>
      </c>
      <c r="H78" s="201" t="s">
        <v>399</v>
      </c>
      <c r="I78" s="166">
        <f t="shared" si="8"/>
        <v>47.904728652000003</v>
      </c>
      <c r="J78" s="166">
        <f t="shared" si="9"/>
        <v>1437.14</v>
      </c>
      <c r="K78" s="918">
        <f t="shared" si="7"/>
        <v>5.6051279555134215E-3</v>
      </c>
    </row>
    <row r="79" spans="1:12" ht="27" customHeight="1">
      <c r="A79" s="916"/>
      <c r="B79" s="157" t="s">
        <v>171</v>
      </c>
      <c r="C79" s="157" t="s">
        <v>348</v>
      </c>
      <c r="D79" s="169" t="s">
        <v>35</v>
      </c>
      <c r="E79" s="170" t="s">
        <v>104</v>
      </c>
      <c r="F79" s="566">
        <f>'MEMORIA DE CÁLCULO'!J284</f>
        <v>2</v>
      </c>
      <c r="G79" s="166">
        <f>PAI!I155</f>
        <v>198.71919042480002</v>
      </c>
      <c r="H79" s="201" t="s">
        <v>399</v>
      </c>
      <c r="I79" s="166">
        <f t="shared" si="8"/>
        <v>198.71919042480002</v>
      </c>
      <c r="J79" s="166">
        <f t="shared" si="9"/>
        <v>397.44</v>
      </c>
      <c r="K79" s="918">
        <f t="shared" si="7"/>
        <v>1.5500939745878997E-3</v>
      </c>
    </row>
    <row r="80" spans="1:12" ht="28.5" customHeight="1">
      <c r="A80" s="916"/>
      <c r="B80" s="157" t="s">
        <v>172</v>
      </c>
      <c r="C80" s="157" t="s">
        <v>349</v>
      </c>
      <c r="D80" s="169" t="s">
        <v>36</v>
      </c>
      <c r="E80" s="170" t="s">
        <v>104</v>
      </c>
      <c r="F80" s="566">
        <f>'MEMORIA DE CÁLCULO'!J288</f>
        <v>64</v>
      </c>
      <c r="G80" s="166">
        <f>PAI!I198</f>
        <v>78.363534290399997</v>
      </c>
      <c r="H80" s="201" t="s">
        <v>399</v>
      </c>
      <c r="I80" s="166">
        <f t="shared" si="8"/>
        <v>78.363534290399997</v>
      </c>
      <c r="J80" s="166">
        <f t="shared" si="9"/>
        <v>5015.2700000000004</v>
      </c>
      <c r="K80" s="918">
        <f t="shared" si="7"/>
        <v>1.9560536956349277E-2</v>
      </c>
    </row>
    <row r="81" spans="1:12" ht="28.5" customHeight="1">
      <c r="A81" s="916"/>
      <c r="B81" s="157" t="s">
        <v>173</v>
      </c>
      <c r="C81" s="157" t="s">
        <v>350</v>
      </c>
      <c r="D81" s="169" t="s">
        <v>37</v>
      </c>
      <c r="E81" s="170" t="s">
        <v>104</v>
      </c>
      <c r="F81" s="566">
        <f>'MEMORIA DE CÁLCULO'!J292</f>
        <v>25</v>
      </c>
      <c r="G81" s="166">
        <f>PAI!I240</f>
        <v>74.624107726800005</v>
      </c>
      <c r="H81" s="201" t="s">
        <v>399</v>
      </c>
      <c r="I81" s="166">
        <f t="shared" si="8"/>
        <v>74.624107726800005</v>
      </c>
      <c r="J81" s="166">
        <f t="shared" si="9"/>
        <v>1865.6</v>
      </c>
      <c r="K81" s="918">
        <f t="shared" si="7"/>
        <v>7.2762060159802374E-3</v>
      </c>
    </row>
    <row r="82" spans="1:12" ht="28.5" customHeight="1">
      <c r="A82" s="916"/>
      <c r="B82" s="157" t="s">
        <v>174</v>
      </c>
      <c r="C82" s="157" t="s">
        <v>351</v>
      </c>
      <c r="D82" s="169" t="s">
        <v>38</v>
      </c>
      <c r="E82" s="170" t="s">
        <v>104</v>
      </c>
      <c r="F82" s="566">
        <f>'MEMORIA DE CÁLCULO'!J296</f>
        <v>2</v>
      </c>
      <c r="G82" s="166">
        <f>PAI!I284</f>
        <v>210.07251107279995</v>
      </c>
      <c r="H82" s="201" t="s">
        <v>399</v>
      </c>
      <c r="I82" s="166">
        <f t="shared" si="8"/>
        <v>210.07251107279995</v>
      </c>
      <c r="J82" s="166">
        <f t="shared" si="9"/>
        <v>420.15</v>
      </c>
      <c r="K82" s="918">
        <f t="shared" si="7"/>
        <v>1.6386674301104721E-3</v>
      </c>
    </row>
    <row r="83" spans="1:12" ht="30" customHeight="1">
      <c r="A83" s="916"/>
      <c r="B83" s="157" t="s">
        <v>175</v>
      </c>
      <c r="C83" s="157" t="s">
        <v>352</v>
      </c>
      <c r="D83" s="169" t="s">
        <v>39</v>
      </c>
      <c r="E83" s="170" t="s">
        <v>104</v>
      </c>
      <c r="F83" s="566">
        <f>'MEMORIA DE CÁLCULO'!J300</f>
        <v>24</v>
      </c>
      <c r="G83" s="166">
        <f>PAI!I326</f>
        <v>33.770210652000003</v>
      </c>
      <c r="H83" s="201" t="s">
        <v>399</v>
      </c>
      <c r="I83" s="166">
        <f t="shared" si="8"/>
        <v>33.770210652000003</v>
      </c>
      <c r="J83" s="166">
        <f t="shared" si="9"/>
        <v>810.49</v>
      </c>
      <c r="K83" s="918">
        <f t="shared" si="7"/>
        <v>3.1610700117344678E-3</v>
      </c>
    </row>
    <row r="84" spans="1:12" ht="30" customHeight="1">
      <c r="A84" s="916"/>
      <c r="B84" s="157" t="s">
        <v>176</v>
      </c>
      <c r="C84" s="157" t="s">
        <v>353</v>
      </c>
      <c r="D84" s="169" t="s">
        <v>918</v>
      </c>
      <c r="E84" s="170" t="s">
        <v>104</v>
      </c>
      <c r="F84" s="566">
        <f>'MEMORIA DE CÁLCULO'!J304</f>
        <v>2</v>
      </c>
      <c r="G84" s="166">
        <f>PAI!I368</f>
        <v>267.91394507279995</v>
      </c>
      <c r="H84" s="201" t="s">
        <v>399</v>
      </c>
      <c r="I84" s="166">
        <f t="shared" si="8"/>
        <v>267.91394507279995</v>
      </c>
      <c r="J84" s="166">
        <f t="shared" si="9"/>
        <v>535.83000000000004</v>
      </c>
      <c r="K84" s="918">
        <f t="shared" si="7"/>
        <v>2.0898421256125058E-3</v>
      </c>
    </row>
    <row r="85" spans="1:12">
      <c r="A85" s="916"/>
      <c r="B85" s="157"/>
      <c r="C85" s="161" t="s">
        <v>355</v>
      </c>
      <c r="D85" s="576" t="s">
        <v>40</v>
      </c>
      <c r="E85" s="157"/>
      <c r="F85" s="157"/>
      <c r="G85" s="166"/>
      <c r="H85" s="166"/>
      <c r="I85" s="166"/>
      <c r="J85" s="166"/>
      <c r="K85" s="918"/>
      <c r="L85" s="716">
        <f>SUM(J76:J84)</f>
        <v>10841.76</v>
      </c>
    </row>
    <row r="86" spans="1:12" ht="51" customHeight="1">
      <c r="A86" s="916"/>
      <c r="B86" s="157" t="s">
        <v>177</v>
      </c>
      <c r="C86" s="157" t="s">
        <v>356</v>
      </c>
      <c r="D86" s="169" t="s">
        <v>1055</v>
      </c>
      <c r="E86" s="157" t="s">
        <v>104</v>
      </c>
      <c r="F86" s="566">
        <f>'MEMORIA DE CÁLCULO'!J309</f>
        <v>4</v>
      </c>
      <c r="G86" s="166">
        <f>LIX!I37</f>
        <v>303.38521775999999</v>
      </c>
      <c r="H86" s="201" t="s">
        <v>399</v>
      </c>
      <c r="I86" s="166">
        <f>G86</f>
        <v>303.38521775999999</v>
      </c>
      <c r="J86" s="166">
        <f>ROUND(I86*F86,2)</f>
        <v>1213.54</v>
      </c>
      <c r="K86" s="918">
        <f t="shared" si="7"/>
        <v>4.7330440869600438E-3</v>
      </c>
    </row>
    <row r="87" spans="1:12" ht="41.25" customHeight="1">
      <c r="A87" s="916" t="s">
        <v>56</v>
      </c>
      <c r="B87" s="157">
        <v>210304</v>
      </c>
      <c r="C87" s="157" t="s">
        <v>357</v>
      </c>
      <c r="D87" s="169" t="s">
        <v>354</v>
      </c>
      <c r="E87" s="157" t="s">
        <v>105</v>
      </c>
      <c r="F87" s="566">
        <f>'MEMORIA DE CÁLCULO'!J313</f>
        <v>12</v>
      </c>
      <c r="G87" s="166">
        <v>177.06</v>
      </c>
      <c r="H87" s="166">
        <f>ROUND(G87*0.2654,2)</f>
        <v>46.99</v>
      </c>
      <c r="I87" s="166">
        <f>G87+H87</f>
        <v>224.05</v>
      </c>
      <c r="J87" s="166">
        <f>ROUND(I87*F87,2)</f>
        <v>2688.6</v>
      </c>
      <c r="K87" s="918">
        <f t="shared" si="7"/>
        <v>1.0486067482077865E-2</v>
      </c>
    </row>
    <row r="88" spans="1:12" ht="108" customHeight="1">
      <c r="A88" s="916"/>
      <c r="B88" s="157" t="s">
        <v>957</v>
      </c>
      <c r="C88" s="157" t="s">
        <v>358</v>
      </c>
      <c r="D88" s="169" t="s">
        <v>1078</v>
      </c>
      <c r="E88" s="170" t="s">
        <v>104</v>
      </c>
      <c r="F88" s="566">
        <f>'MEMORIA DE CÁLCULO'!J317</f>
        <v>2</v>
      </c>
      <c r="G88" s="166">
        <f>'COMP-06'!I54</f>
        <v>5734.4376553668008</v>
      </c>
      <c r="H88" s="201" t="s">
        <v>399</v>
      </c>
      <c r="I88" s="166">
        <f t="shared" ref="I88:I93" si="10">G88</f>
        <v>5734.4376553668008</v>
      </c>
      <c r="J88" s="166">
        <f>ROUND(I88*F88,2)</f>
        <v>11468.88</v>
      </c>
      <c r="K88" s="918">
        <f t="shared" si="7"/>
        <v>4.473088210364249E-2</v>
      </c>
    </row>
    <row r="89" spans="1:12" ht="76.5">
      <c r="A89" s="916"/>
      <c r="B89" s="157" t="s">
        <v>959</v>
      </c>
      <c r="C89" s="157" t="s">
        <v>359</v>
      </c>
      <c r="D89" s="169" t="s">
        <v>1052</v>
      </c>
      <c r="E89" s="170" t="s">
        <v>104</v>
      </c>
      <c r="F89" s="566">
        <f>'MEMORIA DE CÁLCULO'!J321</f>
        <v>1</v>
      </c>
      <c r="G89" s="166">
        <f>'COMP-07'!I44</f>
        <v>2653.758918</v>
      </c>
      <c r="H89" s="201" t="s">
        <v>399</v>
      </c>
      <c r="I89" s="166">
        <f t="shared" si="10"/>
        <v>2653.758918</v>
      </c>
      <c r="J89" s="166">
        <f>ROUND(I89*F89,2)</f>
        <v>2653.76</v>
      </c>
      <c r="K89" s="918">
        <f t="shared" si="7"/>
        <v>1.0350184646745132E-2</v>
      </c>
    </row>
    <row r="90" spans="1:12" ht="141" customHeight="1">
      <c r="A90" s="916"/>
      <c r="B90" s="157" t="s">
        <v>960</v>
      </c>
      <c r="C90" s="157" t="s">
        <v>360</v>
      </c>
      <c r="D90" s="169" t="s">
        <v>1071</v>
      </c>
      <c r="E90" s="170" t="s">
        <v>104</v>
      </c>
      <c r="F90" s="148">
        <f>'MEMORIA DE CÁLCULO'!J325</f>
        <v>2</v>
      </c>
      <c r="G90" s="166">
        <f>'COMP-08'!I55</f>
        <v>7078.3323395094003</v>
      </c>
      <c r="H90" s="201" t="s">
        <v>399</v>
      </c>
      <c r="I90" s="166">
        <f t="shared" si="10"/>
        <v>7078.3323395094003</v>
      </c>
      <c r="J90" s="166">
        <f>F90*I90</f>
        <v>14156.664679018801</v>
      </c>
      <c r="K90" s="918">
        <f t="shared" si="7"/>
        <v>5.5213769673934147E-2</v>
      </c>
    </row>
    <row r="91" spans="1:12" ht="43.5" customHeight="1">
      <c r="A91" s="916"/>
      <c r="B91" s="157" t="s">
        <v>961</v>
      </c>
      <c r="C91" s="157" t="s">
        <v>361</v>
      </c>
      <c r="D91" s="169" t="s">
        <v>181</v>
      </c>
      <c r="E91" s="170" t="s">
        <v>104</v>
      </c>
      <c r="F91" s="566">
        <f>'MEMORIA DE CÁLCULO'!J329</f>
        <v>2</v>
      </c>
      <c r="G91" s="166">
        <f>'COMP-09'!I42</f>
        <v>1100.93014141308</v>
      </c>
      <c r="H91" s="201" t="s">
        <v>399</v>
      </c>
      <c r="I91" s="166">
        <f t="shared" si="10"/>
        <v>1100.93014141308</v>
      </c>
      <c r="J91" s="166">
        <f>I91*F91</f>
        <v>2201.8602828261601</v>
      </c>
      <c r="K91" s="918">
        <f t="shared" si="7"/>
        <v>8.5876870906130224E-3</v>
      </c>
      <c r="L91" s="716"/>
    </row>
    <row r="92" spans="1:12" ht="140.25">
      <c r="A92" s="916"/>
      <c r="B92" s="157" t="s">
        <v>962</v>
      </c>
      <c r="C92" s="157" t="s">
        <v>362</v>
      </c>
      <c r="D92" s="169" t="s">
        <v>182</v>
      </c>
      <c r="E92" s="170" t="s">
        <v>104</v>
      </c>
      <c r="F92" s="566">
        <f>'MEMORIA DE CÁLCULO'!J333</f>
        <v>1</v>
      </c>
      <c r="G92" s="166">
        <f>'COMP-10'!I51</f>
        <v>10112.213797199998</v>
      </c>
      <c r="H92" s="201" t="s">
        <v>399</v>
      </c>
      <c r="I92" s="166">
        <f t="shared" si="10"/>
        <v>10112.213797199998</v>
      </c>
      <c r="J92" s="166">
        <f>I92*F92</f>
        <v>10112.213797199998</v>
      </c>
      <c r="K92" s="918">
        <f t="shared" si="7"/>
        <v>3.9439617745532264E-2</v>
      </c>
    </row>
    <row r="93" spans="1:12" ht="156.75" customHeight="1" thickBot="1">
      <c r="A93" s="916"/>
      <c r="B93" s="157" t="s">
        <v>963</v>
      </c>
      <c r="C93" s="157" t="s">
        <v>363</v>
      </c>
      <c r="D93" s="574" t="s">
        <v>1069</v>
      </c>
      <c r="E93" s="170" t="s">
        <v>104</v>
      </c>
      <c r="F93" s="566">
        <f>'MEMORIA DE CÁLCULO'!J337</f>
        <v>1</v>
      </c>
      <c r="G93" s="166">
        <f>'COMP-11'!I53</f>
        <v>38861.479686910796</v>
      </c>
      <c r="H93" s="201" t="s">
        <v>399</v>
      </c>
      <c r="I93" s="166">
        <f t="shared" si="10"/>
        <v>38861.479686910796</v>
      </c>
      <c r="J93" s="166">
        <f>F93*I93</f>
        <v>38861.479686910796</v>
      </c>
      <c r="K93" s="918">
        <f t="shared" si="7"/>
        <v>0.15156739509422928</v>
      </c>
    </row>
    <row r="94" spans="1:12" ht="15.75" thickBot="1">
      <c r="A94" s="149"/>
      <c r="B94" s="159"/>
      <c r="C94" s="159"/>
      <c r="D94" s="150" t="s">
        <v>825</v>
      </c>
      <c r="E94" s="151"/>
      <c r="F94" s="152"/>
      <c r="G94" s="165"/>
      <c r="H94" s="200"/>
      <c r="I94" s="165"/>
      <c r="J94" s="165">
        <f>SUM(J63:J93)</f>
        <v>129619.17844595575</v>
      </c>
      <c r="K94" s="712">
        <f t="shared" si="7"/>
        <v>0.50554022619794126</v>
      </c>
    </row>
    <row r="95" spans="1:12">
      <c r="A95" s="916"/>
      <c r="B95" s="157"/>
      <c r="C95" s="5" t="s">
        <v>365</v>
      </c>
      <c r="D95" s="1" t="s">
        <v>41</v>
      </c>
      <c r="E95" s="157"/>
      <c r="F95" s="157"/>
      <c r="G95" s="166"/>
      <c r="H95" s="166"/>
      <c r="I95" s="166"/>
      <c r="J95" s="166"/>
      <c r="K95" s="918"/>
    </row>
    <row r="96" spans="1:12" ht="15.75" thickBot="1">
      <c r="A96" s="920" t="s">
        <v>56</v>
      </c>
      <c r="B96" s="699">
        <v>200402</v>
      </c>
      <c r="C96" s="699" t="s">
        <v>1059</v>
      </c>
      <c r="D96" s="706" t="s">
        <v>42</v>
      </c>
      <c r="E96" s="699" t="s">
        <v>57</v>
      </c>
      <c r="F96" s="707">
        <f>'MEMORIA DE CÁLCULO'!J348</f>
        <v>518.76</v>
      </c>
      <c r="G96" s="700">
        <v>0.76</v>
      </c>
      <c r="H96" s="700">
        <f>ROUND(G96*0.2654,2)</f>
        <v>0.2</v>
      </c>
      <c r="I96" s="700">
        <f>G96+H96</f>
        <v>0.96</v>
      </c>
      <c r="J96" s="700">
        <f>ROUND(I96*F96,2)</f>
        <v>498.01</v>
      </c>
      <c r="K96" s="921">
        <f t="shared" si="7"/>
        <v>1.9423367056273146E-3</v>
      </c>
    </row>
    <row r="97" spans="1:12" ht="15.75" thickBot="1">
      <c r="A97" s="149"/>
      <c r="B97" s="159"/>
      <c r="C97" s="159"/>
      <c r="D97" s="150" t="s">
        <v>1029</v>
      </c>
      <c r="E97" s="151"/>
      <c r="F97" s="152"/>
      <c r="G97" s="165"/>
      <c r="H97" s="200"/>
      <c r="I97" s="165"/>
      <c r="J97" s="165">
        <f>SUM(J96)</f>
        <v>498.01</v>
      </c>
      <c r="K97" s="712">
        <f t="shared" si="7"/>
        <v>1.9423367056273146E-3</v>
      </c>
    </row>
    <row r="98" spans="1:12" ht="15.75" thickBot="1">
      <c r="A98" s="922"/>
      <c r="B98" s="708"/>
      <c r="C98" s="709"/>
      <c r="D98" s="710"/>
      <c r="E98" s="708"/>
      <c r="F98" s="708"/>
      <c r="G98" s="711"/>
      <c r="H98" s="711"/>
      <c r="I98" s="711"/>
      <c r="J98" s="711"/>
      <c r="K98" s="923"/>
    </row>
    <row r="99" spans="1:12" ht="15.75" thickBot="1">
      <c r="A99" s="1240" t="s">
        <v>1024</v>
      </c>
      <c r="B99" s="1241"/>
      <c r="C99" s="1241"/>
      <c r="D99" s="1241"/>
      <c r="E99" s="1241"/>
      <c r="F99" s="1241"/>
      <c r="G99" s="1241"/>
      <c r="H99" s="1241"/>
      <c r="I99" s="1242"/>
      <c r="J99" s="705">
        <f>SUM(J7:J98)/2</f>
        <v>256397.35817027572</v>
      </c>
      <c r="K99" s="731">
        <f>SUM(K7:K97)/2</f>
        <v>1</v>
      </c>
    </row>
    <row r="100" spans="1:12">
      <c r="A100" s="924"/>
      <c r="B100" s="701"/>
      <c r="C100" s="702"/>
      <c r="D100" s="703"/>
      <c r="E100" s="701"/>
      <c r="F100" s="701"/>
      <c r="G100" s="704"/>
      <c r="H100" s="704"/>
      <c r="I100" s="704"/>
      <c r="J100" s="704"/>
      <c r="K100" s="925"/>
    </row>
    <row r="101" spans="1:12" ht="15.75" thickBot="1">
      <c r="A101" s="926"/>
      <c r="B101" s="927"/>
      <c r="C101" s="928"/>
      <c r="D101" s="929"/>
      <c r="E101" s="927"/>
      <c r="F101" s="927"/>
      <c r="G101" s="930"/>
      <c r="H101" s="930"/>
      <c r="I101" s="930"/>
      <c r="J101" s="930"/>
      <c r="K101" s="931"/>
    </row>
    <row r="102" spans="1:12">
      <c r="A102" s="732"/>
      <c r="B102" s="732"/>
      <c r="C102" s="733"/>
      <c r="D102" s="734"/>
      <c r="E102" s="732"/>
      <c r="F102" s="732"/>
      <c r="G102" s="735"/>
      <c r="H102" s="735"/>
      <c r="I102" s="735"/>
      <c r="J102" s="735"/>
      <c r="K102" s="732"/>
    </row>
    <row r="103" spans="1:12">
      <c r="A103" s="732"/>
      <c r="B103" s="732"/>
      <c r="C103" s="733"/>
      <c r="D103" s="734"/>
      <c r="E103" s="732"/>
      <c r="F103" s="732"/>
      <c r="G103" s="735"/>
      <c r="H103" s="735"/>
      <c r="I103" s="735"/>
      <c r="J103" s="877">
        <v>222857.14</v>
      </c>
      <c r="K103" s="732"/>
    </row>
    <row r="104" spans="1:12">
      <c r="A104" s="732"/>
      <c r="B104" s="732"/>
      <c r="C104" s="733"/>
      <c r="D104" s="734"/>
      <c r="E104" s="732"/>
      <c r="F104" s="732"/>
      <c r="G104" s="735"/>
      <c r="H104" s="735"/>
      <c r="I104" s="735"/>
      <c r="J104" s="735">
        <f>J99-J103</f>
        <v>33540.218170275708</v>
      </c>
      <c r="K104" s="732"/>
    </row>
    <row r="105" spans="1:12">
      <c r="A105" s="732"/>
      <c r="B105" s="732"/>
      <c r="C105" s="733"/>
      <c r="D105" s="734"/>
      <c r="E105" s="732"/>
      <c r="F105" s="732"/>
      <c r="G105" s="735"/>
      <c r="H105" s="735"/>
      <c r="I105" s="735"/>
      <c r="J105" s="735"/>
      <c r="K105" s="732"/>
    </row>
    <row r="106" spans="1:12">
      <c r="A106" s="732"/>
      <c r="B106" s="732"/>
      <c r="C106" s="733"/>
      <c r="D106" s="734"/>
      <c r="E106" s="732"/>
      <c r="F106" s="732"/>
      <c r="G106" s="735"/>
      <c r="H106" s="735"/>
      <c r="I106" s="735"/>
      <c r="J106" s="735"/>
      <c r="K106" s="732"/>
    </row>
    <row r="107" spans="1:12">
      <c r="A107" s="732"/>
      <c r="B107" s="732"/>
      <c r="C107" s="733"/>
      <c r="D107" s="734"/>
      <c r="E107" s="732"/>
      <c r="F107" s="732"/>
      <c r="G107" s="735"/>
      <c r="H107" s="735"/>
      <c r="I107" s="735"/>
      <c r="J107" s="735"/>
      <c r="K107" s="732"/>
      <c r="L107" s="716"/>
    </row>
    <row r="108" spans="1:12">
      <c r="A108" s="732"/>
      <c r="B108" s="732"/>
      <c r="C108" s="733"/>
      <c r="D108" s="734"/>
      <c r="E108" s="732"/>
      <c r="F108" s="732"/>
      <c r="G108" s="735"/>
      <c r="H108" s="735"/>
      <c r="I108" s="735"/>
      <c r="J108" s="735"/>
      <c r="K108" s="732"/>
    </row>
    <row r="109" spans="1:12">
      <c r="A109" s="732"/>
      <c r="B109" s="732"/>
      <c r="C109" s="733"/>
      <c r="D109" s="734"/>
      <c r="E109" s="732"/>
      <c r="F109" s="732"/>
      <c r="G109" s="735"/>
      <c r="H109" s="735"/>
      <c r="I109" s="735"/>
      <c r="J109" s="735"/>
      <c r="K109" s="732"/>
    </row>
  </sheetData>
  <mergeCells count="8">
    <mergeCell ref="A99:I99"/>
    <mergeCell ref="A1:K1"/>
    <mergeCell ref="A2:D2"/>
    <mergeCell ref="A3:E3"/>
    <mergeCell ref="A5:K5"/>
    <mergeCell ref="G3:K3"/>
    <mergeCell ref="G2:K2"/>
    <mergeCell ref="G4:K4"/>
  </mergeCells>
  <pageMargins left="0.31496062992125984" right="0.31496062992125984" top="0.59055118110236227" bottom="0.59055118110236227" header="0.31496062992125984" footer="0.31496062992125984"/>
  <pageSetup paperSize="9" scale="55" fitToHeight="0" orientation="portrait" r:id="rId1"/>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D38"/>
  <sheetViews>
    <sheetView view="pageBreakPreview" zoomScaleNormal="100" zoomScaleSheetLayoutView="100" workbookViewId="0">
      <selection activeCell="X22" sqref="X22"/>
    </sheetView>
  </sheetViews>
  <sheetFormatPr defaultRowHeight="12.75"/>
  <cols>
    <col min="1" max="1" width="2" style="748" customWidth="1"/>
    <col min="2" max="2" width="4.28515625" style="748" customWidth="1"/>
    <col min="3" max="3" width="2.7109375" style="748" customWidth="1"/>
    <col min="4" max="4" width="3" style="748" customWidth="1"/>
    <col min="5" max="6" width="2.7109375" style="748" customWidth="1"/>
    <col min="7" max="7" width="12.5703125" style="748" customWidth="1"/>
    <col min="8" max="10" width="2.7109375" style="748" customWidth="1"/>
    <col min="11" max="11" width="13.140625" style="748" customWidth="1"/>
    <col min="12" max="12" width="9.5703125" style="748" customWidth="1"/>
    <col min="13" max="13" width="4.5703125" style="748" hidden="1" customWidth="1"/>
    <col min="14" max="14" width="2" style="748" hidden="1" customWidth="1"/>
    <col min="15" max="15" width="15.7109375" style="748" customWidth="1"/>
    <col min="16" max="16" width="4.5703125" style="748" hidden="1" customWidth="1"/>
    <col min="17" max="17" width="5.28515625" style="748" hidden="1" customWidth="1"/>
    <col min="18" max="18" width="13" style="748" customWidth="1"/>
    <col min="19" max="19" width="15.7109375" style="748" customWidth="1"/>
    <col min="20" max="20" width="3.28515625" style="748" hidden="1" customWidth="1"/>
    <col min="21" max="21" width="7.7109375" style="748" customWidth="1"/>
    <col min="22" max="22" width="15.7109375" style="748" customWidth="1"/>
    <col min="23" max="24" width="7.7109375" style="748" customWidth="1"/>
    <col min="25" max="25" width="20" style="748" customWidth="1"/>
    <col min="26" max="26" width="7.7109375" style="875" customWidth="1"/>
    <col min="27" max="27" width="13.140625" style="875" customWidth="1"/>
    <col min="28" max="28" width="19.28515625" style="748" hidden="1" customWidth="1"/>
    <col min="29" max="30" width="9.140625" style="748"/>
    <col min="31" max="31" width="10" style="748" bestFit="1" customWidth="1"/>
    <col min="32" max="256" width="9.140625" style="748"/>
    <col min="257" max="257" width="2" style="748" customWidth="1"/>
    <col min="258" max="258" width="4.28515625" style="748" customWidth="1"/>
    <col min="259" max="259" width="2.7109375" style="748" customWidth="1"/>
    <col min="260" max="260" width="3" style="748" customWidth="1"/>
    <col min="261" max="262" width="2.7109375" style="748" customWidth="1"/>
    <col min="263" max="263" width="7.42578125" style="748" customWidth="1"/>
    <col min="264" max="266" width="2.7109375" style="748" customWidth="1"/>
    <col min="267" max="267" width="13.140625" style="748" customWidth="1"/>
    <col min="268" max="268" width="9.5703125" style="748" customWidth="1"/>
    <col min="269" max="270" width="0" style="748" hidden="1" customWidth="1"/>
    <col min="271" max="271" width="15.7109375" style="748" customWidth="1"/>
    <col min="272" max="273" width="0" style="748" hidden="1" customWidth="1"/>
    <col min="274" max="274" width="8.5703125" style="748" customWidth="1"/>
    <col min="275" max="275" width="15.7109375" style="748" customWidth="1"/>
    <col min="276" max="276" width="0" style="748" hidden="1" customWidth="1"/>
    <col min="277" max="277" width="7.7109375" style="748" customWidth="1"/>
    <col min="278" max="278" width="15.7109375" style="748" customWidth="1"/>
    <col min="279" max="280" width="7.7109375" style="748" customWidth="1"/>
    <col min="281" max="281" width="20" style="748" customWidth="1"/>
    <col min="282" max="282" width="9" style="748" customWidth="1"/>
    <col min="283" max="283" width="12.28515625" style="748" bestFit="1" customWidth="1"/>
    <col min="284" max="284" width="0" style="748" hidden="1" customWidth="1"/>
    <col min="285" max="286" width="9.140625" style="748"/>
    <col min="287" max="287" width="10" style="748" bestFit="1" customWidth="1"/>
    <col min="288" max="512" width="9.140625" style="748"/>
    <col min="513" max="513" width="2" style="748" customWidth="1"/>
    <col min="514" max="514" width="4.28515625" style="748" customWidth="1"/>
    <col min="515" max="515" width="2.7109375" style="748" customWidth="1"/>
    <col min="516" max="516" width="3" style="748" customWidth="1"/>
    <col min="517" max="518" width="2.7109375" style="748" customWidth="1"/>
    <col min="519" max="519" width="7.42578125" style="748" customWidth="1"/>
    <col min="520" max="522" width="2.7109375" style="748" customWidth="1"/>
    <col min="523" max="523" width="13.140625" style="748" customWidth="1"/>
    <col min="524" max="524" width="9.5703125" style="748" customWidth="1"/>
    <col min="525" max="526" width="0" style="748" hidden="1" customWidth="1"/>
    <col min="527" max="527" width="15.7109375" style="748" customWidth="1"/>
    <col min="528" max="529" width="0" style="748" hidden="1" customWidth="1"/>
    <col min="530" max="530" width="8.5703125" style="748" customWidth="1"/>
    <col min="531" max="531" width="15.7109375" style="748" customWidth="1"/>
    <col min="532" max="532" width="0" style="748" hidden="1" customWidth="1"/>
    <col min="533" max="533" width="7.7109375" style="748" customWidth="1"/>
    <col min="534" max="534" width="15.7109375" style="748" customWidth="1"/>
    <col min="535" max="536" width="7.7109375" style="748" customWidth="1"/>
    <col min="537" max="537" width="20" style="748" customWidth="1"/>
    <col min="538" max="538" width="9" style="748" customWidth="1"/>
    <col min="539" max="539" width="12.28515625" style="748" bestFit="1" customWidth="1"/>
    <col min="540" max="540" width="0" style="748" hidden="1" customWidth="1"/>
    <col min="541" max="542" width="9.140625" style="748"/>
    <col min="543" max="543" width="10" style="748" bestFit="1" customWidth="1"/>
    <col min="544" max="768" width="9.140625" style="748"/>
    <col min="769" max="769" width="2" style="748" customWidth="1"/>
    <col min="770" max="770" width="4.28515625" style="748" customWidth="1"/>
    <col min="771" max="771" width="2.7109375" style="748" customWidth="1"/>
    <col min="772" max="772" width="3" style="748" customWidth="1"/>
    <col min="773" max="774" width="2.7109375" style="748" customWidth="1"/>
    <col min="775" max="775" width="7.42578125" style="748" customWidth="1"/>
    <col min="776" max="778" width="2.7109375" style="748" customWidth="1"/>
    <col min="779" max="779" width="13.140625" style="748" customWidth="1"/>
    <col min="780" max="780" width="9.5703125" style="748" customWidth="1"/>
    <col min="781" max="782" width="0" style="748" hidden="1" customWidth="1"/>
    <col min="783" max="783" width="15.7109375" style="748" customWidth="1"/>
    <col min="784" max="785" width="0" style="748" hidden="1" customWidth="1"/>
    <col min="786" max="786" width="8.5703125" style="748" customWidth="1"/>
    <col min="787" max="787" width="15.7109375" style="748" customWidth="1"/>
    <col min="788" max="788" width="0" style="748" hidden="1" customWidth="1"/>
    <col min="789" max="789" width="7.7109375" style="748" customWidth="1"/>
    <col min="790" max="790" width="15.7109375" style="748" customWidth="1"/>
    <col min="791" max="792" width="7.7109375" style="748" customWidth="1"/>
    <col min="793" max="793" width="20" style="748" customWidth="1"/>
    <col min="794" max="794" width="9" style="748" customWidth="1"/>
    <col min="795" max="795" width="12.28515625" style="748" bestFit="1" customWidth="1"/>
    <col min="796" max="796" width="0" style="748" hidden="1" customWidth="1"/>
    <col min="797" max="798" width="9.140625" style="748"/>
    <col min="799" max="799" width="10" style="748" bestFit="1" customWidth="1"/>
    <col min="800" max="1024" width="9.140625" style="748"/>
    <col min="1025" max="1025" width="2" style="748" customWidth="1"/>
    <col min="1026" max="1026" width="4.28515625" style="748" customWidth="1"/>
    <col min="1027" max="1027" width="2.7109375" style="748" customWidth="1"/>
    <col min="1028" max="1028" width="3" style="748" customWidth="1"/>
    <col min="1029" max="1030" width="2.7109375" style="748" customWidth="1"/>
    <col min="1031" max="1031" width="7.42578125" style="748" customWidth="1"/>
    <col min="1032" max="1034" width="2.7109375" style="748" customWidth="1"/>
    <col min="1035" max="1035" width="13.140625" style="748" customWidth="1"/>
    <col min="1036" max="1036" width="9.5703125" style="748" customWidth="1"/>
    <col min="1037" max="1038" width="0" style="748" hidden="1" customWidth="1"/>
    <col min="1039" max="1039" width="15.7109375" style="748" customWidth="1"/>
    <col min="1040" max="1041" width="0" style="748" hidden="1" customWidth="1"/>
    <col min="1042" max="1042" width="8.5703125" style="748" customWidth="1"/>
    <col min="1043" max="1043" width="15.7109375" style="748" customWidth="1"/>
    <col min="1044" max="1044" width="0" style="748" hidden="1" customWidth="1"/>
    <col min="1045" max="1045" width="7.7109375" style="748" customWidth="1"/>
    <col min="1046" max="1046" width="15.7109375" style="748" customWidth="1"/>
    <col min="1047" max="1048" width="7.7109375" style="748" customWidth="1"/>
    <col min="1049" max="1049" width="20" style="748" customWidth="1"/>
    <col min="1050" max="1050" width="9" style="748" customWidth="1"/>
    <col min="1051" max="1051" width="12.28515625" style="748" bestFit="1" customWidth="1"/>
    <col min="1052" max="1052" width="0" style="748" hidden="1" customWidth="1"/>
    <col min="1053" max="1054" width="9.140625" style="748"/>
    <col min="1055" max="1055" width="10" style="748" bestFit="1" customWidth="1"/>
    <col min="1056" max="1280" width="9.140625" style="748"/>
    <col min="1281" max="1281" width="2" style="748" customWidth="1"/>
    <col min="1282" max="1282" width="4.28515625" style="748" customWidth="1"/>
    <col min="1283" max="1283" width="2.7109375" style="748" customWidth="1"/>
    <col min="1284" max="1284" width="3" style="748" customWidth="1"/>
    <col min="1285" max="1286" width="2.7109375" style="748" customWidth="1"/>
    <col min="1287" max="1287" width="7.42578125" style="748" customWidth="1"/>
    <col min="1288" max="1290" width="2.7109375" style="748" customWidth="1"/>
    <col min="1291" max="1291" width="13.140625" style="748" customWidth="1"/>
    <col min="1292" max="1292" width="9.5703125" style="748" customWidth="1"/>
    <col min="1293" max="1294" width="0" style="748" hidden="1" customWidth="1"/>
    <col min="1295" max="1295" width="15.7109375" style="748" customWidth="1"/>
    <col min="1296" max="1297" width="0" style="748" hidden="1" customWidth="1"/>
    <col min="1298" max="1298" width="8.5703125" style="748" customWidth="1"/>
    <col min="1299" max="1299" width="15.7109375" style="748" customWidth="1"/>
    <col min="1300" max="1300" width="0" style="748" hidden="1" customWidth="1"/>
    <col min="1301" max="1301" width="7.7109375" style="748" customWidth="1"/>
    <col min="1302" max="1302" width="15.7109375" style="748" customWidth="1"/>
    <col min="1303" max="1304" width="7.7109375" style="748" customWidth="1"/>
    <col min="1305" max="1305" width="20" style="748" customWidth="1"/>
    <col min="1306" max="1306" width="9" style="748" customWidth="1"/>
    <col min="1307" max="1307" width="12.28515625" style="748" bestFit="1" customWidth="1"/>
    <col min="1308" max="1308" width="0" style="748" hidden="1" customWidth="1"/>
    <col min="1309" max="1310" width="9.140625" style="748"/>
    <col min="1311" max="1311" width="10" style="748" bestFit="1" customWidth="1"/>
    <col min="1312" max="1536" width="9.140625" style="748"/>
    <col min="1537" max="1537" width="2" style="748" customWidth="1"/>
    <col min="1538" max="1538" width="4.28515625" style="748" customWidth="1"/>
    <col min="1539" max="1539" width="2.7109375" style="748" customWidth="1"/>
    <col min="1540" max="1540" width="3" style="748" customWidth="1"/>
    <col min="1541" max="1542" width="2.7109375" style="748" customWidth="1"/>
    <col min="1543" max="1543" width="7.42578125" style="748" customWidth="1"/>
    <col min="1544" max="1546" width="2.7109375" style="748" customWidth="1"/>
    <col min="1547" max="1547" width="13.140625" style="748" customWidth="1"/>
    <col min="1548" max="1548" width="9.5703125" style="748" customWidth="1"/>
    <col min="1549" max="1550" width="0" style="748" hidden="1" customWidth="1"/>
    <col min="1551" max="1551" width="15.7109375" style="748" customWidth="1"/>
    <col min="1552" max="1553" width="0" style="748" hidden="1" customWidth="1"/>
    <col min="1554" max="1554" width="8.5703125" style="748" customWidth="1"/>
    <col min="1555" max="1555" width="15.7109375" style="748" customWidth="1"/>
    <col min="1556" max="1556" width="0" style="748" hidden="1" customWidth="1"/>
    <col min="1557" max="1557" width="7.7109375" style="748" customWidth="1"/>
    <col min="1558" max="1558" width="15.7109375" style="748" customWidth="1"/>
    <col min="1559" max="1560" width="7.7109375" style="748" customWidth="1"/>
    <col min="1561" max="1561" width="20" style="748" customWidth="1"/>
    <col min="1562" max="1562" width="9" style="748" customWidth="1"/>
    <col min="1563" max="1563" width="12.28515625" style="748" bestFit="1" customWidth="1"/>
    <col min="1564" max="1564" width="0" style="748" hidden="1" customWidth="1"/>
    <col min="1565" max="1566" width="9.140625" style="748"/>
    <col min="1567" max="1567" width="10" style="748" bestFit="1" customWidth="1"/>
    <col min="1568" max="1792" width="9.140625" style="748"/>
    <col min="1793" max="1793" width="2" style="748" customWidth="1"/>
    <col min="1794" max="1794" width="4.28515625" style="748" customWidth="1"/>
    <col min="1795" max="1795" width="2.7109375" style="748" customWidth="1"/>
    <col min="1796" max="1796" width="3" style="748" customWidth="1"/>
    <col min="1797" max="1798" width="2.7109375" style="748" customWidth="1"/>
    <col min="1799" max="1799" width="7.42578125" style="748" customWidth="1"/>
    <col min="1800" max="1802" width="2.7109375" style="748" customWidth="1"/>
    <col min="1803" max="1803" width="13.140625" style="748" customWidth="1"/>
    <col min="1804" max="1804" width="9.5703125" style="748" customWidth="1"/>
    <col min="1805" max="1806" width="0" style="748" hidden="1" customWidth="1"/>
    <col min="1807" max="1807" width="15.7109375" style="748" customWidth="1"/>
    <col min="1808" max="1809" width="0" style="748" hidden="1" customWidth="1"/>
    <col min="1810" max="1810" width="8.5703125" style="748" customWidth="1"/>
    <col min="1811" max="1811" width="15.7109375" style="748" customWidth="1"/>
    <col min="1812" max="1812" width="0" style="748" hidden="1" customWidth="1"/>
    <col min="1813" max="1813" width="7.7109375" style="748" customWidth="1"/>
    <col min="1814" max="1814" width="15.7109375" style="748" customWidth="1"/>
    <col min="1815" max="1816" width="7.7109375" style="748" customWidth="1"/>
    <col min="1817" max="1817" width="20" style="748" customWidth="1"/>
    <col min="1818" max="1818" width="9" style="748" customWidth="1"/>
    <col min="1819" max="1819" width="12.28515625" style="748" bestFit="1" customWidth="1"/>
    <col min="1820" max="1820" width="0" style="748" hidden="1" customWidth="1"/>
    <col min="1821" max="1822" width="9.140625" style="748"/>
    <col min="1823" max="1823" width="10" style="748" bestFit="1" customWidth="1"/>
    <col min="1824" max="2048" width="9.140625" style="748"/>
    <col min="2049" max="2049" width="2" style="748" customWidth="1"/>
    <col min="2050" max="2050" width="4.28515625" style="748" customWidth="1"/>
    <col min="2051" max="2051" width="2.7109375" style="748" customWidth="1"/>
    <col min="2052" max="2052" width="3" style="748" customWidth="1"/>
    <col min="2053" max="2054" width="2.7109375" style="748" customWidth="1"/>
    <col min="2055" max="2055" width="7.42578125" style="748" customWidth="1"/>
    <col min="2056" max="2058" width="2.7109375" style="748" customWidth="1"/>
    <col min="2059" max="2059" width="13.140625" style="748" customWidth="1"/>
    <col min="2060" max="2060" width="9.5703125" style="748" customWidth="1"/>
    <col min="2061" max="2062" width="0" style="748" hidden="1" customWidth="1"/>
    <col min="2063" max="2063" width="15.7109375" style="748" customWidth="1"/>
    <col min="2064" max="2065" width="0" style="748" hidden="1" customWidth="1"/>
    <col min="2066" max="2066" width="8.5703125" style="748" customWidth="1"/>
    <col min="2067" max="2067" width="15.7109375" style="748" customWidth="1"/>
    <col min="2068" max="2068" width="0" style="748" hidden="1" customWidth="1"/>
    <col min="2069" max="2069" width="7.7109375" style="748" customWidth="1"/>
    <col min="2070" max="2070" width="15.7109375" style="748" customWidth="1"/>
    <col min="2071" max="2072" width="7.7109375" style="748" customWidth="1"/>
    <col min="2073" max="2073" width="20" style="748" customWidth="1"/>
    <col min="2074" max="2074" width="9" style="748" customWidth="1"/>
    <col min="2075" max="2075" width="12.28515625" style="748" bestFit="1" customWidth="1"/>
    <col min="2076" max="2076" width="0" style="748" hidden="1" customWidth="1"/>
    <col min="2077" max="2078" width="9.140625" style="748"/>
    <col min="2079" max="2079" width="10" style="748" bestFit="1" customWidth="1"/>
    <col min="2080" max="2304" width="9.140625" style="748"/>
    <col min="2305" max="2305" width="2" style="748" customWidth="1"/>
    <col min="2306" max="2306" width="4.28515625" style="748" customWidth="1"/>
    <col min="2307" max="2307" width="2.7109375" style="748" customWidth="1"/>
    <col min="2308" max="2308" width="3" style="748" customWidth="1"/>
    <col min="2309" max="2310" width="2.7109375" style="748" customWidth="1"/>
    <col min="2311" max="2311" width="7.42578125" style="748" customWidth="1"/>
    <col min="2312" max="2314" width="2.7109375" style="748" customWidth="1"/>
    <col min="2315" max="2315" width="13.140625" style="748" customWidth="1"/>
    <col min="2316" max="2316" width="9.5703125" style="748" customWidth="1"/>
    <col min="2317" max="2318" width="0" style="748" hidden="1" customWidth="1"/>
    <col min="2319" max="2319" width="15.7109375" style="748" customWidth="1"/>
    <col min="2320" max="2321" width="0" style="748" hidden="1" customWidth="1"/>
    <col min="2322" max="2322" width="8.5703125" style="748" customWidth="1"/>
    <col min="2323" max="2323" width="15.7109375" style="748" customWidth="1"/>
    <col min="2324" max="2324" width="0" style="748" hidden="1" customWidth="1"/>
    <col min="2325" max="2325" width="7.7109375" style="748" customWidth="1"/>
    <col min="2326" max="2326" width="15.7109375" style="748" customWidth="1"/>
    <col min="2327" max="2328" width="7.7109375" style="748" customWidth="1"/>
    <col min="2329" max="2329" width="20" style="748" customWidth="1"/>
    <col min="2330" max="2330" width="9" style="748" customWidth="1"/>
    <col min="2331" max="2331" width="12.28515625" style="748" bestFit="1" customWidth="1"/>
    <col min="2332" max="2332" width="0" style="748" hidden="1" customWidth="1"/>
    <col min="2333" max="2334" width="9.140625" style="748"/>
    <col min="2335" max="2335" width="10" style="748" bestFit="1" customWidth="1"/>
    <col min="2336" max="2560" width="9.140625" style="748"/>
    <col min="2561" max="2561" width="2" style="748" customWidth="1"/>
    <col min="2562" max="2562" width="4.28515625" style="748" customWidth="1"/>
    <col min="2563" max="2563" width="2.7109375" style="748" customWidth="1"/>
    <col min="2564" max="2564" width="3" style="748" customWidth="1"/>
    <col min="2565" max="2566" width="2.7109375" style="748" customWidth="1"/>
    <col min="2567" max="2567" width="7.42578125" style="748" customWidth="1"/>
    <col min="2568" max="2570" width="2.7109375" style="748" customWidth="1"/>
    <col min="2571" max="2571" width="13.140625" style="748" customWidth="1"/>
    <col min="2572" max="2572" width="9.5703125" style="748" customWidth="1"/>
    <col min="2573" max="2574" width="0" style="748" hidden="1" customWidth="1"/>
    <col min="2575" max="2575" width="15.7109375" style="748" customWidth="1"/>
    <col min="2576" max="2577" width="0" style="748" hidden="1" customWidth="1"/>
    <col min="2578" max="2578" width="8.5703125" style="748" customWidth="1"/>
    <col min="2579" max="2579" width="15.7109375" style="748" customWidth="1"/>
    <col min="2580" max="2580" width="0" style="748" hidden="1" customWidth="1"/>
    <col min="2581" max="2581" width="7.7109375" style="748" customWidth="1"/>
    <col min="2582" max="2582" width="15.7109375" style="748" customWidth="1"/>
    <col min="2583" max="2584" width="7.7109375" style="748" customWidth="1"/>
    <col min="2585" max="2585" width="20" style="748" customWidth="1"/>
    <col min="2586" max="2586" width="9" style="748" customWidth="1"/>
    <col min="2587" max="2587" width="12.28515625" style="748" bestFit="1" customWidth="1"/>
    <col min="2588" max="2588" width="0" style="748" hidden="1" customWidth="1"/>
    <col min="2589" max="2590" width="9.140625" style="748"/>
    <col min="2591" max="2591" width="10" style="748" bestFit="1" customWidth="1"/>
    <col min="2592" max="2816" width="9.140625" style="748"/>
    <col min="2817" max="2817" width="2" style="748" customWidth="1"/>
    <col min="2818" max="2818" width="4.28515625" style="748" customWidth="1"/>
    <col min="2819" max="2819" width="2.7109375" style="748" customWidth="1"/>
    <col min="2820" max="2820" width="3" style="748" customWidth="1"/>
    <col min="2821" max="2822" width="2.7109375" style="748" customWidth="1"/>
    <col min="2823" max="2823" width="7.42578125" style="748" customWidth="1"/>
    <col min="2824" max="2826" width="2.7109375" style="748" customWidth="1"/>
    <col min="2827" max="2827" width="13.140625" style="748" customWidth="1"/>
    <col min="2828" max="2828" width="9.5703125" style="748" customWidth="1"/>
    <col min="2829" max="2830" width="0" style="748" hidden="1" customWidth="1"/>
    <col min="2831" max="2831" width="15.7109375" style="748" customWidth="1"/>
    <col min="2832" max="2833" width="0" style="748" hidden="1" customWidth="1"/>
    <col min="2834" max="2834" width="8.5703125" style="748" customWidth="1"/>
    <col min="2835" max="2835" width="15.7109375" style="748" customWidth="1"/>
    <col min="2836" max="2836" width="0" style="748" hidden="1" customWidth="1"/>
    <col min="2837" max="2837" width="7.7109375" style="748" customWidth="1"/>
    <col min="2838" max="2838" width="15.7109375" style="748" customWidth="1"/>
    <col min="2839" max="2840" width="7.7109375" style="748" customWidth="1"/>
    <col min="2841" max="2841" width="20" style="748" customWidth="1"/>
    <col min="2842" max="2842" width="9" style="748" customWidth="1"/>
    <col min="2843" max="2843" width="12.28515625" style="748" bestFit="1" customWidth="1"/>
    <col min="2844" max="2844" width="0" style="748" hidden="1" customWidth="1"/>
    <col min="2845" max="2846" width="9.140625" style="748"/>
    <col min="2847" max="2847" width="10" style="748" bestFit="1" customWidth="1"/>
    <col min="2848" max="3072" width="9.140625" style="748"/>
    <col min="3073" max="3073" width="2" style="748" customWidth="1"/>
    <col min="3074" max="3074" width="4.28515625" style="748" customWidth="1"/>
    <col min="3075" max="3075" width="2.7109375" style="748" customWidth="1"/>
    <col min="3076" max="3076" width="3" style="748" customWidth="1"/>
    <col min="3077" max="3078" width="2.7109375" style="748" customWidth="1"/>
    <col min="3079" max="3079" width="7.42578125" style="748" customWidth="1"/>
    <col min="3080" max="3082" width="2.7109375" style="748" customWidth="1"/>
    <col min="3083" max="3083" width="13.140625" style="748" customWidth="1"/>
    <col min="3084" max="3084" width="9.5703125" style="748" customWidth="1"/>
    <col min="3085" max="3086" width="0" style="748" hidden="1" customWidth="1"/>
    <col min="3087" max="3087" width="15.7109375" style="748" customWidth="1"/>
    <col min="3088" max="3089" width="0" style="748" hidden="1" customWidth="1"/>
    <col min="3090" max="3090" width="8.5703125" style="748" customWidth="1"/>
    <col min="3091" max="3091" width="15.7109375" style="748" customWidth="1"/>
    <col min="3092" max="3092" width="0" style="748" hidden="1" customWidth="1"/>
    <col min="3093" max="3093" width="7.7109375" style="748" customWidth="1"/>
    <col min="3094" max="3094" width="15.7109375" style="748" customWidth="1"/>
    <col min="3095" max="3096" width="7.7109375" style="748" customWidth="1"/>
    <col min="3097" max="3097" width="20" style="748" customWidth="1"/>
    <col min="3098" max="3098" width="9" style="748" customWidth="1"/>
    <col min="3099" max="3099" width="12.28515625" style="748" bestFit="1" customWidth="1"/>
    <col min="3100" max="3100" width="0" style="748" hidden="1" customWidth="1"/>
    <col min="3101" max="3102" width="9.140625" style="748"/>
    <col min="3103" max="3103" width="10" style="748" bestFit="1" customWidth="1"/>
    <col min="3104" max="3328" width="9.140625" style="748"/>
    <col min="3329" max="3329" width="2" style="748" customWidth="1"/>
    <col min="3330" max="3330" width="4.28515625" style="748" customWidth="1"/>
    <col min="3331" max="3331" width="2.7109375" style="748" customWidth="1"/>
    <col min="3332" max="3332" width="3" style="748" customWidth="1"/>
    <col min="3333" max="3334" width="2.7109375" style="748" customWidth="1"/>
    <col min="3335" max="3335" width="7.42578125" style="748" customWidth="1"/>
    <col min="3336" max="3338" width="2.7109375" style="748" customWidth="1"/>
    <col min="3339" max="3339" width="13.140625" style="748" customWidth="1"/>
    <col min="3340" max="3340" width="9.5703125" style="748" customWidth="1"/>
    <col min="3341" max="3342" width="0" style="748" hidden="1" customWidth="1"/>
    <col min="3343" max="3343" width="15.7109375" style="748" customWidth="1"/>
    <col min="3344" max="3345" width="0" style="748" hidden="1" customWidth="1"/>
    <col min="3346" max="3346" width="8.5703125" style="748" customWidth="1"/>
    <col min="3347" max="3347" width="15.7109375" style="748" customWidth="1"/>
    <col min="3348" max="3348" width="0" style="748" hidden="1" customWidth="1"/>
    <col min="3349" max="3349" width="7.7109375" style="748" customWidth="1"/>
    <col min="3350" max="3350" width="15.7109375" style="748" customWidth="1"/>
    <col min="3351" max="3352" width="7.7109375" style="748" customWidth="1"/>
    <col min="3353" max="3353" width="20" style="748" customWidth="1"/>
    <col min="3354" max="3354" width="9" style="748" customWidth="1"/>
    <col min="3355" max="3355" width="12.28515625" style="748" bestFit="1" customWidth="1"/>
    <col min="3356" max="3356" width="0" style="748" hidden="1" customWidth="1"/>
    <col min="3357" max="3358" width="9.140625" style="748"/>
    <col min="3359" max="3359" width="10" style="748" bestFit="1" customWidth="1"/>
    <col min="3360" max="3584" width="9.140625" style="748"/>
    <col min="3585" max="3585" width="2" style="748" customWidth="1"/>
    <col min="3586" max="3586" width="4.28515625" style="748" customWidth="1"/>
    <col min="3587" max="3587" width="2.7109375" style="748" customWidth="1"/>
    <col min="3588" max="3588" width="3" style="748" customWidth="1"/>
    <col min="3589" max="3590" width="2.7109375" style="748" customWidth="1"/>
    <col min="3591" max="3591" width="7.42578125" style="748" customWidth="1"/>
    <col min="3592" max="3594" width="2.7109375" style="748" customWidth="1"/>
    <col min="3595" max="3595" width="13.140625" style="748" customWidth="1"/>
    <col min="3596" max="3596" width="9.5703125" style="748" customWidth="1"/>
    <col min="3597" max="3598" width="0" style="748" hidden="1" customWidth="1"/>
    <col min="3599" max="3599" width="15.7109375" style="748" customWidth="1"/>
    <col min="3600" max="3601" width="0" style="748" hidden="1" customWidth="1"/>
    <col min="3602" max="3602" width="8.5703125" style="748" customWidth="1"/>
    <col min="3603" max="3603" width="15.7109375" style="748" customWidth="1"/>
    <col min="3604" max="3604" width="0" style="748" hidden="1" customWidth="1"/>
    <col min="3605" max="3605" width="7.7109375" style="748" customWidth="1"/>
    <col min="3606" max="3606" width="15.7109375" style="748" customWidth="1"/>
    <col min="3607" max="3608" width="7.7109375" style="748" customWidth="1"/>
    <col min="3609" max="3609" width="20" style="748" customWidth="1"/>
    <col min="3610" max="3610" width="9" style="748" customWidth="1"/>
    <col min="3611" max="3611" width="12.28515625" style="748" bestFit="1" customWidth="1"/>
    <col min="3612" max="3612" width="0" style="748" hidden="1" customWidth="1"/>
    <col min="3613" max="3614" width="9.140625" style="748"/>
    <col min="3615" max="3615" width="10" style="748" bestFit="1" customWidth="1"/>
    <col min="3616" max="3840" width="9.140625" style="748"/>
    <col min="3841" max="3841" width="2" style="748" customWidth="1"/>
    <col min="3842" max="3842" width="4.28515625" style="748" customWidth="1"/>
    <col min="3843" max="3843" width="2.7109375" style="748" customWidth="1"/>
    <col min="3844" max="3844" width="3" style="748" customWidth="1"/>
    <col min="3845" max="3846" width="2.7109375" style="748" customWidth="1"/>
    <col min="3847" max="3847" width="7.42578125" style="748" customWidth="1"/>
    <col min="3848" max="3850" width="2.7109375" style="748" customWidth="1"/>
    <col min="3851" max="3851" width="13.140625" style="748" customWidth="1"/>
    <col min="3852" max="3852" width="9.5703125" style="748" customWidth="1"/>
    <col min="3853" max="3854" width="0" style="748" hidden="1" customWidth="1"/>
    <col min="3855" max="3855" width="15.7109375" style="748" customWidth="1"/>
    <col min="3856" max="3857" width="0" style="748" hidden="1" customWidth="1"/>
    <col min="3858" max="3858" width="8.5703125" style="748" customWidth="1"/>
    <col min="3859" max="3859" width="15.7109375" style="748" customWidth="1"/>
    <col min="3860" max="3860" width="0" style="748" hidden="1" customWidth="1"/>
    <col min="3861" max="3861" width="7.7109375" style="748" customWidth="1"/>
    <col min="3862" max="3862" width="15.7109375" style="748" customWidth="1"/>
    <col min="3863" max="3864" width="7.7109375" style="748" customWidth="1"/>
    <col min="3865" max="3865" width="20" style="748" customWidth="1"/>
    <col min="3866" max="3866" width="9" style="748" customWidth="1"/>
    <col min="3867" max="3867" width="12.28515625" style="748" bestFit="1" customWidth="1"/>
    <col min="3868" max="3868" width="0" style="748" hidden="1" customWidth="1"/>
    <col min="3869" max="3870" width="9.140625" style="748"/>
    <col min="3871" max="3871" width="10" style="748" bestFit="1" customWidth="1"/>
    <col min="3872" max="4096" width="9.140625" style="748"/>
    <col min="4097" max="4097" width="2" style="748" customWidth="1"/>
    <col min="4098" max="4098" width="4.28515625" style="748" customWidth="1"/>
    <col min="4099" max="4099" width="2.7109375" style="748" customWidth="1"/>
    <col min="4100" max="4100" width="3" style="748" customWidth="1"/>
    <col min="4101" max="4102" width="2.7109375" style="748" customWidth="1"/>
    <col min="4103" max="4103" width="7.42578125" style="748" customWidth="1"/>
    <col min="4104" max="4106" width="2.7109375" style="748" customWidth="1"/>
    <col min="4107" max="4107" width="13.140625" style="748" customWidth="1"/>
    <col min="4108" max="4108" width="9.5703125" style="748" customWidth="1"/>
    <col min="4109" max="4110" width="0" style="748" hidden="1" customWidth="1"/>
    <col min="4111" max="4111" width="15.7109375" style="748" customWidth="1"/>
    <col min="4112" max="4113" width="0" style="748" hidden="1" customWidth="1"/>
    <col min="4114" max="4114" width="8.5703125" style="748" customWidth="1"/>
    <col min="4115" max="4115" width="15.7109375" style="748" customWidth="1"/>
    <col min="4116" max="4116" width="0" style="748" hidden="1" customWidth="1"/>
    <col min="4117" max="4117" width="7.7109375" style="748" customWidth="1"/>
    <col min="4118" max="4118" width="15.7109375" style="748" customWidth="1"/>
    <col min="4119" max="4120" width="7.7109375" style="748" customWidth="1"/>
    <col min="4121" max="4121" width="20" style="748" customWidth="1"/>
    <col min="4122" max="4122" width="9" style="748" customWidth="1"/>
    <col min="4123" max="4123" width="12.28515625" style="748" bestFit="1" customWidth="1"/>
    <col min="4124" max="4124" width="0" style="748" hidden="1" customWidth="1"/>
    <col min="4125" max="4126" width="9.140625" style="748"/>
    <col min="4127" max="4127" width="10" style="748" bestFit="1" customWidth="1"/>
    <col min="4128" max="4352" width="9.140625" style="748"/>
    <col min="4353" max="4353" width="2" style="748" customWidth="1"/>
    <col min="4354" max="4354" width="4.28515625" style="748" customWidth="1"/>
    <col min="4355" max="4355" width="2.7109375" style="748" customWidth="1"/>
    <col min="4356" max="4356" width="3" style="748" customWidth="1"/>
    <col min="4357" max="4358" width="2.7109375" style="748" customWidth="1"/>
    <col min="4359" max="4359" width="7.42578125" style="748" customWidth="1"/>
    <col min="4360" max="4362" width="2.7109375" style="748" customWidth="1"/>
    <col min="4363" max="4363" width="13.140625" style="748" customWidth="1"/>
    <col min="4364" max="4364" width="9.5703125" style="748" customWidth="1"/>
    <col min="4365" max="4366" width="0" style="748" hidden="1" customWidth="1"/>
    <col min="4367" max="4367" width="15.7109375" style="748" customWidth="1"/>
    <col min="4368" max="4369" width="0" style="748" hidden="1" customWidth="1"/>
    <col min="4370" max="4370" width="8.5703125" style="748" customWidth="1"/>
    <col min="4371" max="4371" width="15.7109375" style="748" customWidth="1"/>
    <col min="4372" max="4372" width="0" style="748" hidden="1" customWidth="1"/>
    <col min="4373" max="4373" width="7.7109375" style="748" customWidth="1"/>
    <col min="4374" max="4374" width="15.7109375" style="748" customWidth="1"/>
    <col min="4375" max="4376" width="7.7109375" style="748" customWidth="1"/>
    <col min="4377" max="4377" width="20" style="748" customWidth="1"/>
    <col min="4378" max="4378" width="9" style="748" customWidth="1"/>
    <col min="4379" max="4379" width="12.28515625" style="748" bestFit="1" customWidth="1"/>
    <col min="4380" max="4380" width="0" style="748" hidden="1" customWidth="1"/>
    <col min="4381" max="4382" width="9.140625" style="748"/>
    <col min="4383" max="4383" width="10" style="748" bestFit="1" customWidth="1"/>
    <col min="4384" max="4608" width="9.140625" style="748"/>
    <col min="4609" max="4609" width="2" style="748" customWidth="1"/>
    <col min="4610" max="4610" width="4.28515625" style="748" customWidth="1"/>
    <col min="4611" max="4611" width="2.7109375" style="748" customWidth="1"/>
    <col min="4612" max="4612" width="3" style="748" customWidth="1"/>
    <col min="4613" max="4614" width="2.7109375" style="748" customWidth="1"/>
    <col min="4615" max="4615" width="7.42578125" style="748" customWidth="1"/>
    <col min="4616" max="4618" width="2.7109375" style="748" customWidth="1"/>
    <col min="4619" max="4619" width="13.140625" style="748" customWidth="1"/>
    <col min="4620" max="4620" width="9.5703125" style="748" customWidth="1"/>
    <col min="4621" max="4622" width="0" style="748" hidden="1" customWidth="1"/>
    <col min="4623" max="4623" width="15.7109375" style="748" customWidth="1"/>
    <col min="4624" max="4625" width="0" style="748" hidden="1" customWidth="1"/>
    <col min="4626" max="4626" width="8.5703125" style="748" customWidth="1"/>
    <col min="4627" max="4627" width="15.7109375" style="748" customWidth="1"/>
    <col min="4628" max="4628" width="0" style="748" hidden="1" customWidth="1"/>
    <col min="4629" max="4629" width="7.7109375" style="748" customWidth="1"/>
    <col min="4630" max="4630" width="15.7109375" style="748" customWidth="1"/>
    <col min="4631" max="4632" width="7.7109375" style="748" customWidth="1"/>
    <col min="4633" max="4633" width="20" style="748" customWidth="1"/>
    <col min="4634" max="4634" width="9" style="748" customWidth="1"/>
    <col min="4635" max="4635" width="12.28515625" style="748" bestFit="1" customWidth="1"/>
    <col min="4636" max="4636" width="0" style="748" hidden="1" customWidth="1"/>
    <col min="4637" max="4638" width="9.140625" style="748"/>
    <col min="4639" max="4639" width="10" style="748" bestFit="1" customWidth="1"/>
    <col min="4640" max="4864" width="9.140625" style="748"/>
    <col min="4865" max="4865" width="2" style="748" customWidth="1"/>
    <col min="4866" max="4866" width="4.28515625" style="748" customWidth="1"/>
    <col min="4867" max="4867" width="2.7109375" style="748" customWidth="1"/>
    <col min="4868" max="4868" width="3" style="748" customWidth="1"/>
    <col min="4869" max="4870" width="2.7109375" style="748" customWidth="1"/>
    <col min="4871" max="4871" width="7.42578125" style="748" customWidth="1"/>
    <col min="4872" max="4874" width="2.7109375" style="748" customWidth="1"/>
    <col min="4875" max="4875" width="13.140625" style="748" customWidth="1"/>
    <col min="4876" max="4876" width="9.5703125" style="748" customWidth="1"/>
    <col min="4877" max="4878" width="0" style="748" hidden="1" customWidth="1"/>
    <col min="4879" max="4879" width="15.7109375" style="748" customWidth="1"/>
    <col min="4880" max="4881" width="0" style="748" hidden="1" customWidth="1"/>
    <col min="4882" max="4882" width="8.5703125" style="748" customWidth="1"/>
    <col min="4883" max="4883" width="15.7109375" style="748" customWidth="1"/>
    <col min="4884" max="4884" width="0" style="748" hidden="1" customWidth="1"/>
    <col min="4885" max="4885" width="7.7109375" style="748" customWidth="1"/>
    <col min="4886" max="4886" width="15.7109375" style="748" customWidth="1"/>
    <col min="4887" max="4888" width="7.7109375" style="748" customWidth="1"/>
    <col min="4889" max="4889" width="20" style="748" customWidth="1"/>
    <col min="4890" max="4890" width="9" style="748" customWidth="1"/>
    <col min="4891" max="4891" width="12.28515625" style="748" bestFit="1" customWidth="1"/>
    <col min="4892" max="4892" width="0" style="748" hidden="1" customWidth="1"/>
    <col min="4893" max="4894" width="9.140625" style="748"/>
    <col min="4895" max="4895" width="10" style="748" bestFit="1" customWidth="1"/>
    <col min="4896" max="5120" width="9.140625" style="748"/>
    <col min="5121" max="5121" width="2" style="748" customWidth="1"/>
    <col min="5122" max="5122" width="4.28515625" style="748" customWidth="1"/>
    <col min="5123" max="5123" width="2.7109375" style="748" customWidth="1"/>
    <col min="5124" max="5124" width="3" style="748" customWidth="1"/>
    <col min="5125" max="5126" width="2.7109375" style="748" customWidth="1"/>
    <col min="5127" max="5127" width="7.42578125" style="748" customWidth="1"/>
    <col min="5128" max="5130" width="2.7109375" style="748" customWidth="1"/>
    <col min="5131" max="5131" width="13.140625" style="748" customWidth="1"/>
    <col min="5132" max="5132" width="9.5703125" style="748" customWidth="1"/>
    <col min="5133" max="5134" width="0" style="748" hidden="1" customWidth="1"/>
    <col min="5135" max="5135" width="15.7109375" style="748" customWidth="1"/>
    <col min="5136" max="5137" width="0" style="748" hidden="1" customWidth="1"/>
    <col min="5138" max="5138" width="8.5703125" style="748" customWidth="1"/>
    <col min="5139" max="5139" width="15.7109375" style="748" customWidth="1"/>
    <col min="5140" max="5140" width="0" style="748" hidden="1" customWidth="1"/>
    <col min="5141" max="5141" width="7.7109375" style="748" customWidth="1"/>
    <col min="5142" max="5142" width="15.7109375" style="748" customWidth="1"/>
    <col min="5143" max="5144" width="7.7109375" style="748" customWidth="1"/>
    <col min="5145" max="5145" width="20" style="748" customWidth="1"/>
    <col min="5146" max="5146" width="9" style="748" customWidth="1"/>
    <col min="5147" max="5147" width="12.28515625" style="748" bestFit="1" customWidth="1"/>
    <col min="5148" max="5148" width="0" style="748" hidden="1" customWidth="1"/>
    <col min="5149" max="5150" width="9.140625" style="748"/>
    <col min="5151" max="5151" width="10" style="748" bestFit="1" customWidth="1"/>
    <col min="5152" max="5376" width="9.140625" style="748"/>
    <col min="5377" max="5377" width="2" style="748" customWidth="1"/>
    <col min="5378" max="5378" width="4.28515625" style="748" customWidth="1"/>
    <col min="5379" max="5379" width="2.7109375" style="748" customWidth="1"/>
    <col min="5380" max="5380" width="3" style="748" customWidth="1"/>
    <col min="5381" max="5382" width="2.7109375" style="748" customWidth="1"/>
    <col min="5383" max="5383" width="7.42578125" style="748" customWidth="1"/>
    <col min="5384" max="5386" width="2.7109375" style="748" customWidth="1"/>
    <col min="5387" max="5387" width="13.140625" style="748" customWidth="1"/>
    <col min="5388" max="5388" width="9.5703125" style="748" customWidth="1"/>
    <col min="5389" max="5390" width="0" style="748" hidden="1" customWidth="1"/>
    <col min="5391" max="5391" width="15.7109375" style="748" customWidth="1"/>
    <col min="5392" max="5393" width="0" style="748" hidden="1" customWidth="1"/>
    <col min="5394" max="5394" width="8.5703125" style="748" customWidth="1"/>
    <col min="5395" max="5395" width="15.7109375" style="748" customWidth="1"/>
    <col min="5396" max="5396" width="0" style="748" hidden="1" customWidth="1"/>
    <col min="5397" max="5397" width="7.7109375" style="748" customWidth="1"/>
    <col min="5398" max="5398" width="15.7109375" style="748" customWidth="1"/>
    <col min="5399" max="5400" width="7.7109375" style="748" customWidth="1"/>
    <col min="5401" max="5401" width="20" style="748" customWidth="1"/>
    <col min="5402" max="5402" width="9" style="748" customWidth="1"/>
    <col min="5403" max="5403" width="12.28515625" style="748" bestFit="1" customWidth="1"/>
    <col min="5404" max="5404" width="0" style="748" hidden="1" customWidth="1"/>
    <col min="5405" max="5406" width="9.140625" style="748"/>
    <col min="5407" max="5407" width="10" style="748" bestFit="1" customWidth="1"/>
    <col min="5408" max="5632" width="9.140625" style="748"/>
    <col min="5633" max="5633" width="2" style="748" customWidth="1"/>
    <col min="5634" max="5634" width="4.28515625" style="748" customWidth="1"/>
    <col min="5635" max="5635" width="2.7109375" style="748" customWidth="1"/>
    <col min="5636" max="5636" width="3" style="748" customWidth="1"/>
    <col min="5637" max="5638" width="2.7109375" style="748" customWidth="1"/>
    <col min="5639" max="5639" width="7.42578125" style="748" customWidth="1"/>
    <col min="5640" max="5642" width="2.7109375" style="748" customWidth="1"/>
    <col min="5643" max="5643" width="13.140625" style="748" customWidth="1"/>
    <col min="5644" max="5644" width="9.5703125" style="748" customWidth="1"/>
    <col min="5645" max="5646" width="0" style="748" hidden="1" customWidth="1"/>
    <col min="5647" max="5647" width="15.7109375" style="748" customWidth="1"/>
    <col min="5648" max="5649" width="0" style="748" hidden="1" customWidth="1"/>
    <col min="5650" max="5650" width="8.5703125" style="748" customWidth="1"/>
    <col min="5651" max="5651" width="15.7109375" style="748" customWidth="1"/>
    <col min="5652" max="5652" width="0" style="748" hidden="1" customWidth="1"/>
    <col min="5653" max="5653" width="7.7109375" style="748" customWidth="1"/>
    <col min="5654" max="5654" width="15.7109375" style="748" customWidth="1"/>
    <col min="5655" max="5656" width="7.7109375" style="748" customWidth="1"/>
    <col min="5657" max="5657" width="20" style="748" customWidth="1"/>
    <col min="5658" max="5658" width="9" style="748" customWidth="1"/>
    <col min="5659" max="5659" width="12.28515625" style="748" bestFit="1" customWidth="1"/>
    <col min="5660" max="5660" width="0" style="748" hidden="1" customWidth="1"/>
    <col min="5661" max="5662" width="9.140625" style="748"/>
    <col min="5663" max="5663" width="10" style="748" bestFit="1" customWidth="1"/>
    <col min="5664" max="5888" width="9.140625" style="748"/>
    <col min="5889" max="5889" width="2" style="748" customWidth="1"/>
    <col min="5890" max="5890" width="4.28515625" style="748" customWidth="1"/>
    <col min="5891" max="5891" width="2.7109375" style="748" customWidth="1"/>
    <col min="5892" max="5892" width="3" style="748" customWidth="1"/>
    <col min="5893" max="5894" width="2.7109375" style="748" customWidth="1"/>
    <col min="5895" max="5895" width="7.42578125" style="748" customWidth="1"/>
    <col min="5896" max="5898" width="2.7109375" style="748" customWidth="1"/>
    <col min="5899" max="5899" width="13.140625" style="748" customWidth="1"/>
    <col min="5900" max="5900" width="9.5703125" style="748" customWidth="1"/>
    <col min="5901" max="5902" width="0" style="748" hidden="1" customWidth="1"/>
    <col min="5903" max="5903" width="15.7109375" style="748" customWidth="1"/>
    <col min="5904" max="5905" width="0" style="748" hidden="1" customWidth="1"/>
    <col min="5906" max="5906" width="8.5703125" style="748" customWidth="1"/>
    <col min="5907" max="5907" width="15.7109375" style="748" customWidth="1"/>
    <col min="5908" max="5908" width="0" style="748" hidden="1" customWidth="1"/>
    <col min="5909" max="5909" width="7.7109375" style="748" customWidth="1"/>
    <col min="5910" max="5910" width="15.7109375" style="748" customWidth="1"/>
    <col min="5911" max="5912" width="7.7109375" style="748" customWidth="1"/>
    <col min="5913" max="5913" width="20" style="748" customWidth="1"/>
    <col min="5914" max="5914" width="9" style="748" customWidth="1"/>
    <col min="5915" max="5915" width="12.28515625" style="748" bestFit="1" customWidth="1"/>
    <col min="5916" max="5916" width="0" style="748" hidden="1" customWidth="1"/>
    <col min="5917" max="5918" width="9.140625" style="748"/>
    <col min="5919" max="5919" width="10" style="748" bestFit="1" customWidth="1"/>
    <col min="5920" max="6144" width="9.140625" style="748"/>
    <col min="6145" max="6145" width="2" style="748" customWidth="1"/>
    <col min="6146" max="6146" width="4.28515625" style="748" customWidth="1"/>
    <col min="6147" max="6147" width="2.7109375" style="748" customWidth="1"/>
    <col min="6148" max="6148" width="3" style="748" customWidth="1"/>
    <col min="6149" max="6150" width="2.7109375" style="748" customWidth="1"/>
    <col min="6151" max="6151" width="7.42578125" style="748" customWidth="1"/>
    <col min="6152" max="6154" width="2.7109375" style="748" customWidth="1"/>
    <col min="6155" max="6155" width="13.140625" style="748" customWidth="1"/>
    <col min="6156" max="6156" width="9.5703125" style="748" customWidth="1"/>
    <col min="6157" max="6158" width="0" style="748" hidden="1" customWidth="1"/>
    <col min="6159" max="6159" width="15.7109375" style="748" customWidth="1"/>
    <col min="6160" max="6161" width="0" style="748" hidden="1" customWidth="1"/>
    <col min="6162" max="6162" width="8.5703125" style="748" customWidth="1"/>
    <col min="6163" max="6163" width="15.7109375" style="748" customWidth="1"/>
    <col min="6164" max="6164" width="0" style="748" hidden="1" customWidth="1"/>
    <col min="6165" max="6165" width="7.7109375" style="748" customWidth="1"/>
    <col min="6166" max="6166" width="15.7109375" style="748" customWidth="1"/>
    <col min="6167" max="6168" width="7.7109375" style="748" customWidth="1"/>
    <col min="6169" max="6169" width="20" style="748" customWidth="1"/>
    <col min="6170" max="6170" width="9" style="748" customWidth="1"/>
    <col min="6171" max="6171" width="12.28515625" style="748" bestFit="1" customWidth="1"/>
    <col min="6172" max="6172" width="0" style="748" hidden="1" customWidth="1"/>
    <col min="6173" max="6174" width="9.140625" style="748"/>
    <col min="6175" max="6175" width="10" style="748" bestFit="1" customWidth="1"/>
    <col min="6176" max="6400" width="9.140625" style="748"/>
    <col min="6401" max="6401" width="2" style="748" customWidth="1"/>
    <col min="6402" max="6402" width="4.28515625" style="748" customWidth="1"/>
    <col min="6403" max="6403" width="2.7109375" style="748" customWidth="1"/>
    <col min="6404" max="6404" width="3" style="748" customWidth="1"/>
    <col min="6405" max="6406" width="2.7109375" style="748" customWidth="1"/>
    <col min="6407" max="6407" width="7.42578125" style="748" customWidth="1"/>
    <col min="6408" max="6410" width="2.7109375" style="748" customWidth="1"/>
    <col min="6411" max="6411" width="13.140625" style="748" customWidth="1"/>
    <col min="6412" max="6412" width="9.5703125" style="748" customWidth="1"/>
    <col min="6413" max="6414" width="0" style="748" hidden="1" customWidth="1"/>
    <col min="6415" max="6415" width="15.7109375" style="748" customWidth="1"/>
    <col min="6416" max="6417" width="0" style="748" hidden="1" customWidth="1"/>
    <col min="6418" max="6418" width="8.5703125" style="748" customWidth="1"/>
    <col min="6419" max="6419" width="15.7109375" style="748" customWidth="1"/>
    <col min="6420" max="6420" width="0" style="748" hidden="1" customWidth="1"/>
    <col min="6421" max="6421" width="7.7109375" style="748" customWidth="1"/>
    <col min="6422" max="6422" width="15.7109375" style="748" customWidth="1"/>
    <col min="6423" max="6424" width="7.7109375" style="748" customWidth="1"/>
    <col min="6425" max="6425" width="20" style="748" customWidth="1"/>
    <col min="6426" max="6426" width="9" style="748" customWidth="1"/>
    <col min="6427" max="6427" width="12.28515625" style="748" bestFit="1" customWidth="1"/>
    <col min="6428" max="6428" width="0" style="748" hidden="1" customWidth="1"/>
    <col min="6429" max="6430" width="9.140625" style="748"/>
    <col min="6431" max="6431" width="10" style="748" bestFit="1" customWidth="1"/>
    <col min="6432" max="6656" width="9.140625" style="748"/>
    <col min="6657" max="6657" width="2" style="748" customWidth="1"/>
    <col min="6658" max="6658" width="4.28515625" style="748" customWidth="1"/>
    <col min="6659" max="6659" width="2.7109375" style="748" customWidth="1"/>
    <col min="6660" max="6660" width="3" style="748" customWidth="1"/>
    <col min="6661" max="6662" width="2.7109375" style="748" customWidth="1"/>
    <col min="6663" max="6663" width="7.42578125" style="748" customWidth="1"/>
    <col min="6664" max="6666" width="2.7109375" style="748" customWidth="1"/>
    <col min="6667" max="6667" width="13.140625" style="748" customWidth="1"/>
    <col min="6668" max="6668" width="9.5703125" style="748" customWidth="1"/>
    <col min="6669" max="6670" width="0" style="748" hidden="1" customWidth="1"/>
    <col min="6671" max="6671" width="15.7109375" style="748" customWidth="1"/>
    <col min="6672" max="6673" width="0" style="748" hidden="1" customWidth="1"/>
    <col min="6674" max="6674" width="8.5703125" style="748" customWidth="1"/>
    <col min="6675" max="6675" width="15.7109375" style="748" customWidth="1"/>
    <col min="6676" max="6676" width="0" style="748" hidden="1" customWidth="1"/>
    <col min="6677" max="6677" width="7.7109375" style="748" customWidth="1"/>
    <col min="6678" max="6678" width="15.7109375" style="748" customWidth="1"/>
    <col min="6679" max="6680" width="7.7109375" style="748" customWidth="1"/>
    <col min="6681" max="6681" width="20" style="748" customWidth="1"/>
    <col min="6682" max="6682" width="9" style="748" customWidth="1"/>
    <col min="6683" max="6683" width="12.28515625" style="748" bestFit="1" customWidth="1"/>
    <col min="6684" max="6684" width="0" style="748" hidden="1" customWidth="1"/>
    <col min="6685" max="6686" width="9.140625" style="748"/>
    <col min="6687" max="6687" width="10" style="748" bestFit="1" customWidth="1"/>
    <col min="6688" max="6912" width="9.140625" style="748"/>
    <col min="6913" max="6913" width="2" style="748" customWidth="1"/>
    <col min="6914" max="6914" width="4.28515625" style="748" customWidth="1"/>
    <col min="6915" max="6915" width="2.7109375" style="748" customWidth="1"/>
    <col min="6916" max="6916" width="3" style="748" customWidth="1"/>
    <col min="6917" max="6918" width="2.7109375" style="748" customWidth="1"/>
    <col min="6919" max="6919" width="7.42578125" style="748" customWidth="1"/>
    <col min="6920" max="6922" width="2.7109375" style="748" customWidth="1"/>
    <col min="6923" max="6923" width="13.140625" style="748" customWidth="1"/>
    <col min="6924" max="6924" width="9.5703125" style="748" customWidth="1"/>
    <col min="6925" max="6926" width="0" style="748" hidden="1" customWidth="1"/>
    <col min="6927" max="6927" width="15.7109375" style="748" customWidth="1"/>
    <col min="6928" max="6929" width="0" style="748" hidden="1" customWidth="1"/>
    <col min="6930" max="6930" width="8.5703125" style="748" customWidth="1"/>
    <col min="6931" max="6931" width="15.7109375" style="748" customWidth="1"/>
    <col min="6932" max="6932" width="0" style="748" hidden="1" customWidth="1"/>
    <col min="6933" max="6933" width="7.7109375" style="748" customWidth="1"/>
    <col min="6934" max="6934" width="15.7109375" style="748" customWidth="1"/>
    <col min="6935" max="6936" width="7.7109375" style="748" customWidth="1"/>
    <col min="6937" max="6937" width="20" style="748" customWidth="1"/>
    <col min="6938" max="6938" width="9" style="748" customWidth="1"/>
    <col min="6939" max="6939" width="12.28515625" style="748" bestFit="1" customWidth="1"/>
    <col min="6940" max="6940" width="0" style="748" hidden="1" customWidth="1"/>
    <col min="6941" max="6942" width="9.140625" style="748"/>
    <col min="6943" max="6943" width="10" style="748" bestFit="1" customWidth="1"/>
    <col min="6944" max="7168" width="9.140625" style="748"/>
    <col min="7169" max="7169" width="2" style="748" customWidth="1"/>
    <col min="7170" max="7170" width="4.28515625" style="748" customWidth="1"/>
    <col min="7171" max="7171" width="2.7109375" style="748" customWidth="1"/>
    <col min="7172" max="7172" width="3" style="748" customWidth="1"/>
    <col min="7173" max="7174" width="2.7109375" style="748" customWidth="1"/>
    <col min="7175" max="7175" width="7.42578125" style="748" customWidth="1"/>
    <col min="7176" max="7178" width="2.7109375" style="748" customWidth="1"/>
    <col min="7179" max="7179" width="13.140625" style="748" customWidth="1"/>
    <col min="7180" max="7180" width="9.5703125" style="748" customWidth="1"/>
    <col min="7181" max="7182" width="0" style="748" hidden="1" customWidth="1"/>
    <col min="7183" max="7183" width="15.7109375" style="748" customWidth="1"/>
    <col min="7184" max="7185" width="0" style="748" hidden="1" customWidth="1"/>
    <col min="7186" max="7186" width="8.5703125" style="748" customWidth="1"/>
    <col min="7187" max="7187" width="15.7109375" style="748" customWidth="1"/>
    <col min="7188" max="7188" width="0" style="748" hidden="1" customWidth="1"/>
    <col min="7189" max="7189" width="7.7109375" style="748" customWidth="1"/>
    <col min="7190" max="7190" width="15.7109375" style="748" customWidth="1"/>
    <col min="7191" max="7192" width="7.7109375" style="748" customWidth="1"/>
    <col min="7193" max="7193" width="20" style="748" customWidth="1"/>
    <col min="7194" max="7194" width="9" style="748" customWidth="1"/>
    <col min="7195" max="7195" width="12.28515625" style="748" bestFit="1" customWidth="1"/>
    <col min="7196" max="7196" width="0" style="748" hidden="1" customWidth="1"/>
    <col min="7197" max="7198" width="9.140625" style="748"/>
    <col min="7199" max="7199" width="10" style="748" bestFit="1" customWidth="1"/>
    <col min="7200" max="7424" width="9.140625" style="748"/>
    <col min="7425" max="7425" width="2" style="748" customWidth="1"/>
    <col min="7426" max="7426" width="4.28515625" style="748" customWidth="1"/>
    <col min="7427" max="7427" width="2.7109375" style="748" customWidth="1"/>
    <col min="7428" max="7428" width="3" style="748" customWidth="1"/>
    <col min="7429" max="7430" width="2.7109375" style="748" customWidth="1"/>
    <col min="7431" max="7431" width="7.42578125" style="748" customWidth="1"/>
    <col min="7432" max="7434" width="2.7109375" style="748" customWidth="1"/>
    <col min="7435" max="7435" width="13.140625" style="748" customWidth="1"/>
    <col min="7436" max="7436" width="9.5703125" style="748" customWidth="1"/>
    <col min="7437" max="7438" width="0" style="748" hidden="1" customWidth="1"/>
    <col min="7439" max="7439" width="15.7109375" style="748" customWidth="1"/>
    <col min="7440" max="7441" width="0" style="748" hidden="1" customWidth="1"/>
    <col min="7442" max="7442" width="8.5703125" style="748" customWidth="1"/>
    <col min="7443" max="7443" width="15.7109375" style="748" customWidth="1"/>
    <col min="7444" max="7444" width="0" style="748" hidden="1" customWidth="1"/>
    <col min="7445" max="7445" width="7.7109375" style="748" customWidth="1"/>
    <col min="7446" max="7446" width="15.7109375" style="748" customWidth="1"/>
    <col min="7447" max="7448" width="7.7109375" style="748" customWidth="1"/>
    <col min="7449" max="7449" width="20" style="748" customWidth="1"/>
    <col min="7450" max="7450" width="9" style="748" customWidth="1"/>
    <col min="7451" max="7451" width="12.28515625" style="748" bestFit="1" customWidth="1"/>
    <col min="7452" max="7452" width="0" style="748" hidden="1" customWidth="1"/>
    <col min="7453" max="7454" width="9.140625" style="748"/>
    <col min="7455" max="7455" width="10" style="748" bestFit="1" customWidth="1"/>
    <col min="7456" max="7680" width="9.140625" style="748"/>
    <col min="7681" max="7681" width="2" style="748" customWidth="1"/>
    <col min="7682" max="7682" width="4.28515625" style="748" customWidth="1"/>
    <col min="7683" max="7683" width="2.7109375" style="748" customWidth="1"/>
    <col min="7684" max="7684" width="3" style="748" customWidth="1"/>
    <col min="7685" max="7686" width="2.7109375" style="748" customWidth="1"/>
    <col min="7687" max="7687" width="7.42578125" style="748" customWidth="1"/>
    <col min="7688" max="7690" width="2.7109375" style="748" customWidth="1"/>
    <col min="7691" max="7691" width="13.140625" style="748" customWidth="1"/>
    <col min="7692" max="7692" width="9.5703125" style="748" customWidth="1"/>
    <col min="7693" max="7694" width="0" style="748" hidden="1" customWidth="1"/>
    <col min="7695" max="7695" width="15.7109375" style="748" customWidth="1"/>
    <col min="7696" max="7697" width="0" style="748" hidden="1" customWidth="1"/>
    <col min="7698" max="7698" width="8.5703125" style="748" customWidth="1"/>
    <col min="7699" max="7699" width="15.7109375" style="748" customWidth="1"/>
    <col min="7700" max="7700" width="0" style="748" hidden="1" customWidth="1"/>
    <col min="7701" max="7701" width="7.7109375" style="748" customWidth="1"/>
    <col min="7702" max="7702" width="15.7109375" style="748" customWidth="1"/>
    <col min="7703" max="7704" width="7.7109375" style="748" customWidth="1"/>
    <col min="7705" max="7705" width="20" style="748" customWidth="1"/>
    <col min="7706" max="7706" width="9" style="748" customWidth="1"/>
    <col min="7707" max="7707" width="12.28515625" style="748" bestFit="1" customWidth="1"/>
    <col min="7708" max="7708" width="0" style="748" hidden="1" customWidth="1"/>
    <col min="7709" max="7710" width="9.140625" style="748"/>
    <col min="7711" max="7711" width="10" style="748" bestFit="1" customWidth="1"/>
    <col min="7712" max="7936" width="9.140625" style="748"/>
    <col min="7937" max="7937" width="2" style="748" customWidth="1"/>
    <col min="7938" max="7938" width="4.28515625" style="748" customWidth="1"/>
    <col min="7939" max="7939" width="2.7109375" style="748" customWidth="1"/>
    <col min="7940" max="7940" width="3" style="748" customWidth="1"/>
    <col min="7941" max="7942" width="2.7109375" style="748" customWidth="1"/>
    <col min="7943" max="7943" width="7.42578125" style="748" customWidth="1"/>
    <col min="7944" max="7946" width="2.7109375" style="748" customWidth="1"/>
    <col min="7947" max="7947" width="13.140625" style="748" customWidth="1"/>
    <col min="7948" max="7948" width="9.5703125" style="748" customWidth="1"/>
    <col min="7949" max="7950" width="0" style="748" hidden="1" customWidth="1"/>
    <col min="7951" max="7951" width="15.7109375" style="748" customWidth="1"/>
    <col min="7952" max="7953" width="0" style="748" hidden="1" customWidth="1"/>
    <col min="7954" max="7954" width="8.5703125" style="748" customWidth="1"/>
    <col min="7955" max="7955" width="15.7109375" style="748" customWidth="1"/>
    <col min="7956" max="7956" width="0" style="748" hidden="1" customWidth="1"/>
    <col min="7957" max="7957" width="7.7109375" style="748" customWidth="1"/>
    <col min="7958" max="7958" width="15.7109375" style="748" customWidth="1"/>
    <col min="7959" max="7960" width="7.7109375" style="748" customWidth="1"/>
    <col min="7961" max="7961" width="20" style="748" customWidth="1"/>
    <col min="7962" max="7962" width="9" style="748" customWidth="1"/>
    <col min="7963" max="7963" width="12.28515625" style="748" bestFit="1" customWidth="1"/>
    <col min="7964" max="7964" width="0" style="748" hidden="1" customWidth="1"/>
    <col min="7965" max="7966" width="9.140625" style="748"/>
    <col min="7967" max="7967" width="10" style="748" bestFit="1" customWidth="1"/>
    <col min="7968" max="8192" width="9.140625" style="748"/>
    <col min="8193" max="8193" width="2" style="748" customWidth="1"/>
    <col min="8194" max="8194" width="4.28515625" style="748" customWidth="1"/>
    <col min="8195" max="8195" width="2.7109375" style="748" customWidth="1"/>
    <col min="8196" max="8196" width="3" style="748" customWidth="1"/>
    <col min="8197" max="8198" width="2.7109375" style="748" customWidth="1"/>
    <col min="8199" max="8199" width="7.42578125" style="748" customWidth="1"/>
    <col min="8200" max="8202" width="2.7109375" style="748" customWidth="1"/>
    <col min="8203" max="8203" width="13.140625" style="748" customWidth="1"/>
    <col min="8204" max="8204" width="9.5703125" style="748" customWidth="1"/>
    <col min="8205" max="8206" width="0" style="748" hidden="1" customWidth="1"/>
    <col min="8207" max="8207" width="15.7109375" style="748" customWidth="1"/>
    <col min="8208" max="8209" width="0" style="748" hidden="1" customWidth="1"/>
    <col min="8210" max="8210" width="8.5703125" style="748" customWidth="1"/>
    <col min="8211" max="8211" width="15.7109375" style="748" customWidth="1"/>
    <col min="8212" max="8212" width="0" style="748" hidden="1" customWidth="1"/>
    <col min="8213" max="8213" width="7.7109375" style="748" customWidth="1"/>
    <col min="8214" max="8214" width="15.7109375" style="748" customWidth="1"/>
    <col min="8215" max="8216" width="7.7109375" style="748" customWidth="1"/>
    <col min="8217" max="8217" width="20" style="748" customWidth="1"/>
    <col min="8218" max="8218" width="9" style="748" customWidth="1"/>
    <col min="8219" max="8219" width="12.28515625" style="748" bestFit="1" customWidth="1"/>
    <col min="8220" max="8220" width="0" style="748" hidden="1" customWidth="1"/>
    <col min="8221" max="8222" width="9.140625" style="748"/>
    <col min="8223" max="8223" width="10" style="748" bestFit="1" customWidth="1"/>
    <col min="8224" max="8448" width="9.140625" style="748"/>
    <col min="8449" max="8449" width="2" style="748" customWidth="1"/>
    <col min="8450" max="8450" width="4.28515625" style="748" customWidth="1"/>
    <col min="8451" max="8451" width="2.7109375" style="748" customWidth="1"/>
    <col min="8452" max="8452" width="3" style="748" customWidth="1"/>
    <col min="8453" max="8454" width="2.7109375" style="748" customWidth="1"/>
    <col min="8455" max="8455" width="7.42578125" style="748" customWidth="1"/>
    <col min="8456" max="8458" width="2.7109375" style="748" customWidth="1"/>
    <col min="8459" max="8459" width="13.140625" style="748" customWidth="1"/>
    <col min="8460" max="8460" width="9.5703125" style="748" customWidth="1"/>
    <col min="8461" max="8462" width="0" style="748" hidden="1" customWidth="1"/>
    <col min="8463" max="8463" width="15.7109375" style="748" customWidth="1"/>
    <col min="8464" max="8465" width="0" style="748" hidden="1" customWidth="1"/>
    <col min="8466" max="8466" width="8.5703125" style="748" customWidth="1"/>
    <col min="8467" max="8467" width="15.7109375" style="748" customWidth="1"/>
    <col min="8468" max="8468" width="0" style="748" hidden="1" customWidth="1"/>
    <col min="8469" max="8469" width="7.7109375" style="748" customWidth="1"/>
    <col min="8470" max="8470" width="15.7109375" style="748" customWidth="1"/>
    <col min="8471" max="8472" width="7.7109375" style="748" customWidth="1"/>
    <col min="8473" max="8473" width="20" style="748" customWidth="1"/>
    <col min="8474" max="8474" width="9" style="748" customWidth="1"/>
    <col min="8475" max="8475" width="12.28515625" style="748" bestFit="1" customWidth="1"/>
    <col min="8476" max="8476" width="0" style="748" hidden="1" customWidth="1"/>
    <col min="8477" max="8478" width="9.140625" style="748"/>
    <col min="8479" max="8479" width="10" style="748" bestFit="1" customWidth="1"/>
    <col min="8480" max="8704" width="9.140625" style="748"/>
    <col min="8705" max="8705" width="2" style="748" customWidth="1"/>
    <col min="8706" max="8706" width="4.28515625" style="748" customWidth="1"/>
    <col min="8707" max="8707" width="2.7109375" style="748" customWidth="1"/>
    <col min="8708" max="8708" width="3" style="748" customWidth="1"/>
    <col min="8709" max="8710" width="2.7109375" style="748" customWidth="1"/>
    <col min="8711" max="8711" width="7.42578125" style="748" customWidth="1"/>
    <col min="8712" max="8714" width="2.7109375" style="748" customWidth="1"/>
    <col min="8715" max="8715" width="13.140625" style="748" customWidth="1"/>
    <col min="8716" max="8716" width="9.5703125" style="748" customWidth="1"/>
    <col min="8717" max="8718" width="0" style="748" hidden="1" customWidth="1"/>
    <col min="8719" max="8719" width="15.7109375" style="748" customWidth="1"/>
    <col min="8720" max="8721" width="0" style="748" hidden="1" customWidth="1"/>
    <col min="8722" max="8722" width="8.5703125" style="748" customWidth="1"/>
    <col min="8723" max="8723" width="15.7109375" style="748" customWidth="1"/>
    <col min="8724" max="8724" width="0" style="748" hidden="1" customWidth="1"/>
    <col min="8725" max="8725" width="7.7109375" style="748" customWidth="1"/>
    <col min="8726" max="8726" width="15.7109375" style="748" customWidth="1"/>
    <col min="8727" max="8728" width="7.7109375" style="748" customWidth="1"/>
    <col min="8729" max="8729" width="20" style="748" customWidth="1"/>
    <col min="8730" max="8730" width="9" style="748" customWidth="1"/>
    <col min="8731" max="8731" width="12.28515625" style="748" bestFit="1" customWidth="1"/>
    <col min="8732" max="8732" width="0" style="748" hidden="1" customWidth="1"/>
    <col min="8733" max="8734" width="9.140625" style="748"/>
    <col min="8735" max="8735" width="10" style="748" bestFit="1" customWidth="1"/>
    <col min="8736" max="8960" width="9.140625" style="748"/>
    <col min="8961" max="8961" width="2" style="748" customWidth="1"/>
    <col min="8962" max="8962" width="4.28515625" style="748" customWidth="1"/>
    <col min="8963" max="8963" width="2.7109375" style="748" customWidth="1"/>
    <col min="8964" max="8964" width="3" style="748" customWidth="1"/>
    <col min="8965" max="8966" width="2.7109375" style="748" customWidth="1"/>
    <col min="8967" max="8967" width="7.42578125" style="748" customWidth="1"/>
    <col min="8968" max="8970" width="2.7109375" style="748" customWidth="1"/>
    <col min="8971" max="8971" width="13.140625" style="748" customWidth="1"/>
    <col min="8972" max="8972" width="9.5703125" style="748" customWidth="1"/>
    <col min="8973" max="8974" width="0" style="748" hidden="1" customWidth="1"/>
    <col min="8975" max="8975" width="15.7109375" style="748" customWidth="1"/>
    <col min="8976" max="8977" width="0" style="748" hidden="1" customWidth="1"/>
    <col min="8978" max="8978" width="8.5703125" style="748" customWidth="1"/>
    <col min="8979" max="8979" width="15.7109375" style="748" customWidth="1"/>
    <col min="8980" max="8980" width="0" style="748" hidden="1" customWidth="1"/>
    <col min="8981" max="8981" width="7.7109375" style="748" customWidth="1"/>
    <col min="8982" max="8982" width="15.7109375" style="748" customWidth="1"/>
    <col min="8983" max="8984" width="7.7109375" style="748" customWidth="1"/>
    <col min="8985" max="8985" width="20" style="748" customWidth="1"/>
    <col min="8986" max="8986" width="9" style="748" customWidth="1"/>
    <col min="8987" max="8987" width="12.28515625" style="748" bestFit="1" customWidth="1"/>
    <col min="8988" max="8988" width="0" style="748" hidden="1" customWidth="1"/>
    <col min="8989" max="8990" width="9.140625" style="748"/>
    <col min="8991" max="8991" width="10" style="748" bestFit="1" customWidth="1"/>
    <col min="8992" max="9216" width="9.140625" style="748"/>
    <col min="9217" max="9217" width="2" style="748" customWidth="1"/>
    <col min="9218" max="9218" width="4.28515625" style="748" customWidth="1"/>
    <col min="9219" max="9219" width="2.7109375" style="748" customWidth="1"/>
    <col min="9220" max="9220" width="3" style="748" customWidth="1"/>
    <col min="9221" max="9222" width="2.7109375" style="748" customWidth="1"/>
    <col min="9223" max="9223" width="7.42578125" style="748" customWidth="1"/>
    <col min="9224" max="9226" width="2.7109375" style="748" customWidth="1"/>
    <col min="9227" max="9227" width="13.140625" style="748" customWidth="1"/>
    <col min="9228" max="9228" width="9.5703125" style="748" customWidth="1"/>
    <col min="9229" max="9230" width="0" style="748" hidden="1" customWidth="1"/>
    <col min="9231" max="9231" width="15.7109375" style="748" customWidth="1"/>
    <col min="9232" max="9233" width="0" style="748" hidden="1" customWidth="1"/>
    <col min="9234" max="9234" width="8.5703125" style="748" customWidth="1"/>
    <col min="9235" max="9235" width="15.7109375" style="748" customWidth="1"/>
    <col min="9236" max="9236" width="0" style="748" hidden="1" customWidth="1"/>
    <col min="9237" max="9237" width="7.7109375" style="748" customWidth="1"/>
    <col min="9238" max="9238" width="15.7109375" style="748" customWidth="1"/>
    <col min="9239" max="9240" width="7.7109375" style="748" customWidth="1"/>
    <col min="9241" max="9241" width="20" style="748" customWidth="1"/>
    <col min="9242" max="9242" width="9" style="748" customWidth="1"/>
    <col min="9243" max="9243" width="12.28515625" style="748" bestFit="1" customWidth="1"/>
    <col min="9244" max="9244" width="0" style="748" hidden="1" customWidth="1"/>
    <col min="9245" max="9246" width="9.140625" style="748"/>
    <col min="9247" max="9247" width="10" style="748" bestFit="1" customWidth="1"/>
    <col min="9248" max="9472" width="9.140625" style="748"/>
    <col min="9473" max="9473" width="2" style="748" customWidth="1"/>
    <col min="9474" max="9474" width="4.28515625" style="748" customWidth="1"/>
    <col min="9475" max="9475" width="2.7109375" style="748" customWidth="1"/>
    <col min="9476" max="9476" width="3" style="748" customWidth="1"/>
    <col min="9477" max="9478" width="2.7109375" style="748" customWidth="1"/>
    <col min="9479" max="9479" width="7.42578125" style="748" customWidth="1"/>
    <col min="9480" max="9482" width="2.7109375" style="748" customWidth="1"/>
    <col min="9483" max="9483" width="13.140625" style="748" customWidth="1"/>
    <col min="9484" max="9484" width="9.5703125" style="748" customWidth="1"/>
    <col min="9485" max="9486" width="0" style="748" hidden="1" customWidth="1"/>
    <col min="9487" max="9487" width="15.7109375" style="748" customWidth="1"/>
    <col min="9488" max="9489" width="0" style="748" hidden="1" customWidth="1"/>
    <col min="9490" max="9490" width="8.5703125" style="748" customWidth="1"/>
    <col min="9491" max="9491" width="15.7109375" style="748" customWidth="1"/>
    <col min="9492" max="9492" width="0" style="748" hidden="1" customWidth="1"/>
    <col min="9493" max="9493" width="7.7109375" style="748" customWidth="1"/>
    <col min="9494" max="9494" width="15.7109375" style="748" customWidth="1"/>
    <col min="9495" max="9496" width="7.7109375" style="748" customWidth="1"/>
    <col min="9497" max="9497" width="20" style="748" customWidth="1"/>
    <col min="9498" max="9498" width="9" style="748" customWidth="1"/>
    <col min="9499" max="9499" width="12.28515625" style="748" bestFit="1" customWidth="1"/>
    <col min="9500" max="9500" width="0" style="748" hidden="1" customWidth="1"/>
    <col min="9501" max="9502" width="9.140625" style="748"/>
    <col min="9503" max="9503" width="10" style="748" bestFit="1" customWidth="1"/>
    <col min="9504" max="9728" width="9.140625" style="748"/>
    <col min="9729" max="9729" width="2" style="748" customWidth="1"/>
    <col min="9730" max="9730" width="4.28515625" style="748" customWidth="1"/>
    <col min="9731" max="9731" width="2.7109375" style="748" customWidth="1"/>
    <col min="9732" max="9732" width="3" style="748" customWidth="1"/>
    <col min="9733" max="9734" width="2.7109375" style="748" customWidth="1"/>
    <col min="9735" max="9735" width="7.42578125" style="748" customWidth="1"/>
    <col min="9736" max="9738" width="2.7109375" style="748" customWidth="1"/>
    <col min="9739" max="9739" width="13.140625" style="748" customWidth="1"/>
    <col min="9740" max="9740" width="9.5703125" style="748" customWidth="1"/>
    <col min="9741" max="9742" width="0" style="748" hidden="1" customWidth="1"/>
    <col min="9743" max="9743" width="15.7109375" style="748" customWidth="1"/>
    <col min="9744" max="9745" width="0" style="748" hidden="1" customWidth="1"/>
    <col min="9746" max="9746" width="8.5703125" style="748" customWidth="1"/>
    <col min="9747" max="9747" width="15.7109375" style="748" customWidth="1"/>
    <col min="9748" max="9748" width="0" style="748" hidden="1" customWidth="1"/>
    <col min="9749" max="9749" width="7.7109375" style="748" customWidth="1"/>
    <col min="9750" max="9750" width="15.7109375" style="748" customWidth="1"/>
    <col min="9751" max="9752" width="7.7109375" style="748" customWidth="1"/>
    <col min="9753" max="9753" width="20" style="748" customWidth="1"/>
    <col min="9754" max="9754" width="9" style="748" customWidth="1"/>
    <col min="9755" max="9755" width="12.28515625" style="748" bestFit="1" customWidth="1"/>
    <col min="9756" max="9756" width="0" style="748" hidden="1" customWidth="1"/>
    <col min="9757" max="9758" width="9.140625" style="748"/>
    <col min="9759" max="9759" width="10" style="748" bestFit="1" customWidth="1"/>
    <col min="9760" max="9984" width="9.140625" style="748"/>
    <col min="9985" max="9985" width="2" style="748" customWidth="1"/>
    <col min="9986" max="9986" width="4.28515625" style="748" customWidth="1"/>
    <col min="9987" max="9987" width="2.7109375" style="748" customWidth="1"/>
    <col min="9988" max="9988" width="3" style="748" customWidth="1"/>
    <col min="9989" max="9990" width="2.7109375" style="748" customWidth="1"/>
    <col min="9991" max="9991" width="7.42578125" style="748" customWidth="1"/>
    <col min="9992" max="9994" width="2.7109375" style="748" customWidth="1"/>
    <col min="9995" max="9995" width="13.140625" style="748" customWidth="1"/>
    <col min="9996" max="9996" width="9.5703125" style="748" customWidth="1"/>
    <col min="9997" max="9998" width="0" style="748" hidden="1" customWidth="1"/>
    <col min="9999" max="9999" width="15.7109375" style="748" customWidth="1"/>
    <col min="10000" max="10001" width="0" style="748" hidden="1" customWidth="1"/>
    <col min="10002" max="10002" width="8.5703125" style="748" customWidth="1"/>
    <col min="10003" max="10003" width="15.7109375" style="748" customWidth="1"/>
    <col min="10004" max="10004" width="0" style="748" hidden="1" customWidth="1"/>
    <col min="10005" max="10005" width="7.7109375" style="748" customWidth="1"/>
    <col min="10006" max="10006" width="15.7109375" style="748" customWidth="1"/>
    <col min="10007" max="10008" width="7.7109375" style="748" customWidth="1"/>
    <col min="10009" max="10009" width="20" style="748" customWidth="1"/>
    <col min="10010" max="10010" width="9" style="748" customWidth="1"/>
    <col min="10011" max="10011" width="12.28515625" style="748" bestFit="1" customWidth="1"/>
    <col min="10012" max="10012" width="0" style="748" hidden="1" customWidth="1"/>
    <col min="10013" max="10014" width="9.140625" style="748"/>
    <col min="10015" max="10015" width="10" style="748" bestFit="1" customWidth="1"/>
    <col min="10016" max="10240" width="9.140625" style="748"/>
    <col min="10241" max="10241" width="2" style="748" customWidth="1"/>
    <col min="10242" max="10242" width="4.28515625" style="748" customWidth="1"/>
    <col min="10243" max="10243" width="2.7109375" style="748" customWidth="1"/>
    <col min="10244" max="10244" width="3" style="748" customWidth="1"/>
    <col min="10245" max="10246" width="2.7109375" style="748" customWidth="1"/>
    <col min="10247" max="10247" width="7.42578125" style="748" customWidth="1"/>
    <col min="10248" max="10250" width="2.7109375" style="748" customWidth="1"/>
    <col min="10251" max="10251" width="13.140625" style="748" customWidth="1"/>
    <col min="10252" max="10252" width="9.5703125" style="748" customWidth="1"/>
    <col min="10253" max="10254" width="0" style="748" hidden="1" customWidth="1"/>
    <col min="10255" max="10255" width="15.7109375" style="748" customWidth="1"/>
    <col min="10256" max="10257" width="0" style="748" hidden="1" customWidth="1"/>
    <col min="10258" max="10258" width="8.5703125" style="748" customWidth="1"/>
    <col min="10259" max="10259" width="15.7109375" style="748" customWidth="1"/>
    <col min="10260" max="10260" width="0" style="748" hidden="1" customWidth="1"/>
    <col min="10261" max="10261" width="7.7109375" style="748" customWidth="1"/>
    <col min="10262" max="10262" width="15.7109375" style="748" customWidth="1"/>
    <col min="10263" max="10264" width="7.7109375" style="748" customWidth="1"/>
    <col min="10265" max="10265" width="20" style="748" customWidth="1"/>
    <col min="10266" max="10266" width="9" style="748" customWidth="1"/>
    <col min="10267" max="10267" width="12.28515625" style="748" bestFit="1" customWidth="1"/>
    <col min="10268" max="10268" width="0" style="748" hidden="1" customWidth="1"/>
    <col min="10269" max="10270" width="9.140625" style="748"/>
    <col min="10271" max="10271" width="10" style="748" bestFit="1" customWidth="1"/>
    <col min="10272" max="10496" width="9.140625" style="748"/>
    <col min="10497" max="10497" width="2" style="748" customWidth="1"/>
    <col min="10498" max="10498" width="4.28515625" style="748" customWidth="1"/>
    <col min="10499" max="10499" width="2.7109375" style="748" customWidth="1"/>
    <col min="10500" max="10500" width="3" style="748" customWidth="1"/>
    <col min="10501" max="10502" width="2.7109375" style="748" customWidth="1"/>
    <col min="10503" max="10503" width="7.42578125" style="748" customWidth="1"/>
    <col min="10504" max="10506" width="2.7109375" style="748" customWidth="1"/>
    <col min="10507" max="10507" width="13.140625" style="748" customWidth="1"/>
    <col min="10508" max="10508" width="9.5703125" style="748" customWidth="1"/>
    <col min="10509" max="10510" width="0" style="748" hidden="1" customWidth="1"/>
    <col min="10511" max="10511" width="15.7109375" style="748" customWidth="1"/>
    <col min="10512" max="10513" width="0" style="748" hidden="1" customWidth="1"/>
    <col min="10514" max="10514" width="8.5703125" style="748" customWidth="1"/>
    <col min="10515" max="10515" width="15.7109375" style="748" customWidth="1"/>
    <col min="10516" max="10516" width="0" style="748" hidden="1" customWidth="1"/>
    <col min="10517" max="10517" width="7.7109375" style="748" customWidth="1"/>
    <col min="10518" max="10518" width="15.7109375" style="748" customWidth="1"/>
    <col min="10519" max="10520" width="7.7109375" style="748" customWidth="1"/>
    <col min="10521" max="10521" width="20" style="748" customWidth="1"/>
    <col min="10522" max="10522" width="9" style="748" customWidth="1"/>
    <col min="10523" max="10523" width="12.28515625" style="748" bestFit="1" customWidth="1"/>
    <col min="10524" max="10524" width="0" style="748" hidden="1" customWidth="1"/>
    <col min="10525" max="10526" width="9.140625" style="748"/>
    <col min="10527" max="10527" width="10" style="748" bestFit="1" customWidth="1"/>
    <col min="10528" max="10752" width="9.140625" style="748"/>
    <col min="10753" max="10753" width="2" style="748" customWidth="1"/>
    <col min="10754" max="10754" width="4.28515625" style="748" customWidth="1"/>
    <col min="10755" max="10755" width="2.7109375" style="748" customWidth="1"/>
    <col min="10756" max="10756" width="3" style="748" customWidth="1"/>
    <col min="10757" max="10758" width="2.7109375" style="748" customWidth="1"/>
    <col min="10759" max="10759" width="7.42578125" style="748" customWidth="1"/>
    <col min="10760" max="10762" width="2.7109375" style="748" customWidth="1"/>
    <col min="10763" max="10763" width="13.140625" style="748" customWidth="1"/>
    <col min="10764" max="10764" width="9.5703125" style="748" customWidth="1"/>
    <col min="10765" max="10766" width="0" style="748" hidden="1" customWidth="1"/>
    <col min="10767" max="10767" width="15.7109375" style="748" customWidth="1"/>
    <col min="10768" max="10769" width="0" style="748" hidden="1" customWidth="1"/>
    <col min="10770" max="10770" width="8.5703125" style="748" customWidth="1"/>
    <col min="10771" max="10771" width="15.7109375" style="748" customWidth="1"/>
    <col min="10772" max="10772" width="0" style="748" hidden="1" customWidth="1"/>
    <col min="10773" max="10773" width="7.7109375" style="748" customWidth="1"/>
    <col min="10774" max="10774" width="15.7109375" style="748" customWidth="1"/>
    <col min="10775" max="10776" width="7.7109375" style="748" customWidth="1"/>
    <col min="10777" max="10777" width="20" style="748" customWidth="1"/>
    <col min="10778" max="10778" width="9" style="748" customWidth="1"/>
    <col min="10779" max="10779" width="12.28515625" style="748" bestFit="1" customWidth="1"/>
    <col min="10780" max="10780" width="0" style="748" hidden="1" customWidth="1"/>
    <col min="10781" max="10782" width="9.140625" style="748"/>
    <col min="10783" max="10783" width="10" style="748" bestFit="1" customWidth="1"/>
    <col min="10784" max="11008" width="9.140625" style="748"/>
    <col min="11009" max="11009" width="2" style="748" customWidth="1"/>
    <col min="11010" max="11010" width="4.28515625" style="748" customWidth="1"/>
    <col min="11011" max="11011" width="2.7109375" style="748" customWidth="1"/>
    <col min="11012" max="11012" width="3" style="748" customWidth="1"/>
    <col min="11013" max="11014" width="2.7109375" style="748" customWidth="1"/>
    <col min="11015" max="11015" width="7.42578125" style="748" customWidth="1"/>
    <col min="11016" max="11018" width="2.7109375" style="748" customWidth="1"/>
    <col min="11019" max="11019" width="13.140625" style="748" customWidth="1"/>
    <col min="11020" max="11020" width="9.5703125" style="748" customWidth="1"/>
    <col min="11021" max="11022" width="0" style="748" hidden="1" customWidth="1"/>
    <col min="11023" max="11023" width="15.7109375" style="748" customWidth="1"/>
    <col min="11024" max="11025" width="0" style="748" hidden="1" customWidth="1"/>
    <col min="11026" max="11026" width="8.5703125" style="748" customWidth="1"/>
    <col min="11027" max="11027" width="15.7109375" style="748" customWidth="1"/>
    <col min="11028" max="11028" width="0" style="748" hidden="1" customWidth="1"/>
    <col min="11029" max="11029" width="7.7109375" style="748" customWidth="1"/>
    <col min="11030" max="11030" width="15.7109375" style="748" customWidth="1"/>
    <col min="11031" max="11032" width="7.7109375" style="748" customWidth="1"/>
    <col min="11033" max="11033" width="20" style="748" customWidth="1"/>
    <col min="11034" max="11034" width="9" style="748" customWidth="1"/>
    <col min="11035" max="11035" width="12.28515625" style="748" bestFit="1" customWidth="1"/>
    <col min="11036" max="11036" width="0" style="748" hidden="1" customWidth="1"/>
    <col min="11037" max="11038" width="9.140625" style="748"/>
    <col min="11039" max="11039" width="10" style="748" bestFit="1" customWidth="1"/>
    <col min="11040" max="11264" width="9.140625" style="748"/>
    <col min="11265" max="11265" width="2" style="748" customWidth="1"/>
    <col min="11266" max="11266" width="4.28515625" style="748" customWidth="1"/>
    <col min="11267" max="11267" width="2.7109375" style="748" customWidth="1"/>
    <col min="11268" max="11268" width="3" style="748" customWidth="1"/>
    <col min="11269" max="11270" width="2.7109375" style="748" customWidth="1"/>
    <col min="11271" max="11271" width="7.42578125" style="748" customWidth="1"/>
    <col min="11272" max="11274" width="2.7109375" style="748" customWidth="1"/>
    <col min="11275" max="11275" width="13.140625" style="748" customWidth="1"/>
    <col min="11276" max="11276" width="9.5703125" style="748" customWidth="1"/>
    <col min="11277" max="11278" width="0" style="748" hidden="1" customWidth="1"/>
    <col min="11279" max="11279" width="15.7109375" style="748" customWidth="1"/>
    <col min="11280" max="11281" width="0" style="748" hidden="1" customWidth="1"/>
    <col min="11282" max="11282" width="8.5703125" style="748" customWidth="1"/>
    <col min="11283" max="11283" width="15.7109375" style="748" customWidth="1"/>
    <col min="11284" max="11284" width="0" style="748" hidden="1" customWidth="1"/>
    <col min="11285" max="11285" width="7.7109375" style="748" customWidth="1"/>
    <col min="11286" max="11286" width="15.7109375" style="748" customWidth="1"/>
    <col min="11287" max="11288" width="7.7109375" style="748" customWidth="1"/>
    <col min="11289" max="11289" width="20" style="748" customWidth="1"/>
    <col min="11290" max="11290" width="9" style="748" customWidth="1"/>
    <col min="11291" max="11291" width="12.28515625" style="748" bestFit="1" customWidth="1"/>
    <col min="11292" max="11292" width="0" style="748" hidden="1" customWidth="1"/>
    <col min="11293" max="11294" width="9.140625" style="748"/>
    <col min="11295" max="11295" width="10" style="748" bestFit="1" customWidth="1"/>
    <col min="11296" max="11520" width="9.140625" style="748"/>
    <col min="11521" max="11521" width="2" style="748" customWidth="1"/>
    <col min="11522" max="11522" width="4.28515625" style="748" customWidth="1"/>
    <col min="11523" max="11523" width="2.7109375" style="748" customWidth="1"/>
    <col min="11524" max="11524" width="3" style="748" customWidth="1"/>
    <col min="11525" max="11526" width="2.7109375" style="748" customWidth="1"/>
    <col min="11527" max="11527" width="7.42578125" style="748" customWidth="1"/>
    <col min="11528" max="11530" width="2.7109375" style="748" customWidth="1"/>
    <col min="11531" max="11531" width="13.140625" style="748" customWidth="1"/>
    <col min="11532" max="11532" width="9.5703125" style="748" customWidth="1"/>
    <col min="11533" max="11534" width="0" style="748" hidden="1" customWidth="1"/>
    <col min="11535" max="11535" width="15.7109375" style="748" customWidth="1"/>
    <col min="11536" max="11537" width="0" style="748" hidden="1" customWidth="1"/>
    <col min="11538" max="11538" width="8.5703125" style="748" customWidth="1"/>
    <col min="11539" max="11539" width="15.7109375" style="748" customWidth="1"/>
    <col min="11540" max="11540" width="0" style="748" hidden="1" customWidth="1"/>
    <col min="11541" max="11541" width="7.7109375" style="748" customWidth="1"/>
    <col min="11542" max="11542" width="15.7109375" style="748" customWidth="1"/>
    <col min="11543" max="11544" width="7.7109375" style="748" customWidth="1"/>
    <col min="11545" max="11545" width="20" style="748" customWidth="1"/>
    <col min="11546" max="11546" width="9" style="748" customWidth="1"/>
    <col min="11547" max="11547" width="12.28515625" style="748" bestFit="1" customWidth="1"/>
    <col min="11548" max="11548" width="0" style="748" hidden="1" customWidth="1"/>
    <col min="11549" max="11550" width="9.140625" style="748"/>
    <col min="11551" max="11551" width="10" style="748" bestFit="1" customWidth="1"/>
    <col min="11552" max="11776" width="9.140625" style="748"/>
    <col min="11777" max="11777" width="2" style="748" customWidth="1"/>
    <col min="11778" max="11778" width="4.28515625" style="748" customWidth="1"/>
    <col min="11779" max="11779" width="2.7109375" style="748" customWidth="1"/>
    <col min="11780" max="11780" width="3" style="748" customWidth="1"/>
    <col min="11781" max="11782" width="2.7109375" style="748" customWidth="1"/>
    <col min="11783" max="11783" width="7.42578125" style="748" customWidth="1"/>
    <col min="11784" max="11786" width="2.7109375" style="748" customWidth="1"/>
    <col min="11787" max="11787" width="13.140625" style="748" customWidth="1"/>
    <col min="11788" max="11788" width="9.5703125" style="748" customWidth="1"/>
    <col min="11789" max="11790" width="0" style="748" hidden="1" customWidth="1"/>
    <col min="11791" max="11791" width="15.7109375" style="748" customWidth="1"/>
    <col min="11792" max="11793" width="0" style="748" hidden="1" customWidth="1"/>
    <col min="11794" max="11794" width="8.5703125" style="748" customWidth="1"/>
    <col min="11795" max="11795" width="15.7109375" style="748" customWidth="1"/>
    <col min="11796" max="11796" width="0" style="748" hidden="1" customWidth="1"/>
    <col min="11797" max="11797" width="7.7109375" style="748" customWidth="1"/>
    <col min="11798" max="11798" width="15.7109375" style="748" customWidth="1"/>
    <col min="11799" max="11800" width="7.7109375" style="748" customWidth="1"/>
    <col min="11801" max="11801" width="20" style="748" customWidth="1"/>
    <col min="11802" max="11802" width="9" style="748" customWidth="1"/>
    <col min="11803" max="11803" width="12.28515625" style="748" bestFit="1" customWidth="1"/>
    <col min="11804" max="11804" width="0" style="748" hidden="1" customWidth="1"/>
    <col min="11805" max="11806" width="9.140625" style="748"/>
    <col min="11807" max="11807" width="10" style="748" bestFit="1" customWidth="1"/>
    <col min="11808" max="12032" width="9.140625" style="748"/>
    <col min="12033" max="12033" width="2" style="748" customWidth="1"/>
    <col min="12034" max="12034" width="4.28515625" style="748" customWidth="1"/>
    <col min="12035" max="12035" width="2.7109375" style="748" customWidth="1"/>
    <col min="12036" max="12036" width="3" style="748" customWidth="1"/>
    <col min="12037" max="12038" width="2.7109375" style="748" customWidth="1"/>
    <col min="12039" max="12039" width="7.42578125" style="748" customWidth="1"/>
    <col min="12040" max="12042" width="2.7109375" style="748" customWidth="1"/>
    <col min="12043" max="12043" width="13.140625" style="748" customWidth="1"/>
    <col min="12044" max="12044" width="9.5703125" style="748" customWidth="1"/>
    <col min="12045" max="12046" width="0" style="748" hidden="1" customWidth="1"/>
    <col min="12047" max="12047" width="15.7109375" style="748" customWidth="1"/>
    <col min="12048" max="12049" width="0" style="748" hidden="1" customWidth="1"/>
    <col min="12050" max="12050" width="8.5703125" style="748" customWidth="1"/>
    <col min="12051" max="12051" width="15.7109375" style="748" customWidth="1"/>
    <col min="12052" max="12052" width="0" style="748" hidden="1" customWidth="1"/>
    <col min="12053" max="12053" width="7.7109375" style="748" customWidth="1"/>
    <col min="12054" max="12054" width="15.7109375" style="748" customWidth="1"/>
    <col min="12055" max="12056" width="7.7109375" style="748" customWidth="1"/>
    <col min="12057" max="12057" width="20" style="748" customWidth="1"/>
    <col min="12058" max="12058" width="9" style="748" customWidth="1"/>
    <col min="12059" max="12059" width="12.28515625" style="748" bestFit="1" customWidth="1"/>
    <col min="12060" max="12060" width="0" style="748" hidden="1" customWidth="1"/>
    <col min="12061" max="12062" width="9.140625" style="748"/>
    <col min="12063" max="12063" width="10" style="748" bestFit="1" customWidth="1"/>
    <col min="12064" max="12288" width="9.140625" style="748"/>
    <col min="12289" max="12289" width="2" style="748" customWidth="1"/>
    <col min="12290" max="12290" width="4.28515625" style="748" customWidth="1"/>
    <col min="12291" max="12291" width="2.7109375" style="748" customWidth="1"/>
    <col min="12292" max="12292" width="3" style="748" customWidth="1"/>
    <col min="12293" max="12294" width="2.7109375" style="748" customWidth="1"/>
    <col min="12295" max="12295" width="7.42578125" style="748" customWidth="1"/>
    <col min="12296" max="12298" width="2.7109375" style="748" customWidth="1"/>
    <col min="12299" max="12299" width="13.140625" style="748" customWidth="1"/>
    <col min="12300" max="12300" width="9.5703125" style="748" customWidth="1"/>
    <col min="12301" max="12302" width="0" style="748" hidden="1" customWidth="1"/>
    <col min="12303" max="12303" width="15.7109375" style="748" customWidth="1"/>
    <col min="12304" max="12305" width="0" style="748" hidden="1" customWidth="1"/>
    <col min="12306" max="12306" width="8.5703125" style="748" customWidth="1"/>
    <col min="12307" max="12307" width="15.7109375" style="748" customWidth="1"/>
    <col min="12308" max="12308" width="0" style="748" hidden="1" customWidth="1"/>
    <col min="12309" max="12309" width="7.7109375" style="748" customWidth="1"/>
    <col min="12310" max="12310" width="15.7109375" style="748" customWidth="1"/>
    <col min="12311" max="12312" width="7.7109375" style="748" customWidth="1"/>
    <col min="12313" max="12313" width="20" style="748" customWidth="1"/>
    <col min="12314" max="12314" width="9" style="748" customWidth="1"/>
    <col min="12315" max="12315" width="12.28515625" style="748" bestFit="1" customWidth="1"/>
    <col min="12316" max="12316" width="0" style="748" hidden="1" customWidth="1"/>
    <col min="12317" max="12318" width="9.140625" style="748"/>
    <col min="12319" max="12319" width="10" style="748" bestFit="1" customWidth="1"/>
    <col min="12320" max="12544" width="9.140625" style="748"/>
    <col min="12545" max="12545" width="2" style="748" customWidth="1"/>
    <col min="12546" max="12546" width="4.28515625" style="748" customWidth="1"/>
    <col min="12547" max="12547" width="2.7109375" style="748" customWidth="1"/>
    <col min="12548" max="12548" width="3" style="748" customWidth="1"/>
    <col min="12549" max="12550" width="2.7109375" style="748" customWidth="1"/>
    <col min="12551" max="12551" width="7.42578125" style="748" customWidth="1"/>
    <col min="12552" max="12554" width="2.7109375" style="748" customWidth="1"/>
    <col min="12555" max="12555" width="13.140625" style="748" customWidth="1"/>
    <col min="12556" max="12556" width="9.5703125" style="748" customWidth="1"/>
    <col min="12557" max="12558" width="0" style="748" hidden="1" customWidth="1"/>
    <col min="12559" max="12559" width="15.7109375" style="748" customWidth="1"/>
    <col min="12560" max="12561" width="0" style="748" hidden="1" customWidth="1"/>
    <col min="12562" max="12562" width="8.5703125" style="748" customWidth="1"/>
    <col min="12563" max="12563" width="15.7109375" style="748" customWidth="1"/>
    <col min="12564" max="12564" width="0" style="748" hidden="1" customWidth="1"/>
    <col min="12565" max="12565" width="7.7109375" style="748" customWidth="1"/>
    <col min="12566" max="12566" width="15.7109375" style="748" customWidth="1"/>
    <col min="12567" max="12568" width="7.7109375" style="748" customWidth="1"/>
    <col min="12569" max="12569" width="20" style="748" customWidth="1"/>
    <col min="12570" max="12570" width="9" style="748" customWidth="1"/>
    <col min="12571" max="12571" width="12.28515625" style="748" bestFit="1" customWidth="1"/>
    <col min="12572" max="12572" width="0" style="748" hidden="1" customWidth="1"/>
    <col min="12573" max="12574" width="9.140625" style="748"/>
    <col min="12575" max="12575" width="10" style="748" bestFit="1" customWidth="1"/>
    <col min="12576" max="12800" width="9.140625" style="748"/>
    <col min="12801" max="12801" width="2" style="748" customWidth="1"/>
    <col min="12802" max="12802" width="4.28515625" style="748" customWidth="1"/>
    <col min="12803" max="12803" width="2.7109375" style="748" customWidth="1"/>
    <col min="12804" max="12804" width="3" style="748" customWidth="1"/>
    <col min="12805" max="12806" width="2.7109375" style="748" customWidth="1"/>
    <col min="12807" max="12807" width="7.42578125" style="748" customWidth="1"/>
    <col min="12808" max="12810" width="2.7109375" style="748" customWidth="1"/>
    <col min="12811" max="12811" width="13.140625" style="748" customWidth="1"/>
    <col min="12812" max="12812" width="9.5703125" style="748" customWidth="1"/>
    <col min="12813" max="12814" width="0" style="748" hidden="1" customWidth="1"/>
    <col min="12815" max="12815" width="15.7109375" style="748" customWidth="1"/>
    <col min="12816" max="12817" width="0" style="748" hidden="1" customWidth="1"/>
    <col min="12818" max="12818" width="8.5703125" style="748" customWidth="1"/>
    <col min="12819" max="12819" width="15.7109375" style="748" customWidth="1"/>
    <col min="12820" max="12820" width="0" style="748" hidden="1" customWidth="1"/>
    <col min="12821" max="12821" width="7.7109375" style="748" customWidth="1"/>
    <col min="12822" max="12822" width="15.7109375" style="748" customWidth="1"/>
    <col min="12823" max="12824" width="7.7109375" style="748" customWidth="1"/>
    <col min="12825" max="12825" width="20" style="748" customWidth="1"/>
    <col min="12826" max="12826" width="9" style="748" customWidth="1"/>
    <col min="12827" max="12827" width="12.28515625" style="748" bestFit="1" customWidth="1"/>
    <col min="12828" max="12828" width="0" style="748" hidden="1" customWidth="1"/>
    <col min="12829" max="12830" width="9.140625" style="748"/>
    <col min="12831" max="12831" width="10" style="748" bestFit="1" customWidth="1"/>
    <col min="12832" max="13056" width="9.140625" style="748"/>
    <col min="13057" max="13057" width="2" style="748" customWidth="1"/>
    <col min="13058" max="13058" width="4.28515625" style="748" customWidth="1"/>
    <col min="13059" max="13059" width="2.7109375" style="748" customWidth="1"/>
    <col min="13060" max="13060" width="3" style="748" customWidth="1"/>
    <col min="13061" max="13062" width="2.7109375" style="748" customWidth="1"/>
    <col min="13063" max="13063" width="7.42578125" style="748" customWidth="1"/>
    <col min="13064" max="13066" width="2.7109375" style="748" customWidth="1"/>
    <col min="13067" max="13067" width="13.140625" style="748" customWidth="1"/>
    <col min="13068" max="13068" width="9.5703125" style="748" customWidth="1"/>
    <col min="13069" max="13070" width="0" style="748" hidden="1" customWidth="1"/>
    <col min="13071" max="13071" width="15.7109375" style="748" customWidth="1"/>
    <col min="13072" max="13073" width="0" style="748" hidden="1" customWidth="1"/>
    <col min="13074" max="13074" width="8.5703125" style="748" customWidth="1"/>
    <col min="13075" max="13075" width="15.7109375" style="748" customWidth="1"/>
    <col min="13076" max="13076" width="0" style="748" hidden="1" customWidth="1"/>
    <col min="13077" max="13077" width="7.7109375" style="748" customWidth="1"/>
    <col min="13078" max="13078" width="15.7109375" style="748" customWidth="1"/>
    <col min="13079" max="13080" width="7.7109375" style="748" customWidth="1"/>
    <col min="13081" max="13081" width="20" style="748" customWidth="1"/>
    <col min="13082" max="13082" width="9" style="748" customWidth="1"/>
    <col min="13083" max="13083" width="12.28515625" style="748" bestFit="1" customWidth="1"/>
    <col min="13084" max="13084" width="0" style="748" hidden="1" customWidth="1"/>
    <col min="13085" max="13086" width="9.140625" style="748"/>
    <col min="13087" max="13087" width="10" style="748" bestFit="1" customWidth="1"/>
    <col min="13088" max="13312" width="9.140625" style="748"/>
    <col min="13313" max="13313" width="2" style="748" customWidth="1"/>
    <col min="13314" max="13314" width="4.28515625" style="748" customWidth="1"/>
    <col min="13315" max="13315" width="2.7109375" style="748" customWidth="1"/>
    <col min="13316" max="13316" width="3" style="748" customWidth="1"/>
    <col min="13317" max="13318" width="2.7109375" style="748" customWidth="1"/>
    <col min="13319" max="13319" width="7.42578125" style="748" customWidth="1"/>
    <col min="13320" max="13322" width="2.7109375" style="748" customWidth="1"/>
    <col min="13323" max="13323" width="13.140625" style="748" customWidth="1"/>
    <col min="13324" max="13324" width="9.5703125" style="748" customWidth="1"/>
    <col min="13325" max="13326" width="0" style="748" hidden="1" customWidth="1"/>
    <col min="13327" max="13327" width="15.7109375" style="748" customWidth="1"/>
    <col min="13328" max="13329" width="0" style="748" hidden="1" customWidth="1"/>
    <col min="13330" max="13330" width="8.5703125" style="748" customWidth="1"/>
    <col min="13331" max="13331" width="15.7109375" style="748" customWidth="1"/>
    <col min="13332" max="13332" width="0" style="748" hidden="1" customWidth="1"/>
    <col min="13333" max="13333" width="7.7109375" style="748" customWidth="1"/>
    <col min="13334" max="13334" width="15.7109375" style="748" customWidth="1"/>
    <col min="13335" max="13336" width="7.7109375" style="748" customWidth="1"/>
    <col min="13337" max="13337" width="20" style="748" customWidth="1"/>
    <col min="13338" max="13338" width="9" style="748" customWidth="1"/>
    <col min="13339" max="13339" width="12.28515625" style="748" bestFit="1" customWidth="1"/>
    <col min="13340" max="13340" width="0" style="748" hidden="1" customWidth="1"/>
    <col min="13341" max="13342" width="9.140625" style="748"/>
    <col min="13343" max="13343" width="10" style="748" bestFit="1" customWidth="1"/>
    <col min="13344" max="13568" width="9.140625" style="748"/>
    <col min="13569" max="13569" width="2" style="748" customWidth="1"/>
    <col min="13570" max="13570" width="4.28515625" style="748" customWidth="1"/>
    <col min="13571" max="13571" width="2.7109375" style="748" customWidth="1"/>
    <col min="13572" max="13572" width="3" style="748" customWidth="1"/>
    <col min="13573" max="13574" width="2.7109375" style="748" customWidth="1"/>
    <col min="13575" max="13575" width="7.42578125" style="748" customWidth="1"/>
    <col min="13576" max="13578" width="2.7109375" style="748" customWidth="1"/>
    <col min="13579" max="13579" width="13.140625" style="748" customWidth="1"/>
    <col min="13580" max="13580" width="9.5703125" style="748" customWidth="1"/>
    <col min="13581" max="13582" width="0" style="748" hidden="1" customWidth="1"/>
    <col min="13583" max="13583" width="15.7109375" style="748" customWidth="1"/>
    <col min="13584" max="13585" width="0" style="748" hidden="1" customWidth="1"/>
    <col min="13586" max="13586" width="8.5703125" style="748" customWidth="1"/>
    <col min="13587" max="13587" width="15.7109375" style="748" customWidth="1"/>
    <col min="13588" max="13588" width="0" style="748" hidden="1" customWidth="1"/>
    <col min="13589" max="13589" width="7.7109375" style="748" customWidth="1"/>
    <col min="13590" max="13590" width="15.7109375" style="748" customWidth="1"/>
    <col min="13591" max="13592" width="7.7109375" style="748" customWidth="1"/>
    <col min="13593" max="13593" width="20" style="748" customWidth="1"/>
    <col min="13594" max="13594" width="9" style="748" customWidth="1"/>
    <col min="13595" max="13595" width="12.28515625" style="748" bestFit="1" customWidth="1"/>
    <col min="13596" max="13596" width="0" style="748" hidden="1" customWidth="1"/>
    <col min="13597" max="13598" width="9.140625" style="748"/>
    <col min="13599" max="13599" width="10" style="748" bestFit="1" customWidth="1"/>
    <col min="13600" max="13824" width="9.140625" style="748"/>
    <col min="13825" max="13825" width="2" style="748" customWidth="1"/>
    <col min="13826" max="13826" width="4.28515625" style="748" customWidth="1"/>
    <col min="13827" max="13827" width="2.7109375" style="748" customWidth="1"/>
    <col min="13828" max="13828" width="3" style="748" customWidth="1"/>
    <col min="13829" max="13830" width="2.7109375" style="748" customWidth="1"/>
    <col min="13831" max="13831" width="7.42578125" style="748" customWidth="1"/>
    <col min="13832" max="13834" width="2.7109375" style="748" customWidth="1"/>
    <col min="13835" max="13835" width="13.140625" style="748" customWidth="1"/>
    <col min="13836" max="13836" width="9.5703125" style="748" customWidth="1"/>
    <col min="13837" max="13838" width="0" style="748" hidden="1" customWidth="1"/>
    <col min="13839" max="13839" width="15.7109375" style="748" customWidth="1"/>
    <col min="13840" max="13841" width="0" style="748" hidden="1" customWidth="1"/>
    <col min="13842" max="13842" width="8.5703125" style="748" customWidth="1"/>
    <col min="13843" max="13843" width="15.7109375" style="748" customWidth="1"/>
    <col min="13844" max="13844" width="0" style="748" hidden="1" customWidth="1"/>
    <col min="13845" max="13845" width="7.7109375" style="748" customWidth="1"/>
    <col min="13846" max="13846" width="15.7109375" style="748" customWidth="1"/>
    <col min="13847" max="13848" width="7.7109375" style="748" customWidth="1"/>
    <col min="13849" max="13849" width="20" style="748" customWidth="1"/>
    <col min="13850" max="13850" width="9" style="748" customWidth="1"/>
    <col min="13851" max="13851" width="12.28515625" style="748" bestFit="1" customWidth="1"/>
    <col min="13852" max="13852" width="0" style="748" hidden="1" customWidth="1"/>
    <col min="13853" max="13854" width="9.140625" style="748"/>
    <col min="13855" max="13855" width="10" style="748" bestFit="1" customWidth="1"/>
    <col min="13856" max="14080" width="9.140625" style="748"/>
    <col min="14081" max="14081" width="2" style="748" customWidth="1"/>
    <col min="14082" max="14082" width="4.28515625" style="748" customWidth="1"/>
    <col min="14083" max="14083" width="2.7109375" style="748" customWidth="1"/>
    <col min="14084" max="14084" width="3" style="748" customWidth="1"/>
    <col min="14085" max="14086" width="2.7109375" style="748" customWidth="1"/>
    <col min="14087" max="14087" width="7.42578125" style="748" customWidth="1"/>
    <col min="14088" max="14090" width="2.7109375" style="748" customWidth="1"/>
    <col min="14091" max="14091" width="13.140625" style="748" customWidth="1"/>
    <col min="14092" max="14092" width="9.5703125" style="748" customWidth="1"/>
    <col min="14093" max="14094" width="0" style="748" hidden="1" customWidth="1"/>
    <col min="14095" max="14095" width="15.7109375" style="748" customWidth="1"/>
    <col min="14096" max="14097" width="0" style="748" hidden="1" customWidth="1"/>
    <col min="14098" max="14098" width="8.5703125" style="748" customWidth="1"/>
    <col min="14099" max="14099" width="15.7109375" style="748" customWidth="1"/>
    <col min="14100" max="14100" width="0" style="748" hidden="1" customWidth="1"/>
    <col min="14101" max="14101" width="7.7109375" style="748" customWidth="1"/>
    <col min="14102" max="14102" width="15.7109375" style="748" customWidth="1"/>
    <col min="14103" max="14104" width="7.7109375" style="748" customWidth="1"/>
    <col min="14105" max="14105" width="20" style="748" customWidth="1"/>
    <col min="14106" max="14106" width="9" style="748" customWidth="1"/>
    <col min="14107" max="14107" width="12.28515625" style="748" bestFit="1" customWidth="1"/>
    <col min="14108" max="14108" width="0" style="748" hidden="1" customWidth="1"/>
    <col min="14109" max="14110" width="9.140625" style="748"/>
    <col min="14111" max="14111" width="10" style="748" bestFit="1" customWidth="1"/>
    <col min="14112" max="14336" width="9.140625" style="748"/>
    <col min="14337" max="14337" width="2" style="748" customWidth="1"/>
    <col min="14338" max="14338" width="4.28515625" style="748" customWidth="1"/>
    <col min="14339" max="14339" width="2.7109375" style="748" customWidth="1"/>
    <col min="14340" max="14340" width="3" style="748" customWidth="1"/>
    <col min="14341" max="14342" width="2.7109375" style="748" customWidth="1"/>
    <col min="14343" max="14343" width="7.42578125" style="748" customWidth="1"/>
    <col min="14344" max="14346" width="2.7109375" style="748" customWidth="1"/>
    <col min="14347" max="14347" width="13.140625" style="748" customWidth="1"/>
    <col min="14348" max="14348" width="9.5703125" style="748" customWidth="1"/>
    <col min="14349" max="14350" width="0" style="748" hidden="1" customWidth="1"/>
    <col min="14351" max="14351" width="15.7109375" style="748" customWidth="1"/>
    <col min="14352" max="14353" width="0" style="748" hidden="1" customWidth="1"/>
    <col min="14354" max="14354" width="8.5703125" style="748" customWidth="1"/>
    <col min="14355" max="14355" width="15.7109375" style="748" customWidth="1"/>
    <col min="14356" max="14356" width="0" style="748" hidden="1" customWidth="1"/>
    <col min="14357" max="14357" width="7.7109375" style="748" customWidth="1"/>
    <col min="14358" max="14358" width="15.7109375" style="748" customWidth="1"/>
    <col min="14359" max="14360" width="7.7109375" style="748" customWidth="1"/>
    <col min="14361" max="14361" width="20" style="748" customWidth="1"/>
    <col min="14362" max="14362" width="9" style="748" customWidth="1"/>
    <col min="14363" max="14363" width="12.28515625" style="748" bestFit="1" customWidth="1"/>
    <col min="14364" max="14364" width="0" style="748" hidden="1" customWidth="1"/>
    <col min="14365" max="14366" width="9.140625" style="748"/>
    <col min="14367" max="14367" width="10" style="748" bestFit="1" customWidth="1"/>
    <col min="14368" max="14592" width="9.140625" style="748"/>
    <col min="14593" max="14593" width="2" style="748" customWidth="1"/>
    <col min="14594" max="14594" width="4.28515625" style="748" customWidth="1"/>
    <col min="14595" max="14595" width="2.7109375" style="748" customWidth="1"/>
    <col min="14596" max="14596" width="3" style="748" customWidth="1"/>
    <col min="14597" max="14598" width="2.7109375" style="748" customWidth="1"/>
    <col min="14599" max="14599" width="7.42578125" style="748" customWidth="1"/>
    <col min="14600" max="14602" width="2.7109375" style="748" customWidth="1"/>
    <col min="14603" max="14603" width="13.140625" style="748" customWidth="1"/>
    <col min="14604" max="14604" width="9.5703125" style="748" customWidth="1"/>
    <col min="14605" max="14606" width="0" style="748" hidden="1" customWidth="1"/>
    <col min="14607" max="14607" width="15.7109375" style="748" customWidth="1"/>
    <col min="14608" max="14609" width="0" style="748" hidden="1" customWidth="1"/>
    <col min="14610" max="14610" width="8.5703125" style="748" customWidth="1"/>
    <col min="14611" max="14611" width="15.7109375" style="748" customWidth="1"/>
    <col min="14612" max="14612" width="0" style="748" hidden="1" customWidth="1"/>
    <col min="14613" max="14613" width="7.7109375" style="748" customWidth="1"/>
    <col min="14614" max="14614" width="15.7109375" style="748" customWidth="1"/>
    <col min="14615" max="14616" width="7.7109375" style="748" customWidth="1"/>
    <col min="14617" max="14617" width="20" style="748" customWidth="1"/>
    <col min="14618" max="14618" width="9" style="748" customWidth="1"/>
    <col min="14619" max="14619" width="12.28515625" style="748" bestFit="1" customWidth="1"/>
    <col min="14620" max="14620" width="0" style="748" hidden="1" customWidth="1"/>
    <col min="14621" max="14622" width="9.140625" style="748"/>
    <col min="14623" max="14623" width="10" style="748" bestFit="1" customWidth="1"/>
    <col min="14624" max="14848" width="9.140625" style="748"/>
    <col min="14849" max="14849" width="2" style="748" customWidth="1"/>
    <col min="14850" max="14850" width="4.28515625" style="748" customWidth="1"/>
    <col min="14851" max="14851" width="2.7109375" style="748" customWidth="1"/>
    <col min="14852" max="14852" width="3" style="748" customWidth="1"/>
    <col min="14853" max="14854" width="2.7109375" style="748" customWidth="1"/>
    <col min="14855" max="14855" width="7.42578125" style="748" customWidth="1"/>
    <col min="14856" max="14858" width="2.7109375" style="748" customWidth="1"/>
    <col min="14859" max="14859" width="13.140625" style="748" customWidth="1"/>
    <col min="14860" max="14860" width="9.5703125" style="748" customWidth="1"/>
    <col min="14861" max="14862" width="0" style="748" hidden="1" customWidth="1"/>
    <col min="14863" max="14863" width="15.7109375" style="748" customWidth="1"/>
    <col min="14864" max="14865" width="0" style="748" hidden="1" customWidth="1"/>
    <col min="14866" max="14866" width="8.5703125" style="748" customWidth="1"/>
    <col min="14867" max="14867" width="15.7109375" style="748" customWidth="1"/>
    <col min="14868" max="14868" width="0" style="748" hidden="1" customWidth="1"/>
    <col min="14869" max="14869" width="7.7109375" style="748" customWidth="1"/>
    <col min="14870" max="14870" width="15.7109375" style="748" customWidth="1"/>
    <col min="14871" max="14872" width="7.7109375" style="748" customWidth="1"/>
    <col min="14873" max="14873" width="20" style="748" customWidth="1"/>
    <col min="14874" max="14874" width="9" style="748" customWidth="1"/>
    <col min="14875" max="14875" width="12.28515625" style="748" bestFit="1" customWidth="1"/>
    <col min="14876" max="14876" width="0" style="748" hidden="1" customWidth="1"/>
    <col min="14877" max="14878" width="9.140625" style="748"/>
    <col min="14879" max="14879" width="10" style="748" bestFit="1" customWidth="1"/>
    <col min="14880" max="15104" width="9.140625" style="748"/>
    <col min="15105" max="15105" width="2" style="748" customWidth="1"/>
    <col min="15106" max="15106" width="4.28515625" style="748" customWidth="1"/>
    <col min="15107" max="15107" width="2.7109375" style="748" customWidth="1"/>
    <col min="15108" max="15108" width="3" style="748" customWidth="1"/>
    <col min="15109" max="15110" width="2.7109375" style="748" customWidth="1"/>
    <col min="15111" max="15111" width="7.42578125" style="748" customWidth="1"/>
    <col min="15112" max="15114" width="2.7109375" style="748" customWidth="1"/>
    <col min="15115" max="15115" width="13.140625" style="748" customWidth="1"/>
    <col min="15116" max="15116" width="9.5703125" style="748" customWidth="1"/>
    <col min="15117" max="15118" width="0" style="748" hidden="1" customWidth="1"/>
    <col min="15119" max="15119" width="15.7109375" style="748" customWidth="1"/>
    <col min="15120" max="15121" width="0" style="748" hidden="1" customWidth="1"/>
    <col min="15122" max="15122" width="8.5703125" style="748" customWidth="1"/>
    <col min="15123" max="15123" width="15.7109375" style="748" customWidth="1"/>
    <col min="15124" max="15124" width="0" style="748" hidden="1" customWidth="1"/>
    <col min="15125" max="15125" width="7.7109375" style="748" customWidth="1"/>
    <col min="15126" max="15126" width="15.7109375" style="748" customWidth="1"/>
    <col min="15127" max="15128" width="7.7109375" style="748" customWidth="1"/>
    <col min="15129" max="15129" width="20" style="748" customWidth="1"/>
    <col min="15130" max="15130" width="9" style="748" customWidth="1"/>
    <col min="15131" max="15131" width="12.28515625" style="748" bestFit="1" customWidth="1"/>
    <col min="15132" max="15132" width="0" style="748" hidden="1" customWidth="1"/>
    <col min="15133" max="15134" width="9.140625" style="748"/>
    <col min="15135" max="15135" width="10" style="748" bestFit="1" customWidth="1"/>
    <col min="15136" max="15360" width="9.140625" style="748"/>
    <col min="15361" max="15361" width="2" style="748" customWidth="1"/>
    <col min="15362" max="15362" width="4.28515625" style="748" customWidth="1"/>
    <col min="15363" max="15363" width="2.7109375" style="748" customWidth="1"/>
    <col min="15364" max="15364" width="3" style="748" customWidth="1"/>
    <col min="15365" max="15366" width="2.7109375" style="748" customWidth="1"/>
    <col min="15367" max="15367" width="7.42578125" style="748" customWidth="1"/>
    <col min="15368" max="15370" width="2.7109375" style="748" customWidth="1"/>
    <col min="15371" max="15371" width="13.140625" style="748" customWidth="1"/>
    <col min="15372" max="15372" width="9.5703125" style="748" customWidth="1"/>
    <col min="15373" max="15374" width="0" style="748" hidden="1" customWidth="1"/>
    <col min="15375" max="15375" width="15.7109375" style="748" customWidth="1"/>
    <col min="15376" max="15377" width="0" style="748" hidden="1" customWidth="1"/>
    <col min="15378" max="15378" width="8.5703125" style="748" customWidth="1"/>
    <col min="15379" max="15379" width="15.7109375" style="748" customWidth="1"/>
    <col min="15380" max="15380" width="0" style="748" hidden="1" customWidth="1"/>
    <col min="15381" max="15381" width="7.7109375" style="748" customWidth="1"/>
    <col min="15382" max="15382" width="15.7109375" style="748" customWidth="1"/>
    <col min="15383" max="15384" width="7.7109375" style="748" customWidth="1"/>
    <col min="15385" max="15385" width="20" style="748" customWidth="1"/>
    <col min="15386" max="15386" width="9" style="748" customWidth="1"/>
    <col min="15387" max="15387" width="12.28515625" style="748" bestFit="1" customWidth="1"/>
    <col min="15388" max="15388" width="0" style="748" hidden="1" customWidth="1"/>
    <col min="15389" max="15390" width="9.140625" style="748"/>
    <col min="15391" max="15391" width="10" style="748" bestFit="1" customWidth="1"/>
    <col min="15392" max="15616" width="9.140625" style="748"/>
    <col min="15617" max="15617" width="2" style="748" customWidth="1"/>
    <col min="15618" max="15618" width="4.28515625" style="748" customWidth="1"/>
    <col min="15619" max="15619" width="2.7109375" style="748" customWidth="1"/>
    <col min="15620" max="15620" width="3" style="748" customWidth="1"/>
    <col min="15621" max="15622" width="2.7109375" style="748" customWidth="1"/>
    <col min="15623" max="15623" width="7.42578125" style="748" customWidth="1"/>
    <col min="15624" max="15626" width="2.7109375" style="748" customWidth="1"/>
    <col min="15627" max="15627" width="13.140625" style="748" customWidth="1"/>
    <col min="15628" max="15628" width="9.5703125" style="748" customWidth="1"/>
    <col min="15629" max="15630" width="0" style="748" hidden="1" customWidth="1"/>
    <col min="15631" max="15631" width="15.7109375" style="748" customWidth="1"/>
    <col min="15632" max="15633" width="0" style="748" hidden="1" customWidth="1"/>
    <col min="15634" max="15634" width="8.5703125" style="748" customWidth="1"/>
    <col min="15635" max="15635" width="15.7109375" style="748" customWidth="1"/>
    <col min="15636" max="15636" width="0" style="748" hidden="1" customWidth="1"/>
    <col min="15637" max="15637" width="7.7109375" style="748" customWidth="1"/>
    <col min="15638" max="15638" width="15.7109375" style="748" customWidth="1"/>
    <col min="15639" max="15640" width="7.7109375" style="748" customWidth="1"/>
    <col min="15641" max="15641" width="20" style="748" customWidth="1"/>
    <col min="15642" max="15642" width="9" style="748" customWidth="1"/>
    <col min="15643" max="15643" width="12.28515625" style="748" bestFit="1" customWidth="1"/>
    <col min="15644" max="15644" width="0" style="748" hidden="1" customWidth="1"/>
    <col min="15645" max="15646" width="9.140625" style="748"/>
    <col min="15647" max="15647" width="10" style="748" bestFit="1" customWidth="1"/>
    <col min="15648" max="15872" width="9.140625" style="748"/>
    <col min="15873" max="15873" width="2" style="748" customWidth="1"/>
    <col min="15874" max="15874" width="4.28515625" style="748" customWidth="1"/>
    <col min="15875" max="15875" width="2.7109375" style="748" customWidth="1"/>
    <col min="15876" max="15876" width="3" style="748" customWidth="1"/>
    <col min="15877" max="15878" width="2.7109375" style="748" customWidth="1"/>
    <col min="15879" max="15879" width="7.42578125" style="748" customWidth="1"/>
    <col min="15880" max="15882" width="2.7109375" style="748" customWidth="1"/>
    <col min="15883" max="15883" width="13.140625" style="748" customWidth="1"/>
    <col min="15884" max="15884" width="9.5703125" style="748" customWidth="1"/>
    <col min="15885" max="15886" width="0" style="748" hidden="1" customWidth="1"/>
    <col min="15887" max="15887" width="15.7109375" style="748" customWidth="1"/>
    <col min="15888" max="15889" width="0" style="748" hidden="1" customWidth="1"/>
    <col min="15890" max="15890" width="8.5703125" style="748" customWidth="1"/>
    <col min="15891" max="15891" width="15.7109375" style="748" customWidth="1"/>
    <col min="15892" max="15892" width="0" style="748" hidden="1" customWidth="1"/>
    <col min="15893" max="15893" width="7.7109375" style="748" customWidth="1"/>
    <col min="15894" max="15894" width="15.7109375" style="748" customWidth="1"/>
    <col min="15895" max="15896" width="7.7109375" style="748" customWidth="1"/>
    <col min="15897" max="15897" width="20" style="748" customWidth="1"/>
    <col min="15898" max="15898" width="9" style="748" customWidth="1"/>
    <col min="15899" max="15899" width="12.28515625" style="748" bestFit="1" customWidth="1"/>
    <col min="15900" max="15900" width="0" style="748" hidden="1" customWidth="1"/>
    <col min="15901" max="15902" width="9.140625" style="748"/>
    <col min="15903" max="15903" width="10" style="748" bestFit="1" customWidth="1"/>
    <col min="15904" max="16128" width="9.140625" style="748"/>
    <col min="16129" max="16129" width="2" style="748" customWidth="1"/>
    <col min="16130" max="16130" width="4.28515625" style="748" customWidth="1"/>
    <col min="16131" max="16131" width="2.7109375" style="748" customWidth="1"/>
    <col min="16132" max="16132" width="3" style="748" customWidth="1"/>
    <col min="16133" max="16134" width="2.7109375" style="748" customWidth="1"/>
    <col min="16135" max="16135" width="7.42578125" style="748" customWidth="1"/>
    <col min="16136" max="16138" width="2.7109375" style="748" customWidth="1"/>
    <col min="16139" max="16139" width="13.140625" style="748" customWidth="1"/>
    <col min="16140" max="16140" width="9.5703125" style="748" customWidth="1"/>
    <col min="16141" max="16142" width="0" style="748" hidden="1" customWidth="1"/>
    <col min="16143" max="16143" width="15.7109375" style="748" customWidth="1"/>
    <col min="16144" max="16145" width="0" style="748" hidden="1" customWidth="1"/>
    <col min="16146" max="16146" width="8.5703125" style="748" customWidth="1"/>
    <col min="16147" max="16147" width="15.7109375" style="748" customWidth="1"/>
    <col min="16148" max="16148" width="0" style="748" hidden="1" customWidth="1"/>
    <col min="16149" max="16149" width="7.7109375" style="748" customWidth="1"/>
    <col min="16150" max="16150" width="15.7109375" style="748" customWidth="1"/>
    <col min="16151" max="16152" width="7.7109375" style="748" customWidth="1"/>
    <col min="16153" max="16153" width="20" style="748" customWidth="1"/>
    <col min="16154" max="16154" width="9" style="748" customWidth="1"/>
    <col min="16155" max="16155" width="12.28515625" style="748" bestFit="1" customWidth="1"/>
    <col min="16156" max="16156" width="0" style="748" hidden="1" customWidth="1"/>
    <col min="16157" max="16158" width="9.140625" style="748"/>
    <col min="16159" max="16159" width="10" style="748" bestFit="1" customWidth="1"/>
    <col min="16160" max="16384" width="9.140625" style="748"/>
  </cols>
  <sheetData>
    <row r="1" spans="2:29" ht="6" customHeight="1">
      <c r="Z1" s="749"/>
      <c r="AA1" s="749"/>
      <c r="AB1" s="750"/>
      <c r="AC1" s="750"/>
    </row>
    <row r="2" spans="2:29">
      <c r="Z2" s="750"/>
      <c r="AA2" s="751"/>
      <c r="AB2" s="750"/>
      <c r="AC2" s="750"/>
    </row>
    <row r="3" spans="2:29" ht="15">
      <c r="K3" s="752" t="s">
        <v>1086</v>
      </c>
      <c r="Z3" s="750"/>
      <c r="AA3" s="751"/>
      <c r="AB3" s="750"/>
      <c r="AC3" s="750"/>
    </row>
    <row r="4" spans="2:29" ht="15.75">
      <c r="L4" s="753"/>
      <c r="M4" s="754"/>
      <c r="N4" s="754"/>
      <c r="O4" s="754"/>
      <c r="P4" s="754"/>
      <c r="Q4" s="754"/>
      <c r="R4" s="754"/>
      <c r="S4" s="754"/>
      <c r="T4" s="754"/>
      <c r="U4" s="754"/>
      <c r="V4" s="754"/>
      <c r="W4" s="754"/>
      <c r="X4" s="754"/>
      <c r="Y4" s="754"/>
      <c r="Z4" s="754"/>
      <c r="AA4" s="754"/>
    </row>
    <row r="5" spans="2:29" s="763" customFormat="1" ht="23.25" customHeight="1">
      <c r="B5" s="755" t="s">
        <v>1087</v>
      </c>
      <c r="C5" s="756"/>
      <c r="D5" s="756"/>
      <c r="E5" s="756"/>
      <c r="F5" s="756"/>
      <c r="G5" s="756"/>
      <c r="H5" s="757" t="s">
        <v>1088</v>
      </c>
      <c r="I5" s="758"/>
      <c r="J5" s="758"/>
      <c r="K5" s="756"/>
      <c r="L5" s="756"/>
      <c r="M5" s="758"/>
      <c r="N5" s="758"/>
      <c r="O5" s="755" t="s">
        <v>1089</v>
      </c>
      <c r="P5" s="759"/>
      <c r="Q5" s="759"/>
      <c r="R5" s="759"/>
      <c r="S5" s="756"/>
      <c r="T5" s="760"/>
      <c r="U5" s="755" t="s">
        <v>1090</v>
      </c>
      <c r="V5" s="756"/>
      <c r="W5" s="761"/>
      <c r="X5" s="761"/>
      <c r="Y5" s="761"/>
      <c r="Z5" s="757" t="s">
        <v>1091</v>
      </c>
      <c r="AA5" s="762"/>
    </row>
    <row r="6" spans="2:29" ht="26.25" customHeight="1">
      <c r="B6" s="1269" t="s">
        <v>1083</v>
      </c>
      <c r="C6" s="1270"/>
      <c r="D6" s="1270"/>
      <c r="E6" s="1270"/>
      <c r="F6" s="1270"/>
      <c r="G6" s="1271"/>
      <c r="H6" s="764" t="s">
        <v>1092</v>
      </c>
      <c r="I6" s="764"/>
      <c r="J6" s="764"/>
      <c r="K6" s="764"/>
      <c r="L6" s="764"/>
      <c r="M6" s="764"/>
      <c r="N6" s="764"/>
      <c r="O6" s="764" t="s">
        <v>1093</v>
      </c>
      <c r="P6" s="764"/>
      <c r="Q6" s="764"/>
      <c r="R6" s="764" t="s">
        <v>1094</v>
      </c>
      <c r="S6" s="764"/>
      <c r="T6" s="764"/>
      <c r="U6" s="1272" t="s">
        <v>1131</v>
      </c>
      <c r="V6" s="1273"/>
      <c r="W6" s="1273"/>
      <c r="X6" s="1273"/>
      <c r="Y6" s="1274"/>
      <c r="Z6" s="1275"/>
      <c r="AA6" s="1276"/>
    </row>
    <row r="7" spans="2:29" ht="3.75" customHeight="1">
      <c r="B7" s="765"/>
      <c r="C7" s="766"/>
      <c r="D7" s="766"/>
      <c r="E7" s="766"/>
      <c r="F7" s="750"/>
      <c r="G7" s="750"/>
      <c r="H7" s="750"/>
      <c r="I7" s="750"/>
      <c r="J7" s="750"/>
      <c r="K7" s="767"/>
      <c r="L7" s="767"/>
      <c r="M7" s="767"/>
      <c r="N7" s="767"/>
      <c r="O7" s="767"/>
      <c r="P7" s="767"/>
      <c r="Q7" s="767"/>
      <c r="R7" s="767"/>
      <c r="S7" s="767"/>
      <c r="T7" s="768"/>
      <c r="U7" s="768"/>
      <c r="V7" s="767"/>
      <c r="W7" s="767"/>
      <c r="X7" s="767"/>
      <c r="Y7" s="767"/>
      <c r="Z7" s="767"/>
      <c r="AA7" s="769"/>
    </row>
    <row r="8" spans="2:29">
      <c r="B8" s="765" t="s">
        <v>1095</v>
      </c>
      <c r="C8" s="750"/>
      <c r="D8" s="750"/>
      <c r="E8" s="750"/>
      <c r="F8" s="750"/>
      <c r="G8" s="750"/>
      <c r="H8" s="750"/>
      <c r="I8" s="750"/>
      <c r="J8" s="750"/>
      <c r="K8" s="750"/>
      <c r="L8" s="750"/>
      <c r="M8" s="767"/>
      <c r="N8" s="767"/>
      <c r="O8" s="770" t="s">
        <v>1096</v>
      </c>
      <c r="P8" s="750"/>
      <c r="Q8" s="750"/>
      <c r="R8" s="750"/>
      <c r="S8" s="750"/>
      <c r="T8" s="771"/>
      <c r="U8" s="771"/>
      <c r="V8" s="750"/>
      <c r="W8" s="772"/>
      <c r="X8" s="772"/>
      <c r="Y8" s="750"/>
      <c r="Z8" s="749"/>
      <c r="AA8" s="773"/>
    </row>
    <row r="9" spans="2:29" ht="12.75" customHeight="1">
      <c r="B9" s="765"/>
      <c r="C9" s="774"/>
      <c r="D9" s="775" t="s">
        <v>1097</v>
      </c>
      <c r="E9" s="776"/>
      <c r="F9" s="776"/>
      <c r="G9" s="777"/>
      <c r="H9" s="778"/>
      <c r="I9" s="778"/>
      <c r="J9" s="774" t="s">
        <v>1098</v>
      </c>
      <c r="K9" s="777" t="s">
        <v>1099</v>
      </c>
      <c r="L9" s="777"/>
      <c r="M9" s="750"/>
      <c r="N9" s="750"/>
      <c r="O9" s="1277" t="s">
        <v>1132</v>
      </c>
      <c r="P9" s="1278"/>
      <c r="Q9" s="1278"/>
      <c r="R9" s="1278"/>
      <c r="S9" s="1278"/>
      <c r="T9" s="1278"/>
      <c r="U9" s="1278"/>
      <c r="V9" s="1278"/>
      <c r="W9" s="1278"/>
      <c r="X9" s="1278"/>
      <c r="Y9" s="1278"/>
      <c r="Z9" s="1278"/>
      <c r="AA9" s="1279"/>
    </row>
    <row r="10" spans="2:29" ht="3.75" customHeight="1">
      <c r="B10" s="779"/>
      <c r="C10" s="780"/>
      <c r="D10" s="780"/>
      <c r="E10" s="780"/>
      <c r="F10" s="780"/>
      <c r="G10" s="780"/>
      <c r="H10" s="780"/>
      <c r="I10" s="780"/>
      <c r="J10" s="780"/>
      <c r="K10" s="780"/>
      <c r="L10" s="780"/>
      <c r="M10" s="781"/>
      <c r="N10" s="781"/>
      <c r="O10" s="780"/>
      <c r="P10" s="780"/>
      <c r="Q10" s="780"/>
      <c r="R10" s="780"/>
      <c r="S10" s="780"/>
      <c r="T10" s="780"/>
      <c r="U10" s="780"/>
      <c r="V10" s="780"/>
      <c r="W10" s="780"/>
      <c r="X10" s="780"/>
      <c r="Y10" s="780"/>
      <c r="Z10" s="780"/>
      <c r="AA10" s="782"/>
    </row>
    <row r="11" spans="2:29" ht="3.75" customHeight="1">
      <c r="B11" s="783"/>
      <c r="C11" s="784"/>
      <c r="D11" s="784"/>
      <c r="E11" s="784"/>
      <c r="F11" s="784"/>
      <c r="G11" s="784"/>
      <c r="H11" s="784"/>
      <c r="I11" s="784"/>
      <c r="J11" s="784"/>
      <c r="K11" s="784"/>
      <c r="L11" s="784"/>
      <c r="M11" s="785" t="s">
        <v>1100</v>
      </c>
      <c r="N11" s="784" t="s">
        <v>1101</v>
      </c>
      <c r="O11" s="785"/>
      <c r="P11" s="784"/>
      <c r="Q11" s="784"/>
      <c r="R11" s="784"/>
      <c r="S11" s="784"/>
      <c r="T11" s="784"/>
      <c r="U11" s="784"/>
      <c r="V11" s="784"/>
      <c r="W11" s="784"/>
      <c r="X11" s="784"/>
      <c r="Y11" s="784"/>
      <c r="Z11" s="786"/>
      <c r="AA11" s="787"/>
    </row>
    <row r="12" spans="2:29" ht="12.75" customHeight="1">
      <c r="B12" s="788"/>
      <c r="C12" s="789"/>
      <c r="D12" s="789"/>
      <c r="E12" s="789"/>
      <c r="F12" s="789"/>
      <c r="G12" s="789"/>
      <c r="H12" s="789"/>
      <c r="I12" s="789"/>
      <c r="J12" s="789"/>
      <c r="K12" s="789"/>
      <c r="L12" s="789"/>
      <c r="M12" s="789" t="s">
        <v>1102</v>
      </c>
      <c r="N12" s="789"/>
      <c r="O12" s="789"/>
      <c r="P12" s="789"/>
      <c r="Q12" s="789"/>
      <c r="R12" s="789"/>
      <c r="S12" s="790"/>
      <c r="T12" s="790"/>
      <c r="U12" s="789"/>
      <c r="V12" s="789"/>
      <c r="W12" s="789"/>
      <c r="X12" s="789"/>
      <c r="Y12" s="789"/>
      <c r="Z12" s="789"/>
      <c r="AA12" s="791"/>
    </row>
    <row r="13" spans="2:29" ht="12.75" customHeight="1">
      <c r="B13" s="792"/>
      <c r="C13" s="793"/>
      <c r="D13" s="793"/>
      <c r="E13" s="793" t="s">
        <v>1103</v>
      </c>
      <c r="F13" s="793"/>
      <c r="G13" s="793"/>
      <c r="H13" s="793"/>
      <c r="I13" s="793"/>
      <c r="J13" s="793"/>
      <c r="K13" s="793"/>
      <c r="L13" s="793"/>
      <c r="M13" s="793"/>
      <c r="N13" s="793"/>
      <c r="O13" s="793" t="str">
        <f>IF(C9&lt;&gt;0,"Financiamento","Repasse")</f>
        <v>Repasse</v>
      </c>
      <c r="P13" s="793"/>
      <c r="Q13" s="793"/>
      <c r="R13" s="793"/>
      <c r="S13" s="793" t="s">
        <v>1104</v>
      </c>
      <c r="T13" s="794"/>
      <c r="U13" s="793"/>
      <c r="V13" s="793"/>
      <c r="W13" s="793"/>
      <c r="X13" s="793"/>
      <c r="Y13" s="793" t="s">
        <v>1005</v>
      </c>
      <c r="Z13" s="795" t="s">
        <v>1105</v>
      </c>
      <c r="AA13" s="796" t="s">
        <v>1104</v>
      </c>
    </row>
    <row r="14" spans="2:29" ht="12.75" customHeight="1">
      <c r="B14" s="797" t="s">
        <v>1106</v>
      </c>
      <c r="C14" s="1280" t="s">
        <v>1107</v>
      </c>
      <c r="D14" s="1280"/>
      <c r="E14" s="1280"/>
      <c r="F14" s="1280"/>
      <c r="G14" s="1280"/>
      <c r="H14" s="1280"/>
      <c r="I14" s="1280"/>
      <c r="J14" s="1280"/>
      <c r="K14" s="798"/>
      <c r="L14" s="799" t="s">
        <v>1108</v>
      </c>
      <c r="M14" s="800" t="s">
        <v>1109</v>
      </c>
      <c r="N14" s="800" t="s">
        <v>1110</v>
      </c>
      <c r="O14" s="801" t="s">
        <v>1023</v>
      </c>
      <c r="P14" s="801" t="s">
        <v>1111</v>
      </c>
      <c r="Q14" s="801" t="s">
        <v>1112</v>
      </c>
      <c r="R14" s="801" t="s">
        <v>48</v>
      </c>
      <c r="S14" s="800" t="s">
        <v>1113</v>
      </c>
      <c r="T14" s="801" t="s">
        <v>1114</v>
      </c>
      <c r="U14" s="801" t="s">
        <v>1115</v>
      </c>
      <c r="V14" s="800" t="s">
        <v>1116</v>
      </c>
      <c r="W14" s="801" t="s">
        <v>1115</v>
      </c>
      <c r="X14" s="801" t="s">
        <v>1117</v>
      </c>
      <c r="Y14" s="801" t="s">
        <v>1118</v>
      </c>
      <c r="Z14" s="802" t="s">
        <v>1119</v>
      </c>
      <c r="AA14" s="803" t="s">
        <v>1120</v>
      </c>
    </row>
    <row r="15" spans="2:29" s="763" customFormat="1" ht="12.75" customHeight="1">
      <c r="B15" s="804">
        <v>1</v>
      </c>
      <c r="C15" s="1261" t="str">
        <f>'PLANILHA ORÇAMENTÁRIA'!D7</f>
        <v>ADMINISTRAÇÃO LOCAL</v>
      </c>
      <c r="D15" s="1262"/>
      <c r="E15" s="1262"/>
      <c r="F15" s="1262"/>
      <c r="G15" s="1262"/>
      <c r="H15" s="1262"/>
      <c r="I15" s="1262"/>
      <c r="J15" s="1262"/>
      <c r="K15" s="1263"/>
      <c r="L15" s="805" t="s">
        <v>1121</v>
      </c>
      <c r="M15" s="806"/>
      <c r="N15" s="807"/>
      <c r="O15" s="808">
        <f>'PLANILHA ORÇAMENTÁRIA'!J9</f>
        <v>12519.8676</v>
      </c>
      <c r="P15" s="809"/>
      <c r="Q15" s="809"/>
      <c r="R15" s="810">
        <f>O15/(O15+S15)</f>
        <v>1</v>
      </c>
      <c r="S15" s="808"/>
      <c r="T15" s="811"/>
      <c r="U15" s="812">
        <f>S15/(S15+O15)</f>
        <v>0</v>
      </c>
      <c r="V15" s="808">
        <f t="shared" ref="V15:V22" si="0">Y15*W15</f>
        <v>0</v>
      </c>
      <c r="W15" s="813">
        <v>0</v>
      </c>
      <c r="X15" s="814">
        <f>R15+U15+W15</f>
        <v>1</v>
      </c>
      <c r="Y15" s="815">
        <f t="shared" ref="Y15:Y22" si="1">O15+S15</f>
        <v>12519.8676</v>
      </c>
      <c r="Z15" s="816" t="s">
        <v>1122</v>
      </c>
      <c r="AA15" s="817"/>
      <c r="AB15" s="818" t="str">
        <f>IF(M15=1,"ERRO - VALOR SUPERA LIMITE",IF(N15=1,"ERRO - VALOR INFERIOR AO ESTABELECIDO",""))</f>
        <v/>
      </c>
    </row>
    <row r="16" spans="2:29" s="763" customFormat="1" ht="12.75" customHeight="1">
      <c r="B16" s="819">
        <v>2</v>
      </c>
      <c r="C16" s="1261" t="str">
        <f>'PLANILHA ORÇAMENTÁRIA'!D10</f>
        <v>SERVIÇOS PRELIMINARES</v>
      </c>
      <c r="D16" s="1262"/>
      <c r="E16" s="1262"/>
      <c r="F16" s="1262"/>
      <c r="G16" s="1262"/>
      <c r="H16" s="1262"/>
      <c r="I16" s="1262"/>
      <c r="J16" s="1262"/>
      <c r="K16" s="1263"/>
      <c r="L16" s="805" t="s">
        <v>1121</v>
      </c>
      <c r="M16" s="806"/>
      <c r="N16" s="807"/>
      <c r="O16" s="808">
        <f>'PLANILHA ORÇAMENTÁRIA'!J29</f>
        <v>51959.042124319982</v>
      </c>
      <c r="P16" s="820"/>
      <c r="Q16" s="820"/>
      <c r="R16" s="810">
        <f t="shared" ref="R16:R22" si="2">O16/(O16+S16)</f>
        <v>1</v>
      </c>
      <c r="S16" s="808"/>
      <c r="T16" s="821"/>
      <c r="U16" s="812">
        <f>S16/(S16+O16)</f>
        <v>0</v>
      </c>
      <c r="V16" s="822"/>
      <c r="W16" s="813">
        <v>0</v>
      </c>
      <c r="X16" s="814">
        <f t="shared" ref="X16:X22" si="3">R16+U16+W16</f>
        <v>1</v>
      </c>
      <c r="Y16" s="815">
        <f t="shared" si="1"/>
        <v>51959.042124319982</v>
      </c>
      <c r="Z16" s="823" t="s">
        <v>1122</v>
      </c>
      <c r="AA16" s="817"/>
      <c r="AB16" s="818" t="str">
        <f>IF(M17=1,"ERRO - VALOR SUPERA LIMITE",IF(N17=1,"ERRO - VALOR INFERIOR AO ESTABELECIDO",""))</f>
        <v/>
      </c>
    </row>
    <row r="17" spans="2:30" s="763" customFormat="1" ht="12.75" customHeight="1">
      <c r="B17" s="819">
        <v>3</v>
      </c>
      <c r="C17" s="1261" t="str">
        <f>'PLANILHA ORÇAMENTÁRIA'!D30</f>
        <v>MOVIMENTO DE TERRA</v>
      </c>
      <c r="D17" s="1262"/>
      <c r="E17" s="1262"/>
      <c r="F17" s="1262"/>
      <c r="G17" s="1262"/>
      <c r="H17" s="1262"/>
      <c r="I17" s="1262"/>
      <c r="J17" s="1262"/>
      <c r="K17" s="1263"/>
      <c r="L17" s="825" t="s">
        <v>1121</v>
      </c>
      <c r="M17" s="826"/>
      <c r="N17" s="827"/>
      <c r="O17" s="808">
        <f>'PLANILHA ORÇAMENTÁRIA'!J40</f>
        <v>9811.57</v>
      </c>
      <c r="P17" s="828"/>
      <c r="Q17" s="828"/>
      <c r="R17" s="810">
        <f t="shared" si="2"/>
        <v>1</v>
      </c>
      <c r="S17" s="808"/>
      <c r="T17" s="821"/>
      <c r="U17" s="812">
        <f t="shared" ref="U17:U22" si="4">S17/(S17+O17)</f>
        <v>0</v>
      </c>
      <c r="V17" s="822"/>
      <c r="W17" s="813">
        <v>0</v>
      </c>
      <c r="X17" s="814">
        <f t="shared" si="3"/>
        <v>1</v>
      </c>
      <c r="Y17" s="815">
        <f t="shared" si="1"/>
        <v>9811.57</v>
      </c>
      <c r="Z17" s="823" t="s">
        <v>1122</v>
      </c>
      <c r="AA17" s="824"/>
      <c r="AB17" s="818" t="str">
        <f>IF(M18=1,"ERRO - VALOR SUPERA LIMITE",IF(N18=1,"ERRO - VALOR INFERIOR AO ESTABELECIDO",""))</f>
        <v/>
      </c>
    </row>
    <row r="18" spans="2:30" s="763" customFormat="1" ht="12.75" customHeight="1">
      <c r="B18" s="819">
        <v>4</v>
      </c>
      <c r="C18" s="1261" t="str">
        <f>'PLANILHA ORÇAMENTÁRIA'!D41</f>
        <v>FABRICACAO/EXECUCAO DE CBUQ/PRE-MISTURADOS</v>
      </c>
      <c r="D18" s="1262"/>
      <c r="E18" s="1262"/>
      <c r="F18" s="1262"/>
      <c r="G18" s="1262"/>
      <c r="H18" s="1262"/>
      <c r="I18" s="1262"/>
      <c r="J18" s="1262"/>
      <c r="K18" s="1263"/>
      <c r="L18" s="825" t="s">
        <v>1121</v>
      </c>
      <c r="M18" s="826"/>
      <c r="N18" s="827"/>
      <c r="O18" s="808">
        <f>'PLANILHA ORÇAMENTÁRIA'!J44</f>
        <v>3458.83</v>
      </c>
      <c r="P18" s="828"/>
      <c r="Q18" s="828"/>
      <c r="R18" s="810">
        <f>O18/(O18+S18)</f>
        <v>1</v>
      </c>
      <c r="S18" s="808"/>
      <c r="T18" s="821"/>
      <c r="U18" s="812">
        <f>S18/(S18+O18)</f>
        <v>0</v>
      </c>
      <c r="V18" s="822"/>
      <c r="W18" s="813">
        <v>0</v>
      </c>
      <c r="X18" s="814">
        <f t="shared" si="3"/>
        <v>1</v>
      </c>
      <c r="Y18" s="815">
        <f>O18+S18</f>
        <v>3458.83</v>
      </c>
      <c r="Z18" s="823" t="s">
        <v>1122</v>
      </c>
      <c r="AA18" s="824"/>
      <c r="AB18" s="818" t="e">
        <f>IF(#REF!=1,"ERRO - VALOR SUPERA LIMITE",IF(#REF!=1,"ERRO - VALOR INFERIOR AO ESTABELECIDO",""))</f>
        <v>#REF!</v>
      </c>
    </row>
    <row r="19" spans="2:30" s="763" customFormat="1" ht="12.75" customHeight="1">
      <c r="B19" s="819">
        <v>5</v>
      </c>
      <c r="C19" s="1261" t="str">
        <f>'PLANILHA ORÇAMENTÁRIA'!D45</f>
        <v>INSTALAÇÕES HIDRO-SANITÁRIAS</v>
      </c>
      <c r="D19" s="1262"/>
      <c r="E19" s="1262"/>
      <c r="F19" s="1262"/>
      <c r="G19" s="1262"/>
      <c r="H19" s="1262"/>
      <c r="I19" s="1262"/>
      <c r="J19" s="1262"/>
      <c r="K19" s="1263"/>
      <c r="L19" s="825" t="s">
        <v>1121</v>
      </c>
      <c r="M19" s="826"/>
      <c r="N19" s="827"/>
      <c r="O19" s="822"/>
      <c r="P19" s="828"/>
      <c r="Q19" s="828"/>
      <c r="R19" s="810">
        <f>O19/(O19+S19)</f>
        <v>0</v>
      </c>
      <c r="S19" s="808">
        <f>'PLANILHA ORÇAMENTÁRIA'!J49</f>
        <v>390.99</v>
      </c>
      <c r="T19" s="821"/>
      <c r="U19" s="812">
        <f>S19/(S19+O19)</f>
        <v>1</v>
      </c>
      <c r="V19" s="822">
        <f t="shared" si="0"/>
        <v>0</v>
      </c>
      <c r="W19" s="813">
        <v>0</v>
      </c>
      <c r="X19" s="814">
        <f t="shared" si="3"/>
        <v>1</v>
      </c>
      <c r="Y19" s="815">
        <f>O19+S19</f>
        <v>390.99</v>
      </c>
      <c r="Z19" s="823" t="s">
        <v>1122</v>
      </c>
      <c r="AA19" s="830" t="s">
        <v>1123</v>
      </c>
      <c r="AB19" s="818" t="str">
        <f t="shared" ref="AB19:AB22" si="5">IF(M19=1,"ERRO - VALOR SUPERA LIMITE",IF(N19=1,"ERRO - VALOR INFERIOR AO ESTABELECIDO",""))</f>
        <v/>
      </c>
    </row>
    <row r="20" spans="2:30" s="763" customFormat="1" ht="12.75" customHeight="1">
      <c r="B20" s="819">
        <v>6</v>
      </c>
      <c r="C20" s="1261" t="str">
        <f>'PLANILHA ORÇAMENTÁRIA'!D50</f>
        <v>INSTALAÇÕES ELÉTRICAS</v>
      </c>
      <c r="D20" s="1262"/>
      <c r="E20" s="1262"/>
      <c r="F20" s="1262"/>
      <c r="G20" s="1262"/>
      <c r="H20" s="1262"/>
      <c r="I20" s="1262"/>
      <c r="J20" s="1262"/>
      <c r="K20" s="1263"/>
      <c r="L20" s="825" t="s">
        <v>1121</v>
      </c>
      <c r="M20" s="826"/>
      <c r="N20" s="827"/>
      <c r="O20" s="822">
        <f>'PLANILHA ORÇAMENTÁRIA'!J62</f>
        <v>48139.869999999995</v>
      </c>
      <c r="P20" s="828"/>
      <c r="Q20" s="828"/>
      <c r="R20" s="810">
        <f t="shared" si="2"/>
        <v>1</v>
      </c>
      <c r="S20" s="822"/>
      <c r="T20" s="821"/>
      <c r="U20" s="812">
        <f t="shared" si="4"/>
        <v>0</v>
      </c>
      <c r="V20" s="822">
        <f t="shared" si="0"/>
        <v>0</v>
      </c>
      <c r="W20" s="813">
        <v>0</v>
      </c>
      <c r="X20" s="814">
        <f t="shared" si="3"/>
        <v>1</v>
      </c>
      <c r="Y20" s="815">
        <f t="shared" si="1"/>
        <v>48139.869999999995</v>
      </c>
      <c r="Z20" s="823" t="s">
        <v>1122</v>
      </c>
      <c r="AA20" s="824"/>
      <c r="AB20" s="818" t="str">
        <f t="shared" si="5"/>
        <v/>
      </c>
      <c r="AD20" s="829"/>
    </row>
    <row r="21" spans="2:30" s="763" customFormat="1" ht="12.75" customHeight="1">
      <c r="B21" s="819">
        <v>7</v>
      </c>
      <c r="C21" s="1261" t="str">
        <f>'PLANILHA ORÇAMENTÁRIA'!D63</f>
        <v>SERVIÇOS COMPLEMENTARES EXTERNOS</v>
      </c>
      <c r="D21" s="1262"/>
      <c r="E21" s="1262"/>
      <c r="F21" s="1262"/>
      <c r="G21" s="1262"/>
      <c r="H21" s="1262"/>
      <c r="I21" s="1262"/>
      <c r="J21" s="1262"/>
      <c r="K21" s="1263"/>
      <c r="L21" s="825" t="s">
        <v>1121</v>
      </c>
      <c r="M21" s="826"/>
      <c r="N21" s="827"/>
      <c r="O21" s="822">
        <f>'PLANILHA ORÇAMENTÁRIA'!J94-S21</f>
        <v>96967.960275680045</v>
      </c>
      <c r="P21" s="828"/>
      <c r="Q21" s="828"/>
      <c r="R21" s="810">
        <f t="shared" si="2"/>
        <v>0.74809886498478684</v>
      </c>
      <c r="S21" s="822">
        <f>AA36-S19-S22</f>
        <v>32651.218170275712</v>
      </c>
      <c r="T21" s="821"/>
      <c r="U21" s="812">
        <f t="shared" si="4"/>
        <v>0.25190113501521322</v>
      </c>
      <c r="V21" s="822">
        <f t="shared" si="0"/>
        <v>0</v>
      </c>
      <c r="W21" s="813">
        <v>0</v>
      </c>
      <c r="X21" s="814">
        <f t="shared" si="3"/>
        <v>1</v>
      </c>
      <c r="Y21" s="815">
        <f t="shared" si="1"/>
        <v>129619.17844595575</v>
      </c>
      <c r="Z21" s="823" t="s">
        <v>1122</v>
      </c>
      <c r="AA21" s="830" t="s">
        <v>1123</v>
      </c>
      <c r="AB21" s="818" t="str">
        <f t="shared" si="5"/>
        <v/>
      </c>
    </row>
    <row r="22" spans="2:30" s="763" customFormat="1" ht="12.75" customHeight="1">
      <c r="B22" s="819">
        <v>8</v>
      </c>
      <c r="C22" s="1261" t="str">
        <f>'PLANILHA ORÇAMENTÁRIA'!D95</f>
        <v>TRATAMENTO, CONSERVAÇÃO E LIMPEZA</v>
      </c>
      <c r="D22" s="1262"/>
      <c r="E22" s="1262"/>
      <c r="F22" s="1262"/>
      <c r="G22" s="1262"/>
      <c r="H22" s="1262"/>
      <c r="I22" s="1262"/>
      <c r="J22" s="1262"/>
      <c r="K22" s="1263"/>
      <c r="L22" s="825" t="s">
        <v>1121</v>
      </c>
      <c r="M22" s="826"/>
      <c r="N22" s="827"/>
      <c r="O22" s="822"/>
      <c r="P22" s="828"/>
      <c r="Q22" s="828"/>
      <c r="R22" s="810">
        <f t="shared" si="2"/>
        <v>0</v>
      </c>
      <c r="S22" s="822">
        <f>'PLANILHA ORÇAMENTÁRIA'!J97</f>
        <v>498.01</v>
      </c>
      <c r="T22" s="821"/>
      <c r="U22" s="812">
        <f t="shared" si="4"/>
        <v>1</v>
      </c>
      <c r="V22" s="822">
        <f t="shared" si="0"/>
        <v>0</v>
      </c>
      <c r="W22" s="813">
        <v>0</v>
      </c>
      <c r="X22" s="814">
        <f t="shared" si="3"/>
        <v>1</v>
      </c>
      <c r="Y22" s="815">
        <f t="shared" si="1"/>
        <v>498.01</v>
      </c>
      <c r="Z22" s="823" t="s">
        <v>1122</v>
      </c>
      <c r="AA22" s="830" t="s">
        <v>1123</v>
      </c>
      <c r="AB22" s="818" t="str">
        <f t="shared" si="5"/>
        <v/>
      </c>
    </row>
    <row r="23" spans="2:30" s="763" customFormat="1" ht="12.75" customHeight="1">
      <c r="B23" s="819"/>
      <c r="C23" s="1261"/>
      <c r="D23" s="1262"/>
      <c r="E23" s="1262"/>
      <c r="F23" s="1262"/>
      <c r="G23" s="1262"/>
      <c r="H23" s="1262"/>
      <c r="I23" s="1262"/>
      <c r="J23" s="1262"/>
      <c r="K23" s="1263"/>
      <c r="L23" s="819"/>
      <c r="M23" s="826"/>
      <c r="N23" s="827"/>
      <c r="O23" s="822"/>
      <c r="P23" s="828"/>
      <c r="Q23" s="828"/>
      <c r="R23" s="810"/>
      <c r="S23" s="822"/>
      <c r="T23" s="821"/>
      <c r="U23" s="831"/>
      <c r="V23" s="822"/>
      <c r="W23" s="810"/>
      <c r="X23" s="832"/>
      <c r="Y23" s="833"/>
      <c r="Z23" s="834"/>
      <c r="AA23" s="824"/>
    </row>
    <row r="24" spans="2:30" s="763" customFormat="1" ht="12.75" customHeight="1">
      <c r="B24" s="835"/>
      <c r="C24" s="836"/>
      <c r="D24" s="836"/>
      <c r="E24" s="836"/>
      <c r="F24" s="836"/>
      <c r="G24" s="837"/>
      <c r="H24" s="836"/>
      <c r="I24" s="836"/>
      <c r="J24" s="836"/>
      <c r="K24" s="836"/>
      <c r="L24" s="837"/>
      <c r="M24" s="838"/>
      <c r="N24" s="839"/>
      <c r="O24" s="822">
        <f>SUM(O15:O22)</f>
        <v>222857.14</v>
      </c>
      <c r="P24" s="840">
        <f>SUM(P15:P22)</f>
        <v>0</v>
      </c>
      <c r="Q24" s="840">
        <f>SUM(Q15:Q22)</f>
        <v>0</v>
      </c>
      <c r="R24" s="831">
        <f>ROUND(O24/Y24,2)</f>
        <v>0.87</v>
      </c>
      <c r="S24" s="822">
        <f>SUM(S15:S23)</f>
        <v>33540.218170275715</v>
      </c>
      <c r="T24" s="822">
        <f>SUM(T15:T22)</f>
        <v>0</v>
      </c>
      <c r="U24" s="831">
        <f>ROUND(S24/Y24,2)</f>
        <v>0.13</v>
      </c>
      <c r="V24" s="822">
        <f>SUM(V15:V22)</f>
        <v>0</v>
      </c>
      <c r="W24" s="831">
        <v>0</v>
      </c>
      <c r="X24" s="832">
        <v>1</v>
      </c>
      <c r="Y24" s="841">
        <f>SUM(Y15:Y22)</f>
        <v>256397.35817027575</v>
      </c>
      <c r="Z24" s="842"/>
      <c r="AA24" s="830"/>
      <c r="AB24" s="843">
        <f>O24+S24+V24</f>
        <v>256397.35817027572</v>
      </c>
    </row>
    <row r="25" spans="2:30" s="763" customFormat="1" ht="13.5" customHeight="1">
      <c r="B25" s="844"/>
      <c r="C25" s="844"/>
      <c r="D25" s="844"/>
      <c r="E25" s="844"/>
      <c r="F25" s="844"/>
      <c r="G25" s="845"/>
      <c r="H25" s="846"/>
      <c r="I25" s="846"/>
      <c r="J25" s="846"/>
      <c r="K25" s="846"/>
      <c r="L25" s="845"/>
      <c r="M25" s="845"/>
      <c r="N25" s="845"/>
      <c r="O25" s="847"/>
      <c r="P25" s="844"/>
      <c r="Q25" s="844"/>
      <c r="R25" s="844"/>
      <c r="S25" s="848"/>
      <c r="T25" s="844"/>
      <c r="U25" s="844"/>
      <c r="V25" s="847"/>
      <c r="W25" s="847"/>
      <c r="X25" s="847"/>
      <c r="Y25" s="848" t="str">
        <f>IF(SUM(Y15:Y22)=0,"",IF(SUM(Y15:Y22)&lt;&gt;AB24,"ERRO",""))</f>
        <v/>
      </c>
      <c r="Z25" s="849"/>
      <c r="AA25" s="850"/>
    </row>
    <row r="26" spans="2:30" s="858" customFormat="1" ht="12">
      <c r="B26" s="771"/>
      <c r="C26" s="771"/>
      <c r="D26" s="771"/>
      <c r="E26" s="771"/>
      <c r="F26" s="771"/>
      <c r="G26" s="851"/>
      <c r="H26" s="851"/>
      <c r="I26" s="851"/>
      <c r="J26" s="851"/>
      <c r="K26" s="851"/>
      <c r="L26" s="851"/>
      <c r="M26" s="851"/>
      <c r="N26" s="851"/>
      <c r="O26" s="852"/>
      <c r="P26" s="771"/>
      <c r="Q26" s="771"/>
      <c r="R26" s="771"/>
      <c r="S26" s="853"/>
      <c r="T26" s="771"/>
      <c r="U26" s="771"/>
      <c r="V26" s="854"/>
      <c r="W26" s="855"/>
      <c r="X26" s="855"/>
      <c r="Y26" s="855"/>
      <c r="Z26" s="856" t="s">
        <v>1124</v>
      </c>
      <c r="AA26" s="857"/>
    </row>
    <row r="27" spans="2:30" s="771" customFormat="1" ht="12.75" customHeight="1">
      <c r="F27" s="771" t="s">
        <v>1133</v>
      </c>
      <c r="H27" s="859"/>
      <c r="I27" s="859"/>
      <c r="J27" s="859"/>
      <c r="K27" s="763"/>
      <c r="L27" s="763"/>
      <c r="M27" s="763"/>
      <c r="N27" s="763"/>
      <c r="O27" s="860"/>
      <c r="P27" s="860"/>
      <c r="R27" s="1239"/>
      <c r="V27" s="861"/>
      <c r="W27" s="862"/>
      <c r="X27" s="862"/>
      <c r="Y27" s="863"/>
      <c r="Z27" s="864" t="s">
        <v>1125</v>
      </c>
      <c r="AA27" s="857"/>
    </row>
    <row r="28" spans="2:30" s="771" customFormat="1" ht="12.75" customHeight="1">
      <c r="B28" s="1264"/>
      <c r="C28" s="1264"/>
      <c r="D28" s="1264"/>
      <c r="E28" s="1264"/>
      <c r="F28" s="1264"/>
      <c r="G28" s="1264"/>
      <c r="H28" s="1264"/>
      <c r="I28" s="846"/>
      <c r="J28" s="846"/>
      <c r="K28" s="846"/>
      <c r="L28" s="846"/>
      <c r="M28" s="846"/>
      <c r="N28" s="846"/>
      <c r="O28" s="846"/>
      <c r="P28" s="846"/>
      <c r="Q28" s="846"/>
      <c r="R28" s="1077"/>
      <c r="V28" s="865"/>
      <c r="W28" s="798"/>
      <c r="X28" s="798"/>
      <c r="Y28" s="798"/>
      <c r="Z28" s="866" t="s">
        <v>1126</v>
      </c>
      <c r="AA28" s="867"/>
    </row>
    <row r="29" spans="2:30" s="772" customFormat="1">
      <c r="B29" s="1265"/>
      <c r="C29" s="1265"/>
      <c r="D29" s="1265"/>
      <c r="E29" s="1265"/>
      <c r="F29" s="1265"/>
      <c r="G29" s="1265"/>
      <c r="H29" s="868"/>
      <c r="I29" s="868"/>
      <c r="J29" s="868"/>
      <c r="S29" s="876"/>
      <c r="AA29" s="869"/>
    </row>
    <row r="30" spans="2:30" s="772" customFormat="1">
      <c r="B30" s="870"/>
      <c r="C30" s="870"/>
      <c r="D30" s="870"/>
      <c r="E30" s="870"/>
      <c r="F30" s="870"/>
      <c r="G30" s="870"/>
      <c r="H30" s="868"/>
      <c r="I30" s="868"/>
      <c r="J30" s="868"/>
      <c r="R30" s="871"/>
      <c r="S30" s="876"/>
      <c r="AA30" s="869"/>
    </row>
    <row r="31" spans="2:30" ht="15">
      <c r="B31" s="1260" t="s">
        <v>1127</v>
      </c>
      <c r="C31" s="1266"/>
      <c r="D31" s="1266"/>
      <c r="E31" s="1266"/>
      <c r="F31" s="1266"/>
      <c r="G31" s="1266"/>
      <c r="H31" s="1266"/>
      <c r="I31" s="1266"/>
      <c r="J31" s="1266"/>
      <c r="K31" s="1266"/>
      <c r="O31" s="1078"/>
      <c r="P31" s="873"/>
      <c r="Q31" s="873"/>
      <c r="R31" s="872"/>
      <c r="S31" s="873"/>
      <c r="W31" s="874"/>
      <c r="X31" s="874"/>
    </row>
    <row r="32" spans="2:30" ht="15">
      <c r="B32" s="1267" t="s">
        <v>1128</v>
      </c>
      <c r="C32" s="1267"/>
      <c r="D32" s="1267"/>
      <c r="E32" s="1267"/>
      <c r="F32" s="1267"/>
      <c r="G32" s="1267"/>
      <c r="H32" s="1267"/>
      <c r="I32" s="1267"/>
      <c r="J32" s="1267"/>
      <c r="K32" s="1267"/>
      <c r="O32" s="1260"/>
      <c r="P32" s="1260"/>
      <c r="Q32" s="1260"/>
      <c r="R32" s="1260"/>
      <c r="S32" s="1260"/>
      <c r="W32" s="874"/>
      <c r="X32" s="874"/>
    </row>
    <row r="33" spans="2:27" ht="15">
      <c r="B33" s="1268" t="s">
        <v>1129</v>
      </c>
      <c r="C33" s="1268"/>
      <c r="D33" s="1268"/>
      <c r="E33" s="1268"/>
      <c r="F33" s="1268"/>
      <c r="G33" s="1268"/>
      <c r="H33" s="1268"/>
      <c r="I33" s="1268"/>
      <c r="J33" s="1268"/>
      <c r="K33" s="1268"/>
      <c r="O33" s="1260"/>
      <c r="P33" s="1260"/>
      <c r="Q33" s="1260"/>
      <c r="R33" s="1260"/>
      <c r="S33" s="1260"/>
    </row>
    <row r="34" spans="2:27" ht="15">
      <c r="B34" s="1259" t="s">
        <v>1130</v>
      </c>
      <c r="C34" s="1259"/>
      <c r="D34" s="1259"/>
      <c r="E34" s="1259"/>
      <c r="F34" s="1259"/>
      <c r="G34" s="1259"/>
      <c r="H34" s="1259"/>
      <c r="I34" s="1259"/>
      <c r="J34" s="1259"/>
      <c r="K34" s="1259"/>
      <c r="O34" s="1260"/>
      <c r="P34" s="1260"/>
      <c r="Q34" s="1260"/>
      <c r="R34" s="1260"/>
      <c r="S34" s="1260"/>
    </row>
    <row r="36" spans="2:27">
      <c r="AA36" s="735">
        <f>'PLANILHA ORÇAMENTÁRIA'!J104</f>
        <v>33540.218170275708</v>
      </c>
    </row>
    <row r="38" spans="2:27">
      <c r="S38" s="1079"/>
    </row>
  </sheetData>
  <mergeCells count="23">
    <mergeCell ref="C17:K17"/>
    <mergeCell ref="C23:K23"/>
    <mergeCell ref="B6:G6"/>
    <mergeCell ref="U6:Y6"/>
    <mergeCell ref="Z6:AA6"/>
    <mergeCell ref="O9:AA9"/>
    <mergeCell ref="C14:J14"/>
    <mergeCell ref="B34:K34"/>
    <mergeCell ref="O34:S34"/>
    <mergeCell ref="C15:K15"/>
    <mergeCell ref="C16:K16"/>
    <mergeCell ref="C18:K18"/>
    <mergeCell ref="C19:K19"/>
    <mergeCell ref="C20:K20"/>
    <mergeCell ref="C21:K21"/>
    <mergeCell ref="C22:K22"/>
    <mergeCell ref="B28:H28"/>
    <mergeCell ref="B29:G29"/>
    <mergeCell ref="B31:K31"/>
    <mergeCell ref="B32:K32"/>
    <mergeCell ref="O32:S32"/>
    <mergeCell ref="B33:K33"/>
    <mergeCell ref="O33:S33"/>
  </mergeCells>
  <pageMargins left="0.51181102362204722" right="0.51181102362204722" top="0.78740157480314965" bottom="0.78740157480314965" header="0.31496062992125984" footer="0.31496062992125984"/>
  <pageSetup paperSize="9" scale="74" orientation="landscape" horizontalDpi="4294967294" verticalDpi="4294967294" r:id="rId1"/>
  <drawing r:id="rId2"/>
  <legacyDrawing r:id="rId3"/>
  <oleObjects>
    <mc:AlternateContent xmlns:mc="http://schemas.openxmlformats.org/markup-compatibility/2006">
      <mc:Choice Requires="x14">
        <oleObject shapeId="6145" r:id="rId4">
          <objectPr defaultSize="0" autoPict="0" r:id="rId5">
            <anchor moveWithCells="1" sizeWithCells="1">
              <from>
                <xdr:col>1</xdr:col>
                <xdr:colOff>57150</xdr:colOff>
                <xdr:row>1</xdr:row>
                <xdr:rowOff>66675</xdr:rowOff>
              </from>
              <to>
                <xdr:col>6</xdr:col>
                <xdr:colOff>666750</xdr:colOff>
                <xdr:row>3</xdr:row>
                <xdr:rowOff>9525</xdr:rowOff>
              </to>
            </anchor>
          </objectPr>
        </oleObject>
      </mc:Choice>
      <mc:Fallback>
        <oleObject shapeId="6145"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52"/>
  <sheetViews>
    <sheetView view="pageBreakPreview" topLeftCell="A118" zoomScaleNormal="100" zoomScaleSheetLayoutView="100" workbookViewId="0">
      <selection activeCell="N136" sqref="N136"/>
    </sheetView>
  </sheetViews>
  <sheetFormatPr defaultRowHeight="15"/>
  <cols>
    <col min="2" max="2" width="58.5703125" customWidth="1"/>
    <col min="4" max="4" width="10.7109375" customWidth="1"/>
    <col min="5" max="5" width="10.140625" customWidth="1"/>
    <col min="6" max="6" width="13.140625" customWidth="1"/>
    <col min="7" max="7" width="10.28515625" customWidth="1"/>
    <col min="8" max="8" width="10.5703125" customWidth="1"/>
    <col min="9" max="9" width="9.5703125" customWidth="1"/>
    <col min="10" max="10" width="13" style="553" customWidth="1"/>
    <col min="12" max="15" width="9.140625" customWidth="1"/>
  </cols>
  <sheetData>
    <row r="1" spans="1:11" ht="45" customHeight="1">
      <c r="A1" s="1284" t="s">
        <v>43</v>
      </c>
      <c r="B1" s="1285"/>
      <c r="C1" s="1285"/>
      <c r="D1" s="1285"/>
      <c r="E1" s="1285"/>
      <c r="F1" s="1285"/>
      <c r="G1" s="1285"/>
      <c r="H1" s="1285"/>
      <c r="I1" s="1285"/>
      <c r="J1" s="1286"/>
    </row>
    <row r="2" spans="1:11">
      <c r="A2" s="1287" t="s">
        <v>52</v>
      </c>
      <c r="B2" s="1288"/>
      <c r="C2" s="1288"/>
      <c r="D2" s="1288"/>
      <c r="E2" s="1288"/>
      <c r="F2" s="1288"/>
      <c r="G2" s="1288"/>
      <c r="H2" s="1288"/>
      <c r="I2" s="1288"/>
      <c r="J2" s="1289"/>
    </row>
    <row r="3" spans="1:11">
      <c r="A3" s="1287" t="s">
        <v>53</v>
      </c>
      <c r="B3" s="1288"/>
      <c r="C3" s="1288"/>
      <c r="D3" s="1288"/>
      <c r="E3" s="1288"/>
      <c r="F3" s="1288"/>
      <c r="G3" s="1288"/>
      <c r="H3" s="1288"/>
      <c r="I3" s="1288"/>
      <c r="J3" s="1289"/>
      <c r="K3" s="87"/>
    </row>
    <row r="4" spans="1:11">
      <c r="A4" s="1290"/>
      <c r="B4" s="1291"/>
      <c r="C4" s="1291"/>
      <c r="D4" s="1291"/>
      <c r="E4" s="1291"/>
      <c r="F4" s="1291"/>
      <c r="G4" s="1291"/>
      <c r="H4" s="1291"/>
      <c r="I4" s="1291"/>
      <c r="J4" s="1292"/>
      <c r="K4" s="87"/>
    </row>
    <row r="5" spans="1:11" ht="20.100000000000001" customHeight="1">
      <c r="A5" s="1293" t="s">
        <v>785</v>
      </c>
      <c r="B5" s="1294"/>
      <c r="C5" s="1294"/>
      <c r="D5" s="1294"/>
      <c r="E5" s="1294"/>
      <c r="F5" s="1294"/>
      <c r="G5" s="1294"/>
      <c r="H5" s="1294"/>
      <c r="I5" s="1294"/>
      <c r="J5" s="1295"/>
    </row>
    <row r="6" spans="1:11" ht="30">
      <c r="A6" s="1100" t="s">
        <v>50</v>
      </c>
      <c r="B6" s="910" t="s">
        <v>786</v>
      </c>
      <c r="C6" s="910" t="s">
        <v>151</v>
      </c>
      <c r="D6" s="481" t="s">
        <v>790</v>
      </c>
      <c r="E6" s="481" t="s">
        <v>787</v>
      </c>
      <c r="F6" s="481" t="s">
        <v>788</v>
      </c>
      <c r="G6" s="481" t="s">
        <v>789</v>
      </c>
      <c r="H6" s="481" t="s">
        <v>370</v>
      </c>
      <c r="I6" s="481" t="s">
        <v>821</v>
      </c>
      <c r="J6" s="482" t="s">
        <v>791</v>
      </c>
    </row>
    <row r="7" spans="1:11">
      <c r="A7" s="483" t="s">
        <v>54</v>
      </c>
      <c r="B7" s="1281" t="s">
        <v>297</v>
      </c>
      <c r="C7" s="1282"/>
      <c r="D7" s="1282"/>
      <c r="E7" s="1282"/>
      <c r="F7" s="1282"/>
      <c r="G7" s="1282"/>
      <c r="H7" s="1282"/>
      <c r="I7" s="1282"/>
      <c r="J7" s="1283"/>
    </row>
    <row r="8" spans="1:11" ht="30">
      <c r="A8" s="513" t="s">
        <v>999</v>
      </c>
      <c r="B8" s="484" t="s">
        <v>298</v>
      </c>
      <c r="C8" s="485" t="s">
        <v>104</v>
      </c>
      <c r="D8" s="529" t="s">
        <v>790</v>
      </c>
      <c r="E8" s="529" t="s">
        <v>787</v>
      </c>
      <c r="F8" s="529" t="s">
        <v>788</v>
      </c>
      <c r="G8" s="529" t="s">
        <v>789</v>
      </c>
      <c r="H8" s="529" t="s">
        <v>370</v>
      </c>
      <c r="I8" s="529" t="s">
        <v>821</v>
      </c>
      <c r="J8" s="487">
        <f>J9</f>
        <v>1</v>
      </c>
    </row>
    <row r="9" spans="1:11">
      <c r="A9" s="480"/>
      <c r="B9" s="1116" t="s">
        <v>806</v>
      </c>
      <c r="C9" s="488"/>
      <c r="D9" s="489">
        <v>1</v>
      </c>
      <c r="E9" s="489"/>
      <c r="F9" s="489"/>
      <c r="G9" s="489"/>
      <c r="H9" s="489"/>
      <c r="I9" s="490"/>
      <c r="J9" s="491">
        <v>1</v>
      </c>
    </row>
    <row r="10" spans="1:11">
      <c r="A10" s="480"/>
      <c r="B10" s="1117"/>
      <c r="C10" s="488"/>
      <c r="D10" s="489"/>
      <c r="E10" s="489"/>
      <c r="F10" s="489"/>
      <c r="G10" s="489"/>
      <c r="H10" s="489"/>
      <c r="I10" s="490"/>
      <c r="J10" s="491"/>
    </row>
    <row r="11" spans="1:11">
      <c r="A11" s="492"/>
      <c r="B11" s="493"/>
      <c r="C11" s="493"/>
      <c r="D11" s="493"/>
      <c r="E11" s="493"/>
      <c r="F11" s="493"/>
      <c r="G11" s="493"/>
      <c r="H11" s="493"/>
      <c r="I11" s="493"/>
      <c r="J11" s="494"/>
    </row>
    <row r="12" spans="1:11">
      <c r="A12" s="495" t="s">
        <v>107</v>
      </c>
      <c r="B12" s="1297" t="s">
        <v>21</v>
      </c>
      <c r="C12" s="1298"/>
      <c r="D12" s="1298"/>
      <c r="E12" s="1298"/>
      <c r="F12" s="1298"/>
      <c r="G12" s="1298"/>
      <c r="H12" s="1298"/>
      <c r="I12" s="1298"/>
      <c r="J12" s="1299"/>
    </row>
    <row r="13" spans="1:11">
      <c r="A13" s="496" t="s">
        <v>106</v>
      </c>
      <c r="B13" s="533" t="s">
        <v>9</v>
      </c>
      <c r="C13" s="498"/>
      <c r="D13" s="498"/>
      <c r="E13" s="498"/>
      <c r="F13" s="498"/>
      <c r="G13" s="498"/>
      <c r="H13" s="498"/>
      <c r="I13" s="498"/>
      <c r="J13" s="499"/>
    </row>
    <row r="14" spans="1:11">
      <c r="A14" s="492"/>
      <c r="B14" s="493"/>
      <c r="C14" s="493"/>
      <c r="D14" s="493"/>
      <c r="E14" s="493"/>
      <c r="F14" s="493"/>
      <c r="G14" s="493"/>
      <c r="H14" s="493"/>
      <c r="I14" s="493"/>
      <c r="J14" s="494"/>
    </row>
    <row r="15" spans="1:11">
      <c r="A15" s="500" t="s">
        <v>111</v>
      </c>
      <c r="B15" s="501" t="s">
        <v>108</v>
      </c>
      <c r="C15" s="485" t="s">
        <v>57</v>
      </c>
      <c r="D15" s="529" t="s">
        <v>790</v>
      </c>
      <c r="E15" s="529" t="s">
        <v>787</v>
      </c>
      <c r="F15" s="529" t="s">
        <v>788</v>
      </c>
      <c r="G15" s="529" t="s">
        <v>789</v>
      </c>
      <c r="H15" s="529" t="s">
        <v>370</v>
      </c>
      <c r="I15" s="529" t="s">
        <v>821</v>
      </c>
      <c r="J15" s="502">
        <f>J17</f>
        <v>246.62</v>
      </c>
    </row>
    <row r="16" spans="1:11">
      <c r="A16" s="503"/>
      <c r="B16" s="504"/>
      <c r="C16" s="505"/>
      <c r="D16" s="506"/>
      <c r="E16" s="506"/>
      <c r="F16" s="506"/>
      <c r="G16" s="506"/>
      <c r="H16" s="506"/>
      <c r="I16" s="506"/>
      <c r="J16" s="507"/>
    </row>
    <row r="17" spans="1:10">
      <c r="A17" s="480"/>
      <c r="B17" s="1116" t="s">
        <v>807</v>
      </c>
      <c r="C17" s="488"/>
      <c r="D17" s="489"/>
      <c r="E17" s="489">
        <v>112.1</v>
      </c>
      <c r="F17" s="489"/>
      <c r="G17" s="489">
        <v>2.2000000000000002</v>
      </c>
      <c r="H17" s="489"/>
      <c r="I17" s="490">
        <v>1</v>
      </c>
      <c r="J17" s="491">
        <f>E17*G17*I17</f>
        <v>246.62</v>
      </c>
    </row>
    <row r="18" spans="1:10">
      <c r="A18" s="480"/>
      <c r="B18" s="1118" t="s">
        <v>793</v>
      </c>
      <c r="C18" s="488"/>
      <c r="D18" s="555"/>
      <c r="E18" s="603"/>
      <c r="F18" s="489"/>
      <c r="G18" s="489"/>
      <c r="H18" s="489"/>
      <c r="I18" s="490"/>
      <c r="J18" s="491"/>
    </row>
    <row r="19" spans="1:10" ht="72" customHeight="1">
      <c r="A19" s="480"/>
      <c r="B19" s="1119" t="s">
        <v>1061</v>
      </c>
      <c r="C19" s="488"/>
      <c r="D19" s="489"/>
      <c r="E19" s="489"/>
      <c r="F19" s="489"/>
      <c r="G19" s="489"/>
      <c r="H19" s="489"/>
      <c r="I19" s="490"/>
      <c r="J19" s="491"/>
    </row>
    <row r="20" spans="1:10">
      <c r="A20" s="509"/>
      <c r="B20" s="493"/>
      <c r="C20" s="510"/>
      <c r="D20" s="510"/>
      <c r="E20" s="510"/>
      <c r="F20" s="510"/>
      <c r="G20" s="510"/>
      <c r="H20" s="510"/>
      <c r="I20" s="511"/>
      <c r="J20" s="512"/>
    </row>
    <row r="21" spans="1:10">
      <c r="A21" s="513" t="s">
        <v>301</v>
      </c>
      <c r="B21" s="484" t="s">
        <v>110</v>
      </c>
      <c r="C21" s="485" t="s">
        <v>57</v>
      </c>
      <c r="D21" s="529" t="s">
        <v>790</v>
      </c>
      <c r="E21" s="529" t="s">
        <v>787</v>
      </c>
      <c r="F21" s="529" t="s">
        <v>788</v>
      </c>
      <c r="G21" s="529" t="s">
        <v>789</v>
      </c>
      <c r="H21" s="529" t="s">
        <v>370</v>
      </c>
      <c r="I21" s="529" t="s">
        <v>821</v>
      </c>
      <c r="J21" s="502">
        <f>J22</f>
        <v>8</v>
      </c>
    </row>
    <row r="22" spans="1:10">
      <c r="A22" s="480"/>
      <c r="B22" s="1116" t="s">
        <v>808</v>
      </c>
      <c r="C22" s="488"/>
      <c r="D22" s="489">
        <v>1</v>
      </c>
      <c r="E22" s="489">
        <v>4</v>
      </c>
      <c r="F22" s="489">
        <v>2</v>
      </c>
      <c r="G22" s="489"/>
      <c r="H22" s="489"/>
      <c r="I22" s="490"/>
      <c r="J22" s="491">
        <f>D22*(E22*F22)</f>
        <v>8</v>
      </c>
    </row>
    <row r="23" spans="1:10">
      <c r="A23" s="480"/>
      <c r="B23" s="1117"/>
      <c r="C23" s="488"/>
      <c r="D23" s="489"/>
      <c r="E23" s="489"/>
      <c r="F23" s="489"/>
      <c r="G23" s="489"/>
      <c r="H23" s="489"/>
      <c r="I23" s="490"/>
      <c r="J23" s="491"/>
    </row>
    <row r="24" spans="1:10">
      <c r="A24" s="509"/>
      <c r="B24" s="493"/>
      <c r="C24" s="510"/>
      <c r="D24" s="510"/>
      <c r="E24" s="510"/>
      <c r="F24" s="510"/>
      <c r="G24" s="510"/>
      <c r="H24" s="510"/>
      <c r="I24" s="511"/>
      <c r="J24" s="512"/>
    </row>
    <row r="25" spans="1:10" ht="60">
      <c r="A25" s="500" t="s">
        <v>302</v>
      </c>
      <c r="B25" s="484" t="s">
        <v>805</v>
      </c>
      <c r="C25" s="485" t="s">
        <v>113</v>
      </c>
      <c r="D25" s="529" t="s">
        <v>790</v>
      </c>
      <c r="E25" s="529" t="s">
        <v>787</v>
      </c>
      <c r="F25" s="529" t="s">
        <v>788</v>
      </c>
      <c r="G25" s="529" t="s">
        <v>789</v>
      </c>
      <c r="H25" s="529" t="s">
        <v>370</v>
      </c>
      <c r="I25" s="529" t="s">
        <v>821</v>
      </c>
      <c r="J25" s="502">
        <f>J26</f>
        <v>6</v>
      </c>
    </row>
    <row r="26" spans="1:10">
      <c r="A26" s="503"/>
      <c r="B26" s="556" t="s">
        <v>809</v>
      </c>
      <c r="C26" s="505"/>
      <c r="D26" s="506">
        <v>6</v>
      </c>
      <c r="E26" s="506"/>
      <c r="F26" s="506"/>
      <c r="G26" s="506"/>
      <c r="H26" s="506"/>
      <c r="I26" s="506"/>
      <c r="J26" s="507">
        <f>D26</f>
        <v>6</v>
      </c>
    </row>
    <row r="27" spans="1:10">
      <c r="A27" s="480"/>
      <c r="B27" s="1117"/>
      <c r="C27" s="488"/>
      <c r="D27" s="489"/>
      <c r="E27" s="489"/>
      <c r="F27" s="489"/>
      <c r="G27" s="489"/>
      <c r="H27" s="489"/>
      <c r="I27" s="490"/>
      <c r="J27" s="491"/>
    </row>
    <row r="28" spans="1:10">
      <c r="A28" s="509"/>
      <c r="B28" s="493"/>
      <c r="C28" s="510"/>
      <c r="D28" s="510"/>
      <c r="E28" s="510"/>
      <c r="F28" s="510"/>
      <c r="G28" s="510"/>
      <c r="H28" s="510"/>
      <c r="I28" s="511"/>
      <c r="J28" s="512"/>
    </row>
    <row r="29" spans="1:10" ht="30">
      <c r="A29" s="500" t="s">
        <v>303</v>
      </c>
      <c r="B29" s="514" t="s">
        <v>146</v>
      </c>
      <c r="C29" s="485" t="s">
        <v>57</v>
      </c>
      <c r="D29" s="529" t="s">
        <v>790</v>
      </c>
      <c r="E29" s="529" t="s">
        <v>787</v>
      </c>
      <c r="F29" s="529" t="s">
        <v>788</v>
      </c>
      <c r="G29" s="529" t="s">
        <v>789</v>
      </c>
      <c r="H29" s="529" t="s">
        <v>370</v>
      </c>
      <c r="I29" s="529" t="s">
        <v>821</v>
      </c>
      <c r="J29" s="502">
        <f>J30</f>
        <v>246.62</v>
      </c>
    </row>
    <row r="30" spans="1:10">
      <c r="A30" s="503"/>
      <c r="B30" s="556" t="s">
        <v>810</v>
      </c>
      <c r="C30" s="505"/>
      <c r="D30" s="489">
        <v>1</v>
      </c>
      <c r="E30" s="489">
        <v>112.1</v>
      </c>
      <c r="F30" s="489"/>
      <c r="G30" s="489">
        <v>2.2000000000000002</v>
      </c>
      <c r="H30" s="489"/>
      <c r="I30" s="490"/>
      <c r="J30" s="491">
        <f>D30*(E30*G30)</f>
        <v>246.62</v>
      </c>
    </row>
    <row r="31" spans="1:10">
      <c r="A31" s="480"/>
      <c r="B31" s="1117"/>
      <c r="C31" s="488"/>
      <c r="D31" s="555"/>
      <c r="E31" s="489"/>
      <c r="F31" s="489"/>
      <c r="G31" s="489"/>
      <c r="H31" s="489"/>
      <c r="I31" s="490"/>
      <c r="J31" s="491"/>
    </row>
    <row r="32" spans="1:10">
      <c r="A32" s="509"/>
      <c r="B32" s="493"/>
      <c r="C32" s="510"/>
      <c r="D32" s="510"/>
      <c r="E32" s="510"/>
      <c r="F32" s="510"/>
      <c r="G32" s="510"/>
      <c r="H32" s="510"/>
      <c r="I32" s="511"/>
      <c r="J32" s="512"/>
    </row>
    <row r="33" spans="1:12">
      <c r="A33" s="1100" t="s">
        <v>114</v>
      </c>
      <c r="B33" s="533" t="s">
        <v>7</v>
      </c>
      <c r="C33" s="498"/>
      <c r="D33" s="498"/>
      <c r="E33" s="498"/>
      <c r="F33" s="498"/>
      <c r="G33" s="498"/>
      <c r="H33" s="498"/>
      <c r="I33" s="498"/>
      <c r="J33" s="499"/>
    </row>
    <row r="34" spans="1:12" ht="45">
      <c r="A34" s="567" t="s">
        <v>115</v>
      </c>
      <c r="B34" s="501" t="s">
        <v>300</v>
      </c>
      <c r="C34" s="485" t="s">
        <v>57</v>
      </c>
      <c r="D34" s="529" t="s">
        <v>790</v>
      </c>
      <c r="E34" s="529" t="s">
        <v>787</v>
      </c>
      <c r="F34" s="529" t="s">
        <v>788</v>
      </c>
      <c r="G34" s="529" t="s">
        <v>789</v>
      </c>
      <c r="H34" s="529" t="s">
        <v>370</v>
      </c>
      <c r="I34" s="529" t="s">
        <v>821</v>
      </c>
      <c r="J34" s="502">
        <f>J35</f>
        <v>518.76</v>
      </c>
    </row>
    <row r="35" spans="1:12">
      <c r="A35" s="480"/>
      <c r="B35" s="556" t="s">
        <v>811</v>
      </c>
      <c r="C35" s="515"/>
      <c r="D35" s="516">
        <v>1</v>
      </c>
      <c r="E35" s="516"/>
      <c r="F35" s="516"/>
      <c r="G35" s="516"/>
      <c r="H35" s="516">
        <v>518.76</v>
      </c>
      <c r="I35" s="517"/>
      <c r="J35" s="507">
        <f>H35</f>
        <v>518.76</v>
      </c>
    </row>
    <row r="36" spans="1:12">
      <c r="A36" s="480"/>
      <c r="B36" s="602" t="s">
        <v>893</v>
      </c>
      <c r="C36" s="558"/>
      <c r="D36" s="526"/>
      <c r="E36" s="526"/>
      <c r="F36" s="526"/>
      <c r="G36" s="526"/>
      <c r="H36" s="526"/>
      <c r="I36" s="527"/>
      <c r="J36" s="521"/>
    </row>
    <row r="37" spans="1:12">
      <c r="A37" s="480"/>
      <c r="B37" s="518"/>
      <c r="C37" s="519"/>
      <c r="D37" s="520"/>
      <c r="E37" s="520"/>
      <c r="F37" s="520"/>
      <c r="G37" s="520"/>
      <c r="H37" s="520"/>
      <c r="I37" s="520"/>
      <c r="J37" s="521"/>
    </row>
    <row r="38" spans="1:12" ht="30">
      <c r="A38" s="513" t="s">
        <v>304</v>
      </c>
      <c r="B38" s="522" t="s">
        <v>379</v>
      </c>
      <c r="C38" s="485" t="s">
        <v>104</v>
      </c>
      <c r="D38" s="529" t="s">
        <v>790</v>
      </c>
      <c r="E38" s="529" t="s">
        <v>787</v>
      </c>
      <c r="F38" s="529" t="s">
        <v>788</v>
      </c>
      <c r="G38" s="529" t="s">
        <v>789</v>
      </c>
      <c r="H38" s="529" t="s">
        <v>370</v>
      </c>
      <c r="I38" s="529" t="s">
        <v>821</v>
      </c>
      <c r="J38" s="502">
        <f>SUM(J39:J40)</f>
        <v>2</v>
      </c>
    </row>
    <row r="39" spans="1:12">
      <c r="A39" s="480"/>
      <c r="B39" s="557" t="s">
        <v>852</v>
      </c>
      <c r="C39" s="488"/>
      <c r="D39" s="489">
        <v>1</v>
      </c>
      <c r="E39" s="489"/>
      <c r="F39" s="489"/>
      <c r="G39" s="489"/>
      <c r="H39" s="489"/>
      <c r="I39" s="490"/>
      <c r="J39" s="491">
        <f>D39</f>
        <v>1</v>
      </c>
    </row>
    <row r="40" spans="1:12">
      <c r="A40" s="480"/>
      <c r="B40" s="557" t="s">
        <v>812</v>
      </c>
      <c r="C40" s="488"/>
      <c r="D40" s="489">
        <v>1</v>
      </c>
      <c r="E40" s="489"/>
      <c r="F40" s="489"/>
      <c r="G40" s="489"/>
      <c r="H40" s="489"/>
      <c r="I40" s="490"/>
      <c r="J40" s="491">
        <f>D40</f>
        <v>1</v>
      </c>
    </row>
    <row r="41" spans="1:12">
      <c r="A41" s="480"/>
      <c r="B41" s="1117"/>
      <c r="C41" s="488"/>
      <c r="D41" s="489"/>
      <c r="E41" s="489"/>
      <c r="F41" s="489"/>
      <c r="G41" s="489"/>
      <c r="H41" s="489"/>
      <c r="I41" s="490"/>
      <c r="J41" s="491"/>
    </row>
    <row r="42" spans="1:12">
      <c r="A42" s="492"/>
      <c r="B42" s="493"/>
      <c r="C42" s="493"/>
      <c r="D42" s="493"/>
      <c r="E42" s="493"/>
      <c r="F42" s="493"/>
      <c r="G42" s="493"/>
      <c r="H42" s="493"/>
      <c r="I42" s="493"/>
      <c r="J42" s="494"/>
    </row>
    <row r="43" spans="1:12">
      <c r="A43" s="1100" t="s">
        <v>116</v>
      </c>
      <c r="B43" s="1297" t="s">
        <v>55</v>
      </c>
      <c r="C43" s="1298"/>
      <c r="D43" s="1298"/>
      <c r="E43" s="1298"/>
      <c r="F43" s="1298"/>
      <c r="G43" s="1298"/>
      <c r="H43" s="1298"/>
      <c r="I43" s="1298"/>
      <c r="J43" s="1299"/>
    </row>
    <row r="44" spans="1:12" ht="27.75" customHeight="1">
      <c r="A44" s="513" t="s">
        <v>117</v>
      </c>
      <c r="B44" s="522" t="s">
        <v>0</v>
      </c>
      <c r="C44" s="485" t="s">
        <v>105</v>
      </c>
      <c r="D44" s="529" t="s">
        <v>790</v>
      </c>
      <c r="E44" s="529" t="s">
        <v>787</v>
      </c>
      <c r="F44" s="529" t="s">
        <v>788</v>
      </c>
      <c r="G44" s="529" t="s">
        <v>789</v>
      </c>
      <c r="H44" s="529" t="s">
        <v>370</v>
      </c>
      <c r="I44" s="529" t="s">
        <v>821</v>
      </c>
      <c r="J44" s="502">
        <f>SUM(J45:J48)</f>
        <v>272.15999999999997</v>
      </c>
      <c r="K44" s="523"/>
      <c r="L44" s="87"/>
    </row>
    <row r="45" spans="1:12">
      <c r="A45" s="480"/>
      <c r="B45" s="557" t="s">
        <v>813</v>
      </c>
      <c r="C45" s="519"/>
      <c r="D45" s="520"/>
      <c r="E45" s="520">
        <f>4*4</f>
        <v>16</v>
      </c>
      <c r="F45" s="520"/>
      <c r="G45" s="520"/>
      <c r="H45" s="520"/>
      <c r="I45" s="520"/>
      <c r="J45" s="521">
        <f>E45</f>
        <v>16</v>
      </c>
    </row>
    <row r="46" spans="1:12">
      <c r="A46" s="480"/>
      <c r="B46" s="1116" t="s">
        <v>814</v>
      </c>
      <c r="C46" s="488"/>
      <c r="D46" s="489"/>
      <c r="E46" s="489">
        <f>16.92+15.29+26.83+5.1+19.52+22.19+4.26+2.5+3.68+2.31+22.43</f>
        <v>141.03</v>
      </c>
      <c r="F46" s="489"/>
      <c r="G46" s="489"/>
      <c r="H46" s="489"/>
      <c r="I46" s="490"/>
      <c r="J46" s="521">
        <f>E46</f>
        <v>141.03</v>
      </c>
    </row>
    <row r="47" spans="1:12">
      <c r="A47" s="480"/>
      <c r="B47" s="1116" t="s">
        <v>815</v>
      </c>
      <c r="C47" s="488"/>
      <c r="D47" s="1097"/>
      <c r="E47" s="489">
        <f>95.05+20.08</f>
        <v>115.13</v>
      </c>
      <c r="F47" s="489"/>
      <c r="G47" s="489"/>
      <c r="H47" s="489"/>
      <c r="I47" s="490"/>
      <c r="J47" s="521">
        <f>E47</f>
        <v>115.13</v>
      </c>
    </row>
    <row r="48" spans="1:12">
      <c r="A48" s="480"/>
      <c r="B48" s="1117"/>
      <c r="C48" s="488"/>
      <c r="D48" s="489"/>
      <c r="E48" s="489"/>
      <c r="F48" s="489"/>
      <c r="G48" s="489"/>
      <c r="H48" s="489"/>
      <c r="I48" s="490"/>
      <c r="J48" s="491"/>
    </row>
    <row r="49" spans="1:12">
      <c r="A49" s="509"/>
      <c r="B49" s="493"/>
      <c r="C49" s="510"/>
      <c r="D49" s="510"/>
      <c r="E49" s="510"/>
      <c r="F49" s="510"/>
      <c r="G49" s="510"/>
      <c r="H49" s="510"/>
      <c r="I49" s="511"/>
      <c r="J49" s="525"/>
    </row>
    <row r="50" spans="1:12" ht="33" customHeight="1">
      <c r="A50" s="500" t="s">
        <v>306</v>
      </c>
      <c r="B50" s="522" t="s">
        <v>1</v>
      </c>
      <c r="C50" s="485" t="s">
        <v>57</v>
      </c>
      <c r="D50" s="529" t="s">
        <v>790</v>
      </c>
      <c r="E50" s="529" t="s">
        <v>787</v>
      </c>
      <c r="F50" s="529" t="s">
        <v>788</v>
      </c>
      <c r="G50" s="529" t="s">
        <v>789</v>
      </c>
      <c r="H50" s="529" t="s">
        <v>370</v>
      </c>
      <c r="I50" s="529" t="s">
        <v>821</v>
      </c>
      <c r="J50" s="502">
        <f>J51</f>
        <v>391.34</v>
      </c>
      <c r="K50" s="523"/>
      <c r="L50" s="87"/>
    </row>
    <row r="51" spans="1:12">
      <c r="A51" s="480"/>
      <c r="B51" s="557" t="s">
        <v>816</v>
      </c>
      <c r="C51" s="519"/>
      <c r="D51" s="526"/>
      <c r="E51" s="526"/>
      <c r="F51" s="526"/>
      <c r="G51" s="526"/>
      <c r="H51" s="489">
        <v>391.34</v>
      </c>
      <c r="I51" s="520"/>
      <c r="J51" s="521">
        <f>H51</f>
        <v>391.34</v>
      </c>
    </row>
    <row r="52" spans="1:12">
      <c r="A52" s="480"/>
      <c r="B52" s="1117"/>
      <c r="C52" s="488"/>
      <c r="D52" s="489"/>
      <c r="E52" s="489"/>
      <c r="F52" s="489"/>
      <c r="G52" s="489"/>
      <c r="H52" s="489"/>
      <c r="I52" s="490"/>
      <c r="J52" s="491"/>
    </row>
    <row r="53" spans="1:12">
      <c r="A53" s="509"/>
      <c r="B53" s="493"/>
      <c r="C53" s="510"/>
      <c r="D53" s="510"/>
      <c r="E53" s="510"/>
      <c r="F53" s="510"/>
      <c r="G53" s="510"/>
      <c r="H53" s="510"/>
      <c r="I53" s="511"/>
      <c r="J53" s="525"/>
    </row>
    <row r="54" spans="1:12" ht="27.75" customHeight="1">
      <c r="A54" s="500" t="s">
        <v>307</v>
      </c>
      <c r="B54" s="522" t="s">
        <v>2</v>
      </c>
      <c r="C54" s="485" t="s">
        <v>57</v>
      </c>
      <c r="D54" s="529" t="s">
        <v>790</v>
      </c>
      <c r="E54" s="529" t="s">
        <v>787</v>
      </c>
      <c r="F54" s="529" t="s">
        <v>788</v>
      </c>
      <c r="G54" s="529" t="s">
        <v>789</v>
      </c>
      <c r="H54" s="529" t="s">
        <v>370</v>
      </c>
      <c r="I54" s="529" t="s">
        <v>821</v>
      </c>
      <c r="J54" s="502">
        <f>J55</f>
        <v>7.71</v>
      </c>
      <c r="K54" s="523"/>
      <c r="L54" s="87"/>
    </row>
    <row r="55" spans="1:12">
      <c r="A55" s="480"/>
      <c r="B55" s="557" t="s">
        <v>820</v>
      </c>
      <c r="C55" s="519"/>
      <c r="D55" s="526"/>
      <c r="E55" s="526"/>
      <c r="F55" s="526"/>
      <c r="G55" s="526"/>
      <c r="H55" s="526">
        <v>7.71</v>
      </c>
      <c r="I55" s="520"/>
      <c r="J55" s="521">
        <f>H55</f>
        <v>7.71</v>
      </c>
    </row>
    <row r="56" spans="1:12">
      <c r="A56" s="480"/>
      <c r="B56" s="1118" t="s">
        <v>894</v>
      </c>
      <c r="C56" s="488"/>
      <c r="D56" s="489"/>
      <c r="E56" s="489"/>
      <c r="F56" s="489"/>
      <c r="G56" s="489"/>
      <c r="H56" s="489"/>
      <c r="I56" s="490"/>
      <c r="J56" s="491"/>
    </row>
    <row r="57" spans="1:12">
      <c r="A57" s="480"/>
      <c r="B57" s="1117"/>
      <c r="C57" s="488"/>
      <c r="D57" s="489"/>
      <c r="E57" s="489"/>
      <c r="F57" s="489"/>
      <c r="G57" s="489"/>
      <c r="H57" s="489"/>
      <c r="I57" s="490"/>
      <c r="J57" s="491"/>
    </row>
    <row r="58" spans="1:12">
      <c r="A58" s="509"/>
      <c r="B58" s="493"/>
      <c r="C58" s="510"/>
      <c r="D58" s="510"/>
      <c r="E58" s="510"/>
      <c r="F58" s="510"/>
      <c r="G58" s="510"/>
      <c r="H58" s="510"/>
      <c r="I58" s="511"/>
      <c r="J58" s="525"/>
    </row>
    <row r="59" spans="1:12" ht="15.75" customHeight="1">
      <c r="A59" s="500" t="s">
        <v>1056</v>
      </c>
      <c r="B59" s="613" t="s">
        <v>817</v>
      </c>
      <c r="C59" s="485" t="s">
        <v>103</v>
      </c>
      <c r="D59" s="529" t="s">
        <v>790</v>
      </c>
      <c r="E59" s="529" t="s">
        <v>787</v>
      </c>
      <c r="F59" s="529" t="s">
        <v>788</v>
      </c>
      <c r="G59" s="529" t="s">
        <v>789</v>
      </c>
      <c r="H59" s="529" t="s">
        <v>370</v>
      </c>
      <c r="I59" s="529" t="s">
        <v>821</v>
      </c>
      <c r="J59" s="502">
        <f>SUM(J60:J65)</f>
        <v>0.85896000000000006</v>
      </c>
      <c r="K59" s="523"/>
      <c r="L59" s="87"/>
    </row>
    <row r="60" spans="1:12">
      <c r="A60" s="480"/>
      <c r="B60" s="1116" t="s">
        <v>818</v>
      </c>
      <c r="C60" s="488"/>
      <c r="D60" s="617">
        <v>16</v>
      </c>
      <c r="E60" s="489">
        <v>0.42</v>
      </c>
      <c r="F60" s="489" t="s">
        <v>945</v>
      </c>
      <c r="G60" s="489">
        <v>0.5</v>
      </c>
      <c r="H60" s="489">
        <f>((0.24+0.12)*0.5)/2</f>
        <v>0.09</v>
      </c>
      <c r="I60" s="617">
        <f>H60*E60</f>
        <v>3.78E-2</v>
      </c>
      <c r="J60" s="619">
        <f>D60*I60</f>
        <v>0.6048</v>
      </c>
    </row>
    <row r="61" spans="1:12">
      <c r="A61" s="480"/>
      <c r="B61" s="1116"/>
      <c r="C61" s="488"/>
      <c r="D61" s="617"/>
      <c r="E61" s="489"/>
      <c r="F61" s="489" t="s">
        <v>946</v>
      </c>
      <c r="G61" s="489"/>
      <c r="H61" s="489"/>
      <c r="I61" s="617"/>
      <c r="J61" s="619"/>
    </row>
    <row r="62" spans="1:12">
      <c r="A62" s="480"/>
      <c r="B62" s="1116"/>
      <c r="C62" s="488"/>
      <c r="D62" s="617"/>
      <c r="E62" s="489"/>
      <c r="F62" s="489"/>
      <c r="G62" s="489"/>
      <c r="H62" s="489"/>
      <c r="I62" s="617"/>
      <c r="J62" s="619"/>
    </row>
    <row r="63" spans="1:12">
      <c r="A63" s="480"/>
      <c r="B63" s="1116" t="s">
        <v>944</v>
      </c>
      <c r="C63" s="488"/>
      <c r="D63" s="617">
        <v>2</v>
      </c>
      <c r="E63" s="489">
        <v>0.1</v>
      </c>
      <c r="F63" s="634" t="s">
        <v>947</v>
      </c>
      <c r="G63" s="489">
        <v>1.46</v>
      </c>
      <c r="H63" s="489">
        <f>((0.63+0.78)*1.46)/2</f>
        <v>1.0293000000000001</v>
      </c>
      <c r="I63" s="635">
        <f>H63*E63</f>
        <v>0.10293000000000002</v>
      </c>
      <c r="J63" s="636">
        <f>I63*D63</f>
        <v>0.20586000000000004</v>
      </c>
    </row>
    <row r="64" spans="1:12">
      <c r="A64" s="480"/>
      <c r="B64" s="1116"/>
      <c r="C64" s="488"/>
      <c r="D64" s="617"/>
      <c r="E64" s="489"/>
      <c r="F64" s="489" t="s">
        <v>948</v>
      </c>
      <c r="G64" s="489"/>
      <c r="H64" s="489"/>
      <c r="I64" s="617"/>
      <c r="J64" s="619"/>
    </row>
    <row r="65" spans="1:17">
      <c r="A65" s="480"/>
      <c r="B65" s="1116" t="s">
        <v>949</v>
      </c>
      <c r="C65" s="488"/>
      <c r="D65" s="617">
        <v>2</v>
      </c>
      <c r="E65" s="489">
        <v>0.7</v>
      </c>
      <c r="F65" s="634">
        <v>0.23</v>
      </c>
      <c r="G65" s="489">
        <v>0.15</v>
      </c>
      <c r="H65" s="489"/>
      <c r="I65" s="635">
        <f>E65*F65*G65</f>
        <v>2.4150000000000001E-2</v>
      </c>
      <c r="J65" s="636">
        <f>D65*I65</f>
        <v>4.8300000000000003E-2</v>
      </c>
    </row>
    <row r="66" spans="1:17">
      <c r="A66" s="480"/>
      <c r="B66" s="1118" t="s">
        <v>819</v>
      </c>
      <c r="C66" s="488"/>
      <c r="D66" s="489"/>
      <c r="E66" s="489"/>
      <c r="F66" s="489"/>
      <c r="G66" s="489"/>
      <c r="H66" s="489"/>
      <c r="I66" s="490"/>
      <c r="J66" s="491"/>
    </row>
    <row r="67" spans="1:17">
      <c r="A67" s="480"/>
      <c r="B67" s="1120"/>
      <c r="C67" s="488"/>
      <c r="D67" s="489"/>
      <c r="E67" s="489"/>
      <c r="F67" s="489"/>
      <c r="G67" s="489"/>
      <c r="H67" s="489"/>
      <c r="I67" s="490"/>
      <c r="J67" s="491"/>
    </row>
    <row r="68" spans="1:17">
      <c r="A68" s="509"/>
      <c r="B68" s="493"/>
      <c r="C68" s="510"/>
      <c r="D68" s="510"/>
      <c r="E68" s="510"/>
      <c r="F68" s="510"/>
      <c r="G68" s="510"/>
      <c r="H68" s="510"/>
      <c r="I68" s="511"/>
      <c r="J68" s="525"/>
      <c r="L68" s="87"/>
    </row>
    <row r="69" spans="1:17">
      <c r="A69" s="500" t="s">
        <v>308</v>
      </c>
      <c r="B69" s="522" t="s">
        <v>3</v>
      </c>
      <c r="C69" s="485" t="s">
        <v>104</v>
      </c>
      <c r="D69" s="529" t="s">
        <v>790</v>
      </c>
      <c r="E69" s="529" t="s">
        <v>787</v>
      </c>
      <c r="F69" s="529" t="s">
        <v>788</v>
      </c>
      <c r="G69" s="529" t="s">
        <v>789</v>
      </c>
      <c r="H69" s="529" t="s">
        <v>370</v>
      </c>
      <c r="I69" s="529" t="s">
        <v>821</v>
      </c>
      <c r="J69" s="502">
        <f>SUM(J70:J71)</f>
        <v>4</v>
      </c>
      <c r="L69" s="523"/>
    </row>
    <row r="70" spans="1:17">
      <c r="A70" s="503"/>
      <c r="B70" s="556" t="s">
        <v>895</v>
      </c>
      <c r="C70" s="505"/>
      <c r="D70" s="506">
        <v>4</v>
      </c>
      <c r="E70" s="506"/>
      <c r="F70" s="506"/>
      <c r="G70" s="506"/>
      <c r="H70" s="506"/>
      <c r="I70" s="506"/>
      <c r="J70" s="507">
        <f>D70</f>
        <v>4</v>
      </c>
    </row>
    <row r="71" spans="1:17">
      <c r="A71" s="480"/>
      <c r="B71" s="1117"/>
      <c r="C71" s="488"/>
      <c r="D71" s="489"/>
      <c r="E71" s="489"/>
      <c r="F71" s="489"/>
      <c r="G71" s="489"/>
      <c r="H71" s="489"/>
      <c r="I71" s="490"/>
      <c r="J71" s="491"/>
    </row>
    <row r="72" spans="1:17">
      <c r="A72" s="509"/>
      <c r="B72" s="493"/>
      <c r="C72" s="510"/>
      <c r="D72" s="510"/>
      <c r="E72" s="510"/>
      <c r="F72" s="510"/>
      <c r="G72" s="510"/>
      <c r="H72" s="510"/>
      <c r="I72" s="511"/>
      <c r="J72" s="525"/>
    </row>
    <row r="73" spans="1:17" ht="47.25" customHeight="1">
      <c r="A73" s="500" t="s">
        <v>309</v>
      </c>
      <c r="B73" s="613" t="s">
        <v>1033</v>
      </c>
      <c r="C73" s="485" t="s">
        <v>104</v>
      </c>
      <c r="D73" s="529" t="s">
        <v>790</v>
      </c>
      <c r="E73" s="529" t="s">
        <v>787</v>
      </c>
      <c r="F73" s="529" t="s">
        <v>788</v>
      </c>
      <c r="G73" s="529" t="s">
        <v>789</v>
      </c>
      <c r="H73" s="529" t="s">
        <v>370</v>
      </c>
      <c r="I73" s="529" t="s">
        <v>821</v>
      </c>
      <c r="J73" s="502">
        <f>J74</f>
        <v>8</v>
      </c>
    </row>
    <row r="74" spans="1:17">
      <c r="A74" s="480"/>
      <c r="B74" s="1116" t="s">
        <v>896</v>
      </c>
      <c r="C74" s="488"/>
      <c r="D74" s="489">
        <v>8</v>
      </c>
      <c r="E74" s="489"/>
      <c r="F74" s="489"/>
      <c r="G74" s="489"/>
      <c r="H74" s="489"/>
      <c r="I74" s="528"/>
      <c r="J74" s="491">
        <f>D74</f>
        <v>8</v>
      </c>
    </row>
    <row r="75" spans="1:17">
      <c r="A75" s="480"/>
      <c r="B75" s="1117"/>
      <c r="C75" s="488"/>
      <c r="D75" s="489"/>
      <c r="E75" s="489"/>
      <c r="F75" s="489"/>
      <c r="G75" s="489"/>
      <c r="H75" s="489"/>
      <c r="I75" s="490"/>
      <c r="J75" s="491"/>
    </row>
    <row r="76" spans="1:17">
      <c r="A76" s="509"/>
      <c r="B76" s="493"/>
      <c r="C76" s="510"/>
      <c r="D76" s="510"/>
      <c r="E76" s="510"/>
      <c r="F76" s="510"/>
      <c r="G76" s="510"/>
      <c r="H76" s="510"/>
      <c r="I76" s="511"/>
      <c r="J76" s="512"/>
    </row>
    <row r="77" spans="1:17" ht="18.75" customHeight="1">
      <c r="A77" s="500" t="s">
        <v>310</v>
      </c>
      <c r="B77" s="522" t="s">
        <v>4</v>
      </c>
      <c r="C77" s="485" t="s">
        <v>104</v>
      </c>
      <c r="D77" s="529" t="s">
        <v>790</v>
      </c>
      <c r="E77" s="529" t="s">
        <v>787</v>
      </c>
      <c r="F77" s="529" t="s">
        <v>788</v>
      </c>
      <c r="G77" s="529" t="s">
        <v>789</v>
      </c>
      <c r="H77" s="529" t="s">
        <v>370</v>
      </c>
      <c r="I77" s="529" t="s">
        <v>821</v>
      </c>
      <c r="J77" s="502">
        <f>SUM(J78:J79)</f>
        <v>31</v>
      </c>
      <c r="L77" s="523"/>
    </row>
    <row r="78" spans="1:17" ht="30">
      <c r="A78" s="480"/>
      <c r="B78" s="742" t="s">
        <v>1080</v>
      </c>
      <c r="C78" s="519"/>
      <c r="D78" s="520">
        <v>31</v>
      </c>
      <c r="E78" s="520"/>
      <c r="F78" s="520"/>
      <c r="G78" s="520"/>
      <c r="H78" s="520"/>
      <c r="I78" s="520"/>
      <c r="J78" s="521">
        <f>D78</f>
        <v>31</v>
      </c>
    </row>
    <row r="79" spans="1:17">
      <c r="A79" s="480"/>
      <c r="B79" s="1117"/>
      <c r="C79" s="488"/>
      <c r="D79" s="489"/>
      <c r="E79" s="489"/>
      <c r="F79" s="489"/>
      <c r="G79" s="489"/>
      <c r="H79" s="489"/>
      <c r="I79" s="490"/>
      <c r="J79" s="491"/>
    </row>
    <row r="80" spans="1:17">
      <c r="A80" s="509"/>
      <c r="B80" s="493"/>
      <c r="C80" s="510"/>
      <c r="D80" s="510"/>
      <c r="E80" s="510"/>
      <c r="F80" s="510"/>
      <c r="G80" s="510"/>
      <c r="H80" s="510"/>
      <c r="I80" s="511"/>
      <c r="J80" s="512"/>
      <c r="L80" s="87"/>
      <c r="M80" s="87"/>
      <c r="N80" s="87"/>
      <c r="O80" s="87"/>
      <c r="P80" s="87"/>
      <c r="Q80" s="87"/>
    </row>
    <row r="81" spans="1:17" ht="30">
      <c r="A81" s="531" t="s">
        <v>1057</v>
      </c>
      <c r="B81" s="522" t="s">
        <v>5</v>
      </c>
      <c r="C81" s="485" t="s">
        <v>104</v>
      </c>
      <c r="D81" s="529" t="s">
        <v>790</v>
      </c>
      <c r="E81" s="529" t="s">
        <v>787</v>
      </c>
      <c r="F81" s="529" t="s">
        <v>788</v>
      </c>
      <c r="G81" s="529" t="s">
        <v>789</v>
      </c>
      <c r="H81" s="529" t="s">
        <v>370</v>
      </c>
      <c r="I81" s="529" t="s">
        <v>821</v>
      </c>
      <c r="J81" s="502">
        <f>J82</f>
        <v>6</v>
      </c>
      <c r="L81" s="523"/>
      <c r="M81" s="87"/>
      <c r="N81" s="87"/>
      <c r="O81" s="87"/>
      <c r="P81" s="87"/>
      <c r="Q81" s="87"/>
    </row>
    <row r="82" spans="1:17" ht="30">
      <c r="A82" s="532"/>
      <c r="B82" s="742" t="s">
        <v>1079</v>
      </c>
      <c r="C82" s="515"/>
      <c r="D82" s="516">
        <v>6</v>
      </c>
      <c r="E82" s="516"/>
      <c r="F82" s="516"/>
      <c r="G82" s="516"/>
      <c r="H82" s="516"/>
      <c r="I82" s="517"/>
      <c r="J82" s="507">
        <f>D82</f>
        <v>6</v>
      </c>
      <c r="L82" s="523"/>
      <c r="M82" s="87"/>
      <c r="N82" s="87"/>
      <c r="O82" s="87"/>
      <c r="P82" s="87"/>
      <c r="Q82" s="87"/>
    </row>
    <row r="83" spans="1:17">
      <c r="A83" s="480"/>
      <c r="B83" s="1117"/>
      <c r="C83" s="488"/>
      <c r="D83" s="489"/>
      <c r="E83" s="489"/>
      <c r="F83" s="489"/>
      <c r="G83" s="489"/>
      <c r="H83" s="489"/>
      <c r="I83" s="490"/>
      <c r="J83" s="491"/>
      <c r="L83" s="87"/>
      <c r="M83" s="87"/>
      <c r="N83" s="87"/>
      <c r="O83" s="87"/>
      <c r="P83" s="87"/>
      <c r="Q83" s="87"/>
    </row>
    <row r="84" spans="1:17">
      <c r="A84" s="509"/>
      <c r="B84" s="493"/>
      <c r="C84" s="510"/>
      <c r="D84" s="510"/>
      <c r="E84" s="510"/>
      <c r="F84" s="510"/>
      <c r="G84" s="510"/>
      <c r="H84" s="510"/>
      <c r="I84" s="511"/>
      <c r="J84" s="512"/>
      <c r="L84" s="87"/>
      <c r="M84" s="87"/>
      <c r="N84" s="87"/>
      <c r="O84" s="87"/>
      <c r="P84" s="87"/>
      <c r="Q84" s="87"/>
    </row>
    <row r="85" spans="1:17">
      <c r="A85" s="500" t="s">
        <v>311</v>
      </c>
      <c r="B85" s="484" t="s">
        <v>6</v>
      </c>
      <c r="C85" s="485" t="s">
        <v>104</v>
      </c>
      <c r="D85" s="529" t="s">
        <v>790</v>
      </c>
      <c r="E85" s="529" t="s">
        <v>787</v>
      </c>
      <c r="F85" s="529" t="s">
        <v>788</v>
      </c>
      <c r="G85" s="529" t="s">
        <v>789</v>
      </c>
      <c r="H85" s="529" t="s">
        <v>370</v>
      </c>
      <c r="I85" s="529" t="s">
        <v>821</v>
      </c>
      <c r="J85" s="502">
        <f>J86</f>
        <v>1</v>
      </c>
    </row>
    <row r="86" spans="1:17">
      <c r="A86" s="480"/>
      <c r="B86" s="1116" t="s">
        <v>822</v>
      </c>
      <c r="C86" s="488"/>
      <c r="D86" s="489">
        <v>1</v>
      </c>
      <c r="E86" s="489"/>
      <c r="F86" s="489"/>
      <c r="G86" s="489"/>
      <c r="H86" s="489"/>
      <c r="I86" s="490"/>
      <c r="J86" s="491">
        <f>D86</f>
        <v>1</v>
      </c>
    </row>
    <row r="87" spans="1:17">
      <c r="A87" s="480"/>
      <c r="B87" s="1117"/>
      <c r="C87" s="488"/>
      <c r="D87" s="489"/>
      <c r="E87" s="489"/>
      <c r="F87" s="489"/>
      <c r="G87" s="489"/>
      <c r="H87" s="489"/>
      <c r="I87" s="490"/>
      <c r="J87" s="491"/>
    </row>
    <row r="88" spans="1:17">
      <c r="A88" s="509"/>
      <c r="B88" s="493"/>
      <c r="C88" s="510"/>
      <c r="D88" s="510"/>
      <c r="E88" s="510"/>
      <c r="F88" s="510"/>
      <c r="G88" s="510"/>
      <c r="H88" s="510"/>
      <c r="I88" s="511"/>
      <c r="J88" s="512"/>
    </row>
    <row r="89" spans="1:17">
      <c r="A89" s="535" t="s">
        <v>312</v>
      </c>
      <c r="B89" s="533" t="s">
        <v>11</v>
      </c>
      <c r="C89" s="498"/>
      <c r="D89" s="498"/>
      <c r="E89" s="498"/>
      <c r="F89" s="498"/>
      <c r="G89" s="498"/>
      <c r="H89" s="498"/>
      <c r="I89" s="498"/>
      <c r="J89" s="499"/>
    </row>
    <row r="90" spans="1:17">
      <c r="A90" s="1100" t="s">
        <v>313</v>
      </c>
      <c r="B90" s="533" t="s">
        <v>12</v>
      </c>
      <c r="C90" s="498"/>
      <c r="D90" s="498"/>
      <c r="E90" s="498"/>
      <c r="F90" s="498"/>
      <c r="G90" s="498"/>
      <c r="H90" s="498"/>
      <c r="I90" s="498"/>
      <c r="J90" s="499"/>
    </row>
    <row r="91" spans="1:17" ht="30">
      <c r="A91" s="513" t="s">
        <v>314</v>
      </c>
      <c r="B91" s="484" t="s">
        <v>118</v>
      </c>
      <c r="C91" s="485" t="s">
        <v>103</v>
      </c>
      <c r="D91" s="529" t="s">
        <v>790</v>
      </c>
      <c r="E91" s="529" t="s">
        <v>787</v>
      </c>
      <c r="F91" s="529" t="s">
        <v>788</v>
      </c>
      <c r="G91" s="529" t="s">
        <v>789</v>
      </c>
      <c r="H91" s="529" t="s">
        <v>370</v>
      </c>
      <c r="I91" s="529" t="s">
        <v>821</v>
      </c>
      <c r="J91" s="502">
        <f>J95</f>
        <v>2.9299999999999993</v>
      </c>
    </row>
    <row r="92" spans="1:17">
      <c r="A92" s="480"/>
      <c r="B92" s="1121" t="s">
        <v>796</v>
      </c>
      <c r="C92" s="530"/>
      <c r="D92" s="489"/>
      <c r="E92" s="489"/>
      <c r="F92" s="489"/>
      <c r="G92" s="489"/>
      <c r="H92" s="489"/>
      <c r="I92" s="490"/>
      <c r="J92" s="491"/>
    </row>
    <row r="93" spans="1:17">
      <c r="A93" s="480"/>
      <c r="B93" s="1116" t="s">
        <v>897</v>
      </c>
      <c r="C93" s="488"/>
      <c r="D93" s="489"/>
      <c r="E93" s="489"/>
      <c r="F93" s="489"/>
      <c r="G93" s="489">
        <v>0.5</v>
      </c>
      <c r="H93" s="489">
        <v>10.7</v>
      </c>
      <c r="I93" s="490">
        <f>G93*H93</f>
        <v>5.35</v>
      </c>
      <c r="J93" s="491">
        <f>I93</f>
        <v>5.35</v>
      </c>
    </row>
    <row r="94" spans="1:17">
      <c r="A94" s="480"/>
      <c r="B94" s="1116" t="s">
        <v>898</v>
      </c>
      <c r="C94" s="488"/>
      <c r="D94" s="489"/>
      <c r="E94" s="489"/>
      <c r="F94" s="489"/>
      <c r="G94" s="489">
        <v>0.5</v>
      </c>
      <c r="H94" s="489">
        <f>2.2*2.2</f>
        <v>4.8400000000000007</v>
      </c>
      <c r="I94" s="490">
        <f>G94*H94</f>
        <v>2.4200000000000004</v>
      </c>
      <c r="J94" s="491">
        <f>I94</f>
        <v>2.4200000000000004</v>
      </c>
      <c r="L94" s="126"/>
    </row>
    <row r="95" spans="1:17" ht="30">
      <c r="A95" s="480"/>
      <c r="B95" s="1122" t="s">
        <v>899</v>
      </c>
      <c r="C95" s="935"/>
      <c r="D95" s="936"/>
      <c r="E95" s="936"/>
      <c r="F95" s="936"/>
      <c r="G95" s="936"/>
      <c r="H95" s="936"/>
      <c r="I95" s="937"/>
      <c r="J95" s="938">
        <f>J93-J94</f>
        <v>2.9299999999999993</v>
      </c>
      <c r="L95" s="126"/>
    </row>
    <row r="96" spans="1:17" ht="30">
      <c r="A96" s="480"/>
      <c r="B96" s="1123" t="s">
        <v>1062</v>
      </c>
      <c r="C96" s="935"/>
      <c r="D96" s="936"/>
      <c r="E96" s="936"/>
      <c r="F96" s="936"/>
      <c r="G96" s="936"/>
      <c r="H96" s="936"/>
      <c r="I96" s="937"/>
      <c r="J96" s="938"/>
      <c r="L96" s="126"/>
    </row>
    <row r="97" spans="1:11">
      <c r="A97" s="480"/>
      <c r="B97" s="1117"/>
      <c r="C97" s="488"/>
      <c r="D97" s="489"/>
      <c r="E97" s="489"/>
      <c r="F97" s="489"/>
      <c r="G97" s="489"/>
      <c r="H97" s="489"/>
      <c r="I97" s="490"/>
      <c r="J97" s="491"/>
    </row>
    <row r="98" spans="1:11">
      <c r="A98" s="509"/>
      <c r="B98" s="493"/>
      <c r="C98" s="510"/>
      <c r="D98" s="510"/>
      <c r="E98" s="510"/>
      <c r="F98" s="510"/>
      <c r="G98" s="510"/>
      <c r="H98" s="510"/>
      <c r="I98" s="511"/>
      <c r="J98" s="512"/>
    </row>
    <row r="99" spans="1:11" ht="45">
      <c r="A99" s="534" t="s">
        <v>315</v>
      </c>
      <c r="B99" s="1099" t="s">
        <v>120</v>
      </c>
      <c r="C99" s="485" t="s">
        <v>103</v>
      </c>
      <c r="D99" s="529" t="s">
        <v>790</v>
      </c>
      <c r="E99" s="529" t="s">
        <v>787</v>
      </c>
      <c r="F99" s="529" t="s">
        <v>788</v>
      </c>
      <c r="G99" s="529" t="s">
        <v>789</v>
      </c>
      <c r="H99" s="529" t="s">
        <v>370</v>
      </c>
      <c r="I99" s="529" t="s">
        <v>821</v>
      </c>
      <c r="J99" s="502">
        <f>J100</f>
        <v>57.695000000000007</v>
      </c>
      <c r="K99" s="934"/>
    </row>
    <row r="100" spans="1:11" ht="45">
      <c r="A100" s="503"/>
      <c r="B100" s="1122" t="s">
        <v>1049</v>
      </c>
      <c r="C100" s="488"/>
      <c r="D100" s="489"/>
      <c r="E100" s="489"/>
      <c r="F100" s="489"/>
      <c r="G100" s="489">
        <v>0.1</v>
      </c>
      <c r="H100" s="489">
        <f>625.97-(4.84+44.18)</f>
        <v>576.95000000000005</v>
      </c>
      <c r="I100" s="528">
        <f>G100*H100</f>
        <v>57.695000000000007</v>
      </c>
      <c r="J100" s="507">
        <f>I100</f>
        <v>57.695000000000007</v>
      </c>
    </row>
    <row r="101" spans="1:11">
      <c r="A101" s="480"/>
      <c r="B101" s="1118" t="s">
        <v>900</v>
      </c>
      <c r="C101" s="488"/>
      <c r="D101" s="489"/>
      <c r="E101" s="489"/>
      <c r="F101" s="489"/>
      <c r="G101" s="489"/>
      <c r="H101" s="489"/>
      <c r="I101" s="490"/>
      <c r="J101" s="491"/>
    </row>
    <row r="102" spans="1:11">
      <c r="A102" s="480"/>
      <c r="B102" s="1117"/>
      <c r="C102" s="488"/>
      <c r="D102" s="489"/>
      <c r="E102" s="489"/>
      <c r="F102" s="489"/>
      <c r="G102" s="489"/>
      <c r="H102" s="489"/>
      <c r="I102" s="490"/>
      <c r="J102" s="491"/>
    </row>
    <row r="103" spans="1:11" ht="45">
      <c r="A103" s="534" t="s">
        <v>794</v>
      </c>
      <c r="B103" s="484" t="s">
        <v>99</v>
      </c>
      <c r="C103" s="485" t="s">
        <v>103</v>
      </c>
      <c r="D103" s="529" t="s">
        <v>790</v>
      </c>
      <c r="E103" s="529" t="s">
        <v>787</v>
      </c>
      <c r="F103" s="529" t="s">
        <v>788</v>
      </c>
      <c r="G103" s="529" t="s">
        <v>789</v>
      </c>
      <c r="H103" s="529" t="s">
        <v>370</v>
      </c>
      <c r="I103" s="529" t="s">
        <v>821</v>
      </c>
      <c r="J103" s="502">
        <f>J104</f>
        <v>13.275</v>
      </c>
    </row>
    <row r="104" spans="1:11">
      <c r="A104" s="480"/>
      <c r="B104" s="1116" t="s">
        <v>853</v>
      </c>
      <c r="C104" s="488"/>
      <c r="D104" s="489"/>
      <c r="E104" s="489"/>
      <c r="F104" s="489"/>
      <c r="G104" s="489">
        <v>0.15</v>
      </c>
      <c r="H104" s="489">
        <v>88.5</v>
      </c>
      <c r="I104" s="490">
        <f>G104*H104</f>
        <v>13.275</v>
      </c>
      <c r="J104" s="491">
        <f>I104</f>
        <v>13.275</v>
      </c>
    </row>
    <row r="105" spans="1:11">
      <c r="A105" s="480"/>
      <c r="B105" s="1117"/>
      <c r="C105" s="488"/>
      <c r="D105" s="489"/>
      <c r="E105" s="489"/>
      <c r="F105" s="489"/>
      <c r="G105" s="489"/>
      <c r="H105" s="489"/>
      <c r="I105" s="490"/>
      <c r="J105" s="491"/>
    </row>
    <row r="106" spans="1:11">
      <c r="A106" s="509"/>
      <c r="B106" s="493"/>
      <c r="C106" s="510"/>
      <c r="D106" s="510"/>
      <c r="E106" s="510"/>
      <c r="F106" s="510"/>
      <c r="G106" s="510"/>
      <c r="H106" s="510"/>
      <c r="I106" s="511"/>
      <c r="J106" s="512"/>
    </row>
    <row r="107" spans="1:11">
      <c r="A107" s="1100" t="s">
        <v>316</v>
      </c>
      <c r="B107" s="533" t="s">
        <v>13</v>
      </c>
      <c r="C107" s="498"/>
      <c r="D107" s="498"/>
      <c r="E107" s="498"/>
      <c r="F107" s="498"/>
      <c r="G107" s="498"/>
      <c r="H107" s="498"/>
      <c r="I107" s="498"/>
      <c r="J107" s="499"/>
    </row>
    <row r="108" spans="1:11" ht="45">
      <c r="A108" s="513" t="s">
        <v>1058</v>
      </c>
      <c r="B108" s="484" t="s">
        <v>100</v>
      </c>
      <c r="C108" s="485" t="s">
        <v>103</v>
      </c>
      <c r="D108" s="529" t="s">
        <v>790</v>
      </c>
      <c r="E108" s="529" t="s">
        <v>787</v>
      </c>
      <c r="F108" s="529" t="s">
        <v>788</v>
      </c>
      <c r="G108" s="529" t="s">
        <v>789</v>
      </c>
      <c r="H108" s="529" t="s">
        <v>370</v>
      </c>
      <c r="I108" s="529" t="s">
        <v>821</v>
      </c>
      <c r="J108" s="502">
        <f>SUM(J109:J110)</f>
        <v>60.726000000000006</v>
      </c>
    </row>
    <row r="109" spans="1:11">
      <c r="A109" s="717"/>
      <c r="B109" s="1116" t="s">
        <v>1048</v>
      </c>
      <c r="C109" s="488"/>
      <c r="D109" s="489"/>
      <c r="E109" s="489"/>
      <c r="F109" s="489"/>
      <c r="G109" s="489">
        <v>0.1</v>
      </c>
      <c r="H109" s="489">
        <v>518.76</v>
      </c>
      <c r="I109" s="490"/>
      <c r="J109" s="491">
        <f>G109*H109</f>
        <v>51.876000000000005</v>
      </c>
    </row>
    <row r="110" spans="1:11">
      <c r="A110" s="480"/>
      <c r="B110" s="1116" t="s">
        <v>856</v>
      </c>
      <c r="C110" s="488"/>
      <c r="D110" s="489">
        <v>1</v>
      </c>
      <c r="E110" s="489"/>
      <c r="F110" s="489"/>
      <c r="G110" s="489">
        <v>0.1</v>
      </c>
      <c r="H110" s="489">
        <v>88.5</v>
      </c>
      <c r="I110" s="490">
        <f>G110*H110</f>
        <v>8.85</v>
      </c>
      <c r="J110" s="491">
        <f>I110</f>
        <v>8.85</v>
      </c>
    </row>
    <row r="111" spans="1:11">
      <c r="A111" s="480"/>
      <c r="B111" s="1117"/>
      <c r="C111" s="488"/>
      <c r="D111" s="489"/>
      <c r="E111" s="489"/>
      <c r="F111" s="489"/>
      <c r="G111" s="489"/>
      <c r="H111" s="489"/>
      <c r="I111" s="490"/>
      <c r="J111" s="491"/>
    </row>
    <row r="112" spans="1:11">
      <c r="A112" s="509"/>
      <c r="B112" s="493"/>
      <c r="C112" s="510"/>
      <c r="D112" s="510"/>
      <c r="E112" s="510"/>
      <c r="F112" s="510"/>
      <c r="G112" s="510"/>
      <c r="H112" s="510"/>
      <c r="I112" s="511"/>
      <c r="J112" s="512"/>
    </row>
    <row r="113" spans="1:12">
      <c r="A113" s="1100" t="s">
        <v>318</v>
      </c>
      <c r="B113" s="533" t="s">
        <v>14</v>
      </c>
      <c r="C113" s="498"/>
      <c r="D113" s="498"/>
      <c r="E113" s="498"/>
      <c r="F113" s="498"/>
      <c r="G113" s="498"/>
      <c r="H113" s="498"/>
      <c r="I113" s="498"/>
      <c r="J113" s="499"/>
    </row>
    <row r="114" spans="1:12" ht="60">
      <c r="A114" s="513" t="s">
        <v>322</v>
      </c>
      <c r="B114" s="484" t="s">
        <v>1031</v>
      </c>
      <c r="C114" s="485" t="s">
        <v>1030</v>
      </c>
      <c r="D114" s="529" t="s">
        <v>790</v>
      </c>
      <c r="E114" s="529" t="s">
        <v>787</v>
      </c>
      <c r="F114" s="529" t="s">
        <v>788</v>
      </c>
      <c r="G114" s="529" t="s">
        <v>789</v>
      </c>
      <c r="H114" s="529" t="s">
        <v>370</v>
      </c>
      <c r="I114" s="529" t="s">
        <v>821</v>
      </c>
      <c r="J114" s="502">
        <f>J117</f>
        <v>84.960000000000008</v>
      </c>
    </row>
    <row r="115" spans="1:12" ht="30">
      <c r="A115" s="480"/>
      <c r="B115" s="1122" t="s">
        <v>1050</v>
      </c>
      <c r="C115" s="488"/>
      <c r="D115" s="489"/>
      <c r="E115" s="489"/>
      <c r="F115" s="939"/>
      <c r="G115" s="939"/>
      <c r="H115" s="489"/>
      <c r="I115" s="939">
        <f>J143</f>
        <v>3.54</v>
      </c>
      <c r="J115" s="491"/>
    </row>
    <row r="116" spans="1:12">
      <c r="A116" s="480"/>
      <c r="B116" s="1122"/>
      <c r="C116" s="488"/>
      <c r="D116" s="1124"/>
      <c r="E116" s="489"/>
      <c r="F116" s="939"/>
      <c r="G116" s="939"/>
      <c r="H116" s="713" t="s">
        <v>1032</v>
      </c>
      <c r="I116" s="939">
        <v>2.4</v>
      </c>
      <c r="J116" s="940">
        <f>I115*I116</f>
        <v>8.4960000000000004</v>
      </c>
    </row>
    <row r="117" spans="1:12">
      <c r="A117" s="480"/>
      <c r="B117" s="1122"/>
      <c r="C117" s="530"/>
      <c r="D117" s="1124"/>
      <c r="E117" s="489"/>
      <c r="F117" s="939"/>
      <c r="G117" s="939"/>
      <c r="H117" s="620" t="s">
        <v>854</v>
      </c>
      <c r="I117" s="939"/>
      <c r="J117" s="941">
        <f>J116*10</f>
        <v>84.960000000000008</v>
      </c>
    </row>
    <row r="118" spans="1:12">
      <c r="A118" s="480"/>
      <c r="B118" s="1117"/>
      <c r="C118" s="488"/>
      <c r="D118" s="489"/>
      <c r="E118" s="526"/>
      <c r="F118" s="526"/>
      <c r="G118" s="526"/>
      <c r="H118" s="526"/>
      <c r="I118" s="520"/>
      <c r="J118" s="491"/>
    </row>
    <row r="119" spans="1:12">
      <c r="A119" s="130"/>
      <c r="B119" s="497"/>
      <c r="C119" s="498"/>
      <c r="D119" s="498"/>
      <c r="E119" s="498"/>
      <c r="F119" s="498"/>
      <c r="G119" s="498"/>
      <c r="H119" s="498"/>
      <c r="I119" s="498"/>
      <c r="J119" s="499"/>
    </row>
    <row r="120" spans="1:12" ht="60">
      <c r="A120" s="513" t="s">
        <v>323</v>
      </c>
      <c r="B120" s="484" t="s">
        <v>305</v>
      </c>
      <c r="C120" s="485" t="s">
        <v>103</v>
      </c>
      <c r="D120" s="529" t="s">
        <v>790</v>
      </c>
      <c r="E120" s="529" t="s">
        <v>787</v>
      </c>
      <c r="F120" s="529" t="s">
        <v>788</v>
      </c>
      <c r="G120" s="529" t="s">
        <v>789</v>
      </c>
      <c r="H120" s="529" t="s">
        <v>370</v>
      </c>
      <c r="I120" s="529" t="s">
        <v>821</v>
      </c>
      <c r="J120" s="502">
        <f>J139</f>
        <v>151.32772850000003</v>
      </c>
      <c r="L120" s="523"/>
    </row>
    <row r="121" spans="1:12">
      <c r="A121" s="480"/>
      <c r="B121" s="942" t="s">
        <v>798</v>
      </c>
      <c r="C121" s="617"/>
      <c r="D121" s="618"/>
      <c r="E121" s="489">
        <v>272.15999999999997</v>
      </c>
      <c r="F121" s="489">
        <v>0.15</v>
      </c>
      <c r="G121" s="489">
        <v>0.3</v>
      </c>
      <c r="H121" s="611"/>
      <c r="I121" s="617">
        <f>E121*F121*G121</f>
        <v>12.247199999999998</v>
      </c>
      <c r="J121" s="619">
        <f>I121</f>
        <v>12.247199999999998</v>
      </c>
    </row>
    <row r="122" spans="1:12" ht="15" customHeight="1">
      <c r="A122" s="480"/>
      <c r="B122" s="942" t="s">
        <v>799</v>
      </c>
      <c r="C122" s="617"/>
      <c r="D122" s="618">
        <v>16</v>
      </c>
      <c r="E122" s="489"/>
      <c r="F122" s="489"/>
      <c r="G122" s="489"/>
      <c r="H122" s="489"/>
      <c r="I122" s="617">
        <v>3.78E-2</v>
      </c>
      <c r="J122" s="619">
        <f>D122*I122</f>
        <v>0.6048</v>
      </c>
    </row>
    <row r="123" spans="1:12" ht="15" customHeight="1">
      <c r="A123" s="480"/>
      <c r="B123" s="942" t="s">
        <v>1000</v>
      </c>
      <c r="C123" s="617"/>
      <c r="D123" s="618">
        <v>2</v>
      </c>
      <c r="E123" s="489"/>
      <c r="F123" s="489"/>
      <c r="G123" s="489"/>
      <c r="H123" s="489"/>
      <c r="I123" s="617">
        <v>0.25416000000000005</v>
      </c>
      <c r="J123" s="619">
        <f>D123*I123</f>
        <v>0.50832000000000011</v>
      </c>
    </row>
    <row r="124" spans="1:12" ht="15" customHeight="1">
      <c r="A124" s="480"/>
      <c r="B124" s="942" t="s">
        <v>901</v>
      </c>
      <c r="C124" s="617"/>
      <c r="D124" s="489"/>
      <c r="E124" s="489"/>
      <c r="F124" s="489"/>
      <c r="G124" s="489"/>
      <c r="H124" s="489"/>
      <c r="I124" s="617">
        <v>2.9299999999999993</v>
      </c>
      <c r="J124" s="619">
        <f>I124</f>
        <v>2.9299999999999993</v>
      </c>
    </row>
    <row r="125" spans="1:12" ht="15" customHeight="1">
      <c r="A125" s="480"/>
      <c r="B125" s="942" t="s">
        <v>1063</v>
      </c>
      <c r="C125" s="617"/>
      <c r="D125" s="489">
        <v>1</v>
      </c>
      <c r="E125" s="489"/>
      <c r="F125" s="489"/>
      <c r="G125" s="939"/>
      <c r="H125" s="939"/>
      <c r="I125" s="617">
        <v>6</v>
      </c>
      <c r="J125" s="619">
        <f>D125*I125</f>
        <v>6</v>
      </c>
    </row>
    <row r="126" spans="1:12" ht="15" customHeight="1">
      <c r="A126" s="480"/>
      <c r="B126" s="942" t="s">
        <v>1064</v>
      </c>
      <c r="C126" s="617"/>
      <c r="D126" s="489"/>
      <c r="E126" s="489"/>
      <c r="F126" s="489"/>
      <c r="G126" s="939">
        <v>0.3</v>
      </c>
      <c r="H126" s="939">
        <v>7.8</v>
      </c>
      <c r="I126" s="617">
        <f>H126*G126</f>
        <v>2.34</v>
      </c>
      <c r="J126" s="619">
        <f>I126</f>
        <v>2.34</v>
      </c>
    </row>
    <row r="127" spans="1:12" ht="15" customHeight="1">
      <c r="A127" s="480"/>
      <c r="B127" s="942" t="s">
        <v>800</v>
      </c>
      <c r="C127" s="617"/>
      <c r="D127" s="489">
        <v>5</v>
      </c>
      <c r="E127" s="489"/>
      <c r="F127" s="489"/>
      <c r="G127" s="939"/>
      <c r="H127" s="939"/>
      <c r="I127" s="617">
        <v>6</v>
      </c>
      <c r="J127" s="619">
        <f>I127*D127</f>
        <v>30</v>
      </c>
    </row>
    <row r="128" spans="1:12" ht="15" customHeight="1">
      <c r="A128" s="480"/>
      <c r="B128" s="942" t="s">
        <v>1001</v>
      </c>
      <c r="C128" s="612"/>
      <c r="D128" s="603"/>
      <c r="E128" s="603"/>
      <c r="F128" s="603"/>
      <c r="G128" s="489">
        <v>0.05</v>
      </c>
      <c r="H128" s="489">
        <v>625.97</v>
      </c>
      <c r="I128" s="528">
        <f>G128*H128</f>
        <v>31.298500000000004</v>
      </c>
      <c r="J128" s="619">
        <f>I128</f>
        <v>31.298500000000004</v>
      </c>
    </row>
    <row r="129" spans="1:18" ht="15" customHeight="1">
      <c r="A129" s="480"/>
      <c r="B129" s="1122" t="s">
        <v>922</v>
      </c>
      <c r="C129" s="603"/>
      <c r="D129" s="490">
        <v>4</v>
      </c>
      <c r="E129" s="603"/>
      <c r="F129" s="603"/>
      <c r="G129" s="489"/>
      <c r="H129" s="489"/>
      <c r="I129" s="614">
        <v>4.4999999999999998E-2</v>
      </c>
      <c r="J129" s="491">
        <f t="shared" ref="J129:J136" si="0">D129*I129</f>
        <v>0.18</v>
      </c>
    </row>
    <row r="130" spans="1:18" ht="15" customHeight="1">
      <c r="A130" s="480"/>
      <c r="B130" s="1122" t="s">
        <v>923</v>
      </c>
      <c r="C130" s="603"/>
      <c r="D130" s="490">
        <v>6</v>
      </c>
      <c r="E130" s="603"/>
      <c r="F130" s="603"/>
      <c r="G130" s="489"/>
      <c r="H130" s="489"/>
      <c r="I130" s="490">
        <v>4.4999999999999998E-2</v>
      </c>
      <c r="J130" s="491">
        <f t="shared" si="0"/>
        <v>0.27</v>
      </c>
    </row>
    <row r="131" spans="1:18" ht="15" customHeight="1">
      <c r="A131" s="480"/>
      <c r="B131" s="1122" t="s">
        <v>924</v>
      </c>
      <c r="C131" s="603"/>
      <c r="D131" s="490">
        <v>2</v>
      </c>
      <c r="E131" s="603"/>
      <c r="F131" s="603"/>
      <c r="G131" s="489"/>
      <c r="H131" s="489"/>
      <c r="I131" s="614">
        <v>0.38500000000000001</v>
      </c>
      <c r="J131" s="491">
        <f t="shared" si="0"/>
        <v>0.77</v>
      </c>
    </row>
    <row r="132" spans="1:18" ht="15" customHeight="1">
      <c r="A132" s="480"/>
      <c r="B132" s="1122" t="s">
        <v>925</v>
      </c>
      <c r="C132" s="603"/>
      <c r="D132" s="490">
        <v>2</v>
      </c>
      <c r="E132" s="603"/>
      <c r="F132" s="603"/>
      <c r="G132" s="489"/>
      <c r="H132" s="489"/>
      <c r="I132" s="614">
        <v>2.9729999999999999</v>
      </c>
      <c r="J132" s="491">
        <f t="shared" si="0"/>
        <v>5.9459999999999997</v>
      </c>
    </row>
    <row r="133" spans="1:18" ht="15" customHeight="1">
      <c r="A133" s="480"/>
      <c r="B133" s="1122" t="s">
        <v>926</v>
      </c>
      <c r="C133" s="603"/>
      <c r="D133" s="490">
        <v>1</v>
      </c>
      <c r="E133" s="603"/>
      <c r="F133" s="603"/>
      <c r="G133" s="489"/>
      <c r="H133" s="489"/>
      <c r="I133" s="490">
        <v>0.4</v>
      </c>
      <c r="J133" s="491">
        <f t="shared" si="0"/>
        <v>0.4</v>
      </c>
    </row>
    <row r="134" spans="1:18" ht="15" customHeight="1">
      <c r="A134" s="480"/>
      <c r="B134" s="1122" t="s">
        <v>927</v>
      </c>
      <c r="C134" s="603"/>
      <c r="D134" s="490">
        <v>2</v>
      </c>
      <c r="E134" s="603"/>
      <c r="F134" s="603"/>
      <c r="G134" s="489"/>
      <c r="H134" s="489"/>
      <c r="I134" s="490">
        <v>0.93600000000000017</v>
      </c>
      <c r="J134" s="491">
        <f t="shared" si="0"/>
        <v>1.8720000000000003</v>
      </c>
    </row>
    <row r="135" spans="1:18" ht="31.5" customHeight="1">
      <c r="A135" s="480"/>
      <c r="B135" s="1122" t="s">
        <v>928</v>
      </c>
      <c r="C135" s="603"/>
      <c r="D135" s="490">
        <v>1</v>
      </c>
      <c r="E135" s="603"/>
      <c r="F135" s="603"/>
      <c r="G135" s="489"/>
      <c r="H135" s="489"/>
      <c r="I135" s="614">
        <v>3.8280000000000016</v>
      </c>
      <c r="J135" s="645">
        <f t="shared" si="0"/>
        <v>3.8280000000000016</v>
      </c>
    </row>
    <row r="136" spans="1:18" ht="30">
      <c r="A136" s="480"/>
      <c r="B136" s="1122" t="s">
        <v>929</v>
      </c>
      <c r="C136" s="603"/>
      <c r="D136" s="490">
        <v>1</v>
      </c>
      <c r="E136" s="603"/>
      <c r="F136" s="603"/>
      <c r="G136" s="489"/>
      <c r="H136" s="489"/>
      <c r="I136" s="614">
        <v>4.8717500000000005</v>
      </c>
      <c r="J136" s="645">
        <f t="shared" si="0"/>
        <v>4.8717500000000005</v>
      </c>
    </row>
    <row r="137" spans="1:18" ht="30">
      <c r="A137" s="480"/>
      <c r="B137" s="1122" t="s">
        <v>1003</v>
      </c>
      <c r="C137" s="603"/>
      <c r="D137" s="490"/>
      <c r="E137" s="489">
        <v>65.81</v>
      </c>
      <c r="F137" s="489">
        <v>0.25</v>
      </c>
      <c r="G137" s="489">
        <f>0.5+0.25</f>
        <v>0.75</v>
      </c>
      <c r="H137" s="489"/>
      <c r="I137" s="614">
        <f>E137*F137*G137</f>
        <v>12.339375</v>
      </c>
      <c r="J137" s="491">
        <f>I137</f>
        <v>12.339375</v>
      </c>
    </row>
    <row r="138" spans="1:18">
      <c r="A138" s="480"/>
      <c r="B138" s="1122"/>
      <c r="C138" s="603"/>
      <c r="D138" s="490"/>
      <c r="E138" s="489"/>
      <c r="F138" s="489"/>
      <c r="G138" s="489"/>
      <c r="H138" s="489"/>
      <c r="I138" s="647" t="s">
        <v>1005</v>
      </c>
      <c r="J138" s="646">
        <f>SUM(J121:J137)</f>
        <v>116.40594500000002</v>
      </c>
    </row>
    <row r="139" spans="1:18">
      <c r="A139" s="480"/>
      <c r="B139" s="1122"/>
      <c r="C139" s="603"/>
      <c r="D139" s="490"/>
      <c r="E139" s="1306" t="s">
        <v>1004</v>
      </c>
      <c r="F139" s="1307"/>
      <c r="G139" s="1307"/>
      <c r="H139" s="1307"/>
      <c r="I139" s="1308"/>
      <c r="J139" s="943">
        <f>J138*1.3</f>
        <v>151.32772850000003</v>
      </c>
    </row>
    <row r="140" spans="1:18">
      <c r="A140" s="480"/>
      <c r="B140" s="1122"/>
      <c r="C140" s="490"/>
      <c r="D140" s="603"/>
      <c r="E140" s="603"/>
      <c r="F140" s="603"/>
      <c r="G140" s="489"/>
      <c r="H140" s="489"/>
      <c r="I140" s="614"/>
      <c r="J140" s="491"/>
    </row>
    <row r="141" spans="1:18">
      <c r="A141" s="509"/>
      <c r="B141" s="493"/>
      <c r="C141" s="510"/>
      <c r="D141" s="510"/>
      <c r="E141" s="510"/>
      <c r="F141" s="510"/>
      <c r="G141" s="510"/>
      <c r="H141" s="510"/>
      <c r="I141" s="511"/>
      <c r="J141" s="512"/>
      <c r="R141">
        <f>D128*0.05</f>
        <v>0</v>
      </c>
    </row>
    <row r="142" spans="1:18">
      <c r="A142" s="1100" t="s">
        <v>317</v>
      </c>
      <c r="B142" s="533" t="s">
        <v>320</v>
      </c>
      <c r="C142" s="533"/>
      <c r="D142" s="533"/>
      <c r="E142" s="533"/>
      <c r="F142" s="533"/>
      <c r="G142" s="533"/>
      <c r="H142" s="533"/>
      <c r="I142" s="533"/>
      <c r="J142" s="944"/>
    </row>
    <row r="143" spans="1:18" ht="60">
      <c r="A143" s="513" t="s">
        <v>795</v>
      </c>
      <c r="B143" s="554" t="s">
        <v>378</v>
      </c>
      <c r="C143" s="485" t="s">
        <v>103</v>
      </c>
      <c r="D143" s="529" t="s">
        <v>790</v>
      </c>
      <c r="E143" s="529" t="s">
        <v>787</v>
      </c>
      <c r="F143" s="529" t="s">
        <v>788</v>
      </c>
      <c r="G143" s="529" t="s">
        <v>789</v>
      </c>
      <c r="H143" s="529" t="s">
        <v>370</v>
      </c>
      <c r="I143" s="529" t="s">
        <v>821</v>
      </c>
      <c r="J143" s="502">
        <f>J144</f>
        <v>3.54</v>
      </c>
    </row>
    <row r="144" spans="1:18">
      <c r="A144" s="480"/>
      <c r="B144" s="1122" t="s">
        <v>855</v>
      </c>
      <c r="C144" s="490"/>
      <c r="D144" s="489"/>
      <c r="E144" s="489"/>
      <c r="F144" s="489"/>
      <c r="G144" s="489">
        <v>0.04</v>
      </c>
      <c r="H144" s="489">
        <v>88.5</v>
      </c>
      <c r="I144" s="490">
        <f>H144*G144</f>
        <v>3.54</v>
      </c>
      <c r="J144" s="491">
        <f>I144</f>
        <v>3.54</v>
      </c>
    </row>
    <row r="145" spans="1:12">
      <c r="A145" s="480"/>
      <c r="B145" s="945"/>
      <c r="C145" s="490"/>
      <c r="D145" s="489"/>
      <c r="E145" s="489"/>
      <c r="F145" s="489"/>
      <c r="G145" s="489"/>
      <c r="H145" s="489"/>
      <c r="I145" s="490"/>
      <c r="J145" s="491"/>
    </row>
    <row r="146" spans="1:12">
      <c r="A146" s="513" t="s">
        <v>797</v>
      </c>
      <c r="B146" s="554" t="s">
        <v>167</v>
      </c>
      <c r="C146" s="485" t="s">
        <v>57</v>
      </c>
      <c r="D146" s="529" t="s">
        <v>790</v>
      </c>
      <c r="E146" s="529" t="s">
        <v>787</v>
      </c>
      <c r="F146" s="529" t="s">
        <v>788</v>
      </c>
      <c r="G146" s="529" t="s">
        <v>789</v>
      </c>
      <c r="H146" s="529" t="s">
        <v>370</v>
      </c>
      <c r="I146" s="529" t="s">
        <v>821</v>
      </c>
      <c r="J146" s="502">
        <f>J147</f>
        <v>88.5</v>
      </c>
    </row>
    <row r="147" spans="1:12">
      <c r="A147" s="480"/>
      <c r="B147" s="1122" t="s">
        <v>855</v>
      </c>
      <c r="C147" s="490"/>
      <c r="D147" s="1124"/>
      <c r="E147" s="939"/>
      <c r="F147" s="489"/>
      <c r="G147" s="489"/>
      <c r="H147" s="489">
        <v>88.5</v>
      </c>
      <c r="I147" s="490"/>
      <c r="J147" s="491">
        <f>H147</f>
        <v>88.5</v>
      </c>
    </row>
    <row r="148" spans="1:12">
      <c r="A148" s="480"/>
      <c r="B148" s="945"/>
      <c r="C148" s="490"/>
      <c r="D148" s="1124"/>
      <c r="E148" s="939"/>
      <c r="F148" s="489"/>
      <c r="G148" s="489"/>
      <c r="H148" s="489"/>
      <c r="I148" s="490"/>
      <c r="J148" s="491"/>
    </row>
    <row r="149" spans="1:12">
      <c r="A149" s="509"/>
      <c r="B149" s="493"/>
      <c r="C149" s="510"/>
      <c r="D149" s="510"/>
      <c r="E149" s="510"/>
      <c r="F149" s="510"/>
      <c r="G149" s="510"/>
      <c r="H149" s="510"/>
      <c r="I149" s="511"/>
      <c r="J149" s="512"/>
      <c r="L149" s="87"/>
    </row>
    <row r="150" spans="1:12">
      <c r="A150" s="535" t="s">
        <v>324</v>
      </c>
      <c r="B150" s="533" t="s">
        <v>827</v>
      </c>
      <c r="C150" s="498"/>
      <c r="D150" s="498"/>
      <c r="E150" s="498"/>
      <c r="F150" s="498"/>
      <c r="G150" s="498"/>
      <c r="H150" s="498"/>
      <c r="I150" s="498"/>
      <c r="J150" s="499"/>
      <c r="L150" s="87"/>
    </row>
    <row r="151" spans="1:12">
      <c r="A151" s="483" t="s">
        <v>325</v>
      </c>
      <c r="B151" s="1300" t="s">
        <v>17</v>
      </c>
      <c r="C151" s="1301"/>
      <c r="D151" s="1301"/>
      <c r="E151" s="1301"/>
      <c r="F151" s="1301"/>
      <c r="G151" s="1301"/>
      <c r="H151" s="1301"/>
      <c r="I151" s="1301"/>
      <c r="J151" s="1302"/>
      <c r="L151" s="523"/>
    </row>
    <row r="152" spans="1:12">
      <c r="A152" s="655" t="s">
        <v>326</v>
      </c>
      <c r="B152" s="484" t="s">
        <v>18</v>
      </c>
      <c r="C152" s="485" t="s">
        <v>147</v>
      </c>
      <c r="D152" s="529" t="s">
        <v>790</v>
      </c>
      <c r="E152" s="529" t="s">
        <v>787</v>
      </c>
      <c r="F152" s="529" t="s">
        <v>788</v>
      </c>
      <c r="G152" s="529" t="s">
        <v>789</v>
      </c>
      <c r="H152" s="529" t="s">
        <v>370</v>
      </c>
      <c r="I152" s="529" t="s">
        <v>821</v>
      </c>
      <c r="J152" s="502">
        <f>SUM(J153:J153)</f>
        <v>1</v>
      </c>
      <c r="L152" s="523"/>
    </row>
    <row r="153" spans="1:12">
      <c r="A153" s="503"/>
      <c r="B153" s="1116" t="s">
        <v>823</v>
      </c>
      <c r="C153" s="505"/>
      <c r="D153" s="506">
        <v>1</v>
      </c>
      <c r="E153" s="506"/>
      <c r="F153" s="506"/>
      <c r="G153" s="506"/>
      <c r="H153" s="506"/>
      <c r="I153" s="506"/>
      <c r="J153" s="507">
        <v>1</v>
      </c>
    </row>
    <row r="154" spans="1:12">
      <c r="A154" s="480"/>
      <c r="B154" s="1117"/>
      <c r="C154" s="488"/>
      <c r="D154" s="489"/>
      <c r="E154" s="489"/>
      <c r="F154" s="489"/>
      <c r="G154" s="489"/>
      <c r="H154" s="489"/>
      <c r="I154" s="490"/>
      <c r="J154" s="491"/>
    </row>
    <row r="155" spans="1:12" ht="30">
      <c r="A155" s="500" t="s">
        <v>327</v>
      </c>
      <c r="B155" s="613" t="s">
        <v>319</v>
      </c>
      <c r="C155" s="485" t="s">
        <v>147</v>
      </c>
      <c r="D155" s="529" t="s">
        <v>790</v>
      </c>
      <c r="E155" s="529" t="s">
        <v>787</v>
      </c>
      <c r="F155" s="529" t="s">
        <v>788</v>
      </c>
      <c r="G155" s="529" t="s">
        <v>789</v>
      </c>
      <c r="H155" s="529" t="s">
        <v>370</v>
      </c>
      <c r="I155" s="529" t="s">
        <v>821</v>
      </c>
      <c r="J155" s="502">
        <f>SUM(J156:J156)</f>
        <v>1</v>
      </c>
    </row>
    <row r="156" spans="1:12">
      <c r="A156" s="480"/>
      <c r="B156" s="1116" t="s">
        <v>823</v>
      </c>
      <c r="C156" s="488"/>
      <c r="D156" s="489">
        <v>1</v>
      </c>
      <c r="E156" s="489"/>
      <c r="F156" s="489"/>
      <c r="G156" s="489"/>
      <c r="H156" s="489"/>
      <c r="I156" s="490"/>
      <c r="J156" s="491">
        <v>1</v>
      </c>
    </row>
    <row r="157" spans="1:12">
      <c r="A157" s="480"/>
      <c r="B157" s="1117"/>
      <c r="C157" s="488"/>
      <c r="D157" s="489"/>
      <c r="E157" s="489"/>
      <c r="F157" s="489"/>
      <c r="G157" s="489"/>
      <c r="H157" s="489"/>
      <c r="I157" s="490"/>
      <c r="J157" s="491"/>
    </row>
    <row r="158" spans="1:12">
      <c r="A158" s="509"/>
      <c r="B158" s="493"/>
      <c r="C158" s="510"/>
      <c r="D158" s="510"/>
      <c r="E158" s="510"/>
      <c r="F158" s="510"/>
      <c r="G158" s="510"/>
      <c r="H158" s="510"/>
      <c r="I158" s="511"/>
      <c r="J158" s="512"/>
    </row>
    <row r="159" spans="1:12">
      <c r="A159" s="535" t="s">
        <v>328</v>
      </c>
      <c r="B159" s="1303" t="s">
        <v>20</v>
      </c>
      <c r="C159" s="1304"/>
      <c r="D159" s="1304"/>
      <c r="E159" s="1304"/>
      <c r="F159" s="1304"/>
      <c r="G159" s="1304"/>
      <c r="H159" s="1304"/>
      <c r="I159" s="1304"/>
      <c r="J159" s="1305"/>
    </row>
    <row r="160" spans="1:12" ht="62.25" customHeight="1">
      <c r="A160" s="513" t="s">
        <v>333</v>
      </c>
      <c r="B160" s="643" t="s">
        <v>978</v>
      </c>
      <c r="C160" s="485" t="s">
        <v>105</v>
      </c>
      <c r="D160" s="529" t="s">
        <v>790</v>
      </c>
      <c r="E160" s="529" t="s">
        <v>787</v>
      </c>
      <c r="F160" s="529" t="s">
        <v>788</v>
      </c>
      <c r="G160" s="529" t="s">
        <v>789</v>
      </c>
      <c r="H160" s="529" t="s">
        <v>370</v>
      </c>
      <c r="I160" s="529" t="s">
        <v>821</v>
      </c>
      <c r="J160" s="502">
        <f>J161</f>
        <v>65.81</v>
      </c>
    </row>
    <row r="161" spans="1:10">
      <c r="A161" s="503"/>
      <c r="B161" s="1116" t="s">
        <v>976</v>
      </c>
      <c r="C161" s="505"/>
      <c r="D161" s="506"/>
      <c r="E161" s="506">
        <f>J164</f>
        <v>65.81</v>
      </c>
      <c r="F161" s="506"/>
      <c r="G161" s="506"/>
      <c r="H161" s="506"/>
      <c r="I161" s="506"/>
      <c r="J161" s="507">
        <f>J164</f>
        <v>65.81</v>
      </c>
    </row>
    <row r="162" spans="1:10">
      <c r="A162" s="480"/>
      <c r="B162" s="946"/>
      <c r="C162" s="520"/>
      <c r="D162" s="520"/>
      <c r="E162" s="520"/>
      <c r="F162" s="520"/>
      <c r="G162" s="520"/>
      <c r="H162" s="520"/>
      <c r="I162" s="520"/>
      <c r="J162" s="521"/>
    </row>
    <row r="163" spans="1:10">
      <c r="A163" s="509"/>
      <c r="B163" s="493"/>
      <c r="C163" s="510"/>
      <c r="D163" s="510"/>
      <c r="E163" s="510"/>
      <c r="F163" s="510"/>
      <c r="G163" s="510"/>
      <c r="H163" s="510"/>
      <c r="I163" s="511"/>
      <c r="J163" s="512"/>
    </row>
    <row r="164" spans="1:10" ht="30">
      <c r="A164" s="513" t="s">
        <v>902</v>
      </c>
      <c r="B164" s="643" t="s">
        <v>988</v>
      </c>
      <c r="C164" s="485" t="s">
        <v>105</v>
      </c>
      <c r="D164" s="529" t="s">
        <v>790</v>
      </c>
      <c r="E164" s="529" t="s">
        <v>787</v>
      </c>
      <c r="F164" s="529" t="s">
        <v>788</v>
      </c>
      <c r="G164" s="529" t="s">
        <v>789</v>
      </c>
      <c r="H164" s="529" t="s">
        <v>370</v>
      </c>
      <c r="I164" s="529" t="s">
        <v>821</v>
      </c>
      <c r="J164" s="502">
        <f>SUM(J166:J171)</f>
        <v>65.81</v>
      </c>
    </row>
    <row r="165" spans="1:10">
      <c r="A165" s="503"/>
      <c r="B165" s="1116" t="s">
        <v>986</v>
      </c>
      <c r="C165" s="505"/>
      <c r="D165" s="506"/>
      <c r="E165" s="506"/>
      <c r="F165" s="506"/>
      <c r="G165" s="506"/>
      <c r="H165" s="506"/>
      <c r="I165" s="506"/>
      <c r="J165" s="507"/>
    </row>
    <row r="166" spans="1:10">
      <c r="A166" s="480"/>
      <c r="B166" s="946" t="s">
        <v>979</v>
      </c>
      <c r="C166" s="520"/>
      <c r="D166" s="520"/>
      <c r="E166" s="520">
        <f>10+2.03</f>
        <v>12.03</v>
      </c>
      <c r="F166" s="520"/>
      <c r="G166" s="520"/>
      <c r="H166" s="520"/>
      <c r="I166" s="520"/>
      <c r="J166" s="521">
        <f t="shared" ref="J166:J170" si="1">E166</f>
        <v>12.03</v>
      </c>
    </row>
    <row r="167" spans="1:10">
      <c r="A167" s="480"/>
      <c r="B167" s="947" t="s">
        <v>980</v>
      </c>
      <c r="C167" s="520"/>
      <c r="D167" s="520"/>
      <c r="E167" s="520">
        <f>16.87+1.7+3+6.11</f>
        <v>27.68</v>
      </c>
      <c r="F167" s="520"/>
      <c r="G167" s="520"/>
      <c r="H167" s="520"/>
      <c r="I167" s="520"/>
      <c r="J167" s="521">
        <f t="shared" si="1"/>
        <v>27.68</v>
      </c>
    </row>
    <row r="168" spans="1:10">
      <c r="A168" s="480"/>
      <c r="B168" s="947" t="s">
        <v>981</v>
      </c>
      <c r="C168" s="520"/>
      <c r="D168" s="520"/>
      <c r="E168" s="520">
        <v>5.13</v>
      </c>
      <c r="F168" s="520"/>
      <c r="G168" s="520"/>
      <c r="H168" s="520"/>
      <c r="I168" s="520"/>
      <c r="J168" s="521">
        <f t="shared" si="1"/>
        <v>5.13</v>
      </c>
    </row>
    <row r="169" spans="1:10">
      <c r="A169" s="480"/>
      <c r="B169" s="947" t="s">
        <v>982</v>
      </c>
      <c r="C169" s="520"/>
      <c r="D169" s="520"/>
      <c r="E169" s="520">
        <v>5.37</v>
      </c>
      <c r="F169" s="520"/>
      <c r="G169" s="520"/>
      <c r="H169" s="520"/>
      <c r="I169" s="520"/>
      <c r="J169" s="521">
        <f t="shared" si="1"/>
        <v>5.37</v>
      </c>
    </row>
    <row r="170" spans="1:10">
      <c r="A170" s="480"/>
      <c r="B170" s="946" t="s">
        <v>983</v>
      </c>
      <c r="C170" s="520"/>
      <c r="D170" s="520"/>
      <c r="E170" s="520">
        <v>8.6999999999999993</v>
      </c>
      <c r="F170" s="520"/>
      <c r="G170" s="520"/>
      <c r="H170" s="520"/>
      <c r="I170" s="520"/>
      <c r="J170" s="521">
        <f t="shared" si="1"/>
        <v>8.6999999999999993</v>
      </c>
    </row>
    <row r="171" spans="1:10">
      <c r="A171" s="480"/>
      <c r="B171" s="946" t="s">
        <v>984</v>
      </c>
      <c r="C171" s="520"/>
      <c r="D171" s="520"/>
      <c r="E171" s="520">
        <v>6.9</v>
      </c>
      <c r="F171" s="520"/>
      <c r="G171" s="520"/>
      <c r="H171" s="520"/>
      <c r="I171" s="520"/>
      <c r="J171" s="521">
        <f>E171</f>
        <v>6.9</v>
      </c>
    </row>
    <row r="172" spans="1:10">
      <c r="A172" s="480"/>
      <c r="B172" s="946"/>
      <c r="C172" s="520"/>
      <c r="D172" s="520"/>
      <c r="E172" s="520"/>
      <c r="F172" s="520"/>
      <c r="G172" s="520"/>
      <c r="H172" s="520"/>
      <c r="I172" s="520"/>
      <c r="J172" s="521"/>
    </row>
    <row r="173" spans="1:10">
      <c r="A173" s="509"/>
      <c r="B173" s="493"/>
      <c r="C173" s="510"/>
      <c r="D173" s="510"/>
      <c r="E173" s="510"/>
      <c r="F173" s="510"/>
      <c r="G173" s="510"/>
      <c r="H173" s="510"/>
      <c r="I173" s="511"/>
      <c r="J173" s="512"/>
    </row>
    <row r="174" spans="1:10" ht="45">
      <c r="A174" s="513" t="s">
        <v>801</v>
      </c>
      <c r="B174" s="643" t="s">
        <v>993</v>
      </c>
      <c r="C174" s="485" t="s">
        <v>105</v>
      </c>
      <c r="D174" s="529" t="s">
        <v>790</v>
      </c>
      <c r="E174" s="529" t="s">
        <v>787</v>
      </c>
      <c r="F174" s="529" t="s">
        <v>788</v>
      </c>
      <c r="G174" s="529" t="s">
        <v>789</v>
      </c>
      <c r="H174" s="529" t="s">
        <v>370</v>
      </c>
      <c r="I174" s="529" t="s">
        <v>821</v>
      </c>
      <c r="J174" s="502">
        <f>SUM(J175:J176)</f>
        <v>12.4</v>
      </c>
    </row>
    <row r="175" spans="1:10" ht="30">
      <c r="A175" s="480"/>
      <c r="B175" s="948" t="s">
        <v>998</v>
      </c>
      <c r="C175" s="520"/>
      <c r="D175" s="520">
        <v>1</v>
      </c>
      <c r="E175" s="520"/>
      <c r="F175" s="520"/>
      <c r="G175" s="520">
        <f>7</f>
        <v>7</v>
      </c>
      <c r="H175" s="520"/>
      <c r="I175" s="520"/>
      <c r="J175" s="521">
        <f>D175*G175</f>
        <v>7</v>
      </c>
    </row>
    <row r="176" spans="1:10" ht="30">
      <c r="A176" s="480"/>
      <c r="B176" s="948" t="s">
        <v>996</v>
      </c>
      <c r="C176" s="520"/>
      <c r="D176" s="520">
        <v>2</v>
      </c>
      <c r="E176" s="520"/>
      <c r="F176" s="520"/>
      <c r="G176" s="520">
        <v>2.7</v>
      </c>
      <c r="H176" s="520"/>
      <c r="I176" s="520"/>
      <c r="J176" s="521">
        <f>D176*G176</f>
        <v>5.4</v>
      </c>
    </row>
    <row r="177" spans="1:10">
      <c r="A177" s="509"/>
      <c r="B177" s="493"/>
      <c r="C177" s="510"/>
      <c r="D177" s="510"/>
      <c r="E177" s="510"/>
      <c r="F177" s="510"/>
      <c r="G177" s="510"/>
      <c r="H177" s="510"/>
      <c r="I177" s="511"/>
      <c r="J177" s="512"/>
    </row>
    <row r="178" spans="1:10" ht="60">
      <c r="A178" s="500" t="s">
        <v>987</v>
      </c>
      <c r="B178" s="484" t="s">
        <v>329</v>
      </c>
      <c r="C178" s="485" t="s">
        <v>104</v>
      </c>
      <c r="D178" s="529" t="s">
        <v>790</v>
      </c>
      <c r="E178" s="529" t="s">
        <v>787</v>
      </c>
      <c r="F178" s="529" t="s">
        <v>788</v>
      </c>
      <c r="G178" s="529" t="s">
        <v>789</v>
      </c>
      <c r="H178" s="529" t="s">
        <v>370</v>
      </c>
      <c r="I178" s="529" t="s">
        <v>821</v>
      </c>
      <c r="J178" s="502">
        <f>J179</f>
        <v>9</v>
      </c>
    </row>
    <row r="179" spans="1:10">
      <c r="A179" s="480"/>
      <c r="B179" s="949" t="s">
        <v>975</v>
      </c>
      <c r="C179" s="488"/>
      <c r="D179" s="489">
        <v>9</v>
      </c>
      <c r="E179" s="489"/>
      <c r="F179" s="489"/>
      <c r="G179" s="489"/>
      <c r="H179" s="489"/>
      <c r="I179" s="490"/>
      <c r="J179" s="491">
        <f>D179</f>
        <v>9</v>
      </c>
    </row>
    <row r="180" spans="1:10">
      <c r="A180" s="480"/>
      <c r="B180" s="1118"/>
      <c r="C180" s="488"/>
      <c r="D180" s="489"/>
      <c r="E180" s="489"/>
      <c r="F180" s="489"/>
      <c r="G180" s="489"/>
      <c r="H180" s="489"/>
      <c r="I180" s="490"/>
      <c r="J180" s="491"/>
    </row>
    <row r="181" spans="1:10">
      <c r="A181" s="509"/>
      <c r="B181" s="493"/>
      <c r="C181" s="510"/>
      <c r="D181" s="510"/>
      <c r="E181" s="510"/>
      <c r="F181" s="510"/>
      <c r="G181" s="510"/>
      <c r="H181" s="510"/>
      <c r="I181" s="511"/>
      <c r="J181" s="512"/>
    </row>
    <row r="182" spans="1:10" ht="105">
      <c r="A182" s="500" t="s">
        <v>903</v>
      </c>
      <c r="B182" s="484" t="s">
        <v>1218</v>
      </c>
      <c r="C182" s="485" t="s">
        <v>104</v>
      </c>
      <c r="D182" s="529" t="s">
        <v>790</v>
      </c>
      <c r="E182" s="529" t="s">
        <v>787</v>
      </c>
      <c r="F182" s="529" t="s">
        <v>788</v>
      </c>
      <c r="G182" s="529" t="s">
        <v>789</v>
      </c>
      <c r="H182" s="529" t="s">
        <v>370</v>
      </c>
      <c r="I182" s="529" t="s">
        <v>821</v>
      </c>
      <c r="J182" s="502">
        <f>J183</f>
        <v>6</v>
      </c>
    </row>
    <row r="183" spans="1:10">
      <c r="A183" s="503"/>
      <c r="B183" s="1116" t="s">
        <v>826</v>
      </c>
      <c r="C183" s="505"/>
      <c r="D183" s="506">
        <v>6</v>
      </c>
      <c r="E183" s="506"/>
      <c r="F183" s="506"/>
      <c r="G183" s="506"/>
      <c r="H183" s="506"/>
      <c r="I183" s="506"/>
      <c r="J183" s="507">
        <f>D183</f>
        <v>6</v>
      </c>
    </row>
    <row r="184" spans="1:10">
      <c r="A184" s="480"/>
      <c r="B184" s="946"/>
      <c r="C184" s="640"/>
      <c r="D184" s="639"/>
      <c r="E184" s="639"/>
      <c r="F184" s="639"/>
      <c r="G184" s="639"/>
      <c r="H184" s="639"/>
      <c r="I184" s="639"/>
      <c r="J184" s="641"/>
    </row>
    <row r="185" spans="1:10">
      <c r="A185" s="509"/>
      <c r="B185" s="493"/>
      <c r="C185" s="510"/>
      <c r="D185" s="510"/>
      <c r="E185" s="510"/>
      <c r="F185" s="510"/>
      <c r="G185" s="510"/>
      <c r="H185" s="510"/>
      <c r="I185" s="511"/>
      <c r="J185" s="512"/>
    </row>
    <row r="186" spans="1:10" ht="45">
      <c r="A186" s="500" t="s">
        <v>904</v>
      </c>
      <c r="B186" s="643" t="s">
        <v>995</v>
      </c>
      <c r="C186" s="485" t="s">
        <v>105</v>
      </c>
      <c r="D186" s="529" t="s">
        <v>790</v>
      </c>
      <c r="E186" s="529" t="s">
        <v>787</v>
      </c>
      <c r="F186" s="529" t="s">
        <v>788</v>
      </c>
      <c r="G186" s="529" t="s">
        <v>789</v>
      </c>
      <c r="H186" s="529" t="s">
        <v>370</v>
      </c>
      <c r="I186" s="529" t="s">
        <v>821</v>
      </c>
      <c r="J186" s="502">
        <f>J187</f>
        <v>11.5</v>
      </c>
    </row>
    <row r="187" spans="1:10" ht="30">
      <c r="A187" s="480"/>
      <c r="B187" s="950" t="s">
        <v>991</v>
      </c>
      <c r="C187" s="488"/>
      <c r="D187" s="489"/>
      <c r="E187" s="489">
        <f>7+1.8+2.7</f>
        <v>11.5</v>
      </c>
      <c r="F187" s="489"/>
      <c r="G187" s="489"/>
      <c r="H187" s="489"/>
      <c r="I187" s="490"/>
      <c r="J187" s="491">
        <f>E187</f>
        <v>11.5</v>
      </c>
    </row>
    <row r="188" spans="1:10" ht="30">
      <c r="A188" s="480"/>
      <c r="B188" s="951" t="s">
        <v>990</v>
      </c>
      <c r="C188" s="488"/>
      <c r="D188" s="489"/>
      <c r="E188" s="489"/>
      <c r="F188" s="489"/>
      <c r="G188" s="489"/>
      <c r="H188" s="489"/>
      <c r="I188" s="490"/>
      <c r="J188" s="491"/>
    </row>
    <row r="189" spans="1:10">
      <c r="A189" s="480"/>
      <c r="B189" s="949"/>
      <c r="C189" s="488"/>
      <c r="D189" s="489"/>
      <c r="E189" s="489"/>
      <c r="F189" s="489"/>
      <c r="G189" s="489"/>
      <c r="H189" s="489"/>
      <c r="I189" s="490"/>
      <c r="J189" s="491"/>
    </row>
    <row r="190" spans="1:10">
      <c r="A190" s="509"/>
      <c r="B190" s="493"/>
      <c r="C190" s="510"/>
      <c r="D190" s="510"/>
      <c r="E190" s="510"/>
      <c r="F190" s="510"/>
      <c r="G190" s="510"/>
      <c r="H190" s="510"/>
      <c r="I190" s="511"/>
      <c r="J190" s="512"/>
    </row>
    <row r="191" spans="1:10" ht="45">
      <c r="A191" s="500" t="s">
        <v>905</v>
      </c>
      <c r="B191" s="484" t="s">
        <v>992</v>
      </c>
      <c r="C191" s="485" t="s">
        <v>105</v>
      </c>
      <c r="D191" s="529" t="s">
        <v>790</v>
      </c>
      <c r="E191" s="529" t="s">
        <v>787</v>
      </c>
      <c r="F191" s="529" t="s">
        <v>971</v>
      </c>
      <c r="G191" s="529" t="s">
        <v>789</v>
      </c>
      <c r="H191" s="529" t="s">
        <v>370</v>
      </c>
      <c r="I191" s="529" t="s">
        <v>821</v>
      </c>
      <c r="J191" s="502">
        <f>SUM(J192:J199)</f>
        <v>235.53</v>
      </c>
    </row>
    <row r="192" spans="1:10">
      <c r="A192" s="642"/>
      <c r="B192" s="946" t="s">
        <v>979</v>
      </c>
      <c r="C192" s="520"/>
      <c r="D192" s="520"/>
      <c r="E192" s="520">
        <f>10+2.03</f>
        <v>12.03</v>
      </c>
      <c r="F192" s="520">
        <v>3</v>
      </c>
      <c r="G192" s="520"/>
      <c r="H192" s="520"/>
      <c r="I192" s="520"/>
      <c r="J192" s="521">
        <f>E192*F192</f>
        <v>36.089999999999996</v>
      </c>
    </row>
    <row r="193" spans="1:10">
      <c r="A193" s="480"/>
      <c r="B193" s="947" t="s">
        <v>980</v>
      </c>
      <c r="C193" s="520"/>
      <c r="D193" s="520"/>
      <c r="E193" s="520">
        <f>16.87+1.7+3+6.11</f>
        <v>27.68</v>
      </c>
      <c r="F193" s="520">
        <v>3</v>
      </c>
      <c r="G193" s="520"/>
      <c r="H193" s="520"/>
      <c r="I193" s="520"/>
      <c r="J193" s="521">
        <f t="shared" ref="J193:J197" si="2">E193*F193</f>
        <v>83.039999999999992</v>
      </c>
    </row>
    <row r="194" spans="1:10">
      <c r="A194" s="480"/>
      <c r="B194" s="947" t="s">
        <v>981</v>
      </c>
      <c r="C194" s="520"/>
      <c r="D194" s="520"/>
      <c r="E194" s="520">
        <v>5.13</v>
      </c>
      <c r="F194" s="520">
        <v>3</v>
      </c>
      <c r="G194" s="520"/>
      <c r="H194" s="520"/>
      <c r="I194" s="520"/>
      <c r="J194" s="521">
        <f t="shared" si="2"/>
        <v>15.39</v>
      </c>
    </row>
    <row r="195" spans="1:10">
      <c r="A195" s="480"/>
      <c r="B195" s="947" t="s">
        <v>982</v>
      </c>
      <c r="C195" s="520"/>
      <c r="D195" s="520"/>
      <c r="E195" s="520">
        <v>5.37</v>
      </c>
      <c r="F195" s="520">
        <v>3</v>
      </c>
      <c r="G195" s="520"/>
      <c r="H195" s="520"/>
      <c r="I195" s="520"/>
      <c r="J195" s="521">
        <f t="shared" si="2"/>
        <v>16.11</v>
      </c>
    </row>
    <row r="196" spans="1:10">
      <c r="A196" s="480"/>
      <c r="B196" s="946" t="s">
        <v>983</v>
      </c>
      <c r="C196" s="520"/>
      <c r="D196" s="520"/>
      <c r="E196" s="520">
        <v>8.6999999999999993</v>
      </c>
      <c r="F196" s="520">
        <v>3</v>
      </c>
      <c r="G196" s="520"/>
      <c r="H196" s="520"/>
      <c r="I196" s="520"/>
      <c r="J196" s="521">
        <f t="shared" si="2"/>
        <v>26.099999999999998</v>
      </c>
    </row>
    <row r="197" spans="1:10">
      <c r="A197" s="480"/>
      <c r="B197" s="946" t="s">
        <v>984</v>
      </c>
      <c r="C197" s="520"/>
      <c r="D197" s="520"/>
      <c r="E197" s="520">
        <v>6.9</v>
      </c>
      <c r="F197" s="520">
        <v>3</v>
      </c>
      <c r="G197" s="520"/>
      <c r="H197" s="520"/>
      <c r="I197" s="520"/>
      <c r="J197" s="521">
        <f t="shared" si="2"/>
        <v>20.700000000000003</v>
      </c>
    </row>
    <row r="198" spans="1:10">
      <c r="A198" s="480"/>
      <c r="B198" s="952" t="s">
        <v>985</v>
      </c>
      <c r="C198" s="520"/>
      <c r="D198" s="520">
        <v>9</v>
      </c>
      <c r="E198" s="520">
        <v>1</v>
      </c>
      <c r="F198" s="520">
        <v>3</v>
      </c>
      <c r="G198" s="520"/>
      <c r="H198" s="520"/>
      <c r="I198" s="520"/>
      <c r="J198" s="521">
        <f>D198*E198*F198</f>
        <v>27</v>
      </c>
    </row>
    <row r="199" spans="1:10" ht="30">
      <c r="A199" s="480"/>
      <c r="B199" s="953" t="s">
        <v>989</v>
      </c>
      <c r="C199" s="520"/>
      <c r="D199" s="520"/>
      <c r="E199" s="520">
        <f>2.7+1</f>
        <v>3.7</v>
      </c>
      <c r="F199" s="520">
        <v>3</v>
      </c>
      <c r="G199" s="520"/>
      <c r="H199" s="520"/>
      <c r="I199" s="520"/>
      <c r="J199" s="521">
        <f>E199*F199</f>
        <v>11.100000000000001</v>
      </c>
    </row>
    <row r="200" spans="1:10">
      <c r="A200" s="480"/>
      <c r="B200" s="946"/>
      <c r="C200" s="520"/>
      <c r="D200" s="520"/>
      <c r="E200" s="520"/>
      <c r="F200" s="520"/>
      <c r="G200" s="520"/>
      <c r="H200" s="520"/>
      <c r="I200" s="520"/>
      <c r="J200" s="521"/>
    </row>
    <row r="201" spans="1:10">
      <c r="A201" s="509"/>
      <c r="B201" s="493"/>
      <c r="C201" s="510"/>
      <c r="D201" s="510"/>
      <c r="E201" s="510"/>
      <c r="F201" s="510"/>
      <c r="G201" s="510"/>
      <c r="H201" s="510"/>
      <c r="I201" s="511"/>
      <c r="J201" s="512"/>
    </row>
    <row r="202" spans="1:10" ht="45">
      <c r="A202" s="500" t="s">
        <v>906</v>
      </c>
      <c r="B202" s="554" t="s">
        <v>930</v>
      </c>
      <c r="C202" s="485" t="s">
        <v>105</v>
      </c>
      <c r="D202" s="529" t="s">
        <v>790</v>
      </c>
      <c r="E202" s="529" t="s">
        <v>787</v>
      </c>
      <c r="F202" s="529" t="s">
        <v>971</v>
      </c>
      <c r="G202" s="529" t="s">
        <v>789</v>
      </c>
      <c r="H202" s="529" t="s">
        <v>370</v>
      </c>
      <c r="I202" s="529" t="s">
        <v>821</v>
      </c>
      <c r="J202" s="607">
        <f>J203</f>
        <v>82.8</v>
      </c>
    </row>
    <row r="203" spans="1:10" ht="30">
      <c r="A203" s="503"/>
      <c r="B203" s="1122" t="s">
        <v>969</v>
      </c>
      <c r="C203" s="505"/>
      <c r="D203" s="506">
        <v>6</v>
      </c>
      <c r="E203" s="506">
        <f>3+1+0.6</f>
        <v>4.5999999999999996</v>
      </c>
      <c r="F203" s="506">
        <v>3</v>
      </c>
      <c r="G203" s="506"/>
      <c r="H203" s="506"/>
      <c r="I203" s="506"/>
      <c r="J203" s="507">
        <f>D203*E203*F203</f>
        <v>82.8</v>
      </c>
    </row>
    <row r="204" spans="1:10" ht="30">
      <c r="A204" s="480"/>
      <c r="B204" s="951" t="s">
        <v>970</v>
      </c>
      <c r="C204" s="488"/>
      <c r="D204" s="489"/>
      <c r="E204" s="489"/>
      <c r="F204" s="489"/>
      <c r="G204" s="489"/>
      <c r="H204" s="489"/>
      <c r="I204" s="490"/>
      <c r="J204" s="491"/>
    </row>
    <row r="205" spans="1:10">
      <c r="A205" s="480"/>
      <c r="B205" s="954"/>
      <c r="C205" s="935"/>
      <c r="D205" s="936"/>
      <c r="E205" s="936"/>
      <c r="F205" s="936"/>
      <c r="G205" s="936"/>
      <c r="H205" s="936"/>
      <c r="I205" s="937"/>
      <c r="J205" s="955"/>
    </row>
    <row r="206" spans="1:10">
      <c r="A206" s="509"/>
      <c r="B206" s="493"/>
      <c r="C206" s="510"/>
      <c r="D206" s="510"/>
      <c r="E206" s="510"/>
      <c r="F206" s="510"/>
      <c r="G206" s="510"/>
      <c r="H206" s="510"/>
      <c r="I206" s="511"/>
      <c r="J206" s="512"/>
    </row>
    <row r="207" spans="1:10" ht="48.75" customHeight="1">
      <c r="A207" s="500" t="s">
        <v>907</v>
      </c>
      <c r="B207" s="644" t="s">
        <v>968</v>
      </c>
      <c r="C207" s="485" t="s">
        <v>104</v>
      </c>
      <c r="D207" s="529" t="s">
        <v>790</v>
      </c>
      <c r="E207" s="529" t="s">
        <v>787</v>
      </c>
      <c r="F207" s="529" t="s">
        <v>788</v>
      </c>
      <c r="G207" s="529" t="s">
        <v>789</v>
      </c>
      <c r="H207" s="529" t="s">
        <v>370</v>
      </c>
      <c r="I207" s="529" t="s">
        <v>821</v>
      </c>
      <c r="J207" s="502">
        <f>J208</f>
        <v>6</v>
      </c>
    </row>
    <row r="208" spans="1:10">
      <c r="A208" s="503"/>
      <c r="B208" s="1122" t="s">
        <v>972</v>
      </c>
      <c r="C208" s="505"/>
      <c r="D208" s="506">
        <v>6</v>
      </c>
      <c r="E208" s="506"/>
      <c r="F208" s="506"/>
      <c r="G208" s="506"/>
      <c r="H208" s="506"/>
      <c r="I208" s="506"/>
      <c r="J208" s="507">
        <f>D208</f>
        <v>6</v>
      </c>
    </row>
    <row r="209" spans="1:10">
      <c r="A209" s="480"/>
      <c r="B209" s="956"/>
      <c r="C209" s="640"/>
      <c r="D209" s="639"/>
      <c r="E209" s="639"/>
      <c r="F209" s="639"/>
      <c r="G209" s="639"/>
      <c r="H209" s="639"/>
      <c r="I209" s="639"/>
      <c r="J209" s="641"/>
    </row>
    <row r="210" spans="1:10">
      <c r="A210" s="509"/>
      <c r="B210" s="493"/>
      <c r="C210" s="510"/>
      <c r="D210" s="510"/>
      <c r="E210" s="510"/>
      <c r="F210" s="510"/>
      <c r="G210" s="510"/>
      <c r="H210" s="510"/>
      <c r="I210" s="511"/>
      <c r="J210" s="512"/>
    </row>
    <row r="211" spans="1:10" ht="45">
      <c r="A211" s="500" t="s">
        <v>994</v>
      </c>
      <c r="B211" s="644" t="s">
        <v>973</v>
      </c>
      <c r="C211" s="485" t="s">
        <v>104</v>
      </c>
      <c r="D211" s="529" t="s">
        <v>790</v>
      </c>
      <c r="E211" s="529" t="s">
        <v>787</v>
      </c>
      <c r="F211" s="529" t="s">
        <v>788</v>
      </c>
      <c r="G211" s="529" t="s">
        <v>789</v>
      </c>
      <c r="H211" s="529" t="s">
        <v>370</v>
      </c>
      <c r="I211" s="529" t="s">
        <v>821</v>
      </c>
      <c r="J211" s="502">
        <f>J212</f>
        <v>1</v>
      </c>
    </row>
    <row r="212" spans="1:10">
      <c r="A212" s="503"/>
      <c r="B212" s="1122" t="s">
        <v>974</v>
      </c>
      <c r="C212" s="505"/>
      <c r="D212" s="506">
        <v>1</v>
      </c>
      <c r="E212" s="506"/>
      <c r="F212" s="506"/>
      <c r="G212" s="506"/>
      <c r="H212" s="506"/>
      <c r="I212" s="506"/>
      <c r="J212" s="507">
        <f>D212</f>
        <v>1</v>
      </c>
    </row>
    <row r="213" spans="1:10">
      <c r="A213" s="480"/>
      <c r="B213" s="956"/>
      <c r="C213" s="640"/>
      <c r="D213" s="639"/>
      <c r="E213" s="639"/>
      <c r="F213" s="639"/>
      <c r="G213" s="639"/>
      <c r="H213" s="639"/>
      <c r="I213" s="639"/>
      <c r="J213" s="641"/>
    </row>
    <row r="214" spans="1:10">
      <c r="A214" s="509"/>
      <c r="B214" s="493"/>
      <c r="C214" s="510"/>
      <c r="D214" s="510"/>
      <c r="E214" s="510"/>
      <c r="F214" s="510"/>
      <c r="G214" s="510"/>
      <c r="H214" s="510"/>
      <c r="I214" s="511"/>
      <c r="J214" s="512"/>
    </row>
    <row r="215" spans="1:10" ht="60">
      <c r="A215" s="500" t="s">
        <v>997</v>
      </c>
      <c r="B215" s="644" t="s">
        <v>1140</v>
      </c>
      <c r="C215" s="485" t="s">
        <v>104</v>
      </c>
      <c r="D215" s="529" t="s">
        <v>790</v>
      </c>
      <c r="E215" s="529" t="s">
        <v>787</v>
      </c>
      <c r="F215" s="529" t="s">
        <v>788</v>
      </c>
      <c r="G215" s="529" t="s">
        <v>789</v>
      </c>
      <c r="H215" s="529" t="s">
        <v>370</v>
      </c>
      <c r="I215" s="529" t="s">
        <v>821</v>
      </c>
      <c r="J215" s="502">
        <f>J216</f>
        <v>1</v>
      </c>
    </row>
    <row r="216" spans="1:10">
      <c r="A216" s="503"/>
      <c r="B216" s="1122" t="s">
        <v>1002</v>
      </c>
      <c r="C216" s="505"/>
      <c r="D216" s="506">
        <v>1</v>
      </c>
      <c r="E216" s="506"/>
      <c r="F216" s="506"/>
      <c r="G216" s="506"/>
      <c r="H216" s="506"/>
      <c r="I216" s="506"/>
      <c r="J216" s="507">
        <f>D216</f>
        <v>1</v>
      </c>
    </row>
    <row r="217" spans="1:10">
      <c r="A217" s="480"/>
      <c r="B217" s="951"/>
      <c r="C217" s="488"/>
      <c r="D217" s="489"/>
      <c r="E217" s="489"/>
      <c r="F217" s="489"/>
      <c r="G217" s="489"/>
      <c r="H217" s="489"/>
      <c r="I217" s="490"/>
      <c r="J217" s="491"/>
    </row>
    <row r="218" spans="1:10">
      <c r="A218" s="480"/>
      <c r="B218" s="954"/>
      <c r="C218" s="935"/>
      <c r="D218" s="936"/>
      <c r="E218" s="936"/>
      <c r="F218" s="936"/>
      <c r="G218" s="936"/>
      <c r="H218" s="936"/>
      <c r="I218" s="937"/>
      <c r="J218" s="955"/>
    </row>
    <row r="219" spans="1:10">
      <c r="A219" s="509"/>
      <c r="B219" s="493"/>
      <c r="C219" s="510"/>
      <c r="D219" s="510"/>
      <c r="E219" s="510"/>
      <c r="F219" s="510"/>
      <c r="G219" s="510"/>
      <c r="H219" s="510"/>
      <c r="I219" s="511"/>
      <c r="J219" s="512"/>
    </row>
    <row r="220" spans="1:10">
      <c r="A220" s="535" t="s">
        <v>330</v>
      </c>
      <c r="B220" s="536" t="s">
        <v>25</v>
      </c>
      <c r="C220" s="537"/>
      <c r="D220" s="537"/>
      <c r="E220" s="537"/>
      <c r="F220" s="537"/>
      <c r="G220" s="537"/>
      <c r="H220" s="537"/>
      <c r="I220" s="537"/>
      <c r="J220" s="499"/>
    </row>
    <row r="221" spans="1:10">
      <c r="A221" s="483" t="s">
        <v>332</v>
      </c>
      <c r="B221" s="533" t="s">
        <v>26</v>
      </c>
      <c r="C221" s="538"/>
      <c r="D221" s="538"/>
      <c r="E221" s="538"/>
      <c r="F221" s="538"/>
      <c r="G221" s="538"/>
      <c r="H221" s="538"/>
      <c r="I221" s="538"/>
      <c r="J221" s="499"/>
    </row>
    <row r="222" spans="1:10" ht="30.75" customHeight="1">
      <c r="A222" s="500" t="s">
        <v>331</v>
      </c>
      <c r="B222" s="484" t="s">
        <v>780</v>
      </c>
      <c r="C222" s="485" t="s">
        <v>57</v>
      </c>
      <c r="D222" s="529" t="s">
        <v>790</v>
      </c>
      <c r="E222" s="529" t="s">
        <v>787</v>
      </c>
      <c r="F222" s="529" t="s">
        <v>788</v>
      </c>
      <c r="G222" s="529" t="s">
        <v>789</v>
      </c>
      <c r="H222" s="529" t="s">
        <v>370</v>
      </c>
      <c r="I222" s="529" t="s">
        <v>821</v>
      </c>
      <c r="J222" s="502">
        <f>SUM(J223:J226)</f>
        <v>22.636000000000003</v>
      </c>
    </row>
    <row r="223" spans="1:10">
      <c r="A223" s="503"/>
      <c r="B223" s="1116" t="s">
        <v>857</v>
      </c>
      <c r="C223" s="505"/>
      <c r="D223" s="506"/>
      <c r="E223" s="506"/>
      <c r="F223" s="506"/>
      <c r="G223" s="506"/>
      <c r="H223" s="506"/>
      <c r="I223" s="506"/>
      <c r="J223" s="507"/>
    </row>
    <row r="224" spans="1:10">
      <c r="A224" s="480"/>
      <c r="B224" s="957" t="s">
        <v>1065</v>
      </c>
      <c r="C224" s="519"/>
      <c r="D224" s="520">
        <v>5</v>
      </c>
      <c r="E224" s="520"/>
      <c r="F224" s="520"/>
      <c r="G224" s="520"/>
      <c r="H224" s="520">
        <v>3.14</v>
      </c>
      <c r="I224" s="520"/>
      <c r="J224" s="521">
        <f>D224*H224</f>
        <v>15.700000000000001</v>
      </c>
    </row>
    <row r="225" spans="1:10">
      <c r="A225" s="480"/>
      <c r="B225" s="957" t="s">
        <v>1066</v>
      </c>
      <c r="C225" s="519"/>
      <c r="D225" s="520">
        <v>1</v>
      </c>
      <c r="E225" s="520">
        <v>5.78</v>
      </c>
      <c r="F225" s="520">
        <v>1.2</v>
      </c>
      <c r="G225" s="520"/>
      <c r="H225" s="520">
        <f>E225*F225</f>
        <v>6.9359999999999999</v>
      </c>
      <c r="I225" s="520"/>
      <c r="J225" s="521">
        <f>D225*H225</f>
        <v>6.9359999999999999</v>
      </c>
    </row>
    <row r="226" spans="1:10">
      <c r="A226" s="480"/>
      <c r="B226" s="1117"/>
      <c r="C226" s="488"/>
      <c r="D226" s="489"/>
      <c r="E226" s="489"/>
      <c r="F226" s="489"/>
      <c r="G226" s="489"/>
      <c r="H226" s="489"/>
      <c r="I226" s="490"/>
      <c r="J226" s="491"/>
    </row>
    <row r="227" spans="1:10">
      <c r="A227" s="509"/>
      <c r="B227" s="493"/>
      <c r="C227" s="510"/>
      <c r="D227" s="510"/>
      <c r="E227" s="510"/>
      <c r="F227" s="510"/>
      <c r="G227" s="510"/>
      <c r="H227" s="510"/>
      <c r="I227" s="511"/>
      <c r="J227" s="512"/>
    </row>
    <row r="228" spans="1:10" ht="45">
      <c r="A228" s="500" t="s">
        <v>336</v>
      </c>
      <c r="B228" s="484" t="s">
        <v>27</v>
      </c>
      <c r="C228" s="485" t="s">
        <v>104</v>
      </c>
      <c r="D228" s="529" t="s">
        <v>790</v>
      </c>
      <c r="E228" s="529" t="s">
        <v>787</v>
      </c>
      <c r="F228" s="529" t="s">
        <v>788</v>
      </c>
      <c r="G228" s="529" t="s">
        <v>789</v>
      </c>
      <c r="H228" s="529" t="s">
        <v>370</v>
      </c>
      <c r="I228" s="529" t="s">
        <v>821</v>
      </c>
      <c r="J228" s="502">
        <f>SUM(J229:J233)</f>
        <v>102.8</v>
      </c>
    </row>
    <row r="229" spans="1:10">
      <c r="A229" s="503"/>
      <c r="B229" s="1116" t="s">
        <v>865</v>
      </c>
      <c r="C229" s="505"/>
      <c r="D229" s="520"/>
      <c r="E229" s="520"/>
      <c r="F229" s="506"/>
      <c r="G229" s="506"/>
      <c r="H229" s="506"/>
      <c r="I229" s="506"/>
      <c r="J229" s="507"/>
    </row>
    <row r="230" spans="1:10">
      <c r="A230" s="480"/>
      <c r="B230" s="1116" t="s">
        <v>866</v>
      </c>
      <c r="C230" s="519"/>
      <c r="D230" s="520"/>
      <c r="E230" s="520"/>
      <c r="F230" s="520"/>
      <c r="G230" s="520"/>
      <c r="H230" s="520">
        <v>49.62</v>
      </c>
      <c r="I230" s="520"/>
      <c r="J230" s="521">
        <f>H230</f>
        <v>49.62</v>
      </c>
    </row>
    <row r="231" spans="1:10">
      <c r="A231" s="480"/>
      <c r="B231" s="1117"/>
      <c r="C231" s="519"/>
      <c r="D231" s="520"/>
      <c r="E231" s="520"/>
      <c r="F231" s="520"/>
      <c r="G231" s="520"/>
      <c r="H231" s="520"/>
      <c r="I231" s="520"/>
      <c r="J231" s="521"/>
    </row>
    <row r="232" spans="1:10">
      <c r="A232" s="480"/>
      <c r="B232" s="1116" t="s">
        <v>867</v>
      </c>
      <c r="C232" s="488"/>
      <c r="D232" s="520"/>
      <c r="E232" s="520"/>
      <c r="F232" s="489"/>
      <c r="G232" s="489"/>
      <c r="H232" s="489"/>
      <c r="I232" s="490"/>
      <c r="J232" s="491"/>
    </row>
    <row r="233" spans="1:10">
      <c r="A233" s="480"/>
      <c r="B233" s="1116" t="s">
        <v>868</v>
      </c>
      <c r="C233" s="488"/>
      <c r="D233" s="520"/>
      <c r="E233" s="520"/>
      <c r="F233" s="489"/>
      <c r="G233" s="489"/>
      <c r="H233" s="489">
        <v>53.18</v>
      </c>
      <c r="I233" s="490"/>
      <c r="J233" s="491">
        <f>H233</f>
        <v>53.18</v>
      </c>
    </row>
    <row r="234" spans="1:10">
      <c r="A234" s="480"/>
      <c r="B234" s="958"/>
      <c r="C234" s="959"/>
      <c r="D234" s="489"/>
      <c r="E234" s="489"/>
      <c r="F234" s="489"/>
      <c r="G234" s="489"/>
      <c r="H234" s="489"/>
      <c r="I234" s="490"/>
      <c r="J234" s="491"/>
    </row>
    <row r="235" spans="1:10">
      <c r="A235" s="509"/>
      <c r="B235" s="493"/>
      <c r="C235" s="510"/>
      <c r="D235" s="510"/>
      <c r="E235" s="510"/>
      <c r="F235" s="510"/>
      <c r="G235" s="510"/>
      <c r="H235" s="510"/>
      <c r="I235" s="511"/>
      <c r="J235" s="512"/>
    </row>
    <row r="236" spans="1:10" ht="60">
      <c r="A236" s="500" t="s">
        <v>337</v>
      </c>
      <c r="B236" s="484" t="s">
        <v>334</v>
      </c>
      <c r="C236" s="485" t="s">
        <v>57</v>
      </c>
      <c r="D236" s="529" t="s">
        <v>790</v>
      </c>
      <c r="E236" s="529" t="s">
        <v>787</v>
      </c>
      <c r="F236" s="529" t="s">
        <v>788</v>
      </c>
      <c r="G236" s="529" t="s">
        <v>789</v>
      </c>
      <c r="H236" s="529" t="s">
        <v>370</v>
      </c>
      <c r="I236" s="529" t="s">
        <v>821</v>
      </c>
      <c r="J236" s="502">
        <f>J237</f>
        <v>25.799999999999997</v>
      </c>
    </row>
    <row r="237" spans="1:10">
      <c r="A237" s="480"/>
      <c r="B237" s="1116" t="s">
        <v>917</v>
      </c>
      <c r="C237" s="488"/>
      <c r="D237" s="489"/>
      <c r="E237" s="489"/>
      <c r="F237" s="489"/>
      <c r="G237" s="87"/>
      <c r="H237" s="489">
        <f>24.04+(0.24*5)+0.56</f>
        <v>25.799999999999997</v>
      </c>
      <c r="I237" s="490"/>
      <c r="J237" s="491">
        <f>H237</f>
        <v>25.799999999999997</v>
      </c>
    </row>
    <row r="238" spans="1:10">
      <c r="A238" s="480"/>
      <c r="B238" s="1117"/>
      <c r="C238" s="488"/>
      <c r="D238" s="489"/>
      <c r="E238" s="489"/>
      <c r="F238" s="489"/>
      <c r="G238" s="489"/>
      <c r="H238" s="489"/>
      <c r="I238" s="490"/>
      <c r="J238" s="491"/>
    </row>
    <row r="239" spans="1:10">
      <c r="A239" s="509"/>
      <c r="B239" s="493"/>
      <c r="C239" s="510"/>
      <c r="D239" s="510"/>
      <c r="E239" s="510"/>
      <c r="F239" s="510"/>
      <c r="G239" s="510"/>
      <c r="H239" s="510"/>
      <c r="I239" s="511"/>
      <c r="J239" s="512"/>
    </row>
    <row r="240" spans="1:10" ht="60">
      <c r="A240" s="500" t="s">
        <v>338</v>
      </c>
      <c r="B240" s="484" t="s">
        <v>335</v>
      </c>
      <c r="C240" s="485" t="s">
        <v>57</v>
      </c>
      <c r="D240" s="529" t="s">
        <v>790</v>
      </c>
      <c r="E240" s="529" t="s">
        <v>787</v>
      </c>
      <c r="F240" s="529" t="s">
        <v>788</v>
      </c>
      <c r="G240" s="529" t="s">
        <v>789</v>
      </c>
      <c r="H240" s="529" t="s">
        <v>370</v>
      </c>
      <c r="I240" s="529" t="s">
        <v>821</v>
      </c>
      <c r="J240" s="502">
        <f>J241</f>
        <v>0.88</v>
      </c>
    </row>
    <row r="241" spans="1:10">
      <c r="A241" s="480"/>
      <c r="B241" s="1116" t="s">
        <v>860</v>
      </c>
      <c r="C241" s="488"/>
      <c r="D241" s="489"/>
      <c r="E241" s="489"/>
      <c r="F241" s="489"/>
      <c r="G241" s="489"/>
      <c r="H241" s="489">
        <f>0.44*2</f>
        <v>0.88</v>
      </c>
      <c r="I241" s="490"/>
      <c r="J241" s="491">
        <f>H241</f>
        <v>0.88</v>
      </c>
    </row>
    <row r="242" spans="1:10">
      <c r="A242" s="480"/>
      <c r="B242" s="1117"/>
      <c r="C242" s="488"/>
      <c r="D242" s="489"/>
      <c r="E242" s="489"/>
      <c r="F242" s="489"/>
      <c r="G242" s="489"/>
      <c r="H242" s="489"/>
      <c r="I242" s="490"/>
      <c r="J242" s="491"/>
    </row>
    <row r="243" spans="1:10">
      <c r="A243" s="509"/>
      <c r="B243" s="493"/>
      <c r="C243" s="510"/>
      <c r="D243" s="510"/>
      <c r="E243" s="510"/>
      <c r="F243" s="510"/>
      <c r="G243" s="510"/>
      <c r="H243" s="510"/>
      <c r="I243" s="511"/>
      <c r="J243" s="512"/>
    </row>
    <row r="244" spans="1:10" ht="120">
      <c r="A244" s="500" t="s">
        <v>339</v>
      </c>
      <c r="B244" s="484" t="s">
        <v>1010</v>
      </c>
      <c r="C244" s="485" t="s">
        <v>104</v>
      </c>
      <c r="D244" s="529" t="s">
        <v>790</v>
      </c>
      <c r="E244" s="529" t="s">
        <v>787</v>
      </c>
      <c r="F244" s="529" t="s">
        <v>788</v>
      </c>
      <c r="G244" s="529" t="s">
        <v>789</v>
      </c>
      <c r="H244" s="529" t="s">
        <v>370</v>
      </c>
      <c r="I244" s="529" t="s">
        <v>821</v>
      </c>
      <c r="J244" s="502">
        <f>SUM(J245:J246)</f>
        <v>218.75</v>
      </c>
    </row>
    <row r="245" spans="1:10">
      <c r="A245" s="503"/>
      <c r="B245" s="949" t="s">
        <v>861</v>
      </c>
      <c r="C245" s="505"/>
      <c r="D245" s="506"/>
      <c r="E245" s="506"/>
      <c r="F245" s="506"/>
      <c r="G245" s="506"/>
      <c r="H245" s="506">
        <v>218.75</v>
      </c>
      <c r="I245" s="506"/>
      <c r="J245" s="507">
        <f>H245</f>
        <v>218.75</v>
      </c>
    </row>
    <row r="246" spans="1:10">
      <c r="A246" s="480"/>
      <c r="B246" s="960"/>
      <c r="C246" s="959"/>
      <c r="D246" s="489"/>
      <c r="E246" s="489"/>
      <c r="F246" s="489"/>
      <c r="G246" s="489"/>
      <c r="H246" s="489"/>
      <c r="I246" s="490"/>
      <c r="J246" s="491"/>
    </row>
    <row r="247" spans="1:10" hidden="1">
      <c r="A247" s="509"/>
      <c r="B247" s="493"/>
      <c r="C247" s="510"/>
      <c r="D247" s="510"/>
      <c r="E247" s="510"/>
      <c r="F247" s="510"/>
      <c r="G247" s="510"/>
      <c r="H247" s="510"/>
      <c r="I247" s="511"/>
      <c r="J247" s="512"/>
    </row>
    <row r="248" spans="1:10" ht="33" hidden="1" customHeight="1">
      <c r="A248" s="500" t="s">
        <v>802</v>
      </c>
      <c r="B248" s="484" t="e">
        <f>#REF!</f>
        <v>#REF!</v>
      </c>
      <c r="C248" s="485" t="s">
        <v>105</v>
      </c>
      <c r="D248" s="486" t="s">
        <v>787</v>
      </c>
      <c r="E248" s="486" t="s">
        <v>788</v>
      </c>
      <c r="F248" s="486" t="s">
        <v>789</v>
      </c>
      <c r="G248" s="486"/>
      <c r="H248" s="486"/>
      <c r="I248" s="486" t="s">
        <v>790</v>
      </c>
      <c r="J248" s="502">
        <f>SUM(J249:J252)</f>
        <v>42</v>
      </c>
    </row>
    <row r="249" spans="1:10" hidden="1">
      <c r="A249" s="503"/>
      <c r="B249" s="1117" t="s">
        <v>792</v>
      </c>
      <c r="C249" s="505"/>
      <c r="D249" s="506"/>
      <c r="E249" s="506"/>
      <c r="F249" s="506"/>
      <c r="G249" s="506"/>
      <c r="H249" s="506"/>
      <c r="I249" s="506"/>
      <c r="J249" s="507"/>
    </row>
    <row r="250" spans="1:10" hidden="1">
      <c r="A250" s="480"/>
      <c r="B250" s="1117" t="str">
        <f>B241</f>
        <v>Piso tátil perimetral a praça e às rampas (ranhurado)</v>
      </c>
      <c r="C250" s="488"/>
      <c r="D250" s="489"/>
      <c r="E250" s="489">
        <v>3.5</v>
      </c>
      <c r="F250" s="489"/>
      <c r="G250" s="489"/>
      <c r="H250" s="489"/>
      <c r="I250" s="490">
        <v>12</v>
      </c>
      <c r="J250" s="491">
        <f>E250*I250</f>
        <v>42</v>
      </c>
    </row>
    <row r="251" spans="1:10" hidden="1">
      <c r="A251" s="480"/>
      <c r="B251" s="1117"/>
      <c r="C251" s="488"/>
      <c r="D251" s="489"/>
      <c r="E251" s="489"/>
      <c r="F251" s="489"/>
      <c r="G251" s="489"/>
      <c r="H251" s="489"/>
      <c r="I251" s="490"/>
      <c r="J251" s="491"/>
    </row>
    <row r="252" spans="1:10" hidden="1">
      <c r="A252" s="480"/>
      <c r="B252" s="1117"/>
      <c r="C252" s="488"/>
      <c r="D252" s="489"/>
      <c r="E252" s="489"/>
      <c r="F252" s="489"/>
      <c r="G252" s="489"/>
      <c r="H252" s="489"/>
      <c r="I252" s="490"/>
      <c r="J252" s="491"/>
    </row>
    <row r="253" spans="1:10">
      <c r="A253" s="509"/>
      <c r="B253" s="493"/>
      <c r="C253" s="510"/>
      <c r="D253" s="510"/>
      <c r="E253" s="510"/>
      <c r="F253" s="510"/>
      <c r="G253" s="510"/>
      <c r="H253" s="510"/>
      <c r="I253" s="511"/>
      <c r="J253" s="512"/>
    </row>
    <row r="254" spans="1:10" ht="120">
      <c r="A254" s="500" t="s">
        <v>340</v>
      </c>
      <c r="B254" s="484" t="s">
        <v>1009</v>
      </c>
      <c r="C254" s="485" t="s">
        <v>57</v>
      </c>
      <c r="D254" s="529" t="s">
        <v>790</v>
      </c>
      <c r="E254" s="529" t="s">
        <v>787</v>
      </c>
      <c r="F254" s="529" t="s">
        <v>788</v>
      </c>
      <c r="G254" s="529" t="s">
        <v>789</v>
      </c>
      <c r="H254" s="529" t="s">
        <v>370</v>
      </c>
      <c r="I254" s="529" t="s">
        <v>821</v>
      </c>
      <c r="J254" s="502">
        <f>J255</f>
        <v>43.22</v>
      </c>
    </row>
    <row r="255" spans="1:10">
      <c r="A255" s="503"/>
      <c r="B255" s="949" t="s">
        <v>859</v>
      </c>
      <c r="C255" s="540"/>
      <c r="D255" s="506"/>
      <c r="E255" s="506"/>
      <c r="F255" s="506"/>
      <c r="G255" s="506"/>
      <c r="H255" s="506">
        <v>43.22</v>
      </c>
      <c r="I255" s="506"/>
      <c r="J255" s="507">
        <f>H255</f>
        <v>43.22</v>
      </c>
    </row>
    <row r="256" spans="1:10">
      <c r="A256" s="480"/>
      <c r="B256" s="1117"/>
      <c r="C256" s="488"/>
      <c r="D256" s="489"/>
      <c r="E256" s="489"/>
      <c r="F256" s="489"/>
      <c r="G256" s="489"/>
      <c r="H256" s="489"/>
      <c r="I256" s="490"/>
      <c r="J256" s="491"/>
    </row>
    <row r="257" spans="1:10">
      <c r="A257" s="509"/>
      <c r="B257" s="493"/>
      <c r="C257" s="510"/>
      <c r="D257" s="510"/>
      <c r="E257" s="510"/>
      <c r="F257" s="510"/>
      <c r="G257" s="510"/>
      <c r="H257" s="510"/>
      <c r="I257" s="511"/>
      <c r="J257" s="512"/>
    </row>
    <row r="258" spans="1:10" ht="75">
      <c r="A258" s="500" t="s">
        <v>341</v>
      </c>
      <c r="B258" s="484" t="s">
        <v>29</v>
      </c>
      <c r="C258" s="485" t="s">
        <v>105</v>
      </c>
      <c r="D258" s="529" t="s">
        <v>790</v>
      </c>
      <c r="E258" s="529" t="s">
        <v>787</v>
      </c>
      <c r="F258" s="529" t="s">
        <v>788</v>
      </c>
      <c r="G258" s="529" t="s">
        <v>789</v>
      </c>
      <c r="H258" s="529" t="s">
        <v>370</v>
      </c>
      <c r="I258" s="529" t="s">
        <v>821</v>
      </c>
      <c r="J258" s="502">
        <f>SUM(J259:J260)</f>
        <v>133.79000000000002</v>
      </c>
    </row>
    <row r="259" spans="1:10">
      <c r="A259" s="480"/>
      <c r="B259" s="1116" t="s">
        <v>858</v>
      </c>
      <c r="C259" s="488"/>
      <c r="D259" s="489"/>
      <c r="E259" s="489">
        <v>103.79</v>
      </c>
      <c r="F259" s="489"/>
      <c r="G259" s="489"/>
      <c r="H259" s="489"/>
      <c r="I259" s="490"/>
      <c r="J259" s="491">
        <f>E259</f>
        <v>103.79</v>
      </c>
    </row>
    <row r="260" spans="1:10">
      <c r="A260" s="480"/>
      <c r="B260" s="1116" t="s">
        <v>863</v>
      </c>
      <c r="C260" s="488"/>
      <c r="D260" s="489"/>
      <c r="E260" s="489">
        <v>30</v>
      </c>
      <c r="F260" s="489"/>
      <c r="G260" s="489"/>
      <c r="H260" s="489"/>
      <c r="I260" s="490"/>
      <c r="J260" s="491">
        <f>E260</f>
        <v>30</v>
      </c>
    </row>
    <row r="261" spans="1:10">
      <c r="A261" s="480"/>
      <c r="B261" s="1117"/>
      <c r="C261" s="488"/>
      <c r="D261" s="489"/>
      <c r="E261" s="489"/>
      <c r="F261" s="489"/>
      <c r="G261" s="489"/>
      <c r="H261" s="489"/>
      <c r="I261" s="490"/>
      <c r="J261" s="491"/>
    </row>
    <row r="262" spans="1:10">
      <c r="A262" s="509"/>
      <c r="B262" s="493"/>
      <c r="C262" s="510"/>
      <c r="D262" s="510"/>
      <c r="E262" s="510"/>
      <c r="F262" s="510"/>
      <c r="G262" s="510"/>
      <c r="H262" s="510"/>
      <c r="I262" s="511"/>
      <c r="J262" s="512"/>
    </row>
    <row r="263" spans="1:10" ht="75">
      <c r="A263" s="500" t="s">
        <v>342</v>
      </c>
      <c r="B263" s="484" t="s">
        <v>30</v>
      </c>
      <c r="C263" s="485" t="s">
        <v>105</v>
      </c>
      <c r="D263" s="529" t="s">
        <v>790</v>
      </c>
      <c r="E263" s="529" t="s">
        <v>787</v>
      </c>
      <c r="F263" s="529" t="s">
        <v>788</v>
      </c>
      <c r="G263" s="529" t="s">
        <v>789</v>
      </c>
      <c r="H263" s="529" t="s">
        <v>370</v>
      </c>
      <c r="I263" s="529" t="s">
        <v>821</v>
      </c>
      <c r="J263" s="502">
        <f>J264</f>
        <v>11</v>
      </c>
    </row>
    <row r="264" spans="1:10">
      <c r="A264" s="480"/>
      <c r="B264" s="1116" t="s">
        <v>864</v>
      </c>
      <c r="C264" s="488"/>
      <c r="D264" s="489"/>
      <c r="E264" s="489">
        <v>11</v>
      </c>
      <c r="F264" s="489"/>
      <c r="G264" s="489"/>
      <c r="H264" s="489"/>
      <c r="I264" s="490"/>
      <c r="J264" s="491">
        <f>E264</f>
        <v>11</v>
      </c>
    </row>
    <row r="265" spans="1:10">
      <c r="A265" s="480"/>
      <c r="B265" s="1117"/>
      <c r="C265" s="488"/>
      <c r="D265" s="489"/>
      <c r="E265" s="489"/>
      <c r="F265" s="489"/>
      <c r="G265" s="489"/>
      <c r="H265" s="489"/>
      <c r="I265" s="490"/>
      <c r="J265" s="491"/>
    </row>
    <row r="266" spans="1:10">
      <c r="A266" s="509"/>
      <c r="B266" s="493"/>
      <c r="C266" s="510"/>
      <c r="D266" s="510"/>
      <c r="E266" s="510"/>
      <c r="F266" s="510"/>
      <c r="G266" s="510"/>
      <c r="H266" s="510"/>
      <c r="I266" s="511"/>
      <c r="J266" s="512"/>
    </row>
    <row r="267" spans="1:10" ht="45">
      <c r="A267" s="500" t="s">
        <v>343</v>
      </c>
      <c r="B267" s="484" t="s">
        <v>31</v>
      </c>
      <c r="C267" s="485" t="s">
        <v>57</v>
      </c>
      <c r="D267" s="529" t="s">
        <v>790</v>
      </c>
      <c r="E267" s="529" t="s">
        <v>787</v>
      </c>
      <c r="F267" s="529" t="s">
        <v>788</v>
      </c>
      <c r="G267" s="529" t="s">
        <v>789</v>
      </c>
      <c r="H267" s="529" t="s">
        <v>370</v>
      </c>
      <c r="I267" s="529" t="s">
        <v>821</v>
      </c>
      <c r="J267" s="502">
        <f>J268</f>
        <v>26.84</v>
      </c>
    </row>
    <row r="268" spans="1:10">
      <c r="A268" s="480"/>
      <c r="B268" s="1116" t="s">
        <v>862</v>
      </c>
      <c r="C268" s="488"/>
      <c r="D268" s="489"/>
      <c r="E268" s="489"/>
      <c r="F268" s="489"/>
      <c r="G268" s="489"/>
      <c r="H268" s="489">
        <v>26.84</v>
      </c>
      <c r="I268" s="490"/>
      <c r="J268" s="491">
        <f>H268</f>
        <v>26.84</v>
      </c>
    </row>
    <row r="269" spans="1:10">
      <c r="A269" s="480"/>
      <c r="B269" s="1117"/>
      <c r="C269" s="488"/>
      <c r="D269" s="489"/>
      <c r="E269" s="489"/>
      <c r="F269" s="489"/>
      <c r="G269" s="489"/>
      <c r="H269" s="489"/>
      <c r="I269" s="490"/>
      <c r="J269" s="491"/>
    </row>
    <row r="270" spans="1:10">
      <c r="A270" s="509"/>
      <c r="B270" s="493"/>
      <c r="C270" s="510"/>
      <c r="D270" s="510"/>
      <c r="E270" s="510"/>
      <c r="F270" s="510"/>
      <c r="G270" s="510"/>
      <c r="H270" s="510"/>
      <c r="I270" s="511"/>
      <c r="J270" s="525"/>
    </row>
    <row r="271" spans="1:10">
      <c r="A271" s="483" t="s">
        <v>344</v>
      </c>
      <c r="B271" s="533" t="s">
        <v>32</v>
      </c>
      <c r="C271" s="538"/>
      <c r="D271" s="538"/>
      <c r="E271" s="538"/>
      <c r="F271" s="538"/>
      <c r="G271" s="538"/>
      <c r="H271" s="538"/>
      <c r="I271" s="538"/>
      <c r="J271" s="499"/>
    </row>
    <row r="272" spans="1:10" ht="30">
      <c r="A272" s="500" t="s">
        <v>345</v>
      </c>
      <c r="B272" s="484" t="s">
        <v>33</v>
      </c>
      <c r="C272" s="485" t="s">
        <v>104</v>
      </c>
      <c r="D272" s="529" t="s">
        <v>790</v>
      </c>
      <c r="E272" s="529" t="s">
        <v>787</v>
      </c>
      <c r="F272" s="529" t="s">
        <v>788</v>
      </c>
      <c r="G272" s="529" t="s">
        <v>789</v>
      </c>
      <c r="H272" s="529" t="s">
        <v>370</v>
      </c>
      <c r="I272" s="529" t="s">
        <v>821</v>
      </c>
      <c r="J272" s="502">
        <f>J273</f>
        <v>1</v>
      </c>
    </row>
    <row r="273" spans="1:10">
      <c r="A273" s="503"/>
      <c r="B273" s="1116" t="s">
        <v>849</v>
      </c>
      <c r="C273" s="505"/>
      <c r="D273" s="506">
        <v>1</v>
      </c>
      <c r="E273" s="506"/>
      <c r="F273" s="506"/>
      <c r="G273" s="506"/>
      <c r="H273" s="506"/>
      <c r="I273" s="506"/>
      <c r="J273" s="507">
        <f>D273</f>
        <v>1</v>
      </c>
    </row>
    <row r="274" spans="1:10">
      <c r="A274" s="480"/>
      <c r="B274" s="1117"/>
      <c r="C274" s="488"/>
      <c r="D274" s="489"/>
      <c r="E274" s="489"/>
      <c r="F274" s="489"/>
      <c r="G274" s="489"/>
      <c r="H274" s="489"/>
      <c r="I274" s="490"/>
      <c r="J274" s="491"/>
    </row>
    <row r="275" spans="1:10">
      <c r="A275" s="509"/>
      <c r="B275" s="493"/>
      <c r="C275" s="510"/>
      <c r="D275" s="510"/>
      <c r="E275" s="510"/>
      <c r="F275" s="510"/>
      <c r="G275" s="510"/>
      <c r="H275" s="510"/>
      <c r="I275" s="511"/>
      <c r="J275" s="512"/>
    </row>
    <row r="276" spans="1:10">
      <c r="A276" s="500" t="s">
        <v>346</v>
      </c>
      <c r="B276" s="484" t="s">
        <v>34</v>
      </c>
      <c r="C276" s="485" t="s">
        <v>104</v>
      </c>
      <c r="D276" s="529" t="s">
        <v>790</v>
      </c>
      <c r="E276" s="529" t="s">
        <v>787</v>
      </c>
      <c r="F276" s="529" t="s">
        <v>788</v>
      </c>
      <c r="G276" s="529" t="s">
        <v>789</v>
      </c>
      <c r="H276" s="529" t="s">
        <v>370</v>
      </c>
      <c r="I276" s="529" t="s">
        <v>821</v>
      </c>
      <c r="J276" s="502">
        <f>J277</f>
        <v>20</v>
      </c>
    </row>
    <row r="277" spans="1:10">
      <c r="A277" s="503"/>
      <c r="B277" s="1116" t="s">
        <v>849</v>
      </c>
      <c r="C277" s="505"/>
      <c r="D277" s="506">
        <v>20</v>
      </c>
      <c r="E277" s="506"/>
      <c r="F277" s="506"/>
      <c r="G277" s="506"/>
      <c r="H277" s="506"/>
      <c r="I277" s="506"/>
      <c r="J277" s="507">
        <f>D277</f>
        <v>20</v>
      </c>
    </row>
    <row r="278" spans="1:10">
      <c r="A278" s="480"/>
      <c r="B278" s="1117"/>
      <c r="C278" s="488"/>
      <c r="D278" s="489"/>
      <c r="E278" s="489"/>
      <c r="F278" s="489"/>
      <c r="G278" s="489"/>
      <c r="H278" s="489"/>
      <c r="I278" s="490"/>
      <c r="J278" s="491"/>
    </row>
    <row r="279" spans="1:10">
      <c r="A279" s="509"/>
      <c r="B279" s="493"/>
      <c r="C279" s="510"/>
      <c r="D279" s="510"/>
      <c r="E279" s="510"/>
      <c r="F279" s="510"/>
      <c r="G279" s="510"/>
      <c r="H279" s="510"/>
      <c r="I279" s="511"/>
      <c r="J279" s="512"/>
    </row>
    <row r="280" spans="1:10" ht="30">
      <c r="A280" s="500" t="s">
        <v>347</v>
      </c>
      <c r="B280" s="484" t="s">
        <v>885</v>
      </c>
      <c r="C280" s="485" t="s">
        <v>104</v>
      </c>
      <c r="D280" s="529" t="s">
        <v>790</v>
      </c>
      <c r="E280" s="529" t="s">
        <v>787</v>
      </c>
      <c r="F280" s="529" t="s">
        <v>788</v>
      </c>
      <c r="G280" s="529" t="s">
        <v>789</v>
      </c>
      <c r="H280" s="529" t="s">
        <v>370</v>
      </c>
      <c r="I280" s="529" t="s">
        <v>821</v>
      </c>
      <c r="J280" s="502">
        <f>SUM(J281:J282)</f>
        <v>30</v>
      </c>
    </row>
    <row r="281" spans="1:10">
      <c r="A281" s="503"/>
      <c r="B281" s="1116" t="s">
        <v>849</v>
      </c>
      <c r="C281" s="505"/>
      <c r="D281" s="506">
        <v>30</v>
      </c>
      <c r="E281" s="506"/>
      <c r="F281" s="506"/>
      <c r="G281" s="506"/>
      <c r="H281" s="506"/>
      <c r="I281" s="506"/>
      <c r="J281" s="507">
        <f>D281</f>
        <v>30</v>
      </c>
    </row>
    <row r="282" spans="1:10">
      <c r="A282" s="480"/>
      <c r="B282" s="1117"/>
      <c r="C282" s="488"/>
      <c r="D282" s="489"/>
      <c r="E282" s="489"/>
      <c r="F282" s="489"/>
      <c r="G282" s="489"/>
      <c r="H282" s="489"/>
      <c r="I282" s="490"/>
      <c r="J282" s="491"/>
    </row>
    <row r="283" spans="1:10">
      <c r="A283" s="492"/>
      <c r="B283" s="493"/>
      <c r="C283" s="493"/>
      <c r="D283" s="493"/>
      <c r="E283" s="493"/>
      <c r="F283" s="493"/>
      <c r="G283" s="493"/>
      <c r="H283" s="493"/>
      <c r="I283" s="493"/>
      <c r="J283" s="494"/>
    </row>
    <row r="284" spans="1:10" ht="30">
      <c r="A284" s="500" t="s">
        <v>348</v>
      </c>
      <c r="B284" s="541" t="s">
        <v>35</v>
      </c>
      <c r="C284" s="542" t="s">
        <v>104</v>
      </c>
      <c r="D284" s="529" t="s">
        <v>790</v>
      </c>
      <c r="E284" s="529" t="s">
        <v>787</v>
      </c>
      <c r="F284" s="529" t="s">
        <v>788</v>
      </c>
      <c r="G284" s="529" t="s">
        <v>789</v>
      </c>
      <c r="H284" s="529" t="s">
        <v>370</v>
      </c>
      <c r="I284" s="529" t="s">
        <v>821</v>
      </c>
      <c r="J284" s="502">
        <f>J285</f>
        <v>2</v>
      </c>
    </row>
    <row r="285" spans="1:10">
      <c r="A285" s="524"/>
      <c r="B285" s="1116" t="s">
        <v>849</v>
      </c>
      <c r="C285" s="505"/>
      <c r="D285" s="516">
        <v>2</v>
      </c>
      <c r="E285" s="516"/>
      <c r="F285" s="516"/>
      <c r="G285" s="516"/>
      <c r="H285" s="516"/>
      <c r="I285" s="506"/>
      <c r="J285" s="507">
        <f>D285</f>
        <v>2</v>
      </c>
    </row>
    <row r="286" spans="1:10">
      <c r="A286" s="543"/>
      <c r="B286" s="1117"/>
      <c r="C286" s="488"/>
      <c r="D286" s="489"/>
      <c r="E286" s="489"/>
      <c r="F286" s="489"/>
      <c r="G286" s="489"/>
      <c r="H286" s="489"/>
      <c r="I286" s="490"/>
      <c r="J286" s="491"/>
    </row>
    <row r="287" spans="1:10">
      <c r="A287" s="509"/>
      <c r="B287" s="493"/>
      <c r="C287" s="510"/>
      <c r="D287" s="510"/>
      <c r="E287" s="510"/>
      <c r="F287" s="510"/>
      <c r="G287" s="510"/>
      <c r="H287" s="510"/>
      <c r="I287" s="511"/>
      <c r="J287" s="512"/>
    </row>
    <row r="288" spans="1:10">
      <c r="A288" s="500" t="s">
        <v>349</v>
      </c>
      <c r="B288" s="484" t="s">
        <v>36</v>
      </c>
      <c r="C288" s="485" t="s">
        <v>104</v>
      </c>
      <c r="D288" s="529" t="s">
        <v>790</v>
      </c>
      <c r="E288" s="529" t="s">
        <v>787</v>
      </c>
      <c r="F288" s="529" t="s">
        <v>788</v>
      </c>
      <c r="G288" s="529" t="s">
        <v>789</v>
      </c>
      <c r="H288" s="529" t="s">
        <v>370</v>
      </c>
      <c r="I288" s="529" t="s">
        <v>821</v>
      </c>
      <c r="J288" s="502">
        <f>J289</f>
        <v>64</v>
      </c>
    </row>
    <row r="289" spans="1:10">
      <c r="A289" s="503"/>
      <c r="B289" s="1116" t="s">
        <v>849</v>
      </c>
      <c r="C289" s="505"/>
      <c r="D289" s="506">
        <v>64</v>
      </c>
      <c r="E289" s="506"/>
      <c r="F289" s="506"/>
      <c r="G289" s="506"/>
      <c r="H289" s="506"/>
      <c r="I289" s="506"/>
      <c r="J289" s="507">
        <f>D289</f>
        <v>64</v>
      </c>
    </row>
    <row r="290" spans="1:10">
      <c r="A290" s="480"/>
      <c r="B290" s="1117"/>
      <c r="C290" s="488"/>
      <c r="D290" s="489"/>
      <c r="E290" s="489"/>
      <c r="F290" s="489"/>
      <c r="G290" s="489"/>
      <c r="H290" s="489"/>
      <c r="I290" s="490"/>
      <c r="J290" s="491"/>
    </row>
    <row r="291" spans="1:10">
      <c r="A291" s="509"/>
      <c r="B291" s="493"/>
      <c r="C291" s="510"/>
      <c r="D291" s="510"/>
      <c r="E291" s="510"/>
      <c r="F291" s="510"/>
      <c r="G291" s="510"/>
      <c r="H291" s="510"/>
      <c r="I291" s="511"/>
      <c r="J291" s="512"/>
    </row>
    <row r="292" spans="1:10" ht="36" customHeight="1">
      <c r="A292" s="500" t="s">
        <v>350</v>
      </c>
      <c r="B292" s="484" t="s">
        <v>37</v>
      </c>
      <c r="C292" s="485" t="s">
        <v>104</v>
      </c>
      <c r="D292" s="529" t="s">
        <v>790</v>
      </c>
      <c r="E292" s="529" t="s">
        <v>787</v>
      </c>
      <c r="F292" s="529" t="s">
        <v>788</v>
      </c>
      <c r="G292" s="529" t="s">
        <v>789</v>
      </c>
      <c r="H292" s="529" t="s">
        <v>370</v>
      </c>
      <c r="I292" s="529" t="s">
        <v>821</v>
      </c>
      <c r="J292" s="502">
        <f>J293</f>
        <v>25</v>
      </c>
    </row>
    <row r="293" spans="1:10">
      <c r="A293" s="503"/>
      <c r="B293" s="1116" t="s">
        <v>849</v>
      </c>
      <c r="C293" s="505"/>
      <c r="D293" s="506">
        <v>25</v>
      </c>
      <c r="E293" s="506"/>
      <c r="F293" s="506"/>
      <c r="G293" s="506"/>
      <c r="H293" s="506"/>
      <c r="I293" s="506"/>
      <c r="J293" s="507">
        <f>D293</f>
        <v>25</v>
      </c>
    </row>
    <row r="294" spans="1:10">
      <c r="A294" s="480"/>
      <c r="B294" s="1117"/>
      <c r="C294" s="488"/>
      <c r="D294" s="489"/>
      <c r="E294" s="489"/>
      <c r="F294" s="489"/>
      <c r="G294" s="489"/>
      <c r="H294" s="489"/>
      <c r="I294" s="490"/>
      <c r="J294" s="491"/>
    </row>
    <row r="295" spans="1:10">
      <c r="A295" s="509"/>
      <c r="B295" s="493"/>
      <c r="C295" s="510"/>
      <c r="D295" s="510"/>
      <c r="E295" s="510"/>
      <c r="F295" s="510"/>
      <c r="G295" s="510"/>
      <c r="H295" s="510"/>
      <c r="I295" s="511"/>
      <c r="J295" s="512"/>
    </row>
    <row r="296" spans="1:10" ht="30">
      <c r="A296" s="500" t="s">
        <v>351</v>
      </c>
      <c r="B296" s="484" t="s">
        <v>38</v>
      </c>
      <c r="C296" s="485" t="s">
        <v>104</v>
      </c>
      <c r="D296" s="529" t="s">
        <v>790</v>
      </c>
      <c r="E296" s="529" t="s">
        <v>787</v>
      </c>
      <c r="F296" s="529" t="s">
        <v>788</v>
      </c>
      <c r="G296" s="529" t="s">
        <v>789</v>
      </c>
      <c r="H296" s="529" t="s">
        <v>370</v>
      </c>
      <c r="I296" s="529" t="s">
        <v>821</v>
      </c>
      <c r="J296" s="502">
        <f>J297</f>
        <v>2</v>
      </c>
    </row>
    <row r="297" spans="1:10">
      <c r="A297" s="503"/>
      <c r="B297" s="1116" t="s">
        <v>849</v>
      </c>
      <c r="C297" s="505"/>
      <c r="D297" s="506">
        <v>2</v>
      </c>
      <c r="E297" s="506"/>
      <c r="F297" s="506"/>
      <c r="G297" s="506"/>
      <c r="H297" s="506"/>
      <c r="I297" s="506"/>
      <c r="J297" s="507">
        <f>D297</f>
        <v>2</v>
      </c>
    </row>
    <row r="298" spans="1:10">
      <c r="A298" s="480"/>
      <c r="B298" s="1117"/>
      <c r="C298" s="488"/>
      <c r="D298" s="489"/>
      <c r="E298" s="489"/>
      <c r="F298" s="489"/>
      <c r="G298" s="489"/>
      <c r="H298" s="489"/>
      <c r="I298" s="490"/>
      <c r="J298" s="491"/>
    </row>
    <row r="299" spans="1:10">
      <c r="A299" s="509"/>
      <c r="B299" s="493"/>
      <c r="C299" s="510"/>
      <c r="D299" s="510"/>
      <c r="E299" s="510"/>
      <c r="F299" s="510"/>
      <c r="G299" s="510"/>
      <c r="H299" s="510"/>
      <c r="I299" s="511"/>
      <c r="J299" s="512"/>
    </row>
    <row r="300" spans="1:10">
      <c r="A300" s="500" t="s">
        <v>352</v>
      </c>
      <c r="B300" s="484" t="s">
        <v>39</v>
      </c>
      <c r="C300" s="485" t="s">
        <v>104</v>
      </c>
      <c r="D300" s="529" t="s">
        <v>790</v>
      </c>
      <c r="E300" s="529" t="s">
        <v>787</v>
      </c>
      <c r="F300" s="529" t="s">
        <v>788</v>
      </c>
      <c r="G300" s="529" t="s">
        <v>789</v>
      </c>
      <c r="H300" s="529" t="s">
        <v>370</v>
      </c>
      <c r="I300" s="529" t="s">
        <v>821</v>
      </c>
      <c r="J300" s="502">
        <f>J301</f>
        <v>24</v>
      </c>
    </row>
    <row r="301" spans="1:10">
      <c r="A301" s="503"/>
      <c r="B301" s="1116" t="s">
        <v>849</v>
      </c>
      <c r="C301" s="505"/>
      <c r="D301" s="506">
        <v>24</v>
      </c>
      <c r="E301" s="506"/>
      <c r="F301" s="506"/>
      <c r="G301" s="506"/>
      <c r="H301" s="506"/>
      <c r="I301" s="506"/>
      <c r="J301" s="507">
        <f>D301</f>
        <v>24</v>
      </c>
    </row>
    <row r="302" spans="1:10">
      <c r="A302" s="480"/>
      <c r="B302" s="1117"/>
      <c r="C302" s="488"/>
      <c r="D302" s="489"/>
      <c r="E302" s="489"/>
      <c r="F302" s="489"/>
      <c r="G302" s="489"/>
      <c r="H302" s="489"/>
      <c r="I302" s="490"/>
      <c r="J302" s="491"/>
    </row>
    <row r="303" spans="1:10">
      <c r="A303" s="509"/>
      <c r="B303" s="493"/>
      <c r="C303" s="510"/>
      <c r="D303" s="510"/>
      <c r="E303" s="510"/>
      <c r="F303" s="510"/>
      <c r="G303" s="510"/>
      <c r="H303" s="510"/>
      <c r="I303" s="511"/>
      <c r="J303" s="512"/>
    </row>
    <row r="304" spans="1:10" ht="30">
      <c r="A304" s="500" t="s">
        <v>353</v>
      </c>
      <c r="B304" s="484" t="s">
        <v>918</v>
      </c>
      <c r="C304" s="485" t="s">
        <v>104</v>
      </c>
      <c r="D304" s="529" t="s">
        <v>790</v>
      </c>
      <c r="E304" s="529" t="s">
        <v>787</v>
      </c>
      <c r="F304" s="529" t="s">
        <v>788</v>
      </c>
      <c r="G304" s="529" t="s">
        <v>789</v>
      </c>
      <c r="H304" s="529" t="s">
        <v>370</v>
      </c>
      <c r="I304" s="529" t="s">
        <v>821</v>
      </c>
      <c r="J304" s="502">
        <f>J305</f>
        <v>2</v>
      </c>
    </row>
    <row r="305" spans="1:17">
      <c r="A305" s="503"/>
      <c r="B305" s="1116" t="s">
        <v>849</v>
      </c>
      <c r="C305" s="505"/>
      <c r="D305" s="506">
        <v>2</v>
      </c>
      <c r="E305" s="506"/>
      <c r="F305" s="506"/>
      <c r="G305" s="506"/>
      <c r="H305" s="506"/>
      <c r="I305" s="506"/>
      <c r="J305" s="507">
        <f>D305</f>
        <v>2</v>
      </c>
    </row>
    <row r="306" spans="1:17">
      <c r="A306" s="480"/>
      <c r="B306" s="1117"/>
      <c r="C306" s="488"/>
      <c r="D306" s="489"/>
      <c r="E306" s="489"/>
      <c r="F306" s="489"/>
      <c r="G306" s="489"/>
      <c r="H306" s="489"/>
      <c r="I306" s="490"/>
      <c r="J306" s="491"/>
    </row>
    <row r="307" spans="1:17">
      <c r="A307" s="509"/>
      <c r="B307" s="493"/>
      <c r="C307" s="510"/>
      <c r="D307" s="510"/>
      <c r="E307" s="510"/>
      <c r="F307" s="510"/>
      <c r="G307" s="510"/>
      <c r="H307" s="510"/>
      <c r="I307" s="511"/>
      <c r="J307" s="512"/>
    </row>
    <row r="308" spans="1:17">
      <c r="A308" s="495" t="s">
        <v>355</v>
      </c>
      <c r="B308" s="533" t="s">
        <v>40</v>
      </c>
      <c r="C308" s="498"/>
      <c r="D308" s="498"/>
      <c r="E308" s="498"/>
      <c r="F308" s="498"/>
      <c r="G308" s="498"/>
      <c r="H308" s="498"/>
      <c r="I308" s="498"/>
      <c r="J308" s="499"/>
    </row>
    <row r="309" spans="1:17" ht="60">
      <c r="A309" s="513" t="s">
        <v>356</v>
      </c>
      <c r="B309" s="484" t="s">
        <v>1055</v>
      </c>
      <c r="C309" s="485" t="s">
        <v>104</v>
      </c>
      <c r="D309" s="529" t="s">
        <v>790</v>
      </c>
      <c r="E309" s="529" t="s">
        <v>787</v>
      </c>
      <c r="F309" s="529" t="s">
        <v>788</v>
      </c>
      <c r="G309" s="529" t="s">
        <v>789</v>
      </c>
      <c r="H309" s="529" t="s">
        <v>370</v>
      </c>
      <c r="I309" s="529" t="s">
        <v>821</v>
      </c>
      <c r="J309" s="502">
        <f>J310</f>
        <v>4</v>
      </c>
    </row>
    <row r="310" spans="1:17">
      <c r="A310" s="503"/>
      <c r="B310" s="1116" t="s">
        <v>850</v>
      </c>
      <c r="C310" s="505"/>
      <c r="D310" s="506">
        <v>4</v>
      </c>
      <c r="E310" s="506"/>
      <c r="F310" s="506"/>
      <c r="G310" s="506"/>
      <c r="H310" s="506"/>
      <c r="I310" s="506"/>
      <c r="J310" s="507">
        <f>D310</f>
        <v>4</v>
      </c>
    </row>
    <row r="311" spans="1:17">
      <c r="A311" s="480"/>
      <c r="B311" s="1117"/>
      <c r="C311" s="488"/>
      <c r="D311" s="489"/>
      <c r="E311" s="489"/>
      <c r="F311" s="489"/>
      <c r="G311" s="489"/>
      <c r="H311" s="489"/>
      <c r="I311" s="490"/>
      <c r="J311" s="491"/>
    </row>
    <row r="312" spans="1:17">
      <c r="A312" s="509"/>
      <c r="B312" s="493"/>
      <c r="C312" s="510"/>
      <c r="D312" s="510"/>
      <c r="E312" s="510"/>
      <c r="F312" s="510"/>
      <c r="G312" s="510"/>
      <c r="H312" s="510"/>
      <c r="I312" s="511"/>
      <c r="J312" s="512"/>
      <c r="M312" s="87"/>
      <c r="N312" s="87"/>
      <c r="O312" s="87"/>
      <c r="P312" s="87"/>
      <c r="Q312" s="87"/>
    </row>
    <row r="313" spans="1:17" ht="45">
      <c r="A313" s="500" t="s">
        <v>357</v>
      </c>
      <c r="B313" s="484" t="s">
        <v>354</v>
      </c>
      <c r="C313" s="485" t="s">
        <v>105</v>
      </c>
      <c r="D313" s="529" t="s">
        <v>790</v>
      </c>
      <c r="E313" s="529" t="s">
        <v>787</v>
      </c>
      <c r="F313" s="529" t="s">
        <v>788</v>
      </c>
      <c r="G313" s="529" t="s">
        <v>789</v>
      </c>
      <c r="H313" s="529" t="s">
        <v>370</v>
      </c>
      <c r="I313" s="529" t="s">
        <v>821</v>
      </c>
      <c r="J313" s="502">
        <f>J314</f>
        <v>12</v>
      </c>
      <c r="M313" s="1296"/>
      <c r="N313" s="1296"/>
      <c r="O313" s="1296"/>
      <c r="P313" s="1296"/>
      <c r="Q313" s="1296"/>
    </row>
    <row r="314" spans="1:17" ht="30">
      <c r="A314" s="503"/>
      <c r="B314" s="1122" t="s">
        <v>908</v>
      </c>
      <c r="C314" s="505"/>
      <c r="D314" s="506">
        <v>6</v>
      </c>
      <c r="E314" s="506">
        <v>2</v>
      </c>
      <c r="F314" s="506"/>
      <c r="G314" s="506"/>
      <c r="H314" s="506"/>
      <c r="I314" s="506"/>
      <c r="J314" s="507">
        <f>D314*E314</f>
        <v>12</v>
      </c>
      <c r="M314" s="581"/>
      <c r="N314" s="581"/>
      <c r="O314" s="581"/>
      <c r="P314" s="581"/>
      <c r="Q314" s="581"/>
    </row>
    <row r="315" spans="1:17">
      <c r="A315" s="480"/>
      <c r="B315" s="1117"/>
      <c r="C315" s="488"/>
      <c r="D315" s="489"/>
      <c r="E315" s="489"/>
      <c r="F315" s="489"/>
      <c r="G315" s="489"/>
      <c r="H315" s="489"/>
      <c r="I315" s="490"/>
      <c r="J315" s="491"/>
    </row>
    <row r="316" spans="1:17">
      <c r="A316" s="509"/>
      <c r="B316" s="493"/>
      <c r="C316" s="510"/>
      <c r="D316" s="510"/>
      <c r="E316" s="510"/>
      <c r="F316" s="510"/>
      <c r="G316" s="510"/>
      <c r="H316" s="510"/>
      <c r="I316" s="511"/>
      <c r="J316" s="512"/>
    </row>
    <row r="317" spans="1:17" ht="122.25" customHeight="1">
      <c r="A317" s="500" t="s">
        <v>358</v>
      </c>
      <c r="B317" s="484" t="s">
        <v>1078</v>
      </c>
      <c r="C317" s="485" t="s">
        <v>104</v>
      </c>
      <c r="D317" s="529" t="s">
        <v>790</v>
      </c>
      <c r="E317" s="529" t="s">
        <v>787</v>
      </c>
      <c r="F317" s="529" t="s">
        <v>788</v>
      </c>
      <c r="G317" s="529" t="s">
        <v>789</v>
      </c>
      <c r="H317" s="529" t="s">
        <v>370</v>
      </c>
      <c r="I317" s="529" t="s">
        <v>821</v>
      </c>
      <c r="J317" s="502">
        <f>J318</f>
        <v>2</v>
      </c>
    </row>
    <row r="318" spans="1:17">
      <c r="A318" s="539"/>
      <c r="B318" s="1116" t="s">
        <v>909</v>
      </c>
      <c r="C318" s="505"/>
      <c r="D318" s="506">
        <v>2</v>
      </c>
      <c r="E318" s="506"/>
      <c r="F318" s="506"/>
      <c r="G318" s="506"/>
      <c r="H318" s="506"/>
      <c r="I318" s="506"/>
      <c r="J318" s="507">
        <f>D318</f>
        <v>2</v>
      </c>
    </row>
    <row r="319" spans="1:17">
      <c r="A319" s="544"/>
      <c r="B319" s="1117"/>
      <c r="C319" s="488"/>
      <c r="D319" s="489"/>
      <c r="E319" s="489"/>
      <c r="F319" s="489"/>
      <c r="G319" s="489"/>
      <c r="H319" s="489"/>
      <c r="I319" s="490"/>
      <c r="J319" s="491"/>
    </row>
    <row r="320" spans="1:17">
      <c r="A320" s="546"/>
      <c r="B320" s="493"/>
      <c r="C320" s="547"/>
      <c r="D320" s="510"/>
      <c r="E320" s="510"/>
      <c r="F320" s="510"/>
      <c r="G320" s="510"/>
      <c r="H320" s="510"/>
      <c r="I320" s="511"/>
      <c r="J320" s="512"/>
    </row>
    <row r="321" spans="1:10" ht="90">
      <c r="A321" s="500" t="s">
        <v>359</v>
      </c>
      <c r="B321" s="484" t="s">
        <v>1052</v>
      </c>
      <c r="C321" s="485" t="s">
        <v>104</v>
      </c>
      <c r="D321" s="529" t="s">
        <v>790</v>
      </c>
      <c r="E321" s="529" t="s">
        <v>787</v>
      </c>
      <c r="F321" s="529" t="s">
        <v>788</v>
      </c>
      <c r="G321" s="529" t="s">
        <v>789</v>
      </c>
      <c r="H321" s="529" t="s">
        <v>370</v>
      </c>
      <c r="I321" s="529" t="s">
        <v>821</v>
      </c>
      <c r="J321" s="502">
        <f>J322</f>
        <v>1</v>
      </c>
    </row>
    <row r="322" spans="1:10">
      <c r="A322" s="539"/>
      <c r="B322" s="1116" t="s">
        <v>909</v>
      </c>
      <c r="C322" s="505"/>
      <c r="D322" s="506">
        <v>1</v>
      </c>
      <c r="E322" s="506"/>
      <c r="F322" s="506"/>
      <c r="G322" s="506"/>
      <c r="H322" s="506"/>
      <c r="I322" s="506"/>
      <c r="J322" s="507">
        <f>D322</f>
        <v>1</v>
      </c>
    </row>
    <row r="323" spans="1:10">
      <c r="A323" s="544"/>
      <c r="B323" s="1117"/>
      <c r="C323" s="488"/>
      <c r="D323" s="489"/>
      <c r="E323" s="489"/>
      <c r="F323" s="489"/>
      <c r="G323" s="489"/>
      <c r="H323" s="489"/>
      <c r="I323" s="490"/>
      <c r="J323" s="491"/>
    </row>
    <row r="324" spans="1:10">
      <c r="A324" s="546"/>
      <c r="B324" s="493"/>
      <c r="C324" s="547"/>
      <c r="D324" s="510"/>
      <c r="E324" s="510"/>
      <c r="F324" s="510"/>
      <c r="G324" s="510"/>
      <c r="H324" s="510"/>
      <c r="I324" s="511"/>
      <c r="J324" s="512"/>
    </row>
    <row r="325" spans="1:10" ht="150">
      <c r="A325" s="500" t="s">
        <v>360</v>
      </c>
      <c r="B325" s="484" t="s">
        <v>1071</v>
      </c>
      <c r="C325" s="485" t="s">
        <v>104</v>
      </c>
      <c r="D325" s="529" t="s">
        <v>790</v>
      </c>
      <c r="E325" s="529" t="s">
        <v>787</v>
      </c>
      <c r="F325" s="529" t="s">
        <v>788</v>
      </c>
      <c r="G325" s="529" t="s">
        <v>789</v>
      </c>
      <c r="H325" s="529" t="s">
        <v>370</v>
      </c>
      <c r="I325" s="529" t="s">
        <v>821</v>
      </c>
      <c r="J325" s="502">
        <f>J326</f>
        <v>2</v>
      </c>
    </row>
    <row r="326" spans="1:10">
      <c r="A326" s="539"/>
      <c r="B326" s="1116" t="s">
        <v>909</v>
      </c>
      <c r="C326" s="505"/>
      <c r="D326" s="506">
        <v>2</v>
      </c>
      <c r="E326" s="506"/>
      <c r="F326" s="506"/>
      <c r="G326" s="506"/>
      <c r="H326" s="506"/>
      <c r="I326" s="506"/>
      <c r="J326" s="507">
        <f>D326</f>
        <v>2</v>
      </c>
    </row>
    <row r="327" spans="1:10">
      <c r="A327" s="544"/>
      <c r="B327" s="1117"/>
      <c r="C327" s="488"/>
      <c r="D327" s="489"/>
      <c r="E327" s="489"/>
      <c r="F327" s="489"/>
      <c r="G327" s="489"/>
      <c r="H327" s="489"/>
      <c r="I327" s="490"/>
      <c r="J327" s="491"/>
    </row>
    <row r="328" spans="1:10">
      <c r="A328" s="546"/>
      <c r="B328" s="493"/>
      <c r="C328" s="547"/>
      <c r="D328" s="510"/>
      <c r="E328" s="510"/>
      <c r="F328" s="510"/>
      <c r="G328" s="510"/>
      <c r="H328" s="510"/>
      <c r="I328" s="511"/>
      <c r="J328" s="512"/>
    </row>
    <row r="329" spans="1:10" ht="45">
      <c r="A329" s="500" t="s">
        <v>361</v>
      </c>
      <c r="B329" s="484" t="s">
        <v>181</v>
      </c>
      <c r="C329" s="485" t="s">
        <v>104</v>
      </c>
      <c r="D329" s="529" t="s">
        <v>790</v>
      </c>
      <c r="E329" s="529" t="s">
        <v>787</v>
      </c>
      <c r="F329" s="529" t="s">
        <v>788</v>
      </c>
      <c r="G329" s="529" t="s">
        <v>789</v>
      </c>
      <c r="H329" s="529" t="s">
        <v>370</v>
      </c>
      <c r="I329" s="529" t="s">
        <v>821</v>
      </c>
      <c r="J329" s="502">
        <f>J330</f>
        <v>2</v>
      </c>
    </row>
    <row r="330" spans="1:10">
      <c r="A330" s="539"/>
      <c r="B330" s="1122" t="s">
        <v>910</v>
      </c>
      <c r="C330" s="505"/>
      <c r="D330" s="506">
        <v>2</v>
      </c>
      <c r="E330" s="506"/>
      <c r="F330" s="506"/>
      <c r="G330" s="506"/>
      <c r="H330" s="506"/>
      <c r="I330" s="506"/>
      <c r="J330" s="507">
        <f>D330</f>
        <v>2</v>
      </c>
    </row>
    <row r="331" spans="1:10">
      <c r="A331" s="544"/>
      <c r="B331" s="1117"/>
      <c r="C331" s="488"/>
      <c r="D331" s="489"/>
      <c r="E331" s="489"/>
      <c r="F331" s="489"/>
      <c r="G331" s="489"/>
      <c r="H331" s="489"/>
      <c r="I331" s="490"/>
      <c r="J331" s="491"/>
    </row>
    <row r="332" spans="1:10">
      <c r="A332" s="546"/>
      <c r="B332" s="493"/>
      <c r="C332" s="547"/>
      <c r="D332" s="510"/>
      <c r="E332" s="510"/>
      <c r="F332" s="510"/>
      <c r="G332" s="510"/>
      <c r="H332" s="510"/>
      <c r="I332" s="511"/>
      <c r="J332" s="512"/>
    </row>
    <row r="333" spans="1:10" ht="150">
      <c r="A333" s="500" t="s">
        <v>362</v>
      </c>
      <c r="B333" s="484" t="s">
        <v>1011</v>
      </c>
      <c r="C333" s="485" t="s">
        <v>104</v>
      </c>
      <c r="D333" s="529" t="s">
        <v>790</v>
      </c>
      <c r="E333" s="529" t="s">
        <v>787</v>
      </c>
      <c r="F333" s="529" t="s">
        <v>788</v>
      </c>
      <c r="G333" s="529" t="s">
        <v>789</v>
      </c>
      <c r="H333" s="529" t="s">
        <v>370</v>
      </c>
      <c r="I333" s="529" t="s">
        <v>821</v>
      </c>
      <c r="J333" s="502">
        <f>J334</f>
        <v>1</v>
      </c>
    </row>
    <row r="334" spans="1:10">
      <c r="A334" s="539"/>
      <c r="B334" s="1116" t="s">
        <v>850</v>
      </c>
      <c r="C334" s="505"/>
      <c r="D334" s="506">
        <v>1</v>
      </c>
      <c r="E334" s="506"/>
      <c r="F334" s="506"/>
      <c r="G334" s="506"/>
      <c r="H334" s="506"/>
      <c r="I334" s="506"/>
      <c r="J334" s="507">
        <f>D334</f>
        <v>1</v>
      </c>
    </row>
    <row r="335" spans="1:10">
      <c r="A335" s="544"/>
      <c r="B335" s="1117"/>
      <c r="C335" s="488"/>
      <c r="D335" s="489"/>
      <c r="E335" s="489"/>
      <c r="F335" s="489"/>
      <c r="G335" s="489"/>
      <c r="H335" s="489"/>
      <c r="I335" s="490"/>
      <c r="J335" s="491"/>
    </row>
    <row r="336" spans="1:10">
      <c r="A336" s="546"/>
      <c r="B336" s="493"/>
      <c r="C336" s="547"/>
      <c r="D336" s="510"/>
      <c r="E336" s="510"/>
      <c r="F336" s="510"/>
      <c r="G336" s="510"/>
      <c r="H336" s="510"/>
      <c r="I336" s="511"/>
      <c r="J336" s="512"/>
    </row>
    <row r="337" spans="1:10" ht="165">
      <c r="A337" s="500" t="s">
        <v>363</v>
      </c>
      <c r="B337" s="484" t="s">
        <v>1069</v>
      </c>
      <c r="C337" s="485" t="s">
        <v>104</v>
      </c>
      <c r="D337" s="529" t="s">
        <v>790</v>
      </c>
      <c r="E337" s="529" t="s">
        <v>787</v>
      </c>
      <c r="F337" s="529" t="s">
        <v>788</v>
      </c>
      <c r="G337" s="529" t="s">
        <v>789</v>
      </c>
      <c r="H337" s="529" t="s">
        <v>370</v>
      </c>
      <c r="I337" s="529" t="s">
        <v>821</v>
      </c>
      <c r="J337" s="502">
        <f>J338</f>
        <v>1</v>
      </c>
    </row>
    <row r="338" spans="1:10">
      <c r="A338" s="539"/>
      <c r="B338" s="1116" t="s">
        <v>850</v>
      </c>
      <c r="C338" s="505"/>
      <c r="D338" s="506">
        <v>1</v>
      </c>
      <c r="E338" s="506"/>
      <c r="F338" s="506"/>
      <c r="G338" s="506"/>
      <c r="H338" s="506"/>
      <c r="I338" s="506"/>
      <c r="J338" s="507">
        <f>D338</f>
        <v>1</v>
      </c>
    </row>
    <row r="339" spans="1:10">
      <c r="A339" s="544"/>
      <c r="B339" s="1117"/>
      <c r="C339" s="488"/>
      <c r="D339" s="489"/>
      <c r="E339" s="489"/>
      <c r="F339" s="489"/>
      <c r="G339" s="489"/>
      <c r="H339" s="489"/>
      <c r="I339" s="490"/>
      <c r="J339" s="491"/>
    </row>
    <row r="340" spans="1:10">
      <c r="A340" s="546"/>
      <c r="B340" s="493"/>
      <c r="C340" s="547"/>
      <c r="D340" s="510"/>
      <c r="E340" s="510"/>
      <c r="F340" s="510"/>
      <c r="G340" s="510"/>
      <c r="H340" s="510"/>
      <c r="I340" s="511"/>
      <c r="J340" s="512"/>
    </row>
    <row r="341" spans="1:10" hidden="1">
      <c r="A341" s="500" t="s">
        <v>364</v>
      </c>
      <c r="B341" s="484" t="e">
        <f>#REF!</f>
        <v>#REF!</v>
      </c>
      <c r="C341" s="485" t="e">
        <f>#REF!</f>
        <v>#REF!</v>
      </c>
      <c r="D341" s="486" t="s">
        <v>787</v>
      </c>
      <c r="E341" s="486" t="s">
        <v>788</v>
      </c>
      <c r="F341" s="486" t="s">
        <v>789</v>
      </c>
      <c r="G341" s="486"/>
      <c r="H341" s="486"/>
      <c r="I341" s="486" t="s">
        <v>790</v>
      </c>
      <c r="J341" s="502"/>
    </row>
    <row r="342" spans="1:10" hidden="1">
      <c r="A342" s="539"/>
      <c r="B342" s="961" t="s">
        <v>792</v>
      </c>
      <c r="C342" s="540"/>
      <c r="D342" s="506"/>
      <c r="E342" s="506"/>
      <c r="F342" s="506"/>
      <c r="G342" s="506"/>
      <c r="H342" s="506"/>
      <c r="I342" s="506"/>
      <c r="J342" s="507"/>
    </row>
    <row r="343" spans="1:10" hidden="1">
      <c r="A343" s="544"/>
      <c r="B343" s="961" t="s">
        <v>803</v>
      </c>
      <c r="C343" s="545"/>
      <c r="D343" s="1125"/>
      <c r="E343" s="939">
        <v>25</v>
      </c>
      <c r="F343" s="489"/>
      <c r="G343" s="489"/>
      <c r="H343" s="489"/>
      <c r="I343" s="490"/>
      <c r="J343" s="491">
        <f>E343</f>
        <v>25</v>
      </c>
    </row>
    <row r="344" spans="1:10" hidden="1">
      <c r="A344" s="544"/>
      <c r="B344" s="961" t="s">
        <v>804</v>
      </c>
      <c r="C344" s="545"/>
      <c r="D344" s="1124"/>
      <c r="E344" s="939">
        <v>75</v>
      </c>
      <c r="F344" s="489"/>
      <c r="G344" s="489"/>
      <c r="H344" s="489"/>
      <c r="I344" s="490"/>
      <c r="J344" s="491">
        <f>E344</f>
        <v>75</v>
      </c>
    </row>
    <row r="345" spans="1:10" hidden="1">
      <c r="A345" s="544"/>
      <c r="B345" s="961"/>
      <c r="C345" s="545"/>
      <c r="D345" s="489"/>
      <c r="E345" s="489"/>
      <c r="F345" s="489"/>
      <c r="G345" s="489"/>
      <c r="H345" s="489"/>
      <c r="I345" s="490"/>
      <c r="J345" s="491"/>
    </row>
    <row r="346" spans="1:10" hidden="1">
      <c r="A346" s="546"/>
      <c r="B346" s="493"/>
      <c r="C346" s="547"/>
      <c r="D346" s="510"/>
      <c r="E346" s="510"/>
      <c r="F346" s="510"/>
      <c r="G346" s="510"/>
      <c r="H346" s="510"/>
      <c r="I346" s="511"/>
      <c r="J346" s="512"/>
    </row>
    <row r="347" spans="1:10">
      <c r="A347" s="495" t="s">
        <v>365</v>
      </c>
      <c r="B347" s="533" t="s">
        <v>41</v>
      </c>
      <c r="C347" s="538"/>
      <c r="D347" s="498"/>
      <c r="E347" s="498"/>
      <c r="F347" s="498"/>
      <c r="G347" s="498"/>
      <c r="H347" s="498"/>
      <c r="I347" s="498"/>
      <c r="J347" s="499"/>
    </row>
    <row r="348" spans="1:10">
      <c r="A348" s="513" t="s">
        <v>1059</v>
      </c>
      <c r="B348" s="484" t="s">
        <v>42</v>
      </c>
      <c r="C348" s="485" t="s">
        <v>57</v>
      </c>
      <c r="D348" s="529" t="s">
        <v>790</v>
      </c>
      <c r="E348" s="529" t="s">
        <v>787</v>
      </c>
      <c r="F348" s="529" t="s">
        <v>788</v>
      </c>
      <c r="G348" s="529" t="s">
        <v>789</v>
      </c>
      <c r="H348" s="529" t="s">
        <v>370</v>
      </c>
      <c r="I348" s="529" t="s">
        <v>821</v>
      </c>
      <c r="J348" s="502">
        <f>J349</f>
        <v>518.76</v>
      </c>
    </row>
    <row r="349" spans="1:10">
      <c r="A349" s="539"/>
      <c r="B349" s="1116" t="s">
        <v>851</v>
      </c>
      <c r="C349" s="505"/>
      <c r="D349" s="506">
        <v>1</v>
      </c>
      <c r="E349" s="506"/>
      <c r="F349" s="506"/>
      <c r="G349" s="506"/>
      <c r="H349" s="506">
        <v>518.76</v>
      </c>
      <c r="I349" s="506"/>
      <c r="J349" s="507">
        <f>H349</f>
        <v>518.76</v>
      </c>
    </row>
    <row r="350" spans="1:10">
      <c r="A350" s="544"/>
      <c r="B350" s="1117"/>
      <c r="C350" s="488"/>
      <c r="D350" s="489"/>
      <c r="E350" s="489"/>
      <c r="F350" s="489"/>
      <c r="G350" s="489"/>
      <c r="H350" s="489"/>
      <c r="I350" s="490"/>
      <c r="J350" s="491"/>
    </row>
    <row r="351" spans="1:10">
      <c r="A351" s="544"/>
      <c r="B351" s="961"/>
      <c r="C351" s="545"/>
      <c r="D351" s="489"/>
      <c r="E351" s="489"/>
      <c r="F351" s="489"/>
      <c r="G351" s="489"/>
      <c r="H351" s="489"/>
      <c r="I351" s="490"/>
      <c r="J351" s="491"/>
    </row>
    <row r="352" spans="1:10" ht="15.75" thickBot="1">
      <c r="A352" s="548"/>
      <c r="B352" s="549"/>
      <c r="C352" s="550"/>
      <c r="D352" s="550"/>
      <c r="E352" s="550"/>
      <c r="F352" s="550"/>
      <c r="G352" s="550"/>
      <c r="H352" s="550"/>
      <c r="I352" s="551"/>
      <c r="J352" s="552"/>
    </row>
  </sheetData>
  <mergeCells count="12">
    <mergeCell ref="M313:Q313"/>
    <mergeCell ref="B12:J12"/>
    <mergeCell ref="B43:J43"/>
    <mergeCell ref="B151:J151"/>
    <mergeCell ref="B159:J159"/>
    <mergeCell ref="E139:I139"/>
    <mergeCell ref="B7:J7"/>
    <mergeCell ref="A1:J1"/>
    <mergeCell ref="A2:J2"/>
    <mergeCell ref="A3:J3"/>
    <mergeCell ref="A4:J4"/>
    <mergeCell ref="A5:J5"/>
  </mergeCells>
  <pageMargins left="0.31496062992125984" right="0.31496062992125984" top="0.35433070866141736" bottom="0.35433070866141736" header="0.31496062992125984" footer="0.31496062992125984"/>
  <pageSetup paperSize="9" scale="63" fitToHeight="0" orientation="portrait" horizontalDpi="4294967294" verticalDpi="4294967294" r:id="rId1"/>
  <headerFooter>
    <oddFooter>Página &amp;P</oddFooter>
  </headerFooter>
  <rowBreaks count="6" manualBreakCount="6">
    <brk id="67" max="9" man="1"/>
    <brk id="118" max="9" man="1"/>
    <brk id="176" max="9" man="1"/>
    <brk id="219" max="9" man="1"/>
    <brk id="269" max="9" man="1"/>
    <brk id="320" max="9" man="1"/>
  </rowBreaks>
  <drawing r:id="rId2"/>
  <legacyDrawingHF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57"/>
  <sheetViews>
    <sheetView view="pageBreakPreview" zoomScale="130" zoomScaleNormal="100" zoomScaleSheetLayoutView="130" workbookViewId="0">
      <selection activeCell="B13" sqref="B13"/>
    </sheetView>
  </sheetViews>
  <sheetFormatPr defaultRowHeight="15"/>
  <cols>
    <col min="1" max="1" width="15" customWidth="1"/>
    <col min="2" max="2" width="37.7109375" bestFit="1" customWidth="1"/>
    <col min="3" max="3" width="6.5703125" bestFit="1" customWidth="1"/>
    <col min="4" max="4" width="6.7109375" customWidth="1"/>
  </cols>
  <sheetData>
    <row r="1" spans="1:4" ht="15.75">
      <c r="A1" s="1314" t="s">
        <v>59</v>
      </c>
      <c r="B1" s="1314"/>
      <c r="C1" s="1314"/>
      <c r="D1" s="1314"/>
    </row>
    <row r="2" spans="1:4">
      <c r="A2" s="9"/>
      <c r="B2" s="9"/>
      <c r="C2" s="9"/>
      <c r="D2" s="9"/>
    </row>
    <row r="3" spans="1:4">
      <c r="A3" s="10" t="s">
        <v>60</v>
      </c>
      <c r="B3" s="1315" t="s">
        <v>91</v>
      </c>
      <c r="C3" s="1315"/>
      <c r="D3" s="1315"/>
    </row>
    <row r="4" spans="1:4">
      <c r="A4" s="10" t="s">
        <v>61</v>
      </c>
      <c r="B4" s="1315" t="s">
        <v>92</v>
      </c>
      <c r="C4" s="1315"/>
      <c r="D4" s="1315"/>
    </row>
    <row r="5" spans="1:4">
      <c r="A5" s="10" t="s">
        <v>62</v>
      </c>
      <c r="B5" s="11" t="s">
        <v>1083</v>
      </c>
      <c r="C5" s="11"/>
      <c r="D5" s="11"/>
    </row>
    <row r="6" spans="1:4">
      <c r="A6" s="12"/>
      <c r="B6" s="13"/>
      <c r="C6" s="14"/>
      <c r="D6" s="15"/>
    </row>
    <row r="7" spans="1:4">
      <c r="A7" s="1309" t="s">
        <v>63</v>
      </c>
      <c r="B7" s="1309"/>
      <c r="C7" s="1309"/>
      <c r="D7" s="1309"/>
    </row>
    <row r="8" spans="1:4">
      <c r="A8" s="16"/>
      <c r="B8" s="17"/>
      <c r="C8" s="18"/>
      <c r="D8" s="19"/>
    </row>
    <row r="9" spans="1:4">
      <c r="A9" s="20"/>
      <c r="B9" s="21" t="s">
        <v>64</v>
      </c>
      <c r="C9" s="18"/>
      <c r="D9" s="19"/>
    </row>
    <row r="10" spans="1:4">
      <c r="A10" s="20"/>
      <c r="B10" s="22"/>
      <c r="C10" s="18"/>
      <c r="D10" s="19"/>
    </row>
    <row r="11" spans="1:4">
      <c r="A11" s="1309" t="s">
        <v>65</v>
      </c>
      <c r="B11" s="1309"/>
      <c r="C11" s="1309"/>
      <c r="D11" s="1309"/>
    </row>
    <row r="12" spans="1:4">
      <c r="A12" s="16"/>
      <c r="B12" s="23"/>
      <c r="C12" s="24"/>
      <c r="D12" s="25"/>
    </row>
    <row r="13" spans="1:4">
      <c r="A13" s="20"/>
      <c r="B13" s="21" t="s">
        <v>66</v>
      </c>
      <c r="C13" s="24"/>
      <c r="D13" s="25"/>
    </row>
    <row r="14" spans="1:4">
      <c r="A14" s="20"/>
      <c r="B14" s="26"/>
      <c r="C14" s="26"/>
      <c r="D14" s="27"/>
    </row>
    <row r="15" spans="1:4">
      <c r="A15" s="1309" t="s">
        <v>67</v>
      </c>
      <c r="B15" s="1309"/>
      <c r="C15" s="1309"/>
      <c r="D15" s="1309"/>
    </row>
    <row r="16" spans="1:4">
      <c r="A16" s="16"/>
      <c r="B16" s="23"/>
      <c r="C16" s="24"/>
      <c r="D16" s="28"/>
    </row>
    <row r="17" spans="1:4">
      <c r="A17" s="29"/>
      <c r="B17" s="30" t="s">
        <v>68</v>
      </c>
      <c r="C17" s="31">
        <v>4</v>
      </c>
      <c r="D17" s="32" t="s">
        <v>48</v>
      </c>
    </row>
    <row r="18" spans="1:4">
      <c r="A18" s="29"/>
      <c r="B18" s="30" t="s">
        <v>69</v>
      </c>
      <c r="C18" s="31">
        <v>0.97</v>
      </c>
      <c r="D18" s="32" t="s">
        <v>48</v>
      </c>
    </row>
    <row r="19" spans="1:4">
      <c r="A19" s="29"/>
      <c r="B19" s="30" t="s">
        <v>70</v>
      </c>
      <c r="C19" s="31">
        <v>0.8</v>
      </c>
      <c r="D19" s="32" t="s">
        <v>48</v>
      </c>
    </row>
    <row r="20" spans="1:4">
      <c r="A20" s="29"/>
      <c r="B20" s="30" t="s">
        <v>71</v>
      </c>
      <c r="C20" s="31">
        <v>0.59</v>
      </c>
      <c r="D20" s="32" t="s">
        <v>48</v>
      </c>
    </row>
    <row r="21" spans="1:4">
      <c r="A21" s="33"/>
      <c r="B21" s="34"/>
      <c r="C21" s="35"/>
      <c r="D21" s="36"/>
    </row>
    <row r="22" spans="1:4">
      <c r="A22" s="29"/>
      <c r="B22" s="30" t="s">
        <v>72</v>
      </c>
      <c r="C22" s="31">
        <v>6.86</v>
      </c>
      <c r="D22" s="32" t="s">
        <v>48</v>
      </c>
    </row>
    <row r="23" spans="1:4">
      <c r="A23" s="20"/>
      <c r="B23" s="20"/>
      <c r="C23" s="37"/>
      <c r="D23" s="38"/>
    </row>
    <row r="24" spans="1:4">
      <c r="A24" s="1309" t="s">
        <v>73</v>
      </c>
      <c r="B24" s="1309"/>
      <c r="C24" s="1309"/>
      <c r="D24" s="1309"/>
    </row>
    <row r="25" spans="1:4">
      <c r="A25" s="39"/>
      <c r="B25" s="39"/>
      <c r="C25" s="39"/>
      <c r="D25" s="39"/>
    </row>
    <row r="26" spans="1:4">
      <c r="A26" s="39"/>
      <c r="B26" s="40" t="s">
        <v>74</v>
      </c>
      <c r="C26" s="41">
        <f>C29+C31+C32+C33</f>
        <v>10.15</v>
      </c>
      <c r="D26" s="42" t="s">
        <v>48</v>
      </c>
    </row>
    <row r="27" spans="1:4">
      <c r="A27" s="39"/>
      <c r="B27" s="39"/>
      <c r="C27" s="39"/>
      <c r="D27" s="39"/>
    </row>
    <row r="28" spans="1:4" ht="25.5">
      <c r="A28" s="39"/>
      <c r="B28" s="43" t="s">
        <v>75</v>
      </c>
      <c r="C28" s="31">
        <v>100</v>
      </c>
      <c r="D28" s="42" t="s">
        <v>48</v>
      </c>
    </row>
    <row r="29" spans="1:4" ht="25.5">
      <c r="A29" s="39"/>
      <c r="B29" s="43" t="s">
        <v>76</v>
      </c>
      <c r="C29" s="31">
        <v>2</v>
      </c>
      <c r="D29" s="42" t="s">
        <v>48</v>
      </c>
    </row>
    <row r="30" spans="1:4">
      <c r="A30" s="16"/>
      <c r="B30" s="23"/>
      <c r="C30" s="44"/>
      <c r="D30" s="45"/>
    </row>
    <row r="31" spans="1:4">
      <c r="A31" s="20"/>
      <c r="B31" s="43" t="s">
        <v>77</v>
      </c>
      <c r="C31" s="46">
        <v>3</v>
      </c>
      <c r="D31" s="47" t="s">
        <v>48</v>
      </c>
    </row>
    <row r="32" spans="1:4">
      <c r="A32" s="20"/>
      <c r="B32" s="43" t="s">
        <v>78</v>
      </c>
      <c r="C32" s="46">
        <v>0.65</v>
      </c>
      <c r="D32" s="47" t="s">
        <v>48</v>
      </c>
    </row>
    <row r="33" spans="1:4">
      <c r="A33" s="20"/>
      <c r="B33" s="43" t="s">
        <v>79</v>
      </c>
      <c r="C33" s="46">
        <f>IF(B9="Com Desoneração",4.5,0)</f>
        <v>4.5</v>
      </c>
      <c r="D33" s="32" t="s">
        <v>48</v>
      </c>
    </row>
    <row r="34" spans="1:4">
      <c r="A34" s="20"/>
      <c r="B34" s="20"/>
      <c r="C34" s="26"/>
      <c r="D34" s="27"/>
    </row>
    <row r="35" spans="1:4">
      <c r="A35" s="1309" t="s">
        <v>80</v>
      </c>
      <c r="B35" s="1309"/>
      <c r="C35" s="1309"/>
      <c r="D35" s="1309"/>
    </row>
    <row r="36" spans="1:4">
      <c r="A36" s="16"/>
      <c r="B36" s="23"/>
      <c r="C36" s="24"/>
      <c r="D36" s="25"/>
    </row>
    <row r="37" spans="1:4">
      <c r="A37" s="20"/>
      <c r="B37" s="37" t="s">
        <v>81</v>
      </c>
      <c r="C37" s="1310">
        <f>ROUND((((1+($C$17/100)+($C$19/100)+($C$18/100))*(1+($C$20/100))*(1+($C$22/100)))/(1-$C$26/100)-1),4)</f>
        <v>0.26540000000000002</v>
      </c>
      <c r="D37" s="1311"/>
    </row>
    <row r="38" spans="1:4">
      <c r="A38" s="20"/>
      <c r="B38" s="26" t="s">
        <v>82</v>
      </c>
      <c r="C38" s="1312"/>
      <c r="D38" s="1313"/>
    </row>
    <row r="39" spans="1:4">
      <c r="A39" s="20"/>
      <c r="B39" s="20"/>
      <c r="C39" s="48"/>
      <c r="D39" s="49"/>
    </row>
    <row r="40" spans="1:4">
      <c r="A40" s="50" t="s">
        <v>83</v>
      </c>
      <c r="B40" s="20"/>
      <c r="C40" s="26"/>
      <c r="D40" s="49"/>
    </row>
    <row r="41" spans="1:4">
      <c r="A41" s="50" t="str">
        <f>CONCATENATE("do ISS para ", B13," é de ",C28," %",", com a respectiva alíquota de ",C29,"  %")</f>
        <v>do ISS para Edificações é de 100 %, com a respectiva alíquota de 2  %</v>
      </c>
      <c r="B41" s="20"/>
      <c r="C41" s="26"/>
      <c r="D41" s="49"/>
    </row>
    <row r="42" spans="1:4">
      <c r="A42" s="50"/>
      <c r="B42" s="20"/>
      <c r="C42" s="26"/>
      <c r="D42" s="49"/>
    </row>
    <row r="43" spans="1:4">
      <c r="A43" s="51" t="s">
        <v>84</v>
      </c>
      <c r="B43" s="52"/>
      <c r="C43" s="53"/>
      <c r="D43" s="53"/>
    </row>
    <row r="44" spans="1:4">
      <c r="A44" s="51" t="str">
        <f>CONCATENATE("elaboração do orçamento foi ",B9,", e que esta é a alternativa mais adequada para ")</f>
        <v xml:space="preserve">elaboração do orçamento foi Com Desoneração, e que esta é a alternativa mais adequada para </v>
      </c>
      <c r="B44" s="20"/>
      <c r="C44" s="53"/>
      <c r="D44" s="53"/>
    </row>
    <row r="45" spans="1:4">
      <c r="A45" s="51" t="s">
        <v>85</v>
      </c>
      <c r="B45" s="20"/>
      <c r="C45" s="53"/>
      <c r="D45" s="53"/>
    </row>
    <row r="46" spans="1:4">
      <c r="A46" s="20"/>
      <c r="B46" s="20"/>
      <c r="C46" s="26"/>
      <c r="D46" s="49"/>
    </row>
    <row r="47" spans="1:4">
      <c r="A47" s="20"/>
      <c r="B47" s="20"/>
      <c r="C47" s="26"/>
      <c r="D47" s="49"/>
    </row>
    <row r="48" spans="1:4">
      <c r="A48" s="20"/>
      <c r="B48" s="20"/>
      <c r="C48" s="26"/>
      <c r="D48" s="49"/>
    </row>
    <row r="49" spans="1:4">
      <c r="A49" s="29" t="s">
        <v>86</v>
      </c>
      <c r="B49" s="54" t="s">
        <v>93</v>
      </c>
      <c r="C49" s="26"/>
      <c r="D49" s="49"/>
    </row>
    <row r="50" spans="1:4">
      <c r="A50" s="29" t="s">
        <v>87</v>
      </c>
      <c r="B50" s="55" t="s">
        <v>94</v>
      </c>
      <c r="C50" s="26"/>
      <c r="D50" s="49"/>
    </row>
    <row r="51" spans="1:4">
      <c r="A51" s="20"/>
      <c r="B51" s="20"/>
      <c r="C51" s="26"/>
      <c r="D51" s="49"/>
    </row>
    <row r="52" spans="1:4">
      <c r="A52" s="20"/>
      <c r="B52" s="20"/>
      <c r="C52" s="26"/>
      <c r="D52" s="49"/>
    </row>
    <row r="53" spans="1:4">
      <c r="A53" s="20"/>
      <c r="B53" s="20"/>
      <c r="C53" s="20"/>
      <c r="D53" s="20"/>
    </row>
    <row r="54" spans="1:4">
      <c r="A54" s="20"/>
      <c r="B54" s="20"/>
      <c r="C54" s="26"/>
      <c r="D54" s="49"/>
    </row>
    <row r="55" spans="1:4">
      <c r="A55" s="20"/>
      <c r="B55" s="54" t="s">
        <v>88</v>
      </c>
      <c r="C55" s="26"/>
      <c r="D55" s="49"/>
    </row>
    <row r="56" spans="1:4">
      <c r="A56" s="29" t="s">
        <v>89</v>
      </c>
      <c r="B56" s="55" t="s">
        <v>1084</v>
      </c>
      <c r="C56" s="26"/>
      <c r="D56" s="49"/>
    </row>
    <row r="57" spans="1:4">
      <c r="A57" s="29" t="s">
        <v>90</v>
      </c>
      <c r="B57" s="55" t="s">
        <v>1085</v>
      </c>
      <c r="C57" s="26"/>
      <c r="D57" s="49"/>
    </row>
  </sheetData>
  <protectedRanges>
    <protectedRange sqref="C17:C20" name="Intervalo1"/>
    <protectedRange sqref="C21:C22 C31:C33" name="Intervalo2"/>
  </protectedRanges>
  <mergeCells count="9">
    <mergeCell ref="A24:D24"/>
    <mergeCell ref="A35:D35"/>
    <mergeCell ref="C37:D38"/>
    <mergeCell ref="A1:D1"/>
    <mergeCell ref="B3:D3"/>
    <mergeCell ref="B4:D4"/>
    <mergeCell ref="A7:D7"/>
    <mergeCell ref="A11:D11"/>
    <mergeCell ref="A15:D15"/>
  </mergeCells>
  <dataValidations count="4">
    <dataValidation type="decimal" allowBlank="1" showInputMessage="1" showErrorMessage="1" errorTitle="Atenção" error="O valor deve estar entre 0 e 100" sqref="C28">
      <formula1>0</formula1>
      <formula2>100</formula2>
    </dataValidation>
    <dataValidation type="decimal" allowBlank="1" showInputMessage="1" showErrorMessage="1" errorTitle="Atenção" error="O valor deve estar entre 2%  e  5%" sqref="C29">
      <formula1>2</formula1>
      <formula2>5</formula2>
    </dataValidation>
    <dataValidation type="list" allowBlank="1" showInputMessage="1" showErrorMessage="1" sqref="B9">
      <formula1>"Com Desoneração, Sem Desoneração"</formula1>
    </dataValidation>
    <dataValidation type="list" allowBlank="1" showInputMessage="1" showErrorMessage="1" sqref="B13">
      <mc:AlternateContent xmlns:x12ac="http://schemas.microsoft.com/office/spreadsheetml/2011/1/ac" xmlns:mc="http://schemas.openxmlformats.org/markup-compatibility/2006">
        <mc:Choice Requires="x12ac">
          <x12ac:list>Edificações, Fornecimento de Materiais e Equipamentos," Redes de Água, Esgoto ou Correlatas", Rodovias e Ferrovias," Portuárias, Marítimas e Fluviais",</x12ac:list>
        </mc:Choice>
        <mc:Fallback>
          <formula1>"Edificações, Fornecimento de Materiais e Equipamentos, Redes de Água, Esgoto ou Correlatas, Rodovias e Ferrovias, Portuárias, Marítimas e Fluviais,"</formula1>
        </mc:Fallback>
      </mc:AlternateContent>
    </dataValidation>
  </dataValidations>
  <pageMargins left="1.299212598425197" right="0.51181102362204722" top="0.78740157480314965" bottom="0.78740157480314965" header="0.31496062992125984" footer="0.31496062992125984"/>
  <pageSetup paperSize="9" scale="85"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8"/>
  <sheetViews>
    <sheetView view="pageBreakPreview" topLeftCell="A23" zoomScale="60" zoomScaleNormal="70" workbookViewId="0">
      <selection activeCell="B30" sqref="B30"/>
    </sheetView>
  </sheetViews>
  <sheetFormatPr defaultRowHeight="15"/>
  <cols>
    <col min="1" max="1" width="11.7109375" bestFit="1" customWidth="1"/>
    <col min="2" max="2" width="31" customWidth="1"/>
    <col min="3" max="3" width="13.42578125" customWidth="1"/>
    <col min="4" max="4" width="17.5703125" hidden="1" customWidth="1"/>
    <col min="5" max="5" width="18.85546875" customWidth="1"/>
    <col min="6" max="6" width="14.7109375" bestFit="1" customWidth="1"/>
    <col min="7" max="7" width="23.28515625" bestFit="1" customWidth="1"/>
    <col min="8" max="8" width="18.5703125" style="580" customWidth="1"/>
    <col min="9" max="9" width="19.42578125" customWidth="1"/>
    <col min="10" max="10" width="12.5703125" bestFit="1" customWidth="1"/>
    <col min="11" max="11" width="23.7109375" bestFit="1" customWidth="1"/>
    <col min="12" max="12" width="17.7109375" style="580" customWidth="1"/>
    <col min="13" max="13" width="18.5703125" customWidth="1"/>
    <col min="14" max="14" width="15.140625" bestFit="1" customWidth="1"/>
    <col min="15" max="15" width="23.7109375" bestFit="1" customWidth="1"/>
    <col min="16" max="16" width="18" style="580" customWidth="1"/>
    <col min="17" max="17" width="33.42578125" hidden="1" customWidth="1"/>
    <col min="18" max="18" width="19.85546875" bestFit="1" customWidth="1"/>
    <col min="19" max="19" width="32.42578125" customWidth="1"/>
  </cols>
  <sheetData>
    <row r="1" spans="1:19" ht="42" customHeight="1">
      <c r="A1" s="1318" t="s">
        <v>43</v>
      </c>
      <c r="B1" s="1319"/>
      <c r="C1" s="1319"/>
      <c r="D1" s="1319"/>
      <c r="E1" s="1319"/>
      <c r="F1" s="1319"/>
      <c r="G1" s="1319"/>
      <c r="H1" s="1319"/>
      <c r="I1" s="1319"/>
      <c r="J1" s="1319"/>
      <c r="K1" s="1319"/>
      <c r="L1" s="1319"/>
      <c r="M1" s="1319"/>
      <c r="N1" s="1319"/>
      <c r="O1" s="1319"/>
      <c r="P1" s="1319"/>
      <c r="Q1" s="1319"/>
      <c r="R1" s="1319"/>
      <c r="S1" s="1320"/>
    </row>
    <row r="2" spans="1:19">
      <c r="A2" s="1321"/>
      <c r="B2" s="1322"/>
      <c r="C2" s="1322"/>
      <c r="D2" s="1322"/>
      <c r="E2" s="1322"/>
      <c r="F2" s="1322"/>
      <c r="G2" s="1322"/>
      <c r="H2" s="1322"/>
      <c r="I2" s="1322"/>
      <c r="J2" s="1322"/>
      <c r="K2" s="1322"/>
      <c r="L2" s="1322"/>
      <c r="M2" s="1322"/>
      <c r="N2" s="1322"/>
      <c r="O2" s="1322"/>
      <c r="P2" s="1322"/>
      <c r="Q2" s="1322"/>
      <c r="R2" s="1322"/>
      <c r="S2" s="1323"/>
    </row>
    <row r="3" spans="1:19" ht="21">
      <c r="A3" s="1324" t="s">
        <v>122</v>
      </c>
      <c r="B3" s="1325"/>
      <c r="C3" s="1325"/>
      <c r="D3" s="1325"/>
      <c r="E3" s="1325"/>
      <c r="F3" s="1325"/>
      <c r="G3" s="1325"/>
      <c r="H3" s="1325"/>
      <c r="I3" s="1325"/>
      <c r="J3" s="1325"/>
      <c r="K3" s="1325"/>
      <c r="L3" s="1325"/>
      <c r="M3" s="1325"/>
      <c r="N3" s="1325"/>
      <c r="O3" s="1325"/>
      <c r="P3" s="1325"/>
      <c r="Q3" s="1325"/>
      <c r="R3" s="1325"/>
      <c r="S3" s="1326"/>
    </row>
    <row r="4" spans="1:19" ht="21">
      <c r="A4" s="1324" t="s">
        <v>125</v>
      </c>
      <c r="B4" s="1325"/>
      <c r="C4" s="1325"/>
      <c r="D4" s="1325"/>
      <c r="E4" s="1325"/>
      <c r="F4" s="1325"/>
      <c r="G4" s="1325"/>
      <c r="H4" s="1325"/>
      <c r="I4" s="1325"/>
      <c r="J4" s="1325"/>
      <c r="K4" s="1325"/>
      <c r="L4" s="1325"/>
      <c r="M4" s="1325"/>
      <c r="N4" s="1325"/>
      <c r="O4" s="1325"/>
      <c r="P4" s="1325"/>
      <c r="Q4" s="1325"/>
      <c r="R4" s="1325"/>
      <c r="S4" s="1326"/>
    </row>
    <row r="5" spans="1:19" ht="11.25" customHeight="1">
      <c r="A5" s="560"/>
      <c r="B5" s="561"/>
      <c r="C5" s="561"/>
      <c r="D5" s="561"/>
      <c r="E5" s="561"/>
      <c r="F5" s="561"/>
      <c r="G5" s="561"/>
      <c r="H5" s="579"/>
      <c r="I5" s="561"/>
      <c r="J5" s="561"/>
      <c r="K5" s="561"/>
      <c r="L5" s="579"/>
      <c r="M5" s="561"/>
      <c r="N5" s="561"/>
      <c r="O5" s="561"/>
      <c r="P5" s="579"/>
      <c r="Q5" s="561"/>
      <c r="R5" s="561"/>
      <c r="S5" s="562"/>
    </row>
    <row r="6" spans="1:19" ht="10.5" customHeight="1">
      <c r="A6" s="560"/>
      <c r="B6" s="561"/>
      <c r="C6" s="561"/>
      <c r="D6" s="561"/>
      <c r="E6" s="561"/>
      <c r="F6" s="561"/>
      <c r="G6" s="561"/>
      <c r="H6" s="579"/>
      <c r="I6" s="561"/>
      <c r="J6" s="561"/>
      <c r="K6" s="561"/>
      <c r="L6" s="579"/>
      <c r="M6" s="561"/>
      <c r="N6" s="561"/>
      <c r="O6" s="561"/>
      <c r="P6" s="579"/>
      <c r="Q6" s="561"/>
      <c r="R6" s="561"/>
      <c r="S6" s="562"/>
    </row>
    <row r="7" spans="1:19" ht="18">
      <c r="A7" s="1327" t="s">
        <v>166</v>
      </c>
      <c r="B7" s="1328"/>
      <c r="C7" s="1328"/>
      <c r="D7" s="1328"/>
      <c r="E7" s="1328"/>
      <c r="F7" s="1328"/>
      <c r="G7" s="1328"/>
      <c r="H7" s="1328"/>
      <c r="I7" s="1328"/>
      <c r="J7" s="1328"/>
      <c r="K7" s="1328"/>
      <c r="L7" s="1328"/>
      <c r="M7" s="1328"/>
      <c r="N7" s="1328"/>
      <c r="O7" s="1328"/>
      <c r="P7" s="1328"/>
      <c r="Q7" s="1328"/>
      <c r="R7" s="1328"/>
      <c r="S7" s="1329"/>
    </row>
    <row r="8" spans="1:19" ht="16.5" thickBot="1">
      <c r="A8" s="1330" t="s">
        <v>51</v>
      </c>
      <c r="B8" s="1331" t="s">
        <v>132</v>
      </c>
      <c r="C8" s="1331" t="s">
        <v>151</v>
      </c>
      <c r="D8" s="1331" t="s">
        <v>426</v>
      </c>
      <c r="E8" s="1333" t="s">
        <v>427</v>
      </c>
      <c r="F8" s="1333"/>
      <c r="G8" s="1333"/>
      <c r="H8" s="1333"/>
      <c r="I8" s="1333"/>
      <c r="J8" s="1333"/>
      <c r="K8" s="1333"/>
      <c r="L8" s="1333"/>
      <c r="M8" s="1333"/>
      <c r="N8" s="1333"/>
      <c r="O8" s="1333"/>
      <c r="P8" s="1222"/>
      <c r="Q8" s="1316" t="s">
        <v>428</v>
      </c>
      <c r="R8" s="1316" t="s">
        <v>429</v>
      </c>
      <c r="S8" s="1317" t="s">
        <v>430</v>
      </c>
    </row>
    <row r="9" spans="1:19" ht="79.5" customHeight="1" thickBot="1">
      <c r="A9" s="1330"/>
      <c r="B9" s="1331"/>
      <c r="C9" s="1331"/>
      <c r="D9" s="1332"/>
      <c r="E9" s="1223" t="s">
        <v>431</v>
      </c>
      <c r="F9" s="1224" t="s">
        <v>870</v>
      </c>
      <c r="G9" s="1225" t="s">
        <v>433</v>
      </c>
      <c r="H9" s="1226" t="s">
        <v>869</v>
      </c>
      <c r="I9" s="1223" t="s">
        <v>434</v>
      </c>
      <c r="J9" s="1224" t="s">
        <v>435</v>
      </c>
      <c r="K9" s="1225" t="s">
        <v>436</v>
      </c>
      <c r="L9" s="1226" t="s">
        <v>869</v>
      </c>
      <c r="M9" s="1223" t="s">
        <v>437</v>
      </c>
      <c r="N9" s="1224" t="s">
        <v>438</v>
      </c>
      <c r="O9" s="1225" t="s">
        <v>439</v>
      </c>
      <c r="P9" s="1227" t="s">
        <v>869</v>
      </c>
      <c r="Q9" s="1334"/>
      <c r="R9" s="1316"/>
      <c r="S9" s="1317"/>
    </row>
    <row r="10" spans="1:19" ht="94.5" customHeight="1">
      <c r="A10" s="1162" t="s">
        <v>168</v>
      </c>
      <c r="B10" s="1163" t="s">
        <v>440</v>
      </c>
      <c r="C10" s="1164" t="s">
        <v>104</v>
      </c>
      <c r="D10" s="1165">
        <v>1</v>
      </c>
      <c r="E10" s="1166" t="s">
        <v>441</v>
      </c>
      <c r="F10" s="1167">
        <v>145</v>
      </c>
      <c r="G10" s="1168">
        <v>43252</v>
      </c>
      <c r="H10" s="1169">
        <v>147.30000000000001</v>
      </c>
      <c r="I10" s="1166" t="s">
        <v>442</v>
      </c>
      <c r="J10" s="1167">
        <v>160</v>
      </c>
      <c r="K10" s="1168">
        <v>43252</v>
      </c>
      <c r="L10" s="1170">
        <v>162.54</v>
      </c>
      <c r="M10" s="1166" t="s">
        <v>443</v>
      </c>
      <c r="N10" s="1167">
        <v>165</v>
      </c>
      <c r="O10" s="1168">
        <v>43252</v>
      </c>
      <c r="P10" s="1171">
        <v>167.62</v>
      </c>
      <c r="Q10" s="1172"/>
      <c r="R10" s="1172">
        <f t="shared" ref="R10:R19" si="0">(H10+L10+P10)/3</f>
        <v>159.15333333333334</v>
      </c>
      <c r="S10" s="1228" t="s">
        <v>1136</v>
      </c>
    </row>
    <row r="11" spans="1:19" ht="102" customHeight="1">
      <c r="A11" s="1162" t="s">
        <v>169</v>
      </c>
      <c r="B11" s="1163" t="s">
        <v>444</v>
      </c>
      <c r="C11" s="1164" t="s">
        <v>104</v>
      </c>
      <c r="D11" s="1165">
        <v>1</v>
      </c>
      <c r="E11" s="1166" t="s">
        <v>445</v>
      </c>
      <c r="F11" s="1167">
        <v>1.8</v>
      </c>
      <c r="G11" s="1168">
        <v>43253</v>
      </c>
      <c r="H11" s="1170">
        <v>1.83</v>
      </c>
      <c r="I11" s="1166" t="s">
        <v>446</v>
      </c>
      <c r="J11" s="1167">
        <v>1.9</v>
      </c>
      <c r="K11" s="1168">
        <v>43253</v>
      </c>
      <c r="L11" s="1170">
        <v>1.93</v>
      </c>
      <c r="M11" s="1166" t="s">
        <v>447</v>
      </c>
      <c r="N11" s="1167">
        <v>2</v>
      </c>
      <c r="O11" s="1168">
        <v>43253</v>
      </c>
      <c r="P11" s="1171">
        <v>2.0299999999999998</v>
      </c>
      <c r="Q11" s="1172"/>
      <c r="R11" s="1172">
        <f t="shared" si="0"/>
        <v>1.9299999999999997</v>
      </c>
      <c r="S11" s="1228" t="s">
        <v>1136</v>
      </c>
    </row>
    <row r="12" spans="1:19" ht="92.25" customHeight="1">
      <c r="A12" s="1162" t="s">
        <v>170</v>
      </c>
      <c r="B12" s="1163" t="s">
        <v>448</v>
      </c>
      <c r="C12" s="1164" t="s">
        <v>104</v>
      </c>
      <c r="D12" s="1165">
        <v>1</v>
      </c>
      <c r="E12" s="1166" t="s">
        <v>449</v>
      </c>
      <c r="F12" s="1167">
        <v>30</v>
      </c>
      <c r="G12" s="1168">
        <v>43254</v>
      </c>
      <c r="H12" s="1170">
        <v>30.48</v>
      </c>
      <c r="I12" s="1166" t="s">
        <v>450</v>
      </c>
      <c r="J12" s="1167">
        <v>33</v>
      </c>
      <c r="K12" s="1168">
        <v>43254</v>
      </c>
      <c r="L12" s="1170">
        <v>33.520000000000003</v>
      </c>
      <c r="M12" s="1166" t="s">
        <v>451</v>
      </c>
      <c r="N12" s="1167">
        <v>35.5</v>
      </c>
      <c r="O12" s="1168">
        <v>43254</v>
      </c>
      <c r="P12" s="1171">
        <v>36.06</v>
      </c>
      <c r="Q12" s="1172"/>
      <c r="R12" s="1172">
        <f t="shared" si="0"/>
        <v>33.353333333333332</v>
      </c>
      <c r="S12" s="1228" t="s">
        <v>1136</v>
      </c>
    </row>
    <row r="13" spans="1:19" ht="104.25" customHeight="1">
      <c r="A13" s="1162" t="s">
        <v>171</v>
      </c>
      <c r="B13" s="1163" t="s">
        <v>452</v>
      </c>
      <c r="C13" s="1164" t="s">
        <v>104</v>
      </c>
      <c r="D13" s="1165">
        <v>1</v>
      </c>
      <c r="E13" s="1166" t="s">
        <v>453</v>
      </c>
      <c r="F13" s="1167">
        <v>95</v>
      </c>
      <c r="G13" s="1168">
        <v>43255</v>
      </c>
      <c r="H13" s="1170">
        <v>96.51</v>
      </c>
      <c r="I13" s="1166" t="s">
        <v>454</v>
      </c>
      <c r="J13" s="1167">
        <v>105</v>
      </c>
      <c r="K13" s="1168">
        <v>43255</v>
      </c>
      <c r="L13" s="1170">
        <v>106.67</v>
      </c>
      <c r="M13" s="1166" t="s">
        <v>455</v>
      </c>
      <c r="N13" s="1167">
        <v>120</v>
      </c>
      <c r="O13" s="1168">
        <v>43255</v>
      </c>
      <c r="P13" s="1171">
        <v>121.9</v>
      </c>
      <c r="Q13" s="1172"/>
      <c r="R13" s="1172">
        <f t="shared" si="0"/>
        <v>108.36000000000001</v>
      </c>
      <c r="S13" s="1228" t="s">
        <v>1136</v>
      </c>
    </row>
    <row r="14" spans="1:19" ht="103.5" customHeight="1">
      <c r="A14" s="1162" t="s">
        <v>172</v>
      </c>
      <c r="B14" s="1163" t="s">
        <v>456</v>
      </c>
      <c r="C14" s="1164" t="s">
        <v>104</v>
      </c>
      <c r="D14" s="1165">
        <v>1</v>
      </c>
      <c r="E14" s="1166" t="s">
        <v>457</v>
      </c>
      <c r="F14" s="1167">
        <v>18</v>
      </c>
      <c r="G14" s="1168">
        <v>43256</v>
      </c>
      <c r="H14" s="1170">
        <v>18.29</v>
      </c>
      <c r="I14" s="1166" t="s">
        <v>458</v>
      </c>
      <c r="J14" s="1167">
        <v>20</v>
      </c>
      <c r="K14" s="1168">
        <v>43256</v>
      </c>
      <c r="L14" s="1170">
        <v>20.32</v>
      </c>
      <c r="M14" s="1166" t="s">
        <v>459</v>
      </c>
      <c r="N14" s="1167">
        <v>21.5</v>
      </c>
      <c r="O14" s="1168">
        <v>43256</v>
      </c>
      <c r="P14" s="1173">
        <v>21.84</v>
      </c>
      <c r="Q14" s="1172"/>
      <c r="R14" s="1172">
        <f t="shared" si="0"/>
        <v>20.150000000000002</v>
      </c>
      <c r="S14" s="1228" t="s">
        <v>1136</v>
      </c>
    </row>
    <row r="15" spans="1:19" ht="99" customHeight="1">
      <c r="A15" s="1162" t="s">
        <v>173</v>
      </c>
      <c r="B15" s="1163" t="s">
        <v>460</v>
      </c>
      <c r="C15" s="1164" t="s">
        <v>104</v>
      </c>
      <c r="D15" s="1165">
        <v>1</v>
      </c>
      <c r="E15" s="1166" t="s">
        <v>461</v>
      </c>
      <c r="F15" s="1167">
        <v>27</v>
      </c>
      <c r="G15" s="1168">
        <v>43257</v>
      </c>
      <c r="H15" s="1170">
        <v>27.43</v>
      </c>
      <c r="I15" s="1166" t="s">
        <v>462</v>
      </c>
      <c r="J15" s="1167">
        <v>27.5</v>
      </c>
      <c r="K15" s="1168">
        <v>43257</v>
      </c>
      <c r="L15" s="1170">
        <v>27.94</v>
      </c>
      <c r="M15" s="1166" t="s">
        <v>463</v>
      </c>
      <c r="N15" s="1167">
        <v>30</v>
      </c>
      <c r="O15" s="1168">
        <v>43257</v>
      </c>
      <c r="P15" s="1173">
        <v>30.48</v>
      </c>
      <c r="Q15" s="1172"/>
      <c r="R15" s="1172">
        <f t="shared" si="0"/>
        <v>28.616666666666671</v>
      </c>
      <c r="S15" s="1228" t="s">
        <v>1136</v>
      </c>
    </row>
    <row r="16" spans="1:19" ht="94.5" customHeight="1">
      <c r="A16" s="1162" t="s">
        <v>174</v>
      </c>
      <c r="B16" s="1163" t="s">
        <v>464</v>
      </c>
      <c r="C16" s="1164" t="s">
        <v>104</v>
      </c>
      <c r="D16" s="1165">
        <v>1</v>
      </c>
      <c r="E16" s="1166" t="s">
        <v>465</v>
      </c>
      <c r="F16" s="1167">
        <v>95</v>
      </c>
      <c r="G16" s="1168">
        <v>43258</v>
      </c>
      <c r="H16" s="1170">
        <v>96.51</v>
      </c>
      <c r="I16" s="1166" t="s">
        <v>466</v>
      </c>
      <c r="J16" s="1167">
        <v>120</v>
      </c>
      <c r="K16" s="1168">
        <v>43258</v>
      </c>
      <c r="L16" s="1171">
        <v>121.9</v>
      </c>
      <c r="M16" s="1166" t="s">
        <v>467</v>
      </c>
      <c r="N16" s="1167">
        <v>135</v>
      </c>
      <c r="O16" s="1168">
        <v>43258</v>
      </c>
      <c r="P16" s="1173">
        <v>137.13999999999999</v>
      </c>
      <c r="Q16" s="1172"/>
      <c r="R16" s="1172">
        <f t="shared" si="0"/>
        <v>118.51666666666667</v>
      </c>
      <c r="S16" s="1228" t="s">
        <v>1136</v>
      </c>
    </row>
    <row r="17" spans="1:23" ht="93.75" customHeight="1">
      <c r="A17" s="1162" t="s">
        <v>175</v>
      </c>
      <c r="B17" s="1163" t="s">
        <v>468</v>
      </c>
      <c r="C17" s="1164" t="s">
        <v>104</v>
      </c>
      <c r="D17" s="1165">
        <v>1</v>
      </c>
      <c r="E17" s="1166" t="s">
        <v>469</v>
      </c>
      <c r="F17" s="1167">
        <v>19</v>
      </c>
      <c r="G17" s="1168">
        <v>43259</v>
      </c>
      <c r="H17" s="1169">
        <v>19.3</v>
      </c>
      <c r="I17" s="1166" t="s">
        <v>470</v>
      </c>
      <c r="J17" s="1167">
        <v>21.5</v>
      </c>
      <c r="K17" s="1168">
        <v>43259</v>
      </c>
      <c r="L17" s="1170">
        <v>21.84</v>
      </c>
      <c r="M17" s="1166" t="s">
        <v>471</v>
      </c>
      <c r="N17" s="1167">
        <v>25</v>
      </c>
      <c r="O17" s="1168">
        <v>43259</v>
      </c>
      <c r="P17" s="1171">
        <v>25.4</v>
      </c>
      <c r="Q17" s="1172"/>
      <c r="R17" s="1172">
        <f t="shared" si="0"/>
        <v>22.179999999999996</v>
      </c>
      <c r="S17" s="1228" t="s">
        <v>1136</v>
      </c>
    </row>
    <row r="18" spans="1:23" ht="96.75" customHeight="1">
      <c r="A18" s="1162" t="s">
        <v>176</v>
      </c>
      <c r="B18" s="1163" t="s">
        <v>472</v>
      </c>
      <c r="C18" s="1164" t="s">
        <v>104</v>
      </c>
      <c r="D18" s="1165">
        <v>1</v>
      </c>
      <c r="E18" s="1166" t="s">
        <v>473</v>
      </c>
      <c r="F18" s="1167">
        <v>150</v>
      </c>
      <c r="G18" s="1168">
        <v>43260</v>
      </c>
      <c r="H18" s="1170">
        <v>152.38</v>
      </c>
      <c r="I18" s="1166" t="s">
        <v>474</v>
      </c>
      <c r="J18" s="1167">
        <v>160</v>
      </c>
      <c r="K18" s="1168">
        <v>43260</v>
      </c>
      <c r="L18" s="1170">
        <v>162.54</v>
      </c>
      <c r="M18" s="1166" t="s">
        <v>475</v>
      </c>
      <c r="N18" s="1167">
        <v>175</v>
      </c>
      <c r="O18" s="1168">
        <v>43260</v>
      </c>
      <c r="P18" s="1173">
        <v>177.78</v>
      </c>
      <c r="Q18" s="1172"/>
      <c r="R18" s="1172">
        <f t="shared" si="0"/>
        <v>164.23333333333332</v>
      </c>
      <c r="S18" s="1228" t="s">
        <v>1136</v>
      </c>
    </row>
    <row r="19" spans="1:23" ht="96.75" customHeight="1">
      <c r="A19" s="1162" t="s">
        <v>476</v>
      </c>
      <c r="B19" s="1163" t="s">
        <v>879</v>
      </c>
      <c r="C19" s="1164" t="s">
        <v>104</v>
      </c>
      <c r="D19" s="1165">
        <v>1</v>
      </c>
      <c r="E19" s="1166" t="s">
        <v>478</v>
      </c>
      <c r="F19" s="1167">
        <v>125</v>
      </c>
      <c r="G19" s="1168">
        <v>43261</v>
      </c>
      <c r="H19" s="1170">
        <v>126.98</v>
      </c>
      <c r="I19" s="1166" t="s">
        <v>479</v>
      </c>
      <c r="J19" s="1167">
        <v>107.58</v>
      </c>
      <c r="K19" s="1168">
        <v>43353</v>
      </c>
      <c r="L19" s="1170">
        <v>107.42</v>
      </c>
      <c r="M19" s="1166" t="s">
        <v>480</v>
      </c>
      <c r="N19" s="1167">
        <v>128.9</v>
      </c>
      <c r="O19" s="1168">
        <v>43352</v>
      </c>
      <c r="P19" s="1173">
        <v>128.71</v>
      </c>
      <c r="Q19" s="1172"/>
      <c r="R19" s="1172">
        <f t="shared" si="0"/>
        <v>121.03666666666668</v>
      </c>
      <c r="S19" s="1228" t="s">
        <v>1136</v>
      </c>
    </row>
    <row r="20" spans="1:23" ht="175.5" customHeight="1">
      <c r="A20" s="1162" t="s">
        <v>183</v>
      </c>
      <c r="B20" s="1163" t="s">
        <v>187</v>
      </c>
      <c r="C20" s="1164" t="s">
        <v>57</v>
      </c>
      <c r="D20" s="1165">
        <v>1</v>
      </c>
      <c r="E20" s="1166" t="s">
        <v>481</v>
      </c>
      <c r="F20" s="1167">
        <v>40</v>
      </c>
      <c r="G20" s="1168">
        <v>43262</v>
      </c>
      <c r="H20" s="1170">
        <v>40.630000000000003</v>
      </c>
      <c r="I20" s="1166"/>
      <c r="J20" s="1167"/>
      <c r="K20" s="1168"/>
      <c r="L20" s="1170"/>
      <c r="M20" s="1166"/>
      <c r="N20" s="1167"/>
      <c r="O20" s="1168"/>
      <c r="P20" s="1173"/>
      <c r="Q20" s="1172"/>
      <c r="R20" s="1172">
        <f>H20</f>
        <v>40.630000000000003</v>
      </c>
      <c r="S20" s="1228" t="s">
        <v>1137</v>
      </c>
    </row>
    <row r="21" spans="1:23" ht="183" customHeight="1">
      <c r="A21" s="1162" t="s">
        <v>184</v>
      </c>
      <c r="B21" s="1163" t="s">
        <v>887</v>
      </c>
      <c r="C21" s="1164" t="s">
        <v>57</v>
      </c>
      <c r="D21" s="1165">
        <v>1</v>
      </c>
      <c r="E21" s="1166" t="s">
        <v>483</v>
      </c>
      <c r="F21" s="1167">
        <v>58</v>
      </c>
      <c r="G21" s="1168">
        <v>43263</v>
      </c>
      <c r="H21" s="1170">
        <v>58.92</v>
      </c>
      <c r="I21" s="1166"/>
      <c r="J21" s="1167"/>
      <c r="K21" s="1168"/>
      <c r="L21" s="1170"/>
      <c r="M21" s="1166"/>
      <c r="N21" s="1167"/>
      <c r="O21" s="1168"/>
      <c r="P21" s="1173"/>
      <c r="Q21" s="1172"/>
      <c r="R21" s="1172">
        <f>H21</f>
        <v>58.92</v>
      </c>
      <c r="S21" s="1228" t="s">
        <v>1138</v>
      </c>
    </row>
    <row r="22" spans="1:23" ht="72.75" hidden="1" customHeight="1">
      <c r="A22" s="1162" t="s">
        <v>484</v>
      </c>
      <c r="B22" s="1174" t="s">
        <v>485</v>
      </c>
      <c r="C22" s="1175" t="s">
        <v>57</v>
      </c>
      <c r="D22" s="1176">
        <v>1</v>
      </c>
      <c r="E22" s="1177" t="s">
        <v>487</v>
      </c>
      <c r="F22" s="1178">
        <v>30</v>
      </c>
      <c r="G22" s="1179">
        <v>43264</v>
      </c>
      <c r="H22" s="1180">
        <v>30.48</v>
      </c>
      <c r="I22" s="1177"/>
      <c r="J22" s="1178"/>
      <c r="K22" s="1179"/>
      <c r="L22" s="1180"/>
      <c r="M22" s="1177"/>
      <c r="N22" s="1178"/>
      <c r="O22" s="1179"/>
      <c r="P22" s="1181"/>
      <c r="Q22" s="1182"/>
      <c r="R22" s="1182"/>
      <c r="S22" s="1229"/>
    </row>
    <row r="23" spans="1:23" ht="409.6" customHeight="1">
      <c r="A23" s="1162" t="s">
        <v>963</v>
      </c>
      <c r="B23" s="1183" t="s">
        <v>1044</v>
      </c>
      <c r="C23" s="1184" t="s">
        <v>104</v>
      </c>
      <c r="D23" s="1185"/>
      <c r="E23" s="1186" t="s">
        <v>932</v>
      </c>
      <c r="F23" s="1187">
        <v>23700</v>
      </c>
      <c r="G23" s="1188">
        <v>43405</v>
      </c>
      <c r="H23" s="1189">
        <f>F23-173.41</f>
        <v>23526.59</v>
      </c>
      <c r="I23" s="1186" t="s">
        <v>931</v>
      </c>
      <c r="J23" s="1187">
        <v>17570.2</v>
      </c>
      <c r="K23" s="1188">
        <v>43405</v>
      </c>
      <c r="L23" s="1189">
        <f>J23-128.56</f>
        <v>17441.64</v>
      </c>
      <c r="M23" s="1186" t="s">
        <v>933</v>
      </c>
      <c r="N23" s="1187">
        <v>19925.18</v>
      </c>
      <c r="O23" s="1188">
        <v>43405</v>
      </c>
      <c r="P23" s="1190">
        <f>N23-145.79</f>
        <v>19779.39</v>
      </c>
      <c r="Q23" s="1172"/>
      <c r="R23" s="1191">
        <f>(H23+L23+P23)/3</f>
        <v>20249.206666666665</v>
      </c>
      <c r="S23" s="1228" t="s">
        <v>1136</v>
      </c>
      <c r="U23" s="715"/>
    </row>
    <row r="24" spans="1:23" ht="110.25" customHeight="1">
      <c r="A24" s="1162" t="s">
        <v>1008</v>
      </c>
      <c r="B24" s="1163" t="s">
        <v>1047</v>
      </c>
      <c r="C24" s="1164" t="s">
        <v>104</v>
      </c>
      <c r="D24" s="1165"/>
      <c r="E24" s="1192" t="s">
        <v>1060</v>
      </c>
      <c r="F24" s="1167">
        <v>9290</v>
      </c>
      <c r="G24" s="1193">
        <v>43405</v>
      </c>
      <c r="H24" s="1194">
        <f>F24-67.97</f>
        <v>9222.0300000000007</v>
      </c>
      <c r="I24" s="1192" t="s">
        <v>1149</v>
      </c>
      <c r="J24" s="1167">
        <v>9922</v>
      </c>
      <c r="K24" s="1188">
        <v>43436</v>
      </c>
      <c r="L24" s="1194">
        <f>J24-85.59</f>
        <v>9836.41</v>
      </c>
      <c r="M24" s="1192" t="s">
        <v>1150</v>
      </c>
      <c r="N24" s="1167">
        <v>9430</v>
      </c>
      <c r="O24" s="1188">
        <v>43436</v>
      </c>
      <c r="P24" s="1195">
        <f>N24-81.35</f>
        <v>9348.65</v>
      </c>
      <c r="Q24" s="1172"/>
      <c r="R24" s="1196">
        <f>(H24+L24+P24)/3</f>
        <v>9469.0300000000007</v>
      </c>
      <c r="S24" s="1228" t="s">
        <v>1136</v>
      </c>
    </row>
    <row r="25" spans="1:23" ht="50.25" hidden="1" customHeight="1">
      <c r="A25" s="1162" t="s">
        <v>530</v>
      </c>
      <c r="B25" s="1163" t="s">
        <v>531</v>
      </c>
      <c r="C25" s="1164"/>
      <c r="D25" s="1165"/>
      <c r="E25" s="1166" t="s">
        <v>502</v>
      </c>
      <c r="F25" s="1167">
        <v>79.05</v>
      </c>
      <c r="G25" s="1168"/>
      <c r="H25" s="1170"/>
      <c r="I25" s="1166" t="s">
        <v>501</v>
      </c>
      <c r="J25" s="1167">
        <v>30</v>
      </c>
      <c r="K25" s="1168"/>
      <c r="L25" s="1170"/>
      <c r="M25" s="1166" t="s">
        <v>532</v>
      </c>
      <c r="N25" s="1167">
        <v>100.22</v>
      </c>
      <c r="O25" s="1168"/>
      <c r="P25" s="1173"/>
      <c r="Q25" s="1172">
        <v>83.707999999999984</v>
      </c>
      <c r="R25" s="1172">
        <v>54.524999999999999</v>
      </c>
      <c r="S25" s="1230"/>
    </row>
    <row r="26" spans="1:23" ht="205.5" hidden="1" thickBot="1">
      <c r="A26" s="1162" t="s">
        <v>593</v>
      </c>
      <c r="B26" s="1163" t="s">
        <v>594</v>
      </c>
      <c r="C26" s="1164" t="s">
        <v>104</v>
      </c>
      <c r="D26" s="1165">
        <v>1</v>
      </c>
      <c r="E26" s="1197" t="s">
        <v>582</v>
      </c>
      <c r="F26" s="1198">
        <v>1685.19</v>
      </c>
      <c r="G26" s="1199"/>
      <c r="H26" s="1200"/>
      <c r="I26" s="1197" t="s">
        <v>595</v>
      </c>
      <c r="J26" s="1198">
        <v>1790</v>
      </c>
      <c r="K26" s="1199"/>
      <c r="L26" s="1200"/>
      <c r="M26" s="1197" t="s">
        <v>581</v>
      </c>
      <c r="N26" s="1198">
        <v>2456.1</v>
      </c>
      <c r="O26" s="1199"/>
      <c r="P26" s="1173"/>
      <c r="Q26" s="1172">
        <v>2372.5160000000001</v>
      </c>
      <c r="R26" s="1201">
        <v>1737.595</v>
      </c>
      <c r="S26" s="1230"/>
    </row>
    <row r="27" spans="1:23" ht="135" customHeight="1">
      <c r="A27" s="1162" t="s">
        <v>954</v>
      </c>
      <c r="B27" s="1163" t="s">
        <v>1219</v>
      </c>
      <c r="C27" s="1164" t="s">
        <v>104</v>
      </c>
      <c r="D27" s="1165"/>
      <c r="E27" s="1166" t="s">
        <v>1217</v>
      </c>
      <c r="F27" s="1167">
        <v>1226.25</v>
      </c>
      <c r="G27" s="1168">
        <v>43466</v>
      </c>
      <c r="H27" s="1194">
        <v>1214.06</v>
      </c>
      <c r="I27" s="1197" t="s">
        <v>1216</v>
      </c>
      <c r="J27" s="1167">
        <v>1598</v>
      </c>
      <c r="K27" s="1168">
        <v>43466</v>
      </c>
      <c r="L27" s="1194">
        <v>1582.12</v>
      </c>
      <c r="M27" s="1197" t="s">
        <v>1189</v>
      </c>
      <c r="N27" s="1202">
        <v>1130.78</v>
      </c>
      <c r="O27" s="1168">
        <v>43466</v>
      </c>
      <c r="P27" s="1195">
        <v>1119.54</v>
      </c>
      <c r="Q27" s="1172"/>
      <c r="R27" s="1203">
        <f>(H27+L27+P27)/3</f>
        <v>1305.24</v>
      </c>
      <c r="S27" s="1228" t="s">
        <v>1215</v>
      </c>
      <c r="V27" s="878"/>
      <c r="W27" s="879"/>
    </row>
    <row r="28" spans="1:23" ht="78.75" hidden="1">
      <c r="A28" s="1162" t="s">
        <v>178</v>
      </c>
      <c r="B28" s="1163" t="s">
        <v>234</v>
      </c>
      <c r="C28" s="1164" t="s">
        <v>104</v>
      </c>
      <c r="D28" s="1165">
        <v>1</v>
      </c>
      <c r="E28" s="1204" t="s">
        <v>778</v>
      </c>
      <c r="F28" s="1205">
        <v>133.66999999999999</v>
      </c>
      <c r="G28" s="1206">
        <v>43344</v>
      </c>
      <c r="H28" s="1207"/>
      <c r="I28" s="1197"/>
      <c r="J28" s="1205"/>
      <c r="K28" s="1206"/>
      <c r="L28" s="1207"/>
      <c r="M28" s="1197"/>
      <c r="N28" s="1205"/>
      <c r="O28" s="1206"/>
      <c r="P28" s="1173"/>
      <c r="Q28" s="1172"/>
      <c r="R28" s="1208"/>
      <c r="S28" s="1231" t="s">
        <v>779</v>
      </c>
    </row>
    <row r="29" spans="1:23" ht="79.5" hidden="1" thickBot="1">
      <c r="A29" s="1209" t="s">
        <v>178</v>
      </c>
      <c r="B29" s="1210" t="s">
        <v>235</v>
      </c>
      <c r="C29" s="1211" t="s">
        <v>104</v>
      </c>
      <c r="D29" s="1212">
        <v>1</v>
      </c>
      <c r="E29" s="1213" t="s">
        <v>778</v>
      </c>
      <c r="F29" s="1214">
        <v>214.57</v>
      </c>
      <c r="G29" s="1215">
        <v>43345</v>
      </c>
      <c r="H29" s="1216"/>
      <c r="I29" s="1197"/>
      <c r="J29" s="1214"/>
      <c r="K29" s="1215"/>
      <c r="L29" s="1216"/>
      <c r="M29" s="1197"/>
      <c r="N29" s="1214"/>
      <c r="O29" s="1215"/>
      <c r="P29" s="1173"/>
      <c r="Q29" s="1172"/>
      <c r="R29" s="1217"/>
      <c r="S29" s="1232" t="s">
        <v>779</v>
      </c>
    </row>
    <row r="30" spans="1:23" ht="97.5" customHeight="1">
      <c r="A30" s="1218" t="s">
        <v>1008</v>
      </c>
      <c r="B30" s="1219" t="s">
        <v>1041</v>
      </c>
      <c r="C30" s="1220" t="s">
        <v>104</v>
      </c>
      <c r="D30" s="1221"/>
      <c r="E30" s="1192" t="s">
        <v>1037</v>
      </c>
      <c r="F30" s="1167">
        <f>44.5+15.1+15.1</f>
        <v>74.7</v>
      </c>
      <c r="G30" s="1193">
        <v>43405</v>
      </c>
      <c r="H30" s="1194">
        <f>F30-0.55</f>
        <v>74.150000000000006</v>
      </c>
      <c r="I30" s="1192" t="s">
        <v>1038</v>
      </c>
      <c r="J30" s="1167">
        <f>42.5+10.9+10.9</f>
        <v>64.3</v>
      </c>
      <c r="K30" s="1188">
        <v>43406</v>
      </c>
      <c r="L30" s="1194">
        <f>J30-0.47</f>
        <v>63.83</v>
      </c>
      <c r="M30" s="1192" t="s">
        <v>1039</v>
      </c>
      <c r="N30" s="1167">
        <f>30+9.9+9.9</f>
        <v>49.8</v>
      </c>
      <c r="O30" s="1188">
        <v>43406</v>
      </c>
      <c r="P30" s="1195">
        <f>N30-0.36</f>
        <v>49.44</v>
      </c>
      <c r="Q30" s="1172"/>
      <c r="R30" s="1196">
        <f>(H30+L30+P30)/3</f>
        <v>62.473333333333336</v>
      </c>
      <c r="S30" s="1228" t="s">
        <v>1136</v>
      </c>
    </row>
    <row r="31" spans="1:23" ht="101.25" customHeight="1">
      <c r="A31" s="1162" t="s">
        <v>1008</v>
      </c>
      <c r="B31" s="1163" t="s">
        <v>1040</v>
      </c>
      <c r="C31" s="1164" t="s">
        <v>104</v>
      </c>
      <c r="D31" s="1221"/>
      <c r="E31" s="1192" t="s">
        <v>1037</v>
      </c>
      <c r="F31" s="1167">
        <f>26.8+1.3</f>
        <v>28.1</v>
      </c>
      <c r="G31" s="1193">
        <v>43405</v>
      </c>
      <c r="H31" s="1194">
        <f>F31-0.21</f>
        <v>27.89</v>
      </c>
      <c r="I31" s="1192" t="s">
        <v>1038</v>
      </c>
      <c r="J31" s="1167">
        <f>28.5+1.15</f>
        <v>29.65</v>
      </c>
      <c r="K31" s="1188">
        <v>43406</v>
      </c>
      <c r="L31" s="1194">
        <f>J31-0.22</f>
        <v>29.43</v>
      </c>
      <c r="M31" s="1192" t="s">
        <v>1039</v>
      </c>
      <c r="N31" s="1167">
        <f>27.5+1.3</f>
        <v>28.8</v>
      </c>
      <c r="O31" s="1188">
        <v>43406</v>
      </c>
      <c r="P31" s="1195">
        <f>N31-0.21</f>
        <v>28.59</v>
      </c>
      <c r="Q31" s="1172"/>
      <c r="R31" s="1196">
        <f>(H31+L31+P31)/3</f>
        <v>28.636666666666667</v>
      </c>
      <c r="S31" s="1228" t="s">
        <v>1136</v>
      </c>
    </row>
    <row r="33" spans="6:16">
      <c r="J33" s="715"/>
      <c r="N33" s="715"/>
    </row>
    <row r="34" spans="6:16">
      <c r="F34" s="715"/>
    </row>
    <row r="35" spans="6:16">
      <c r="H35" s="714"/>
      <c r="I35" s="715"/>
      <c r="K35" s="715"/>
      <c r="L35" s="714"/>
      <c r="P35" s="714"/>
    </row>
    <row r="36" spans="6:16">
      <c r="H36" s="714"/>
      <c r="I36" s="878"/>
      <c r="L36" s="878"/>
      <c r="M36" s="912"/>
    </row>
    <row r="37" spans="6:16">
      <c r="H37" s="878"/>
      <c r="I37" s="715"/>
      <c r="K37" s="715"/>
      <c r="O37" s="878"/>
      <c r="P37" s="913"/>
    </row>
    <row r="38" spans="6:16">
      <c r="I38" s="878"/>
    </row>
  </sheetData>
  <autoFilter ref="A7:S29">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2">
    <mergeCell ref="R8:R9"/>
    <mergeCell ref="S8:S9"/>
    <mergeCell ref="A1:S2"/>
    <mergeCell ref="A3:S3"/>
    <mergeCell ref="A4:S4"/>
    <mergeCell ref="A7:S7"/>
    <mergeCell ref="A8:A9"/>
    <mergeCell ref="B8:B9"/>
    <mergeCell ref="C8:C9"/>
    <mergeCell ref="D8:D9"/>
    <mergeCell ref="E8:O8"/>
    <mergeCell ref="Q8:Q9"/>
  </mergeCells>
  <conditionalFormatting sqref="J10:J23">
    <cfRule type="expression" dxfId="344" priority="341">
      <formula>ABS(J10-R10)/R10&gt;#REF!</formula>
    </cfRule>
  </conditionalFormatting>
  <conditionalFormatting sqref="F10:F24">
    <cfRule type="expression" dxfId="343" priority="339">
      <formula>ABS(F10-R10)/R10&gt;#REF!</formula>
    </cfRule>
  </conditionalFormatting>
  <conditionalFormatting sqref="F27">
    <cfRule type="expression" dxfId="342" priority="332">
      <formula>ABS(F27-R27)/R27&gt;#REF!</formula>
    </cfRule>
  </conditionalFormatting>
  <conditionalFormatting sqref="F25">
    <cfRule type="expression" dxfId="341" priority="214">
      <formula>ABS(F25-R25)/R25&gt;#REF!</formula>
    </cfRule>
  </conditionalFormatting>
  <conditionalFormatting sqref="J25">
    <cfRule type="expression" dxfId="340" priority="215">
      <formula>ABS(J25-R25)/R25&gt;#REF!</formula>
    </cfRule>
  </conditionalFormatting>
  <conditionalFormatting sqref="N25">
    <cfRule type="expression" dxfId="339" priority="216">
      <formula>ABS(N25-#REF!)/#REF!&gt;#REF!</formula>
    </cfRule>
  </conditionalFormatting>
  <conditionalFormatting sqref="N24">
    <cfRule type="expression" dxfId="338" priority="162">
      <formula>ABS(N24-R24)/R24&gt;#REF!</formula>
    </cfRule>
  </conditionalFormatting>
  <conditionalFormatting sqref="N26">
    <cfRule type="expression" dxfId="337" priority="87">
      <formula>ABS(N26-#REF!)/#REF!&gt;#REF!</formula>
    </cfRule>
  </conditionalFormatting>
  <conditionalFormatting sqref="F26">
    <cfRule type="expression" dxfId="336" priority="85">
      <formula>ABS(F26-R26)/R26&gt;#REF!</formula>
    </cfRule>
  </conditionalFormatting>
  <conditionalFormatting sqref="J26">
    <cfRule type="expression" dxfId="335" priority="86">
      <formula>ABS(J26-R26)/R26&gt;#REF!</formula>
    </cfRule>
  </conditionalFormatting>
  <conditionalFormatting sqref="J26">
    <cfRule type="expression" dxfId="334" priority="84">
      <formula>ABS(J26-#REF!)/#REF!&gt;#REF!</formula>
    </cfRule>
  </conditionalFormatting>
  <conditionalFormatting sqref="F26">
    <cfRule type="expression" dxfId="333" priority="83">
      <formula>ABS(F26-N26)/N26&gt;#REF!</formula>
    </cfRule>
  </conditionalFormatting>
  <conditionalFormatting sqref="F28">
    <cfRule type="expression" dxfId="332" priority="47">
      <formula>ABS(F28-R28)/R28&gt;#REF!</formula>
    </cfRule>
  </conditionalFormatting>
  <conditionalFormatting sqref="J28">
    <cfRule type="expression" dxfId="331" priority="48">
      <formula>ABS(J28-R28)/R28&gt;#REF!</formula>
    </cfRule>
  </conditionalFormatting>
  <conditionalFormatting sqref="N28">
    <cfRule type="expression" dxfId="330" priority="49">
      <formula>ABS(N28-#REF!)/#REF!&gt;#REF!</formula>
    </cfRule>
  </conditionalFormatting>
  <conditionalFormatting sqref="N28">
    <cfRule type="expression" dxfId="329" priority="46">
      <formula>ABS(N28-#REF!)/#REF!&gt;#REF!</formula>
    </cfRule>
  </conditionalFormatting>
  <conditionalFormatting sqref="F28">
    <cfRule type="expression" dxfId="328" priority="45">
      <formula>ABS(F28-R28)/R28&gt;#REF!</formula>
    </cfRule>
  </conditionalFormatting>
  <conditionalFormatting sqref="J28">
    <cfRule type="expression" dxfId="327" priority="44">
      <formula>ABS(J28-R28)/R28&gt;#REF!</formula>
    </cfRule>
  </conditionalFormatting>
  <conditionalFormatting sqref="F29">
    <cfRule type="expression" dxfId="326" priority="41">
      <formula>ABS(F29-R29)/R29&gt;#REF!</formula>
    </cfRule>
  </conditionalFormatting>
  <conditionalFormatting sqref="J29">
    <cfRule type="expression" dxfId="325" priority="42">
      <formula>ABS(J29-R29)/R29&gt;#REF!</formula>
    </cfRule>
  </conditionalFormatting>
  <conditionalFormatting sqref="N29">
    <cfRule type="expression" dxfId="324" priority="43">
      <formula>ABS(N29-#REF!)/#REF!&gt;#REF!</formula>
    </cfRule>
  </conditionalFormatting>
  <conditionalFormatting sqref="N29">
    <cfRule type="expression" dxfId="323" priority="40">
      <formula>ABS(N29-#REF!)/#REF!&gt;#REF!</formula>
    </cfRule>
  </conditionalFormatting>
  <conditionalFormatting sqref="F29">
    <cfRule type="expression" dxfId="322" priority="39">
      <formula>ABS(F29-R29)/R29&gt;#REF!</formula>
    </cfRule>
  </conditionalFormatting>
  <conditionalFormatting sqref="J29">
    <cfRule type="expression" dxfId="321" priority="38">
      <formula>ABS(J29-R29)/R29&gt;#REF!</formula>
    </cfRule>
  </conditionalFormatting>
  <conditionalFormatting sqref="J10:J23 N10:N23">
    <cfRule type="expression" dxfId="320" priority="35">
      <formula>ABS(J10-#REF!)/#REF!&gt;#REF!</formula>
    </cfRule>
  </conditionalFormatting>
  <conditionalFormatting sqref="N10:N23">
    <cfRule type="expression" dxfId="319" priority="34">
      <formula>ABS(N10-#REF!)/#REF!&gt;#REF!</formula>
    </cfRule>
  </conditionalFormatting>
  <conditionalFormatting sqref="N10:N23">
    <cfRule type="expression" dxfId="318" priority="31">
      <formula>ABS(N10-#REF!)/#REF!&gt;#REF!</formula>
    </cfRule>
  </conditionalFormatting>
  <conditionalFormatting sqref="F30">
    <cfRule type="expression" dxfId="317" priority="10">
      <formula>ABS(F30-R30)/R30&gt;#REF!</formula>
    </cfRule>
  </conditionalFormatting>
  <conditionalFormatting sqref="J30">
    <cfRule type="expression" dxfId="316" priority="9">
      <formula>ABS(J30-R30)/R30&gt;#REF!</formula>
    </cfRule>
  </conditionalFormatting>
  <conditionalFormatting sqref="N30">
    <cfRule type="expression" dxfId="315" priority="8">
      <formula>ABS(N30-R30)/R30&gt;#REF!</formula>
    </cfRule>
  </conditionalFormatting>
  <conditionalFormatting sqref="F31">
    <cfRule type="expression" dxfId="314" priority="7">
      <formula>ABS(F31-R31)/R31&gt;#REF!</formula>
    </cfRule>
  </conditionalFormatting>
  <conditionalFormatting sqref="J31">
    <cfRule type="expression" dxfId="313" priority="6">
      <formula>ABS(J31-R31)/R31&gt;#REF!</formula>
    </cfRule>
  </conditionalFormatting>
  <conditionalFormatting sqref="N31">
    <cfRule type="expression" dxfId="312" priority="5">
      <formula>ABS(N31-R31)/R31&gt;#REF!</formula>
    </cfRule>
  </conditionalFormatting>
  <conditionalFormatting sqref="J24">
    <cfRule type="expression" dxfId="311" priority="4">
      <formula>ABS(J24-V24)/V24&gt;#REF!</formula>
    </cfRule>
  </conditionalFormatting>
  <conditionalFormatting sqref="N27">
    <cfRule type="expression" dxfId="310" priority="2">
      <formula>ABS(N27-Z27)/Z27&gt;#REF!</formula>
    </cfRule>
  </conditionalFormatting>
  <conditionalFormatting sqref="J27">
    <cfRule type="expression" dxfId="309" priority="1">
      <formula>ABS(J27-V27)/V27&gt;#REF!</formula>
    </cfRule>
  </conditionalFormatting>
  <pageMargins left="0.51181102362204722" right="0.51181102362204722" top="0.78740157480314965" bottom="0.78740157480314965" header="0.31496062992125984" footer="0.31496062992125984"/>
  <pageSetup paperSize="9" scale="4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2"/>
  <sheetViews>
    <sheetView view="pageBreakPreview" zoomScaleNormal="90" zoomScaleSheetLayoutView="100" workbookViewId="0">
      <selection activeCell="F30" sqref="F30"/>
    </sheetView>
  </sheetViews>
  <sheetFormatPr defaultRowHeight="15"/>
  <cols>
    <col min="2" max="2" width="40.7109375" bestFit="1" customWidth="1"/>
    <col min="3" max="3" width="15.5703125" customWidth="1"/>
    <col min="4" max="4" width="10.85546875" bestFit="1" customWidth="1"/>
    <col min="5" max="5" width="11.140625" bestFit="1" customWidth="1"/>
    <col min="6" max="6" width="11" customWidth="1"/>
    <col min="7" max="7" width="13" customWidth="1"/>
    <col min="8" max="8" width="12" customWidth="1"/>
    <col min="9" max="9" width="12.140625" customWidth="1"/>
    <col min="10" max="10" width="12.85546875" customWidth="1"/>
  </cols>
  <sheetData>
    <row r="1" spans="1:10" ht="18">
      <c r="A1" s="657"/>
      <c r="B1" s="658"/>
      <c r="C1" s="659"/>
      <c r="D1" s="660"/>
      <c r="E1" s="659"/>
      <c r="F1" s="661"/>
      <c r="G1" s="662"/>
      <c r="H1" s="663"/>
      <c r="I1" s="663"/>
      <c r="J1" s="664"/>
    </row>
    <row r="2" spans="1:10">
      <c r="A2" s="665"/>
      <c r="B2" s="1343" t="s">
        <v>1147</v>
      </c>
      <c r="C2" s="1343"/>
      <c r="D2" s="1343"/>
      <c r="E2" s="1343"/>
      <c r="F2" s="1343"/>
      <c r="G2" s="1343"/>
      <c r="H2" s="1343"/>
      <c r="I2" s="1343"/>
      <c r="J2" s="1344"/>
    </row>
    <row r="3" spans="1:10">
      <c r="A3" s="665"/>
      <c r="B3" s="1343"/>
      <c r="C3" s="1343"/>
      <c r="D3" s="1343"/>
      <c r="E3" s="1343"/>
      <c r="F3" s="1343"/>
      <c r="G3" s="1343"/>
      <c r="H3" s="1343"/>
      <c r="I3" s="1343"/>
      <c r="J3" s="1344"/>
    </row>
    <row r="4" spans="1:10" ht="18.75" customHeight="1">
      <c r="A4" s="666"/>
      <c r="B4" s="667"/>
      <c r="C4" s="667"/>
      <c r="D4" s="668"/>
      <c r="E4" s="668"/>
      <c r="F4" s="669"/>
      <c r="G4" s="670"/>
      <c r="H4" s="1345" t="s">
        <v>1148</v>
      </c>
      <c r="I4" s="1345"/>
      <c r="J4" s="1346"/>
    </row>
    <row r="5" spans="1:10" ht="31.5" customHeight="1">
      <c r="A5" s="671" t="s">
        <v>52</v>
      </c>
      <c r="B5" s="672"/>
      <c r="C5" s="672"/>
      <c r="D5" s="672"/>
      <c r="E5" s="672"/>
      <c r="F5" s="669"/>
      <c r="G5" s="670"/>
      <c r="H5" s="1347" t="s">
        <v>1082</v>
      </c>
      <c r="I5" s="1347"/>
      <c r="J5" s="1348"/>
    </row>
    <row r="6" spans="1:10" ht="20.25" customHeight="1">
      <c r="A6" s="1349" t="s">
        <v>53</v>
      </c>
      <c r="B6" s="1350"/>
      <c r="C6" s="1350"/>
      <c r="D6" s="1350"/>
      <c r="E6" s="1350"/>
      <c r="F6" s="1350"/>
      <c r="G6" s="670"/>
      <c r="H6" s="1347"/>
      <c r="I6" s="1347"/>
      <c r="J6" s="1348"/>
    </row>
    <row r="7" spans="1:10" ht="15.75" thickBot="1">
      <c r="A7" s="743"/>
      <c r="B7" s="744"/>
      <c r="C7" s="744"/>
      <c r="D7" s="744"/>
      <c r="E7" s="744"/>
      <c r="F7" s="744"/>
      <c r="G7" s="745"/>
      <c r="H7" s="1358" t="s">
        <v>1081</v>
      </c>
      <c r="I7" s="1358"/>
      <c r="J7" s="1359"/>
    </row>
    <row r="8" spans="1:10" ht="16.5" thickBot="1">
      <c r="A8" s="1351" t="s">
        <v>1014</v>
      </c>
      <c r="B8" s="1352"/>
      <c r="C8" s="1352"/>
      <c r="D8" s="1352"/>
      <c r="E8" s="1352"/>
      <c r="F8" s="1352"/>
      <c r="G8" s="1352"/>
      <c r="H8" s="1352"/>
      <c r="I8" s="1352"/>
      <c r="J8" s="1353"/>
    </row>
    <row r="9" spans="1:10">
      <c r="A9" s="1360" t="s">
        <v>51</v>
      </c>
      <c r="B9" s="1362" t="s">
        <v>1015</v>
      </c>
      <c r="C9" s="746" t="s">
        <v>1016</v>
      </c>
      <c r="D9" s="747"/>
      <c r="E9" s="1354" t="s">
        <v>1017</v>
      </c>
      <c r="F9" s="1354" t="s">
        <v>1018</v>
      </c>
      <c r="G9" s="1354" t="s">
        <v>1019</v>
      </c>
      <c r="H9" s="1354" t="s">
        <v>1020</v>
      </c>
      <c r="I9" s="1354" t="s">
        <v>1021</v>
      </c>
      <c r="J9" s="1356" t="s">
        <v>1022</v>
      </c>
    </row>
    <row r="10" spans="1:10">
      <c r="A10" s="1361"/>
      <c r="B10" s="1363"/>
      <c r="C10" s="963" t="s">
        <v>1023</v>
      </c>
      <c r="D10" s="1094" t="s">
        <v>48</v>
      </c>
      <c r="E10" s="1355"/>
      <c r="F10" s="1355"/>
      <c r="G10" s="1355"/>
      <c r="H10" s="1355"/>
      <c r="I10" s="1355"/>
      <c r="J10" s="1357"/>
    </row>
    <row r="11" spans="1:10" ht="15.75" thickBot="1">
      <c r="A11" s="1337" t="s">
        <v>54</v>
      </c>
      <c r="B11" s="1339" t="s">
        <v>297</v>
      </c>
      <c r="C11" s="964"/>
      <c r="D11" s="964"/>
      <c r="E11" s="973">
        <f>C12/6</f>
        <v>2086.6446000000001</v>
      </c>
      <c r="F11" s="973">
        <f>E11</f>
        <v>2086.6446000000001</v>
      </c>
      <c r="G11" s="973">
        <f>E11</f>
        <v>2086.6446000000001</v>
      </c>
      <c r="H11" s="973">
        <f>E11</f>
        <v>2086.6446000000001</v>
      </c>
      <c r="I11" s="973">
        <f>E11</f>
        <v>2086.6446000000001</v>
      </c>
      <c r="J11" s="976">
        <f>E11</f>
        <v>2086.6446000000001</v>
      </c>
    </row>
    <row r="12" spans="1:10">
      <c r="A12" s="1337"/>
      <c r="B12" s="1339"/>
      <c r="C12" s="965">
        <f>'PLANILHA ORÇAMENTÁRIA'!J9</f>
        <v>12519.8676</v>
      </c>
      <c r="D12" s="966">
        <f>C12/C28</f>
        <v>4.8829939939105942E-2</v>
      </c>
      <c r="E12" s="967">
        <f>E11/C12</f>
        <v>0.16666666666666669</v>
      </c>
      <c r="F12" s="967">
        <f>E12</f>
        <v>0.16666666666666669</v>
      </c>
      <c r="G12" s="967">
        <f>E12</f>
        <v>0.16666666666666669</v>
      </c>
      <c r="H12" s="967">
        <f>E12</f>
        <v>0.16666666666666669</v>
      </c>
      <c r="I12" s="967">
        <f>E12</f>
        <v>0.16666666666666669</v>
      </c>
      <c r="J12" s="968">
        <f>E12</f>
        <v>0.16666666666666669</v>
      </c>
    </row>
    <row r="13" spans="1:10" ht="15.75" thickBot="1">
      <c r="A13" s="1341" t="s">
        <v>107</v>
      </c>
      <c r="B13" s="1342" t="s">
        <v>21</v>
      </c>
      <c r="C13" s="673"/>
      <c r="D13" s="673"/>
      <c r="E13" s="674">
        <f>C14-G13-J13-F13</f>
        <v>44165.185805671987</v>
      </c>
      <c r="F13" s="674">
        <f>C14*0.05</f>
        <v>2597.9521062159993</v>
      </c>
      <c r="G13" s="674">
        <f>C14*0.05</f>
        <v>2597.9521062159993</v>
      </c>
      <c r="H13" s="675"/>
      <c r="I13" s="675"/>
      <c r="J13" s="970">
        <f>G13</f>
        <v>2597.9521062159993</v>
      </c>
    </row>
    <row r="14" spans="1:10">
      <c r="A14" s="1337"/>
      <c r="B14" s="1339"/>
      <c r="C14" s="971">
        <f>'PLANILHA ORÇAMENTÁRIA'!J29</f>
        <v>51959.042124319982</v>
      </c>
      <c r="D14" s="966">
        <f>C14/C28</f>
        <v>0.20265045823839387</v>
      </c>
      <c r="E14" s="676">
        <f>E13/C14</f>
        <v>0.85000000000000009</v>
      </c>
      <c r="F14" s="964">
        <f>F13/C14</f>
        <v>0.05</v>
      </c>
      <c r="G14" s="676">
        <f>G13/C14</f>
        <v>0.05</v>
      </c>
      <c r="H14" s="964"/>
      <c r="I14" s="964"/>
      <c r="J14" s="679">
        <f>J13/C14</f>
        <v>0.05</v>
      </c>
    </row>
    <row r="15" spans="1:10" ht="15.75" thickBot="1">
      <c r="A15" s="1337" t="s">
        <v>312</v>
      </c>
      <c r="B15" s="1339" t="s">
        <v>11</v>
      </c>
      <c r="C15" s="972"/>
      <c r="D15" s="972"/>
      <c r="E15" s="973">
        <f>C16*0.5</f>
        <v>4905.7849999999999</v>
      </c>
      <c r="F15" s="973">
        <f>C16-E15</f>
        <v>4905.7849999999999</v>
      </c>
      <c r="G15" s="969"/>
      <c r="H15" s="969"/>
      <c r="I15" s="969"/>
      <c r="J15" s="974"/>
    </row>
    <row r="16" spans="1:10">
      <c r="A16" s="1337"/>
      <c r="B16" s="1339"/>
      <c r="C16" s="971">
        <f>'PLANILHA ORÇAMENTÁRIA'!J40</f>
        <v>9811.57</v>
      </c>
      <c r="D16" s="966">
        <f>C16/C28</f>
        <v>3.8267047952514587E-2</v>
      </c>
      <c r="E16" s="676">
        <f>E15/C16</f>
        <v>0.5</v>
      </c>
      <c r="F16" s="676">
        <f>F15/C16</f>
        <v>0.5</v>
      </c>
      <c r="G16" s="677"/>
      <c r="H16" s="677"/>
      <c r="I16" s="677"/>
      <c r="J16" s="678"/>
    </row>
    <row r="17" spans="1:10" ht="15.75" thickBot="1">
      <c r="A17" s="1337" t="s">
        <v>317</v>
      </c>
      <c r="B17" s="1339" t="s">
        <v>320</v>
      </c>
      <c r="C17" s="972"/>
      <c r="D17" s="972"/>
      <c r="E17" s="969"/>
      <c r="F17" s="973">
        <f>$C18*F18</f>
        <v>3458.83</v>
      </c>
      <c r="G17" s="677"/>
      <c r="H17" s="969"/>
      <c r="I17" s="969"/>
      <c r="J17" s="974"/>
    </row>
    <row r="18" spans="1:10">
      <c r="A18" s="1337"/>
      <c r="B18" s="1339"/>
      <c r="C18" s="971">
        <f>'PLANILHA ORÇAMENTÁRIA'!J44</f>
        <v>3458.83</v>
      </c>
      <c r="D18" s="966">
        <f>C18/C28</f>
        <v>1.3490115595118419E-2</v>
      </c>
      <c r="E18" s="677"/>
      <c r="F18" s="676">
        <v>1</v>
      </c>
      <c r="G18" s="677"/>
      <c r="H18" s="677"/>
      <c r="I18" s="964"/>
      <c r="J18" s="975"/>
    </row>
    <row r="19" spans="1:10" ht="15.75" thickBot="1">
      <c r="A19" s="1337" t="s">
        <v>324</v>
      </c>
      <c r="B19" s="1339" t="s">
        <v>16</v>
      </c>
      <c r="C19" s="972"/>
      <c r="D19" s="972"/>
      <c r="E19" s="969"/>
      <c r="F19" s="973">
        <f>C20</f>
        <v>390.99</v>
      </c>
      <c r="G19" s="677"/>
      <c r="H19" s="969"/>
      <c r="I19" s="964"/>
      <c r="J19" s="974"/>
    </row>
    <row r="20" spans="1:10">
      <c r="A20" s="1337"/>
      <c r="B20" s="1339"/>
      <c r="C20" s="971">
        <f>'PLANILHA ORÇAMENTÁRIA'!J49</f>
        <v>390.99</v>
      </c>
      <c r="D20" s="966">
        <f>C20/C28</f>
        <v>1.5249377091488599E-3</v>
      </c>
      <c r="E20" s="964"/>
      <c r="F20" s="676">
        <f>F19/C20</f>
        <v>1</v>
      </c>
      <c r="G20" s="677"/>
      <c r="H20" s="964"/>
      <c r="I20" s="964"/>
      <c r="J20" s="975"/>
    </row>
    <row r="21" spans="1:10" ht="15.75" thickBot="1">
      <c r="A21" s="1337" t="s">
        <v>328</v>
      </c>
      <c r="B21" s="1339" t="s">
        <v>20</v>
      </c>
      <c r="C21" s="972"/>
      <c r="D21" s="972"/>
      <c r="E21" s="969"/>
      <c r="F21" s="973">
        <f>C22*0.3</f>
        <v>14441.960999999998</v>
      </c>
      <c r="G21" s="973">
        <f>C22*0.6</f>
        <v>28883.921999999995</v>
      </c>
      <c r="H21" s="973">
        <f>C22-(F21+G21)</f>
        <v>4813.987000000001</v>
      </c>
      <c r="I21" s="964"/>
      <c r="J21" s="974"/>
    </row>
    <row r="22" spans="1:10">
      <c r="A22" s="1337"/>
      <c r="B22" s="1339"/>
      <c r="C22" s="971">
        <f>'PLANILHA ORÇAMENTÁRIA'!J62</f>
        <v>48139.869999999995</v>
      </c>
      <c r="D22" s="966">
        <f>C22/C28</f>
        <v>0.18775493766214971</v>
      </c>
      <c r="E22" s="964"/>
      <c r="F22" s="964">
        <f>F21/C22</f>
        <v>0.3</v>
      </c>
      <c r="G22" s="964">
        <f>G21/C22</f>
        <v>0.6</v>
      </c>
      <c r="H22" s="676">
        <f>H21/C22</f>
        <v>0.10000000000000003</v>
      </c>
      <c r="I22" s="969"/>
      <c r="J22" s="975"/>
    </row>
    <row r="23" spans="1:10" ht="15.75" thickBot="1">
      <c r="A23" s="1337" t="s">
        <v>330</v>
      </c>
      <c r="B23" s="1339" t="s">
        <v>25</v>
      </c>
      <c r="C23" s="972"/>
      <c r="D23" s="972"/>
      <c r="E23" s="969"/>
      <c r="F23" s="969"/>
      <c r="G23" s="969"/>
      <c r="H23" s="973">
        <f>C24/3</f>
        <v>43206.392815318584</v>
      </c>
      <c r="I23" s="973">
        <f>C24/3</f>
        <v>43206.392815318584</v>
      </c>
      <c r="J23" s="976">
        <f>C24/3</f>
        <v>43206.392815318584</v>
      </c>
    </row>
    <row r="24" spans="1:10">
      <c r="A24" s="1337"/>
      <c r="B24" s="1339"/>
      <c r="C24" s="971">
        <f>'PLANILHA ORÇAMENTÁRIA'!J94</f>
        <v>129619.17844595575</v>
      </c>
      <c r="D24" s="966">
        <f>C24/C28</f>
        <v>0.50554022619794126</v>
      </c>
      <c r="E24" s="964"/>
      <c r="F24" s="964"/>
      <c r="G24" s="964"/>
      <c r="H24" s="676">
        <f>H23/C24</f>
        <v>0.33333333333333331</v>
      </c>
      <c r="I24" s="676">
        <f>I23/C24</f>
        <v>0.33333333333333331</v>
      </c>
      <c r="J24" s="1115">
        <f>J23/C24</f>
        <v>0.33333333333333331</v>
      </c>
    </row>
    <row r="25" spans="1:10" ht="15.75" thickBot="1">
      <c r="A25" s="1337" t="s">
        <v>365</v>
      </c>
      <c r="B25" s="1339" t="s">
        <v>41</v>
      </c>
      <c r="C25" s="972"/>
      <c r="D25" s="972"/>
      <c r="E25" s="969"/>
      <c r="F25" s="972"/>
      <c r="G25" s="972"/>
      <c r="H25" s="972"/>
      <c r="I25" s="972"/>
      <c r="J25" s="976">
        <f>C26</f>
        <v>498.01</v>
      </c>
    </row>
    <row r="26" spans="1:10">
      <c r="A26" s="1338"/>
      <c r="B26" s="1340"/>
      <c r="C26" s="977">
        <f>'PLANILHA ORÇAMENTÁRIA'!J97</f>
        <v>498.01</v>
      </c>
      <c r="D26" s="978">
        <f>C26/C28</f>
        <v>1.9423367056273144E-3</v>
      </c>
      <c r="E26" s="979"/>
      <c r="F26" s="978"/>
      <c r="G26" s="978"/>
      <c r="H26" s="978"/>
      <c r="I26" s="978"/>
      <c r="J26" s="694">
        <f>J25/C26</f>
        <v>1</v>
      </c>
    </row>
    <row r="27" spans="1:10">
      <c r="A27" s="1335"/>
      <c r="B27" s="1336"/>
      <c r="C27" s="695"/>
      <c r="D27" s="696"/>
      <c r="E27" s="697"/>
      <c r="F27" s="697"/>
      <c r="G27" s="697"/>
      <c r="H27" s="697"/>
      <c r="I27" s="697"/>
      <c r="J27" s="698"/>
    </row>
    <row r="28" spans="1:10">
      <c r="A28" s="680"/>
      <c r="B28" s="681" t="s">
        <v>1024</v>
      </c>
      <c r="C28" s="980">
        <f>SUM(C12:C26)</f>
        <v>256397.35817027575</v>
      </c>
      <c r="D28" s="981">
        <f>SUM(D12:D26)</f>
        <v>0.99999999999999989</v>
      </c>
      <c r="E28" s="982"/>
      <c r="F28" s="982"/>
      <c r="G28" s="982"/>
      <c r="H28" s="982"/>
      <c r="I28" s="982"/>
      <c r="J28" s="983"/>
    </row>
    <row r="29" spans="1:10">
      <c r="A29" s="682"/>
      <c r="B29" s="683"/>
      <c r="C29" s="684" t="s">
        <v>1025</v>
      </c>
      <c r="D29" s="685" t="s">
        <v>1023</v>
      </c>
      <c r="E29" s="686">
        <f>E11+E13+E15</f>
        <v>51157.615405671982</v>
      </c>
      <c r="F29" s="686">
        <f>F15+F11+F17+F13+F19+F21</f>
        <v>27882.162706215997</v>
      </c>
      <c r="G29" s="686">
        <f>G11+G21+G13</f>
        <v>33568.518706215997</v>
      </c>
      <c r="H29" s="686">
        <f>H21+H11+H23</f>
        <v>50107.024415318585</v>
      </c>
      <c r="I29" s="686">
        <f>I11+I23</f>
        <v>45293.037415318584</v>
      </c>
      <c r="J29" s="687">
        <f>J11+J25+J23+J13</f>
        <v>48388.999521534584</v>
      </c>
    </row>
    <row r="30" spans="1:10">
      <c r="A30" s="688"/>
      <c r="B30" s="689"/>
      <c r="C30" s="690" t="s">
        <v>1026</v>
      </c>
      <c r="D30" s="984" t="s">
        <v>48</v>
      </c>
      <c r="E30" s="985">
        <f>E29/C28</f>
        <v>0.19952473680207641</v>
      </c>
      <c r="F30" s="985">
        <f>F29/C28</f>
        <v>0.1087459048142735</v>
      </c>
      <c r="G30" s="985">
        <f>G29/C28</f>
        <v>0.13092380883239385</v>
      </c>
      <c r="H30" s="985">
        <f>H29/$C$28</f>
        <v>0.19542722582204636</v>
      </c>
      <c r="I30" s="985">
        <f>I29/$C$28</f>
        <v>0.1766517320558314</v>
      </c>
      <c r="J30" s="986">
        <f>J29/$C$28</f>
        <v>0.18872659167337841</v>
      </c>
    </row>
    <row r="31" spans="1:10">
      <c r="A31" s="688"/>
      <c r="B31" s="689"/>
      <c r="C31" s="690" t="s">
        <v>1027</v>
      </c>
      <c r="D31" s="984" t="s">
        <v>1023</v>
      </c>
      <c r="E31" s="987">
        <f>E29</f>
        <v>51157.615405671982</v>
      </c>
      <c r="F31" s="987">
        <f>F29+E31</f>
        <v>79039.778111887979</v>
      </c>
      <c r="G31" s="987">
        <f>G29+F31</f>
        <v>112608.29681810398</v>
      </c>
      <c r="H31" s="987">
        <f>H29+G31</f>
        <v>162715.32123342255</v>
      </c>
      <c r="I31" s="987">
        <f>I29+H31</f>
        <v>208008.35864874115</v>
      </c>
      <c r="J31" s="988">
        <f>J29+I31</f>
        <v>256397.35817027575</v>
      </c>
    </row>
    <row r="32" spans="1:10" ht="15.75" thickBot="1">
      <c r="A32" s="691"/>
      <c r="B32" s="692"/>
      <c r="C32" s="693" t="s">
        <v>1028</v>
      </c>
      <c r="D32" s="989" t="s">
        <v>48</v>
      </c>
      <c r="E32" s="990">
        <f t="shared" ref="E32:J32" si="0">E31/$C$28</f>
        <v>0.19952473680207641</v>
      </c>
      <c r="F32" s="990">
        <f t="shared" si="0"/>
        <v>0.30827064161634993</v>
      </c>
      <c r="G32" s="990">
        <f t="shared" si="0"/>
        <v>0.43919445044874372</v>
      </c>
      <c r="H32" s="990">
        <f t="shared" si="0"/>
        <v>0.63462167627079014</v>
      </c>
      <c r="I32" s="990">
        <f t="shared" si="0"/>
        <v>0.81127340832662154</v>
      </c>
      <c r="J32" s="991">
        <f t="shared" si="0"/>
        <v>1</v>
      </c>
    </row>
  </sheetData>
  <mergeCells count="31">
    <mergeCell ref="H9:H10"/>
    <mergeCell ref="I9:I10"/>
    <mergeCell ref="J9:J10"/>
    <mergeCell ref="A11:A12"/>
    <mergeCell ref="H7:J7"/>
    <mergeCell ref="A9:A10"/>
    <mergeCell ref="B9:B10"/>
    <mergeCell ref="E9:E10"/>
    <mergeCell ref="F9:F10"/>
    <mergeCell ref="G9:G10"/>
    <mergeCell ref="B11:B12"/>
    <mergeCell ref="B2:J3"/>
    <mergeCell ref="H4:J4"/>
    <mergeCell ref="H5:J6"/>
    <mergeCell ref="A6:F6"/>
    <mergeCell ref="A8:J8"/>
    <mergeCell ref="A15:A16"/>
    <mergeCell ref="B15:B16"/>
    <mergeCell ref="A17:A18"/>
    <mergeCell ref="B17:B18"/>
    <mergeCell ref="A13:A14"/>
    <mergeCell ref="B13:B14"/>
    <mergeCell ref="A27:B27"/>
    <mergeCell ref="A25:A26"/>
    <mergeCell ref="B25:B26"/>
    <mergeCell ref="A19:A20"/>
    <mergeCell ref="B19:B20"/>
    <mergeCell ref="A21:A22"/>
    <mergeCell ref="B21:B22"/>
    <mergeCell ref="A23:A24"/>
    <mergeCell ref="B23:B24"/>
  </mergeCells>
  <pageMargins left="0.511811024" right="0.511811024" top="0.78740157499999996" bottom="0.78740157499999996" header="0.31496062000000002" footer="0.31496062000000002"/>
  <pageSetup paperSize="9" scale="91"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46"/>
  <sheetViews>
    <sheetView view="pageBreakPreview" zoomScaleNormal="100" zoomScaleSheetLayoutView="100" workbookViewId="0">
      <selection activeCell="I22" sqref="I22"/>
    </sheetView>
  </sheetViews>
  <sheetFormatPr defaultRowHeight="15"/>
  <cols>
    <col min="1" max="1" width="9.85546875" customWidth="1"/>
    <col min="2" max="2" width="10.28515625" customWidth="1"/>
    <col min="5" max="5" width="44" customWidth="1"/>
    <col min="8" max="8" width="12.140625" customWidth="1"/>
    <col min="9" max="9" width="12.570312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954</v>
      </c>
    </row>
    <row r="8" spans="1:9" ht="72" customHeight="1">
      <c r="A8" s="73" t="s">
        <v>128</v>
      </c>
      <c r="B8" s="1395" t="s">
        <v>1218</v>
      </c>
      <c r="C8" s="1395"/>
      <c r="D8" s="1395"/>
      <c r="E8" s="1395"/>
      <c r="F8" s="1395"/>
      <c r="G8" s="1395"/>
      <c r="H8" s="1395"/>
      <c r="I8" s="1396"/>
    </row>
    <row r="9" spans="1:9">
      <c r="A9" s="74" t="s">
        <v>129</v>
      </c>
      <c r="B9" s="1390" t="s">
        <v>57</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c r="A13" s="130">
        <v>88247</v>
      </c>
      <c r="B13" s="8" t="s">
        <v>58</v>
      </c>
      <c r="C13" s="1392" t="s">
        <v>152</v>
      </c>
      <c r="D13" s="1393" t="s">
        <v>152</v>
      </c>
      <c r="E13" s="1394" t="s">
        <v>152</v>
      </c>
      <c r="F13" s="4" t="s">
        <v>153</v>
      </c>
      <c r="G13" s="608">
        <v>0.1</v>
      </c>
      <c r="H13" s="213">
        <v>15.29</v>
      </c>
      <c r="I13" s="202">
        <f>G13*H13</f>
        <v>1.5289999999999999</v>
      </c>
    </row>
    <row r="14" spans="1:9">
      <c r="A14" s="130">
        <v>88264</v>
      </c>
      <c r="B14" s="8" t="s">
        <v>58</v>
      </c>
      <c r="C14" s="1392" t="s">
        <v>154</v>
      </c>
      <c r="D14" s="1393" t="s">
        <v>154</v>
      </c>
      <c r="E14" s="1394" t="s">
        <v>154</v>
      </c>
      <c r="F14" s="4" t="s">
        <v>153</v>
      </c>
      <c r="G14" s="597">
        <v>7</v>
      </c>
      <c r="H14" s="213">
        <v>19.84</v>
      </c>
      <c r="I14" s="202">
        <f>G14*H14</f>
        <v>138.88</v>
      </c>
    </row>
    <row r="15" spans="1:9">
      <c r="A15" s="79"/>
      <c r="B15" s="8"/>
      <c r="C15" s="1364"/>
      <c r="D15" s="1365"/>
      <c r="E15" s="1366"/>
      <c r="F15" s="4"/>
      <c r="G15" s="4"/>
      <c r="H15" s="4"/>
      <c r="I15" s="202"/>
    </row>
    <row r="16" spans="1:9" ht="75.75" customHeight="1">
      <c r="A16" s="81"/>
      <c r="B16" s="3"/>
      <c r="C16" s="1364" t="s">
        <v>911</v>
      </c>
      <c r="D16" s="1365"/>
      <c r="E16" s="1366"/>
      <c r="F16" s="3"/>
      <c r="G16" s="3"/>
      <c r="H16" s="3"/>
      <c r="I16" s="80"/>
    </row>
    <row r="17" spans="1:9">
      <c r="A17" s="79"/>
      <c r="B17" s="8"/>
      <c r="C17" s="1364"/>
      <c r="D17" s="1365"/>
      <c r="E17" s="1366"/>
      <c r="F17" s="4"/>
      <c r="G17" s="4"/>
      <c r="H17" s="4"/>
      <c r="I17" s="202"/>
    </row>
    <row r="18" spans="1:9">
      <c r="A18" s="1376" t="s">
        <v>139</v>
      </c>
      <c r="B18" s="1377"/>
      <c r="C18" s="1377"/>
      <c r="D18" s="1377"/>
      <c r="E18" s="1377"/>
      <c r="F18" s="1377"/>
      <c r="G18" s="1377"/>
      <c r="H18" s="1378"/>
      <c r="I18" s="188">
        <f>SUM(I13:I14)</f>
        <v>140.40899999999999</v>
      </c>
    </row>
    <row r="19" spans="1:9">
      <c r="A19" s="1379"/>
      <c r="B19" s="1380"/>
      <c r="C19" s="1380"/>
      <c r="D19" s="1380"/>
      <c r="E19" s="1380"/>
      <c r="F19" s="1380"/>
      <c r="G19" s="1380"/>
      <c r="H19" s="1380"/>
      <c r="I19" s="1381"/>
    </row>
    <row r="20" spans="1:9">
      <c r="A20" s="1382" t="s">
        <v>160</v>
      </c>
      <c r="B20" s="1383"/>
      <c r="C20" s="1383"/>
      <c r="D20" s="1383"/>
      <c r="E20" s="1383"/>
      <c r="F20" s="1383"/>
      <c r="G20" s="1383"/>
      <c r="H20" s="1383"/>
      <c r="I20" s="1384"/>
    </row>
    <row r="21" spans="1:9">
      <c r="A21" s="77" t="s">
        <v>130</v>
      </c>
      <c r="B21" s="56" t="s">
        <v>131</v>
      </c>
      <c r="C21" s="1385" t="s">
        <v>132</v>
      </c>
      <c r="D21" s="1386"/>
      <c r="E21" s="1387"/>
      <c r="F21" s="56" t="s">
        <v>104</v>
      </c>
      <c r="G21" s="56" t="s">
        <v>133</v>
      </c>
      <c r="H21" s="56" t="s">
        <v>134</v>
      </c>
      <c r="I21" s="78" t="s">
        <v>135</v>
      </c>
    </row>
    <row r="22" spans="1:9" ht="46.5" customHeight="1">
      <c r="A22" s="513" t="s">
        <v>161</v>
      </c>
      <c r="B22" s="485" t="s">
        <v>162</v>
      </c>
      <c r="C22" s="1370" t="s">
        <v>1219</v>
      </c>
      <c r="D22" s="1371"/>
      <c r="E22" s="1372"/>
      <c r="F22" s="8" t="s">
        <v>104</v>
      </c>
      <c r="G22" s="597">
        <v>1</v>
      </c>
      <c r="H22" s="205">
        <f>COTAÇÃO!R27</f>
        <v>1305.24</v>
      </c>
      <c r="I22" s="605">
        <f t="shared" ref="I22:I26" si="0">G22*H22</f>
        <v>1305.24</v>
      </c>
    </row>
    <row r="23" spans="1:9" ht="33" customHeight="1">
      <c r="A23" s="601">
        <v>5050</v>
      </c>
      <c r="B23" s="8" t="s">
        <v>58</v>
      </c>
      <c r="C23" s="1373" t="s">
        <v>888</v>
      </c>
      <c r="D23" s="1388" t="s">
        <v>156</v>
      </c>
      <c r="E23" s="1389" t="s">
        <v>156</v>
      </c>
      <c r="F23" s="8" t="s">
        <v>104</v>
      </c>
      <c r="G23" s="597">
        <v>1</v>
      </c>
      <c r="H23" s="205">
        <v>251.26</v>
      </c>
      <c r="I23" s="203">
        <f t="shared" si="0"/>
        <v>251.26</v>
      </c>
    </row>
    <row r="24" spans="1:9" ht="31.5" customHeight="1">
      <c r="A24" s="130" t="s">
        <v>890</v>
      </c>
      <c r="B24" s="8" t="s">
        <v>58</v>
      </c>
      <c r="C24" s="1373" t="s">
        <v>784</v>
      </c>
      <c r="D24" s="1374" t="s">
        <v>157</v>
      </c>
      <c r="E24" s="1375" t="s">
        <v>157</v>
      </c>
      <c r="F24" s="8" t="s">
        <v>57</v>
      </c>
      <c r="G24" s="597">
        <f>0.95*4</f>
        <v>3.8</v>
      </c>
      <c r="H24" s="205">
        <v>30.21</v>
      </c>
      <c r="I24" s="203">
        <f t="shared" si="0"/>
        <v>114.798</v>
      </c>
    </row>
    <row r="25" spans="1:9" ht="31.5" customHeight="1">
      <c r="A25" s="130" t="s">
        <v>148</v>
      </c>
      <c r="B25" s="8" t="s">
        <v>58</v>
      </c>
      <c r="C25" s="1367" t="s">
        <v>22</v>
      </c>
      <c r="D25" s="1368"/>
      <c r="E25" s="1369"/>
      <c r="F25" s="8" t="s">
        <v>104</v>
      </c>
      <c r="G25" s="604">
        <v>4</v>
      </c>
      <c r="H25" s="205">
        <v>448.72</v>
      </c>
      <c r="I25" s="203">
        <f t="shared" si="0"/>
        <v>1794.88</v>
      </c>
    </row>
    <row r="26" spans="1:9" ht="36.75" customHeight="1">
      <c r="A26" s="1432">
        <v>94965</v>
      </c>
      <c r="B26" s="1434" t="s">
        <v>58</v>
      </c>
      <c r="C26" s="1421" t="s">
        <v>882</v>
      </c>
      <c r="D26" s="1422"/>
      <c r="E26" s="1423"/>
      <c r="F26" s="1436" t="s">
        <v>103</v>
      </c>
      <c r="G26" s="1438">
        <f>0.4*0.4*0.5</f>
        <v>8.0000000000000016E-2</v>
      </c>
      <c r="H26" s="1440">
        <v>262.73</v>
      </c>
      <c r="I26" s="1419">
        <f t="shared" si="0"/>
        <v>21.018400000000007</v>
      </c>
    </row>
    <row r="27" spans="1:9">
      <c r="A27" s="1433"/>
      <c r="B27" s="1435"/>
      <c r="C27" s="1424" t="s">
        <v>938</v>
      </c>
      <c r="D27" s="1425"/>
      <c r="E27" s="1426"/>
      <c r="F27" s="1437"/>
      <c r="G27" s="1439"/>
      <c r="H27" s="1441"/>
      <c r="I27" s="1420"/>
    </row>
    <row r="28" spans="1:9" ht="33" customHeight="1">
      <c r="A28" s="349">
        <v>93358</v>
      </c>
      <c r="B28" s="592" t="s">
        <v>58</v>
      </c>
      <c r="C28" s="1416" t="s">
        <v>891</v>
      </c>
      <c r="D28" s="1417"/>
      <c r="E28" s="1418"/>
      <c r="F28" s="593" t="s">
        <v>103</v>
      </c>
      <c r="G28" s="594">
        <f>G26</f>
        <v>8.0000000000000016E-2</v>
      </c>
      <c r="H28" s="596">
        <v>53.99</v>
      </c>
      <c r="I28" s="633">
        <f>G28*H28</f>
        <v>4.3192000000000013</v>
      </c>
    </row>
    <row r="29" spans="1:9">
      <c r="A29" s="1376" t="s">
        <v>137</v>
      </c>
      <c r="B29" s="1377"/>
      <c r="C29" s="1377"/>
      <c r="D29" s="1377"/>
      <c r="E29" s="1377"/>
      <c r="F29" s="1377"/>
      <c r="G29" s="1377"/>
      <c r="H29" s="1378"/>
      <c r="I29" s="188">
        <f>SUM(I22:I28)</f>
        <v>3491.5155999999997</v>
      </c>
    </row>
    <row r="30" spans="1:9">
      <c r="A30" s="1379"/>
      <c r="B30" s="1380"/>
      <c r="C30" s="1380"/>
      <c r="D30" s="1380"/>
      <c r="E30" s="1380"/>
      <c r="F30" s="1380"/>
      <c r="G30" s="1380"/>
      <c r="H30" s="1380"/>
      <c r="I30" s="1381"/>
    </row>
    <row r="31" spans="1:9">
      <c r="A31" s="1382" t="s">
        <v>140</v>
      </c>
      <c r="B31" s="1383"/>
      <c r="C31" s="1383"/>
      <c r="D31" s="1383"/>
      <c r="E31" s="1383"/>
      <c r="F31" s="1383"/>
      <c r="G31" s="1383"/>
      <c r="H31" s="1383"/>
      <c r="I31" s="1384"/>
    </row>
    <row r="32" spans="1:9">
      <c r="A32" s="82" t="s">
        <v>130</v>
      </c>
      <c r="B32" s="654" t="s">
        <v>131</v>
      </c>
      <c r="C32" s="1427" t="s">
        <v>132</v>
      </c>
      <c r="D32" s="1428"/>
      <c r="E32" s="1429"/>
      <c r="F32" s="654" t="s">
        <v>104</v>
      </c>
      <c r="G32" s="654" t="s">
        <v>133</v>
      </c>
      <c r="H32" s="654" t="s">
        <v>134</v>
      </c>
      <c r="I32" s="83" t="s">
        <v>135</v>
      </c>
    </row>
    <row r="33" spans="1:9">
      <c r="A33" s="130"/>
      <c r="B33" s="8"/>
      <c r="C33" s="1367"/>
      <c r="D33" s="1430"/>
      <c r="E33" s="1431"/>
      <c r="F33" s="8"/>
      <c r="G33" s="8"/>
      <c r="H33" s="205"/>
      <c r="I33" s="203"/>
    </row>
    <row r="34" spans="1:9">
      <c r="A34" s="81"/>
      <c r="B34" s="3"/>
      <c r="C34" s="1367"/>
      <c r="D34" s="1368"/>
      <c r="E34" s="1369"/>
      <c r="F34" s="3"/>
      <c r="G34" s="3"/>
      <c r="H34" s="3"/>
      <c r="I34" s="80"/>
    </row>
    <row r="35" spans="1:9">
      <c r="A35" s="81"/>
      <c r="B35" s="3"/>
      <c r="C35" s="1364"/>
      <c r="D35" s="1365"/>
      <c r="E35" s="1366"/>
      <c r="F35" s="3"/>
      <c r="G35" s="3"/>
      <c r="H35" s="3"/>
      <c r="I35" s="80"/>
    </row>
    <row r="36" spans="1:9">
      <c r="A36" s="1376" t="s">
        <v>196</v>
      </c>
      <c r="B36" s="1377"/>
      <c r="C36" s="1377"/>
      <c r="D36" s="1377"/>
      <c r="E36" s="1377"/>
      <c r="F36" s="1377"/>
      <c r="G36" s="1377"/>
      <c r="H36" s="1378"/>
      <c r="I36" s="188"/>
    </row>
    <row r="37" spans="1:9">
      <c r="A37" s="1379"/>
      <c r="B37" s="1380"/>
      <c r="C37" s="1380"/>
      <c r="D37" s="1380"/>
      <c r="E37" s="1380"/>
      <c r="F37" s="1380"/>
      <c r="G37" s="1380"/>
      <c r="H37" s="1380"/>
      <c r="I37" s="1381"/>
    </row>
    <row r="38" spans="1:9">
      <c r="A38" s="1382" t="s">
        <v>141</v>
      </c>
      <c r="B38" s="1383"/>
      <c r="C38" s="1383"/>
      <c r="D38" s="1383"/>
      <c r="E38" s="1383"/>
      <c r="F38" s="1383"/>
      <c r="G38" s="1383"/>
      <c r="H38" s="1383"/>
      <c r="I38" s="1384"/>
    </row>
    <row r="39" spans="1:9">
      <c r="A39" s="1413" t="s">
        <v>142</v>
      </c>
      <c r="B39" s="1414"/>
      <c r="C39" s="1414"/>
      <c r="D39" s="1414"/>
      <c r="E39" s="1414"/>
      <c r="F39" s="1414"/>
      <c r="G39" s="1414"/>
      <c r="H39" s="1415"/>
      <c r="I39" s="188">
        <f>I18</f>
        <v>140.40899999999999</v>
      </c>
    </row>
    <row r="40" spans="1:9">
      <c r="A40" s="1413" t="s">
        <v>163</v>
      </c>
      <c r="B40" s="1414"/>
      <c r="C40" s="1414"/>
      <c r="D40" s="1414"/>
      <c r="E40" s="1414"/>
      <c r="F40" s="1414"/>
      <c r="G40" s="1414"/>
      <c r="H40" s="1415"/>
      <c r="I40" s="188">
        <f>I29</f>
        <v>3491.5155999999997</v>
      </c>
    </row>
    <row r="41" spans="1:9">
      <c r="A41" s="1413" t="s">
        <v>196</v>
      </c>
      <c r="B41" s="1414"/>
      <c r="C41" s="1414"/>
      <c r="D41" s="1414"/>
      <c r="E41" s="1414"/>
      <c r="F41" s="1414"/>
      <c r="G41" s="1414"/>
      <c r="H41" s="1415"/>
      <c r="I41" s="188">
        <f>I36</f>
        <v>0</v>
      </c>
    </row>
    <row r="42" spans="1:9">
      <c r="A42" s="1413" t="s">
        <v>391</v>
      </c>
      <c r="B42" s="1414"/>
      <c r="C42" s="1414"/>
      <c r="D42" s="1414"/>
      <c r="E42" s="1414"/>
      <c r="F42" s="1414"/>
      <c r="G42" s="1414"/>
      <c r="H42" s="1415"/>
      <c r="I42" s="80"/>
    </row>
    <row r="43" spans="1:9">
      <c r="A43" s="1413" t="s">
        <v>392</v>
      </c>
      <c r="B43" s="1414"/>
      <c r="C43" s="1414"/>
      <c r="D43" s="1414"/>
      <c r="E43" s="1414"/>
      <c r="F43" s="1414"/>
      <c r="G43" s="1414"/>
      <c r="H43" s="1415"/>
      <c r="I43" s="188">
        <f>SUM(I39:I41)</f>
        <v>3631.9245999999998</v>
      </c>
    </row>
    <row r="44" spans="1:9">
      <c r="A44" s="1413" t="s">
        <v>393</v>
      </c>
      <c r="B44" s="1414"/>
      <c r="C44" s="1414"/>
      <c r="D44" s="1414"/>
      <c r="E44" s="1414"/>
      <c r="F44" s="1414"/>
      <c r="G44" s="1414"/>
      <c r="H44" s="1415"/>
      <c r="I44" s="188">
        <f>I43*26.54%</f>
        <v>963.91278883999985</v>
      </c>
    </row>
    <row r="45" spans="1:9">
      <c r="A45" s="1408" t="s">
        <v>144</v>
      </c>
      <c r="B45" s="1409"/>
      <c r="C45" s="1409"/>
      <c r="D45" s="1409"/>
      <c r="E45" s="1409"/>
      <c r="F45" s="1409"/>
      <c r="G45" s="1409"/>
      <c r="H45" s="1409"/>
      <c r="I45" s="189">
        <f>I43+I44</f>
        <v>4595.8373888400001</v>
      </c>
    </row>
    <row r="46" spans="1:9" ht="15.75" thickBot="1">
      <c r="A46" s="1410"/>
      <c r="B46" s="1411"/>
      <c r="C46" s="1411"/>
      <c r="D46" s="1411"/>
      <c r="E46" s="1411"/>
      <c r="F46" s="1411"/>
      <c r="G46" s="1411"/>
      <c r="H46" s="1411"/>
      <c r="I46" s="1412"/>
    </row>
  </sheetData>
  <mergeCells count="49">
    <mergeCell ref="A26:A27"/>
    <mergeCell ref="B26:B27"/>
    <mergeCell ref="F26:F27"/>
    <mergeCell ref="G26:G27"/>
    <mergeCell ref="H26:H27"/>
    <mergeCell ref="I26:I27"/>
    <mergeCell ref="C26:E26"/>
    <mergeCell ref="C27:E27"/>
    <mergeCell ref="C32:E32"/>
    <mergeCell ref="C33:E33"/>
    <mergeCell ref="C34:E34"/>
    <mergeCell ref="C28:E28"/>
    <mergeCell ref="A29:H29"/>
    <mergeCell ref="A30:I30"/>
    <mergeCell ref="A31:I31"/>
    <mergeCell ref="A45:H45"/>
    <mergeCell ref="A46:I46"/>
    <mergeCell ref="C35:E35"/>
    <mergeCell ref="A36:H36"/>
    <mergeCell ref="A37:I37"/>
    <mergeCell ref="A38:I38"/>
    <mergeCell ref="A39:H39"/>
    <mergeCell ref="A40:H40"/>
    <mergeCell ref="A41:H41"/>
    <mergeCell ref="A42:H42"/>
    <mergeCell ref="A43:H43"/>
    <mergeCell ref="A44:H44"/>
    <mergeCell ref="B8:I8"/>
    <mergeCell ref="A1:H3"/>
    <mergeCell ref="C4:F4"/>
    <mergeCell ref="I4:I5"/>
    <mergeCell ref="C5:F5"/>
    <mergeCell ref="A6:H7"/>
    <mergeCell ref="B9:I9"/>
    <mergeCell ref="A11:I11"/>
    <mergeCell ref="C12:E12"/>
    <mergeCell ref="C13:E13"/>
    <mergeCell ref="C14:E14"/>
    <mergeCell ref="C15:E15"/>
    <mergeCell ref="C17:E17"/>
    <mergeCell ref="C25:E25"/>
    <mergeCell ref="C22:E22"/>
    <mergeCell ref="C24:E24"/>
    <mergeCell ref="C16:E16"/>
    <mergeCell ref="A18:H18"/>
    <mergeCell ref="A19:I19"/>
    <mergeCell ref="A20:I20"/>
    <mergeCell ref="C21:E21"/>
    <mergeCell ref="C23:E23"/>
  </mergeCells>
  <pageMargins left="0.511811024" right="0.511811024" top="0.78740157499999996" bottom="0.78740157499999996" header="0.31496062000000002" footer="0.31496062000000002"/>
  <pageSetup paperSize="9" scale="73"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42"/>
  <sheetViews>
    <sheetView view="pageBreakPreview" zoomScaleNormal="100" zoomScaleSheetLayoutView="100" workbookViewId="0">
      <selection activeCell="A14" sqref="A14"/>
    </sheetView>
  </sheetViews>
  <sheetFormatPr defaultRowHeight="15"/>
  <cols>
    <col min="3" max="3" width="18.28515625" customWidth="1"/>
    <col min="4" max="4" width="18.7109375" customWidth="1"/>
    <col min="5" max="5" width="12.42578125" customWidth="1"/>
    <col min="8" max="8" width="11" customWidth="1"/>
    <col min="9" max="9" width="14.710937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1006</v>
      </c>
    </row>
    <row r="8" spans="1:9" ht="39" customHeight="1">
      <c r="A8" s="73" t="s">
        <v>128</v>
      </c>
      <c r="B8" s="1395" t="s">
        <v>968</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c r="A13" s="79"/>
      <c r="B13" s="8"/>
      <c r="C13" s="1442"/>
      <c r="D13" s="1443"/>
      <c r="E13" s="1444"/>
      <c r="F13" s="4"/>
      <c r="G13" s="4"/>
      <c r="H13" s="4"/>
      <c r="I13" s="202"/>
    </row>
    <row r="14" spans="1:9">
      <c r="A14" s="79"/>
      <c r="B14" s="8"/>
      <c r="C14" s="1442"/>
      <c r="D14" s="1443"/>
      <c r="E14" s="1444"/>
      <c r="F14" s="4"/>
      <c r="G14" s="4"/>
      <c r="H14" s="4"/>
      <c r="I14" s="202"/>
    </row>
    <row r="15" spans="1:9">
      <c r="A15" s="79"/>
      <c r="B15" s="8"/>
      <c r="C15" s="1442"/>
      <c r="D15" s="1443"/>
      <c r="E15" s="1444"/>
      <c r="F15" s="4"/>
      <c r="G15" s="4"/>
      <c r="H15" s="4"/>
      <c r="I15" s="202"/>
    </row>
    <row r="16" spans="1:9">
      <c r="A16" s="79"/>
      <c r="B16" s="8"/>
      <c r="C16" s="1442"/>
      <c r="D16" s="1443"/>
      <c r="E16" s="1444"/>
      <c r="F16" s="4"/>
      <c r="G16" s="4"/>
      <c r="H16" s="4"/>
      <c r="I16" s="202"/>
    </row>
    <row r="17" spans="1:9">
      <c r="A17" s="1376" t="s">
        <v>139</v>
      </c>
      <c r="B17" s="1377"/>
      <c r="C17" s="1377"/>
      <c r="D17" s="1377"/>
      <c r="E17" s="1377"/>
      <c r="F17" s="1377"/>
      <c r="G17" s="1377"/>
      <c r="H17" s="1378"/>
      <c r="I17" s="188"/>
    </row>
    <row r="18" spans="1:9">
      <c r="A18" s="1379"/>
      <c r="B18" s="1380"/>
      <c r="C18" s="1380"/>
      <c r="D18" s="1380"/>
      <c r="E18" s="1380"/>
      <c r="F18" s="1380"/>
      <c r="G18" s="1380"/>
      <c r="H18" s="1380"/>
      <c r="I18" s="1381"/>
    </row>
    <row r="19" spans="1:9">
      <c r="A19" s="1382" t="s">
        <v>160</v>
      </c>
      <c r="B19" s="1383"/>
      <c r="C19" s="1383"/>
      <c r="D19" s="1383"/>
      <c r="E19" s="1383"/>
      <c r="F19" s="1383"/>
      <c r="G19" s="1383"/>
      <c r="H19" s="1383"/>
      <c r="I19" s="1384"/>
    </row>
    <row r="20" spans="1:9">
      <c r="A20" s="77" t="s">
        <v>130</v>
      </c>
      <c r="B20" s="56" t="s">
        <v>131</v>
      </c>
      <c r="C20" s="1385" t="s">
        <v>132</v>
      </c>
      <c r="D20" s="1386"/>
      <c r="E20" s="1387"/>
      <c r="F20" s="56" t="s">
        <v>104</v>
      </c>
      <c r="G20" s="56" t="s">
        <v>133</v>
      </c>
      <c r="H20" s="56" t="s">
        <v>134</v>
      </c>
      <c r="I20" s="78" t="s">
        <v>135</v>
      </c>
    </row>
    <row r="21" spans="1:9" ht="27.75" customHeight="1">
      <c r="A21" s="513">
        <v>96985</v>
      </c>
      <c r="B21" s="485" t="s">
        <v>58</v>
      </c>
      <c r="C21" s="1367" t="s">
        <v>966</v>
      </c>
      <c r="D21" s="1430"/>
      <c r="E21" s="1431"/>
      <c r="F21" s="485" t="s">
        <v>104</v>
      </c>
      <c r="G21" s="542">
        <v>1</v>
      </c>
      <c r="H21" s="485">
        <v>43.34</v>
      </c>
      <c r="I21" s="134">
        <f>G21*H21</f>
        <v>43.34</v>
      </c>
    </row>
    <row r="22" spans="1:9" ht="32.25" customHeight="1">
      <c r="A22" s="513">
        <v>83377</v>
      </c>
      <c r="B22" s="485" t="s">
        <v>58</v>
      </c>
      <c r="C22" s="1367" t="s">
        <v>965</v>
      </c>
      <c r="D22" s="1430"/>
      <c r="E22" s="1431"/>
      <c r="F22" s="8" t="s">
        <v>104</v>
      </c>
      <c r="G22" s="597">
        <v>1</v>
      </c>
      <c r="H22" s="205">
        <v>8.75</v>
      </c>
      <c r="I22" s="134">
        <f t="shared" ref="I22:I23" si="0">G22*H22</f>
        <v>8.75</v>
      </c>
    </row>
    <row r="23" spans="1:9" ht="29.25" customHeight="1">
      <c r="A23" s="513">
        <v>72251</v>
      </c>
      <c r="B23" s="485" t="s">
        <v>58</v>
      </c>
      <c r="C23" s="1367" t="s">
        <v>964</v>
      </c>
      <c r="D23" s="1430"/>
      <c r="E23" s="1431"/>
      <c r="F23" s="8" t="s">
        <v>105</v>
      </c>
      <c r="G23" s="597">
        <v>1.5</v>
      </c>
      <c r="H23" s="205">
        <v>12.61</v>
      </c>
      <c r="I23" s="134">
        <f t="shared" si="0"/>
        <v>18.914999999999999</v>
      </c>
    </row>
    <row r="24" spans="1:9" ht="30" customHeight="1">
      <c r="A24" s="513">
        <v>49506</v>
      </c>
      <c r="B24" s="485" t="s">
        <v>56</v>
      </c>
      <c r="C24" s="1373" t="s">
        <v>967</v>
      </c>
      <c r="D24" s="1388"/>
      <c r="E24" s="1389"/>
      <c r="F24" s="8" t="s">
        <v>104</v>
      </c>
      <c r="G24" s="597">
        <v>1</v>
      </c>
      <c r="H24" s="205">
        <v>18.98</v>
      </c>
      <c r="I24" s="134">
        <f>G24*H24</f>
        <v>18.98</v>
      </c>
    </row>
    <row r="25" spans="1:9">
      <c r="A25" s="349"/>
      <c r="B25" s="592"/>
      <c r="C25" s="1416"/>
      <c r="D25" s="1417"/>
      <c r="E25" s="1418"/>
      <c r="F25" s="593"/>
      <c r="G25" s="594"/>
      <c r="H25" s="596"/>
      <c r="I25" s="633"/>
    </row>
    <row r="26" spans="1:9">
      <c r="A26" s="1376" t="s">
        <v>137</v>
      </c>
      <c r="B26" s="1377"/>
      <c r="C26" s="1377"/>
      <c r="D26" s="1377"/>
      <c r="E26" s="1377"/>
      <c r="F26" s="1377"/>
      <c r="G26" s="1377"/>
      <c r="H26" s="1378"/>
      <c r="I26" s="188">
        <f>SUM(I21:I24)</f>
        <v>89.984999999999999</v>
      </c>
    </row>
    <row r="27" spans="1:9">
      <c r="A27" s="1379"/>
      <c r="B27" s="1380"/>
      <c r="C27" s="1380"/>
      <c r="D27" s="1380"/>
      <c r="E27" s="1380"/>
      <c r="F27" s="1380"/>
      <c r="G27" s="1380"/>
      <c r="H27" s="1380"/>
      <c r="I27" s="1381"/>
    </row>
    <row r="28" spans="1:9">
      <c r="A28" s="1382" t="s">
        <v>140</v>
      </c>
      <c r="B28" s="1383"/>
      <c r="C28" s="1383"/>
      <c r="D28" s="1383"/>
      <c r="E28" s="1383"/>
      <c r="F28" s="1383"/>
      <c r="G28" s="1383"/>
      <c r="H28" s="1383"/>
      <c r="I28" s="1384"/>
    </row>
    <row r="29" spans="1:9">
      <c r="A29" s="82" t="s">
        <v>130</v>
      </c>
      <c r="B29" s="654" t="s">
        <v>131</v>
      </c>
      <c r="C29" s="1427" t="s">
        <v>132</v>
      </c>
      <c r="D29" s="1428"/>
      <c r="E29" s="1429"/>
      <c r="F29" s="654" t="s">
        <v>104</v>
      </c>
      <c r="G29" s="654" t="s">
        <v>133</v>
      </c>
      <c r="H29" s="654" t="s">
        <v>134</v>
      </c>
      <c r="I29" s="83" t="s">
        <v>135</v>
      </c>
    </row>
    <row r="30" spans="1:9">
      <c r="A30" s="130"/>
      <c r="B30" s="8"/>
      <c r="C30" s="1367"/>
      <c r="D30" s="1430"/>
      <c r="E30" s="1431"/>
      <c r="F30" s="8"/>
      <c r="G30" s="8"/>
      <c r="H30" s="205"/>
      <c r="I30" s="203"/>
    </row>
    <row r="31" spans="1:9">
      <c r="A31" s="81"/>
      <c r="B31" s="3"/>
      <c r="C31" s="1364"/>
      <c r="D31" s="1365"/>
      <c r="E31" s="1366"/>
      <c r="F31" s="3"/>
      <c r="G31" s="3"/>
      <c r="H31" s="3"/>
      <c r="I31" s="80"/>
    </row>
    <row r="32" spans="1:9">
      <c r="A32" s="1376" t="s">
        <v>196</v>
      </c>
      <c r="B32" s="1377"/>
      <c r="C32" s="1377"/>
      <c r="D32" s="1377"/>
      <c r="E32" s="1377"/>
      <c r="F32" s="1377"/>
      <c r="G32" s="1377"/>
      <c r="H32" s="1378"/>
      <c r="I32" s="188"/>
    </row>
    <row r="33" spans="1:9">
      <c r="A33" s="1379"/>
      <c r="B33" s="1380"/>
      <c r="C33" s="1380"/>
      <c r="D33" s="1380"/>
      <c r="E33" s="1380"/>
      <c r="F33" s="1380"/>
      <c r="G33" s="1380"/>
      <c r="H33" s="1380"/>
      <c r="I33" s="1381"/>
    </row>
    <row r="34" spans="1:9">
      <c r="A34" s="1382" t="s">
        <v>141</v>
      </c>
      <c r="B34" s="1383"/>
      <c r="C34" s="1383"/>
      <c r="D34" s="1383"/>
      <c r="E34" s="1383"/>
      <c r="F34" s="1383"/>
      <c r="G34" s="1383"/>
      <c r="H34" s="1383"/>
      <c r="I34" s="1384"/>
    </row>
    <row r="35" spans="1:9">
      <c r="A35" s="1413" t="s">
        <v>142</v>
      </c>
      <c r="B35" s="1414"/>
      <c r="C35" s="1414"/>
      <c r="D35" s="1414"/>
      <c r="E35" s="1414"/>
      <c r="F35" s="1414"/>
      <c r="G35" s="1414"/>
      <c r="H35" s="1415"/>
      <c r="I35" s="188"/>
    </row>
    <row r="36" spans="1:9">
      <c r="A36" s="1413" t="s">
        <v>163</v>
      </c>
      <c r="B36" s="1414"/>
      <c r="C36" s="1414"/>
      <c r="D36" s="1414"/>
      <c r="E36" s="1414"/>
      <c r="F36" s="1414"/>
      <c r="G36" s="1414"/>
      <c r="H36" s="1415"/>
      <c r="I36" s="188">
        <f>I26</f>
        <v>89.984999999999999</v>
      </c>
    </row>
    <row r="37" spans="1:9">
      <c r="A37" s="1413" t="s">
        <v>196</v>
      </c>
      <c r="B37" s="1414"/>
      <c r="C37" s="1414"/>
      <c r="D37" s="1414"/>
      <c r="E37" s="1414"/>
      <c r="F37" s="1414"/>
      <c r="G37" s="1414"/>
      <c r="H37" s="1415"/>
      <c r="I37" s="188"/>
    </row>
    <row r="38" spans="1:9">
      <c r="A38" s="1413" t="s">
        <v>391</v>
      </c>
      <c r="B38" s="1414"/>
      <c r="C38" s="1414"/>
      <c r="D38" s="1414"/>
      <c r="E38" s="1414"/>
      <c r="F38" s="1414"/>
      <c r="G38" s="1414"/>
      <c r="H38" s="1415"/>
      <c r="I38" s="80"/>
    </row>
    <row r="39" spans="1:9">
      <c r="A39" s="1413" t="s">
        <v>392</v>
      </c>
      <c r="B39" s="1414"/>
      <c r="C39" s="1414"/>
      <c r="D39" s="1414"/>
      <c r="E39" s="1414"/>
      <c r="F39" s="1414"/>
      <c r="G39" s="1414"/>
      <c r="H39" s="1415"/>
      <c r="I39" s="188">
        <f>I36</f>
        <v>89.984999999999999</v>
      </c>
    </row>
    <row r="40" spans="1:9">
      <c r="A40" s="1413" t="s">
        <v>393</v>
      </c>
      <c r="B40" s="1414"/>
      <c r="C40" s="1414"/>
      <c r="D40" s="1414"/>
      <c r="E40" s="1414"/>
      <c r="F40" s="1414"/>
      <c r="G40" s="1414"/>
      <c r="H40" s="1415"/>
      <c r="I40" s="188">
        <f>I39*26.54%</f>
        <v>23.882018999999996</v>
      </c>
    </row>
    <row r="41" spans="1:9">
      <c r="A41" s="1408" t="s">
        <v>144</v>
      </c>
      <c r="B41" s="1409"/>
      <c r="C41" s="1409"/>
      <c r="D41" s="1409"/>
      <c r="E41" s="1409"/>
      <c r="F41" s="1409"/>
      <c r="G41" s="1409"/>
      <c r="H41" s="1409"/>
      <c r="I41" s="189">
        <f>I39+I40</f>
        <v>113.867019</v>
      </c>
    </row>
    <row r="42" spans="1:9" ht="15.75" thickBot="1">
      <c r="A42" s="1410"/>
      <c r="B42" s="1411"/>
      <c r="C42" s="1411"/>
      <c r="D42" s="1411"/>
      <c r="E42" s="1411"/>
      <c r="F42" s="1411"/>
      <c r="G42" s="1411"/>
      <c r="H42" s="1411"/>
      <c r="I42" s="1412"/>
    </row>
  </sheetData>
  <mergeCells count="39">
    <mergeCell ref="A39:H39"/>
    <mergeCell ref="A40:H40"/>
    <mergeCell ref="A41:H41"/>
    <mergeCell ref="A42:I42"/>
    <mergeCell ref="C21:E21"/>
    <mergeCell ref="C23:E23"/>
    <mergeCell ref="C24:E24"/>
    <mergeCell ref="A33:I33"/>
    <mergeCell ref="A34:I34"/>
    <mergeCell ref="A35:H35"/>
    <mergeCell ref="A36:H36"/>
    <mergeCell ref="A37:H37"/>
    <mergeCell ref="A38:H38"/>
    <mergeCell ref="A27:I27"/>
    <mergeCell ref="A28:I28"/>
    <mergeCell ref="C29:E29"/>
    <mergeCell ref="C30:E30"/>
    <mergeCell ref="C31:E31"/>
    <mergeCell ref="A32:H32"/>
    <mergeCell ref="A18:I18"/>
    <mergeCell ref="A19:I19"/>
    <mergeCell ref="C20:E20"/>
    <mergeCell ref="C22:E22"/>
    <mergeCell ref="C25:E25"/>
    <mergeCell ref="A26:H26"/>
    <mergeCell ref="A1:H3"/>
    <mergeCell ref="C4:F4"/>
    <mergeCell ref="B9:I9"/>
    <mergeCell ref="A11:I11"/>
    <mergeCell ref="C12:E12"/>
    <mergeCell ref="I4:I5"/>
    <mergeCell ref="C5:F5"/>
    <mergeCell ref="A6:H7"/>
    <mergeCell ref="B8:I8"/>
    <mergeCell ref="A17:H17"/>
    <mergeCell ref="C13:E13"/>
    <mergeCell ref="C14:E14"/>
    <mergeCell ref="C15:E15"/>
    <mergeCell ref="C16:E16"/>
  </mergeCells>
  <pageMargins left="0.511811024" right="0.511811024" top="0.78740157499999996" bottom="0.78740157499999996" header="0.31496062000000002" footer="0.31496062000000002"/>
  <pageSetup paperSize="9" scale="8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42"/>
  <sheetViews>
    <sheetView view="pageBreakPreview" zoomScaleNormal="100" zoomScaleSheetLayoutView="100" workbookViewId="0">
      <selection activeCell="I21" sqref="I21"/>
    </sheetView>
  </sheetViews>
  <sheetFormatPr defaultRowHeight="15"/>
  <cols>
    <col min="3" max="3" width="18.28515625" customWidth="1"/>
    <col min="4" max="4" width="18.7109375" customWidth="1"/>
    <col min="5" max="5" width="12.42578125" customWidth="1"/>
    <col min="8" max="8" width="11" customWidth="1"/>
    <col min="9" max="9" width="14.710937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1007</v>
      </c>
    </row>
    <row r="8" spans="1:9" ht="39" customHeight="1">
      <c r="A8" s="73" t="s">
        <v>128</v>
      </c>
      <c r="B8" s="1395" t="s">
        <v>973</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c r="A13" s="79"/>
      <c r="B13" s="8"/>
      <c r="C13" s="1442"/>
      <c r="D13" s="1443"/>
      <c r="E13" s="1444"/>
      <c r="F13" s="4"/>
      <c r="G13" s="4"/>
      <c r="H13" s="4"/>
      <c r="I13" s="202"/>
    </row>
    <row r="14" spans="1:9">
      <c r="A14" s="79"/>
      <c r="B14" s="8"/>
      <c r="C14" s="1442"/>
      <c r="D14" s="1443"/>
      <c r="E14" s="1444"/>
      <c r="F14" s="4"/>
      <c r="G14" s="4"/>
      <c r="H14" s="4"/>
      <c r="I14" s="202"/>
    </row>
    <row r="15" spans="1:9">
      <c r="A15" s="79"/>
      <c r="B15" s="8"/>
      <c r="C15" s="1442"/>
      <c r="D15" s="1443"/>
      <c r="E15" s="1444"/>
      <c r="F15" s="4"/>
      <c r="G15" s="4"/>
      <c r="H15" s="4"/>
      <c r="I15" s="202"/>
    </row>
    <row r="16" spans="1:9">
      <c r="A16" s="79"/>
      <c r="B16" s="8"/>
      <c r="C16" s="1442"/>
      <c r="D16" s="1443"/>
      <c r="E16" s="1444"/>
      <c r="F16" s="4"/>
      <c r="G16" s="4"/>
      <c r="H16" s="4"/>
      <c r="I16" s="202"/>
    </row>
    <row r="17" spans="1:9">
      <c r="A17" s="1376" t="s">
        <v>139</v>
      </c>
      <c r="B17" s="1377"/>
      <c r="C17" s="1377"/>
      <c r="D17" s="1377"/>
      <c r="E17" s="1377"/>
      <c r="F17" s="1377"/>
      <c r="G17" s="1377"/>
      <c r="H17" s="1378"/>
      <c r="I17" s="188"/>
    </row>
    <row r="18" spans="1:9">
      <c r="A18" s="1379"/>
      <c r="B18" s="1380"/>
      <c r="C18" s="1380"/>
      <c r="D18" s="1380"/>
      <c r="E18" s="1380"/>
      <c r="F18" s="1380"/>
      <c r="G18" s="1380"/>
      <c r="H18" s="1380"/>
      <c r="I18" s="1381"/>
    </row>
    <row r="19" spans="1:9">
      <c r="A19" s="1382" t="s">
        <v>160</v>
      </c>
      <c r="B19" s="1383"/>
      <c r="C19" s="1383"/>
      <c r="D19" s="1383"/>
      <c r="E19" s="1383"/>
      <c r="F19" s="1383"/>
      <c r="G19" s="1383"/>
      <c r="H19" s="1383"/>
      <c r="I19" s="1384"/>
    </row>
    <row r="20" spans="1:9">
      <c r="A20" s="77" t="s">
        <v>130</v>
      </c>
      <c r="B20" s="56" t="s">
        <v>131</v>
      </c>
      <c r="C20" s="1385" t="s">
        <v>132</v>
      </c>
      <c r="D20" s="1386"/>
      <c r="E20" s="1387"/>
      <c r="F20" s="56" t="s">
        <v>104</v>
      </c>
      <c r="G20" s="56" t="s">
        <v>133</v>
      </c>
      <c r="H20" s="56" t="s">
        <v>134</v>
      </c>
      <c r="I20" s="78" t="s">
        <v>135</v>
      </c>
    </row>
    <row r="21" spans="1:9" ht="27.75" customHeight="1">
      <c r="A21" s="513">
        <v>96985</v>
      </c>
      <c r="B21" s="485" t="s">
        <v>58</v>
      </c>
      <c r="C21" s="1367" t="s">
        <v>966</v>
      </c>
      <c r="D21" s="1430"/>
      <c r="E21" s="1431"/>
      <c r="F21" s="485" t="s">
        <v>104</v>
      </c>
      <c r="G21" s="542">
        <v>1</v>
      </c>
      <c r="H21" s="485">
        <v>43.34</v>
      </c>
      <c r="I21" s="134">
        <f>G21*H21</f>
        <v>43.34</v>
      </c>
    </row>
    <row r="22" spans="1:9" ht="32.25" customHeight="1">
      <c r="A22" s="513">
        <v>83377</v>
      </c>
      <c r="B22" s="485" t="s">
        <v>58</v>
      </c>
      <c r="C22" s="1367" t="s">
        <v>965</v>
      </c>
      <c r="D22" s="1430"/>
      <c r="E22" s="1431"/>
      <c r="F22" s="8" t="s">
        <v>104</v>
      </c>
      <c r="G22" s="597">
        <v>1</v>
      </c>
      <c r="H22" s="205">
        <v>8.75</v>
      </c>
      <c r="I22" s="134">
        <f t="shared" ref="I22:I23" si="0">G22*H22</f>
        <v>8.75</v>
      </c>
    </row>
    <row r="23" spans="1:9" ht="29.25" customHeight="1">
      <c r="A23" s="513">
        <v>72251</v>
      </c>
      <c r="B23" s="485" t="s">
        <v>58</v>
      </c>
      <c r="C23" s="1367" t="s">
        <v>964</v>
      </c>
      <c r="D23" s="1430"/>
      <c r="E23" s="1431"/>
      <c r="F23" s="8" t="s">
        <v>105</v>
      </c>
      <c r="G23" s="597">
        <v>2.7</v>
      </c>
      <c r="H23" s="205">
        <v>12.61</v>
      </c>
      <c r="I23" s="134">
        <f t="shared" si="0"/>
        <v>34.047000000000004</v>
      </c>
    </row>
    <row r="24" spans="1:9" ht="30" customHeight="1">
      <c r="A24" s="513">
        <v>49506</v>
      </c>
      <c r="B24" s="485" t="s">
        <v>56</v>
      </c>
      <c r="C24" s="1373" t="s">
        <v>967</v>
      </c>
      <c r="D24" s="1388"/>
      <c r="E24" s="1389"/>
      <c r="F24" s="8" t="s">
        <v>104</v>
      </c>
      <c r="G24" s="597">
        <v>1</v>
      </c>
      <c r="H24" s="205">
        <v>18.98</v>
      </c>
      <c r="I24" s="134">
        <f>G24*H24</f>
        <v>18.98</v>
      </c>
    </row>
    <row r="25" spans="1:9">
      <c r="A25" s="349"/>
      <c r="B25" s="592"/>
      <c r="C25" s="1416"/>
      <c r="D25" s="1417"/>
      <c r="E25" s="1418"/>
      <c r="F25" s="593"/>
      <c r="G25" s="594"/>
      <c r="H25" s="596"/>
      <c r="I25" s="633"/>
    </row>
    <row r="26" spans="1:9">
      <c r="A26" s="1376" t="s">
        <v>137</v>
      </c>
      <c r="B26" s="1377"/>
      <c r="C26" s="1377"/>
      <c r="D26" s="1377"/>
      <c r="E26" s="1377"/>
      <c r="F26" s="1377"/>
      <c r="G26" s="1377"/>
      <c r="H26" s="1378"/>
      <c r="I26" s="188">
        <f>SUM(I21:I24)</f>
        <v>105.117</v>
      </c>
    </row>
    <row r="27" spans="1:9">
      <c r="A27" s="1379"/>
      <c r="B27" s="1380"/>
      <c r="C27" s="1380"/>
      <c r="D27" s="1380"/>
      <c r="E27" s="1380"/>
      <c r="F27" s="1380"/>
      <c r="G27" s="1380"/>
      <c r="H27" s="1380"/>
      <c r="I27" s="1381"/>
    </row>
    <row r="28" spans="1:9">
      <c r="A28" s="1382" t="s">
        <v>140</v>
      </c>
      <c r="B28" s="1383"/>
      <c r="C28" s="1383"/>
      <c r="D28" s="1383"/>
      <c r="E28" s="1383"/>
      <c r="F28" s="1383"/>
      <c r="G28" s="1383"/>
      <c r="H28" s="1383"/>
      <c r="I28" s="1384"/>
    </row>
    <row r="29" spans="1:9">
      <c r="A29" s="82" t="s">
        <v>130</v>
      </c>
      <c r="B29" s="654" t="s">
        <v>131</v>
      </c>
      <c r="C29" s="1427" t="s">
        <v>132</v>
      </c>
      <c r="D29" s="1428"/>
      <c r="E29" s="1429"/>
      <c r="F29" s="654" t="s">
        <v>104</v>
      </c>
      <c r="G29" s="654" t="s">
        <v>133</v>
      </c>
      <c r="H29" s="654" t="s">
        <v>134</v>
      </c>
      <c r="I29" s="83" t="s">
        <v>135</v>
      </c>
    </row>
    <row r="30" spans="1:9">
      <c r="A30" s="130"/>
      <c r="B30" s="8"/>
      <c r="C30" s="1367"/>
      <c r="D30" s="1430"/>
      <c r="E30" s="1431"/>
      <c r="F30" s="8"/>
      <c r="G30" s="8"/>
      <c r="H30" s="205"/>
      <c r="I30" s="203"/>
    </row>
    <row r="31" spans="1:9">
      <c r="A31" s="81"/>
      <c r="B31" s="3"/>
      <c r="C31" s="1364"/>
      <c r="D31" s="1365"/>
      <c r="E31" s="1366"/>
      <c r="F31" s="3"/>
      <c r="G31" s="3"/>
      <c r="H31" s="3"/>
      <c r="I31" s="80"/>
    </row>
    <row r="32" spans="1:9">
      <c r="A32" s="1376" t="s">
        <v>196</v>
      </c>
      <c r="B32" s="1377"/>
      <c r="C32" s="1377"/>
      <c r="D32" s="1377"/>
      <c r="E32" s="1377"/>
      <c r="F32" s="1377"/>
      <c r="G32" s="1377"/>
      <c r="H32" s="1378"/>
      <c r="I32" s="188"/>
    </row>
    <row r="33" spans="1:9">
      <c r="A33" s="1379"/>
      <c r="B33" s="1380"/>
      <c r="C33" s="1380"/>
      <c r="D33" s="1380"/>
      <c r="E33" s="1380"/>
      <c r="F33" s="1380"/>
      <c r="G33" s="1380"/>
      <c r="H33" s="1380"/>
      <c r="I33" s="1381"/>
    </row>
    <row r="34" spans="1:9">
      <c r="A34" s="1382" t="s">
        <v>141</v>
      </c>
      <c r="B34" s="1383"/>
      <c r="C34" s="1383"/>
      <c r="D34" s="1383"/>
      <c r="E34" s="1383"/>
      <c r="F34" s="1383"/>
      <c r="G34" s="1383"/>
      <c r="H34" s="1383"/>
      <c r="I34" s="1384"/>
    </row>
    <row r="35" spans="1:9">
      <c r="A35" s="1413" t="s">
        <v>142</v>
      </c>
      <c r="B35" s="1414"/>
      <c r="C35" s="1414"/>
      <c r="D35" s="1414"/>
      <c r="E35" s="1414"/>
      <c r="F35" s="1414"/>
      <c r="G35" s="1414"/>
      <c r="H35" s="1415"/>
      <c r="I35" s="188"/>
    </row>
    <row r="36" spans="1:9">
      <c r="A36" s="1413" t="s">
        <v>163</v>
      </c>
      <c r="B36" s="1414"/>
      <c r="C36" s="1414"/>
      <c r="D36" s="1414"/>
      <c r="E36" s="1414"/>
      <c r="F36" s="1414"/>
      <c r="G36" s="1414"/>
      <c r="H36" s="1415"/>
      <c r="I36" s="188">
        <f>I26</f>
        <v>105.117</v>
      </c>
    </row>
    <row r="37" spans="1:9">
      <c r="A37" s="1413" t="s">
        <v>196</v>
      </c>
      <c r="B37" s="1414"/>
      <c r="C37" s="1414"/>
      <c r="D37" s="1414"/>
      <c r="E37" s="1414"/>
      <c r="F37" s="1414"/>
      <c r="G37" s="1414"/>
      <c r="H37" s="1415"/>
      <c r="I37" s="188"/>
    </row>
    <row r="38" spans="1:9">
      <c r="A38" s="1413" t="s">
        <v>391</v>
      </c>
      <c r="B38" s="1414"/>
      <c r="C38" s="1414"/>
      <c r="D38" s="1414"/>
      <c r="E38" s="1414"/>
      <c r="F38" s="1414"/>
      <c r="G38" s="1414"/>
      <c r="H38" s="1415"/>
      <c r="I38" s="80"/>
    </row>
    <row r="39" spans="1:9">
      <c r="A39" s="1413" t="s">
        <v>392</v>
      </c>
      <c r="B39" s="1414"/>
      <c r="C39" s="1414"/>
      <c r="D39" s="1414"/>
      <c r="E39" s="1414"/>
      <c r="F39" s="1414"/>
      <c r="G39" s="1414"/>
      <c r="H39" s="1415"/>
      <c r="I39" s="188">
        <f>I36</f>
        <v>105.117</v>
      </c>
    </row>
    <row r="40" spans="1:9">
      <c r="A40" s="1413" t="s">
        <v>393</v>
      </c>
      <c r="B40" s="1414"/>
      <c r="C40" s="1414"/>
      <c r="D40" s="1414"/>
      <c r="E40" s="1414"/>
      <c r="F40" s="1414"/>
      <c r="G40" s="1414"/>
      <c r="H40" s="1415"/>
      <c r="I40" s="188">
        <f>I39*26.54%</f>
        <v>27.898051799999998</v>
      </c>
    </row>
    <row r="41" spans="1:9">
      <c r="A41" s="1408" t="s">
        <v>144</v>
      </c>
      <c r="B41" s="1409"/>
      <c r="C41" s="1409"/>
      <c r="D41" s="1409"/>
      <c r="E41" s="1409"/>
      <c r="F41" s="1409"/>
      <c r="G41" s="1409"/>
      <c r="H41" s="1409"/>
      <c r="I41" s="189">
        <f>I39+I40</f>
        <v>133.01505180000001</v>
      </c>
    </row>
    <row r="42" spans="1:9" ht="15.75" thickBot="1">
      <c r="A42" s="1410"/>
      <c r="B42" s="1411"/>
      <c r="C42" s="1411"/>
      <c r="D42" s="1411"/>
      <c r="E42" s="1411"/>
      <c r="F42" s="1411"/>
      <c r="G42" s="1411"/>
      <c r="H42" s="1411"/>
      <c r="I42" s="1412"/>
    </row>
  </sheetData>
  <mergeCells count="39">
    <mergeCell ref="A40:H40"/>
    <mergeCell ref="A41:H41"/>
    <mergeCell ref="A42:I42"/>
    <mergeCell ref="A34:I34"/>
    <mergeCell ref="A35:H35"/>
    <mergeCell ref="A36:H36"/>
    <mergeCell ref="A37:H37"/>
    <mergeCell ref="A38:H38"/>
    <mergeCell ref="A39:H39"/>
    <mergeCell ref="A33:I33"/>
    <mergeCell ref="C22:E22"/>
    <mergeCell ref="C23:E23"/>
    <mergeCell ref="C24:E24"/>
    <mergeCell ref="C25:E25"/>
    <mergeCell ref="A26:H26"/>
    <mergeCell ref="A27:I27"/>
    <mergeCell ref="A28:I28"/>
    <mergeCell ref="C29:E29"/>
    <mergeCell ref="C30:E30"/>
    <mergeCell ref="C31:E31"/>
    <mergeCell ref="A32:H32"/>
    <mergeCell ref="C21:E21"/>
    <mergeCell ref="B9:I9"/>
    <mergeCell ref="A11:I11"/>
    <mergeCell ref="C12:E12"/>
    <mergeCell ref="C13:E13"/>
    <mergeCell ref="C14:E14"/>
    <mergeCell ref="C15:E15"/>
    <mergeCell ref="C16:E16"/>
    <mergeCell ref="A17:H17"/>
    <mergeCell ref="A18:I18"/>
    <mergeCell ref="A19:I19"/>
    <mergeCell ref="C20:E20"/>
    <mergeCell ref="B8:I8"/>
    <mergeCell ref="A1:H3"/>
    <mergeCell ref="C4:F4"/>
    <mergeCell ref="I4:I5"/>
    <mergeCell ref="C5:F5"/>
    <mergeCell ref="A6:H7"/>
  </mergeCells>
  <pageMargins left="0.511811024" right="0.511811024" top="0.78740157499999996" bottom="0.78740157499999996" header="0.31496062000000002" footer="0.31496062000000002"/>
  <pageSetup paperSize="9" scale="8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43"/>
  <sheetViews>
    <sheetView view="pageBreakPreview" zoomScaleNormal="100" zoomScaleSheetLayoutView="100" workbookViewId="0">
      <selection activeCell="I41" sqref="I41"/>
    </sheetView>
  </sheetViews>
  <sheetFormatPr defaultRowHeight="15"/>
  <cols>
    <col min="3" max="3" width="14.5703125" customWidth="1"/>
    <col min="4" max="4" width="16" customWidth="1"/>
    <col min="5" max="5" width="21.85546875" customWidth="1"/>
    <col min="8" max="8" width="12.140625" bestFit="1" customWidth="1"/>
    <col min="9" max="9" width="13.28515625" bestFit="1"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1008</v>
      </c>
    </row>
    <row r="8" spans="1:9">
      <c r="A8" s="73" t="s">
        <v>128</v>
      </c>
      <c r="B8" s="1395" t="s">
        <v>1042</v>
      </c>
      <c r="C8" s="1395"/>
      <c r="D8" s="1395"/>
      <c r="E8" s="1395"/>
      <c r="F8" s="1395"/>
      <c r="G8" s="1395"/>
      <c r="H8" s="1395"/>
      <c r="I8" s="1396"/>
    </row>
    <row r="9" spans="1:9">
      <c r="A9" s="74" t="s">
        <v>129</v>
      </c>
      <c r="B9" s="1390" t="s">
        <v>57</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c r="A13" s="130">
        <v>88247</v>
      </c>
      <c r="B13" s="8" t="s">
        <v>58</v>
      </c>
      <c r="C13" s="1392" t="s">
        <v>152</v>
      </c>
      <c r="D13" s="1393" t="s">
        <v>152</v>
      </c>
      <c r="E13" s="1394" t="s">
        <v>152</v>
      </c>
      <c r="F13" s="4" t="s">
        <v>153</v>
      </c>
      <c r="G13" s="597">
        <v>1</v>
      </c>
      <c r="H13" s="213">
        <v>15.29</v>
      </c>
      <c r="I13" s="202">
        <f>G13*H13</f>
        <v>15.29</v>
      </c>
    </row>
    <row r="14" spans="1:9">
      <c r="A14" s="130">
        <v>88264</v>
      </c>
      <c r="B14" s="8" t="s">
        <v>58</v>
      </c>
      <c r="C14" s="1392" t="s">
        <v>154</v>
      </c>
      <c r="D14" s="1393" t="s">
        <v>154</v>
      </c>
      <c r="E14" s="1394" t="s">
        <v>154</v>
      </c>
      <c r="F14" s="4" t="s">
        <v>153</v>
      </c>
      <c r="G14" s="597">
        <v>1</v>
      </c>
      <c r="H14" s="213">
        <v>19.84</v>
      </c>
      <c r="I14" s="202">
        <f>G14*H14</f>
        <v>19.84</v>
      </c>
    </row>
    <row r="15" spans="1:9">
      <c r="A15" s="79"/>
      <c r="B15" s="8"/>
      <c r="C15" s="1364"/>
      <c r="D15" s="1365"/>
      <c r="E15" s="1366"/>
      <c r="F15" s="4"/>
      <c r="G15" s="4"/>
      <c r="H15" s="4"/>
      <c r="I15" s="202"/>
    </row>
    <row r="16" spans="1:9" ht="78.75" customHeight="1">
      <c r="A16" s="81"/>
      <c r="B16" s="3"/>
      <c r="C16" s="1364" t="s">
        <v>1036</v>
      </c>
      <c r="D16" s="1365"/>
      <c r="E16" s="1366"/>
      <c r="F16" s="3"/>
      <c r="G16" s="3"/>
      <c r="H16" s="3"/>
      <c r="I16" s="80"/>
    </row>
    <row r="17" spans="1:9">
      <c r="A17" s="79"/>
      <c r="B17" s="8"/>
      <c r="C17" s="1364"/>
      <c r="D17" s="1365"/>
      <c r="E17" s="1366"/>
      <c r="F17" s="4"/>
      <c r="G17" s="4"/>
      <c r="H17" s="4"/>
      <c r="I17" s="202"/>
    </row>
    <row r="18" spans="1:9">
      <c r="A18" s="1376" t="s">
        <v>139</v>
      </c>
      <c r="B18" s="1377"/>
      <c r="C18" s="1377"/>
      <c r="D18" s="1377"/>
      <c r="E18" s="1377"/>
      <c r="F18" s="1377"/>
      <c r="G18" s="1377"/>
      <c r="H18" s="1378"/>
      <c r="I18" s="188">
        <f>SUM(I13:I14)</f>
        <v>35.129999999999995</v>
      </c>
    </row>
    <row r="19" spans="1:9">
      <c r="A19" s="1379"/>
      <c r="B19" s="1380"/>
      <c r="C19" s="1380"/>
      <c r="D19" s="1380"/>
      <c r="E19" s="1380"/>
      <c r="F19" s="1380"/>
      <c r="G19" s="1380"/>
      <c r="H19" s="1380"/>
      <c r="I19" s="1381"/>
    </row>
    <row r="20" spans="1:9">
      <c r="A20" s="1382" t="s">
        <v>160</v>
      </c>
      <c r="B20" s="1383"/>
      <c r="C20" s="1383"/>
      <c r="D20" s="1383"/>
      <c r="E20" s="1383"/>
      <c r="F20" s="1383"/>
      <c r="G20" s="1383"/>
      <c r="H20" s="1383"/>
      <c r="I20" s="1384"/>
    </row>
    <row r="21" spans="1:9">
      <c r="A21" s="77" t="s">
        <v>130</v>
      </c>
      <c r="B21" s="56" t="s">
        <v>131</v>
      </c>
      <c r="C21" s="1385" t="s">
        <v>132</v>
      </c>
      <c r="D21" s="1386"/>
      <c r="E21" s="1387"/>
      <c r="F21" s="56" t="s">
        <v>104</v>
      </c>
      <c r="G21" s="56" t="s">
        <v>133</v>
      </c>
      <c r="H21" s="56" t="s">
        <v>134</v>
      </c>
      <c r="I21" s="78" t="s">
        <v>135</v>
      </c>
    </row>
    <row r="22" spans="1:9" ht="51" customHeight="1">
      <c r="A22" s="130" t="s">
        <v>161</v>
      </c>
      <c r="B22" s="8" t="s">
        <v>162</v>
      </c>
      <c r="C22" s="1373" t="s">
        <v>1139</v>
      </c>
      <c r="D22" s="1388"/>
      <c r="E22" s="1389"/>
      <c r="F22" s="8" t="s">
        <v>104</v>
      </c>
      <c r="G22" s="597">
        <v>1</v>
      </c>
      <c r="H22" s="205">
        <f>COTAÇÃO!R24</f>
        <v>9469.0300000000007</v>
      </c>
      <c r="I22" s="605">
        <f>H22*G22</f>
        <v>9469.0300000000007</v>
      </c>
    </row>
    <row r="23" spans="1:9" ht="29.25" customHeight="1">
      <c r="A23" s="130" t="s">
        <v>161</v>
      </c>
      <c r="B23" s="8" t="s">
        <v>162</v>
      </c>
      <c r="C23" s="1367" t="s">
        <v>1043</v>
      </c>
      <c r="D23" s="1430"/>
      <c r="E23" s="1431"/>
      <c r="F23" s="8" t="s">
        <v>104</v>
      </c>
      <c r="G23" s="597">
        <v>3</v>
      </c>
      <c r="H23" s="205">
        <f>COTAÇÃO!R30</f>
        <v>62.473333333333336</v>
      </c>
      <c r="I23" s="203">
        <f>G23*H23</f>
        <v>187.42000000000002</v>
      </c>
    </row>
    <row r="24" spans="1:9" ht="29.25" customHeight="1">
      <c r="A24" s="130" t="s">
        <v>161</v>
      </c>
      <c r="B24" s="8" t="s">
        <v>162</v>
      </c>
      <c r="C24" s="1373" t="s">
        <v>1040</v>
      </c>
      <c r="D24" s="1374"/>
      <c r="E24" s="1375"/>
      <c r="F24" s="8" t="s">
        <v>104</v>
      </c>
      <c r="G24" s="604">
        <v>1</v>
      </c>
      <c r="H24" s="205">
        <f>COTAÇÃO!R31</f>
        <v>28.636666666666667</v>
      </c>
      <c r="I24" s="203">
        <f>G24*H24</f>
        <v>28.636666666666667</v>
      </c>
    </row>
    <row r="25" spans="1:9">
      <c r="A25" s="349"/>
      <c r="B25" s="592"/>
      <c r="C25" s="1416"/>
      <c r="D25" s="1417"/>
      <c r="E25" s="1418"/>
      <c r="F25" s="593"/>
      <c r="G25" s="594"/>
      <c r="H25" s="596"/>
      <c r="I25" s="633"/>
    </row>
    <row r="26" spans="1:9">
      <c r="A26" s="1376" t="s">
        <v>137</v>
      </c>
      <c r="B26" s="1377"/>
      <c r="C26" s="1377"/>
      <c r="D26" s="1377"/>
      <c r="E26" s="1377"/>
      <c r="F26" s="1377"/>
      <c r="G26" s="1377"/>
      <c r="H26" s="1378"/>
      <c r="I26" s="188">
        <f>SUM(I22:I25)</f>
        <v>9685.086666666668</v>
      </c>
    </row>
    <row r="27" spans="1:9">
      <c r="A27" s="1379"/>
      <c r="B27" s="1380"/>
      <c r="C27" s="1380"/>
      <c r="D27" s="1380"/>
      <c r="E27" s="1380"/>
      <c r="F27" s="1380"/>
      <c r="G27" s="1380"/>
      <c r="H27" s="1380"/>
      <c r="I27" s="1381"/>
    </row>
    <row r="28" spans="1:9">
      <c r="A28" s="1382" t="s">
        <v>140</v>
      </c>
      <c r="B28" s="1383"/>
      <c r="C28" s="1383"/>
      <c r="D28" s="1383"/>
      <c r="E28" s="1383"/>
      <c r="F28" s="1383"/>
      <c r="G28" s="1383"/>
      <c r="H28" s="1383"/>
      <c r="I28" s="1384"/>
    </row>
    <row r="29" spans="1:9">
      <c r="A29" s="82" t="s">
        <v>130</v>
      </c>
      <c r="B29" s="910" t="s">
        <v>131</v>
      </c>
      <c r="C29" s="1427" t="s">
        <v>132</v>
      </c>
      <c r="D29" s="1428"/>
      <c r="E29" s="1429"/>
      <c r="F29" s="910" t="s">
        <v>104</v>
      </c>
      <c r="G29" s="910" t="s">
        <v>133</v>
      </c>
      <c r="H29" s="910" t="s">
        <v>134</v>
      </c>
      <c r="I29" s="83" t="s">
        <v>135</v>
      </c>
    </row>
    <row r="30" spans="1:9">
      <c r="A30" s="130"/>
      <c r="B30" s="8"/>
      <c r="C30" s="1367"/>
      <c r="D30" s="1430"/>
      <c r="E30" s="1431"/>
      <c r="F30" s="8"/>
      <c r="G30" s="8"/>
      <c r="H30" s="205"/>
      <c r="I30" s="203"/>
    </row>
    <row r="31" spans="1:9">
      <c r="A31" s="81"/>
      <c r="B31" s="3"/>
      <c r="C31" s="1367"/>
      <c r="D31" s="1368"/>
      <c r="E31" s="1369"/>
      <c r="F31" s="3"/>
      <c r="G31" s="3"/>
      <c r="H31" s="3"/>
      <c r="I31" s="80"/>
    </row>
    <row r="32" spans="1:9">
      <c r="A32" s="81"/>
      <c r="B32" s="3"/>
      <c r="C32" s="1364"/>
      <c r="D32" s="1365"/>
      <c r="E32" s="1366"/>
      <c r="F32" s="3"/>
      <c r="G32" s="3"/>
      <c r="H32" s="3"/>
      <c r="I32" s="80"/>
    </row>
    <row r="33" spans="1:9">
      <c r="A33" s="1376" t="s">
        <v>196</v>
      </c>
      <c r="B33" s="1377"/>
      <c r="C33" s="1377"/>
      <c r="D33" s="1377"/>
      <c r="E33" s="1377"/>
      <c r="F33" s="1377"/>
      <c r="G33" s="1377"/>
      <c r="H33" s="1378"/>
      <c r="I33" s="188"/>
    </row>
    <row r="34" spans="1:9">
      <c r="A34" s="1379"/>
      <c r="B34" s="1380"/>
      <c r="C34" s="1380"/>
      <c r="D34" s="1380"/>
      <c r="E34" s="1380"/>
      <c r="F34" s="1380"/>
      <c r="G34" s="1380"/>
      <c r="H34" s="1380"/>
      <c r="I34" s="1381"/>
    </row>
    <row r="35" spans="1:9">
      <c r="A35" s="1382" t="s">
        <v>141</v>
      </c>
      <c r="B35" s="1383"/>
      <c r="C35" s="1383"/>
      <c r="D35" s="1383"/>
      <c r="E35" s="1383"/>
      <c r="F35" s="1383"/>
      <c r="G35" s="1383"/>
      <c r="H35" s="1383"/>
      <c r="I35" s="1384"/>
    </row>
    <row r="36" spans="1:9">
      <c r="A36" s="1413" t="s">
        <v>142</v>
      </c>
      <c r="B36" s="1414"/>
      <c r="C36" s="1414"/>
      <c r="D36" s="1414"/>
      <c r="E36" s="1414"/>
      <c r="F36" s="1414"/>
      <c r="G36" s="1414"/>
      <c r="H36" s="1415"/>
      <c r="I36" s="188">
        <f>I18</f>
        <v>35.129999999999995</v>
      </c>
    </row>
    <row r="37" spans="1:9">
      <c r="A37" s="1413" t="s">
        <v>163</v>
      </c>
      <c r="B37" s="1414"/>
      <c r="C37" s="1414"/>
      <c r="D37" s="1414"/>
      <c r="E37" s="1414"/>
      <c r="F37" s="1414"/>
      <c r="G37" s="1414"/>
      <c r="H37" s="1415"/>
      <c r="I37" s="188">
        <f>I26</f>
        <v>9685.086666666668</v>
      </c>
    </row>
    <row r="38" spans="1:9">
      <c r="A38" s="1413" t="s">
        <v>196</v>
      </c>
      <c r="B38" s="1414"/>
      <c r="C38" s="1414"/>
      <c r="D38" s="1414"/>
      <c r="E38" s="1414"/>
      <c r="F38" s="1414"/>
      <c r="G38" s="1414"/>
      <c r="H38" s="1415"/>
      <c r="I38" s="188">
        <f>I33</f>
        <v>0</v>
      </c>
    </row>
    <row r="39" spans="1:9">
      <c r="A39" s="1413" t="s">
        <v>391</v>
      </c>
      <c r="B39" s="1414"/>
      <c r="C39" s="1414"/>
      <c r="D39" s="1414"/>
      <c r="E39" s="1414"/>
      <c r="F39" s="1414"/>
      <c r="G39" s="1414"/>
      <c r="H39" s="1415"/>
      <c r="I39" s="80"/>
    </row>
    <row r="40" spans="1:9">
      <c r="A40" s="1413" t="s">
        <v>392</v>
      </c>
      <c r="B40" s="1414"/>
      <c r="C40" s="1414"/>
      <c r="D40" s="1414"/>
      <c r="E40" s="1414"/>
      <c r="F40" s="1414"/>
      <c r="G40" s="1414"/>
      <c r="H40" s="1415"/>
      <c r="I40" s="188">
        <f>SUM(I36:I38)</f>
        <v>9720.2166666666672</v>
      </c>
    </row>
    <row r="41" spans="1:9">
      <c r="A41" s="1413" t="s">
        <v>393</v>
      </c>
      <c r="B41" s="1414"/>
      <c r="C41" s="1414"/>
      <c r="D41" s="1414"/>
      <c r="E41" s="1414"/>
      <c r="F41" s="1414"/>
      <c r="G41" s="1414"/>
      <c r="H41" s="1415"/>
      <c r="I41" s="188">
        <f>I40*26.54%</f>
        <v>2579.7455033333331</v>
      </c>
    </row>
    <row r="42" spans="1:9">
      <c r="A42" s="1408" t="s">
        <v>144</v>
      </c>
      <c r="B42" s="1409"/>
      <c r="C42" s="1409"/>
      <c r="D42" s="1409"/>
      <c r="E42" s="1409"/>
      <c r="F42" s="1409"/>
      <c r="G42" s="1409"/>
      <c r="H42" s="1409"/>
      <c r="I42" s="189">
        <f>I40+I41</f>
        <v>12299.962170000001</v>
      </c>
    </row>
    <row r="43" spans="1:9" ht="15.75" thickBot="1">
      <c r="A43" s="1410"/>
      <c r="B43" s="1411"/>
      <c r="C43" s="1411"/>
      <c r="D43" s="1411"/>
      <c r="E43" s="1411"/>
      <c r="F43" s="1411"/>
      <c r="G43" s="1411"/>
      <c r="H43" s="1411"/>
      <c r="I43" s="1412"/>
    </row>
  </sheetData>
  <mergeCells count="40">
    <mergeCell ref="B8:I8"/>
    <mergeCell ref="A1:H3"/>
    <mergeCell ref="C4:F4"/>
    <mergeCell ref="I4:I5"/>
    <mergeCell ref="C5:F5"/>
    <mergeCell ref="A6:H7"/>
    <mergeCell ref="C21:E21"/>
    <mergeCell ref="B9:I9"/>
    <mergeCell ref="A11:I11"/>
    <mergeCell ref="C12:E12"/>
    <mergeCell ref="C13:E13"/>
    <mergeCell ref="C14:E14"/>
    <mergeCell ref="C15:E15"/>
    <mergeCell ref="C16:E16"/>
    <mergeCell ref="C17:E17"/>
    <mergeCell ref="A18:H18"/>
    <mergeCell ref="A19:I19"/>
    <mergeCell ref="A20:I20"/>
    <mergeCell ref="A42:H42"/>
    <mergeCell ref="A43:I43"/>
    <mergeCell ref="C32:E32"/>
    <mergeCell ref="A33:H33"/>
    <mergeCell ref="A34:I34"/>
    <mergeCell ref="A35:I35"/>
    <mergeCell ref="A36:H36"/>
    <mergeCell ref="A37:H37"/>
    <mergeCell ref="C22:E22"/>
    <mergeCell ref="A38:H38"/>
    <mergeCell ref="A39:H39"/>
    <mergeCell ref="A40:H40"/>
    <mergeCell ref="A41:H41"/>
    <mergeCell ref="A26:H26"/>
    <mergeCell ref="A27:I27"/>
    <mergeCell ref="A28:I28"/>
    <mergeCell ref="C29:E29"/>
    <mergeCell ref="C30:E30"/>
    <mergeCell ref="C31:E31"/>
    <mergeCell ref="C25:E25"/>
    <mergeCell ref="C23:E23"/>
    <mergeCell ref="C24:E24"/>
  </mergeCells>
  <pageMargins left="0.511811024" right="0.511811024" top="0.78740157499999996" bottom="0.78740157499999996" header="0.31496062000000002" footer="0.31496062000000002"/>
  <pageSetup paperSize="9" scale="8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K33"/>
  <sheetViews>
    <sheetView view="pageBreakPreview" zoomScaleNormal="100" zoomScaleSheetLayoutView="100" workbookViewId="0">
      <selection activeCell="J21" sqref="J21"/>
    </sheetView>
  </sheetViews>
  <sheetFormatPr defaultRowHeight="15"/>
  <cols>
    <col min="3" max="3" width="12.28515625" customWidth="1"/>
    <col min="4" max="4" width="16" customWidth="1"/>
    <col min="5" max="5" width="17.85546875" customWidth="1"/>
    <col min="8" max="8" width="11.7109375" customWidth="1"/>
    <col min="9" max="9" width="12.8554687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21.75" customHeight="1">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24" customHeight="1">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892</v>
      </c>
    </row>
    <row r="8" spans="1:9" ht="24.75" customHeight="1">
      <c r="A8" s="314" t="s">
        <v>128</v>
      </c>
      <c r="B8" s="1447" t="s">
        <v>298</v>
      </c>
      <c r="C8" s="1447"/>
      <c r="D8" s="1447"/>
      <c r="E8" s="1447"/>
      <c r="F8" s="1447"/>
      <c r="G8" s="1447"/>
      <c r="H8" s="1447"/>
      <c r="I8" s="1448"/>
    </row>
    <row r="9" spans="1:9">
      <c r="A9" s="316" t="s">
        <v>129</v>
      </c>
      <c r="B9" s="1449" t="s">
        <v>104</v>
      </c>
      <c r="C9" s="1449"/>
      <c r="D9" s="1449"/>
      <c r="E9" s="1449"/>
      <c r="F9" s="1449"/>
      <c r="G9" s="1449"/>
      <c r="H9" s="1449"/>
      <c r="I9" s="1450"/>
    </row>
    <row r="10" spans="1:9" hidden="1">
      <c r="A10" s="1445" t="s">
        <v>159</v>
      </c>
      <c r="B10" s="1446"/>
      <c r="C10" s="1446"/>
      <c r="D10" s="1446"/>
      <c r="E10" s="318"/>
      <c r="F10" s="319"/>
      <c r="G10" s="320"/>
      <c r="H10" s="321"/>
      <c r="I10" s="322"/>
    </row>
    <row r="11" spans="1:9">
      <c r="A11" s="323"/>
      <c r="B11" s="324"/>
      <c r="C11" s="325"/>
      <c r="D11" s="325"/>
      <c r="E11" s="325"/>
      <c r="F11" s="324"/>
      <c r="G11" s="326"/>
      <c r="H11" s="327"/>
      <c r="I11" s="328"/>
    </row>
    <row r="12" spans="1:9">
      <c r="A12" s="1456" t="s">
        <v>138</v>
      </c>
      <c r="B12" s="1457"/>
      <c r="C12" s="1457"/>
      <c r="D12" s="1457"/>
      <c r="E12" s="1457"/>
      <c r="F12" s="1457"/>
      <c r="G12" s="1457"/>
      <c r="H12" s="1457"/>
      <c r="I12" s="1458"/>
    </row>
    <row r="13" spans="1:9">
      <c r="A13" s="329" t="s">
        <v>130</v>
      </c>
      <c r="B13" s="648" t="s">
        <v>131</v>
      </c>
      <c r="C13" s="1459" t="s">
        <v>132</v>
      </c>
      <c r="D13" s="1459"/>
      <c r="E13" s="1459"/>
      <c r="F13" s="648" t="s">
        <v>104</v>
      </c>
      <c r="G13" s="330" t="s">
        <v>133</v>
      </c>
      <c r="H13" s="331" t="s">
        <v>134</v>
      </c>
      <c r="I13" s="332" t="s">
        <v>135</v>
      </c>
    </row>
    <row r="14" spans="1:9">
      <c r="A14" s="568">
        <v>90777</v>
      </c>
      <c r="B14" s="471" t="s">
        <v>58</v>
      </c>
      <c r="C14" s="1451" t="s">
        <v>781</v>
      </c>
      <c r="D14" s="1452"/>
      <c r="E14" s="1453"/>
      <c r="F14" s="471" t="s">
        <v>153</v>
      </c>
      <c r="G14" s="475">
        <v>60</v>
      </c>
      <c r="H14" s="469">
        <v>71.12</v>
      </c>
      <c r="I14" s="470">
        <f>H14*G14</f>
        <v>4267.2000000000007</v>
      </c>
    </row>
    <row r="15" spans="1:9">
      <c r="A15" s="568">
        <v>88255</v>
      </c>
      <c r="B15" s="471" t="s">
        <v>58</v>
      </c>
      <c r="C15" s="1451" t="s">
        <v>782</v>
      </c>
      <c r="D15" s="1452"/>
      <c r="E15" s="1453"/>
      <c r="F15" s="471" t="s">
        <v>153</v>
      </c>
      <c r="G15" s="475">
        <v>180</v>
      </c>
      <c r="H15" s="469">
        <v>31.26</v>
      </c>
      <c r="I15" s="470">
        <f>H15*G15</f>
        <v>5626.8</v>
      </c>
    </row>
    <row r="16" spans="1:9">
      <c r="A16" s="333"/>
      <c r="B16" s="334"/>
      <c r="C16" s="1451"/>
      <c r="D16" s="1452"/>
      <c r="E16" s="1453"/>
      <c r="F16" s="334"/>
      <c r="G16" s="335"/>
      <c r="H16" s="336"/>
      <c r="I16" s="337"/>
    </row>
    <row r="17" spans="1:11">
      <c r="A17" s="333"/>
      <c r="B17" s="334"/>
      <c r="C17" s="1451"/>
      <c r="D17" s="1452"/>
      <c r="E17" s="1453"/>
      <c r="F17" s="334"/>
      <c r="G17" s="335"/>
      <c r="H17" s="336"/>
      <c r="I17" s="337"/>
    </row>
    <row r="18" spans="1:11">
      <c r="A18" s="1454" t="s">
        <v>139</v>
      </c>
      <c r="B18" s="1455"/>
      <c r="C18" s="1455"/>
      <c r="D18" s="1455"/>
      <c r="E18" s="1455"/>
      <c r="F18" s="1455"/>
      <c r="G18" s="1455"/>
      <c r="H18" s="1455"/>
      <c r="I18" s="472">
        <f>I14+I15</f>
        <v>9894</v>
      </c>
    </row>
    <row r="19" spans="1:11">
      <c r="A19" s="323"/>
      <c r="B19" s="338"/>
      <c r="C19" s="339"/>
      <c r="D19" s="339"/>
      <c r="E19" s="339"/>
      <c r="F19" s="338"/>
      <c r="G19" s="340"/>
      <c r="H19" s="341"/>
      <c r="I19" s="342"/>
    </row>
    <row r="20" spans="1:11">
      <c r="A20" s="1456" t="s">
        <v>160</v>
      </c>
      <c r="B20" s="1457"/>
      <c r="C20" s="1457"/>
      <c r="D20" s="1457"/>
      <c r="E20" s="1457"/>
      <c r="F20" s="1457"/>
      <c r="G20" s="1457"/>
      <c r="H20" s="1457"/>
      <c r="I20" s="1458"/>
    </row>
    <row r="21" spans="1:11">
      <c r="A21" s="329" t="s">
        <v>130</v>
      </c>
      <c r="B21" s="648" t="s">
        <v>131</v>
      </c>
      <c r="C21" s="1459" t="s">
        <v>132</v>
      </c>
      <c r="D21" s="1459"/>
      <c r="E21" s="1459"/>
      <c r="F21" s="343" t="s">
        <v>104</v>
      </c>
      <c r="G21" s="330" t="s">
        <v>133</v>
      </c>
      <c r="H21" s="344" t="s">
        <v>134</v>
      </c>
      <c r="I21" s="332" t="s">
        <v>135</v>
      </c>
    </row>
    <row r="22" spans="1:11">
      <c r="A22" s="345"/>
      <c r="B22" s="334"/>
      <c r="C22" s="1451"/>
      <c r="D22" s="1452"/>
      <c r="E22" s="1453"/>
      <c r="F22" s="334"/>
      <c r="G22" s="335"/>
      <c r="H22" s="336"/>
      <c r="I22" s="337"/>
    </row>
    <row r="23" spans="1:11">
      <c r="A23" s="345"/>
      <c r="B23" s="334"/>
      <c r="C23" s="1460"/>
      <c r="D23" s="1461"/>
      <c r="E23" s="1462"/>
      <c r="F23" s="346"/>
      <c r="G23" s="347"/>
      <c r="H23" s="468"/>
      <c r="I23" s="337"/>
    </row>
    <row r="24" spans="1:11">
      <c r="A24" s="359"/>
      <c r="B24" s="350"/>
      <c r="C24" s="1416"/>
      <c r="D24" s="1417"/>
      <c r="E24" s="1418"/>
      <c r="F24" s="351"/>
      <c r="G24" s="352"/>
      <c r="H24" s="353"/>
      <c r="I24" s="354"/>
    </row>
    <row r="25" spans="1:11">
      <c r="A25" s="1454" t="s">
        <v>137</v>
      </c>
      <c r="B25" s="1455"/>
      <c r="C25" s="1455"/>
      <c r="D25" s="1455"/>
      <c r="E25" s="1455"/>
      <c r="F25" s="1455"/>
      <c r="G25" s="1455"/>
      <c r="H25" s="1468"/>
      <c r="I25" s="361"/>
      <c r="K25" s="626"/>
    </row>
    <row r="26" spans="1:11">
      <c r="A26" s="1469"/>
      <c r="B26" s="1470"/>
      <c r="C26" s="1470"/>
      <c r="D26" s="1470"/>
      <c r="E26" s="1470"/>
      <c r="F26" s="1470"/>
      <c r="G26" s="1470"/>
      <c r="H26" s="1470"/>
      <c r="I26" s="1471"/>
    </row>
    <row r="27" spans="1:11">
      <c r="A27" s="1456" t="s">
        <v>141</v>
      </c>
      <c r="B27" s="1457"/>
      <c r="C27" s="1457"/>
      <c r="D27" s="1457"/>
      <c r="E27" s="1457"/>
      <c r="F27" s="1457"/>
      <c r="G27" s="1457"/>
      <c r="H27" s="1457"/>
      <c r="I27" s="1458"/>
    </row>
    <row r="28" spans="1:11">
      <c r="A28" s="1472" t="s">
        <v>142</v>
      </c>
      <c r="B28" s="1473"/>
      <c r="C28" s="1473"/>
      <c r="D28" s="1473"/>
      <c r="E28" s="1473"/>
      <c r="F28" s="1473"/>
      <c r="G28" s="1473"/>
      <c r="H28" s="1474"/>
      <c r="I28" s="473">
        <f>I18</f>
        <v>9894</v>
      </c>
    </row>
    <row r="29" spans="1:11">
      <c r="A29" s="1463" t="s">
        <v>163</v>
      </c>
      <c r="B29" s="1464"/>
      <c r="C29" s="1464"/>
      <c r="D29" s="1464"/>
      <c r="E29" s="1464"/>
      <c r="F29" s="1464"/>
      <c r="G29" s="1464"/>
      <c r="H29" s="1465"/>
      <c r="I29" s="474"/>
    </row>
    <row r="30" spans="1:11">
      <c r="A30" s="1463" t="s">
        <v>164</v>
      </c>
      <c r="B30" s="1464"/>
      <c r="C30" s="1464"/>
      <c r="D30" s="1464"/>
      <c r="E30" s="1464"/>
      <c r="F30" s="1464"/>
      <c r="G30" s="1464"/>
      <c r="H30" s="1465"/>
      <c r="I30" s="474"/>
    </row>
    <row r="31" spans="1:11">
      <c r="A31" s="1463" t="s">
        <v>165</v>
      </c>
      <c r="B31" s="1464"/>
      <c r="C31" s="1464"/>
      <c r="D31" s="1464"/>
      <c r="E31" s="1464"/>
      <c r="F31" s="1464"/>
      <c r="G31" s="1464"/>
      <c r="H31" s="1465"/>
      <c r="I31" s="474">
        <f>I28+I29</f>
        <v>9894</v>
      </c>
    </row>
    <row r="32" spans="1:11">
      <c r="A32" s="1463" t="s">
        <v>143</v>
      </c>
      <c r="B32" s="1464"/>
      <c r="C32" s="1464"/>
      <c r="D32" s="1464"/>
      <c r="E32" s="1464"/>
      <c r="F32" s="1464"/>
      <c r="G32" s="1464"/>
      <c r="H32" s="1465"/>
      <c r="I32" s="474">
        <f>I31*26.54%</f>
        <v>2625.8675999999996</v>
      </c>
    </row>
    <row r="33" spans="1:9" ht="15.75" thickBot="1">
      <c r="A33" s="1466" t="s">
        <v>144</v>
      </c>
      <c r="B33" s="1467"/>
      <c r="C33" s="1467"/>
      <c r="D33" s="1467"/>
      <c r="E33" s="1467"/>
      <c r="F33" s="1467"/>
      <c r="G33" s="1467"/>
      <c r="H33" s="1467"/>
      <c r="I33" s="364">
        <f>I31+I32</f>
        <v>12519.8676</v>
      </c>
    </row>
  </sheetData>
  <mergeCells count="29">
    <mergeCell ref="A31:H31"/>
    <mergeCell ref="A32:H32"/>
    <mergeCell ref="A33:H33"/>
    <mergeCell ref="A25:H25"/>
    <mergeCell ref="A26:I26"/>
    <mergeCell ref="A27:I27"/>
    <mergeCell ref="A28:H28"/>
    <mergeCell ref="A29:H29"/>
    <mergeCell ref="A30:H30"/>
    <mergeCell ref="A10:D10"/>
    <mergeCell ref="B8:I8"/>
    <mergeCell ref="B9:I9"/>
    <mergeCell ref="C24:E24"/>
    <mergeCell ref="C17:E17"/>
    <mergeCell ref="A18:H18"/>
    <mergeCell ref="A20:I20"/>
    <mergeCell ref="C21:E21"/>
    <mergeCell ref="C22:E22"/>
    <mergeCell ref="C23:E23"/>
    <mergeCell ref="A12:I12"/>
    <mergeCell ref="C13:E13"/>
    <mergeCell ref="C14:E14"/>
    <mergeCell ref="C15:E15"/>
    <mergeCell ref="C16:E16"/>
    <mergeCell ref="A1:H3"/>
    <mergeCell ref="C4:F4"/>
    <mergeCell ref="I4:I5"/>
    <mergeCell ref="C5:F5"/>
    <mergeCell ref="A6:H7"/>
  </mergeCells>
  <pageMargins left="0.7" right="0.7" top="0.75" bottom="0.75" header="0.3" footer="0.3"/>
  <pageSetup paperSize="9" scale="81"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37"/>
  <sheetViews>
    <sheetView topLeftCell="A7" workbookViewId="0">
      <selection activeCell="L14" sqref="L14"/>
    </sheetView>
  </sheetViews>
  <sheetFormatPr defaultRowHeight="15"/>
  <cols>
    <col min="3" max="3" width="11.5703125" customWidth="1"/>
    <col min="4" max="4" width="19.28515625" customWidth="1"/>
    <col min="5" max="5" width="22" customWidth="1"/>
    <col min="7" max="7" width="11.7109375" customWidth="1"/>
    <col min="8" max="8" width="13.42578125" customWidth="1"/>
    <col min="9" max="9" width="14"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952</v>
      </c>
    </row>
    <row r="8" spans="1:9" ht="32.25" customHeight="1">
      <c r="A8" s="73" t="s">
        <v>128</v>
      </c>
      <c r="B8" s="1395" t="s">
        <v>1033</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ht="30">
      <c r="A13" s="130">
        <v>20002</v>
      </c>
      <c r="B13" s="569" t="s">
        <v>950</v>
      </c>
      <c r="C13" s="1475" t="s">
        <v>202</v>
      </c>
      <c r="D13" s="1476"/>
      <c r="E13" s="1477"/>
      <c r="F13" s="508" t="s">
        <v>153</v>
      </c>
      <c r="G13" s="597">
        <f>2*2</f>
        <v>4</v>
      </c>
      <c r="H13" s="597">
        <v>10.45</v>
      </c>
      <c r="I13" s="203">
        <f>G13*H13</f>
        <v>41.8</v>
      </c>
    </row>
    <row r="14" spans="1:9" ht="123" customHeight="1">
      <c r="A14" s="79"/>
      <c r="B14" s="8"/>
      <c r="C14" s="1442" t="s">
        <v>951</v>
      </c>
      <c r="D14" s="1443"/>
      <c r="E14" s="1444"/>
      <c r="F14" s="4"/>
      <c r="G14" s="632" t="s">
        <v>1034</v>
      </c>
      <c r="H14" s="4"/>
      <c r="I14" s="202"/>
    </row>
    <row r="15" spans="1:9">
      <c r="A15" s="1376" t="s">
        <v>139</v>
      </c>
      <c r="B15" s="1377"/>
      <c r="C15" s="1377"/>
      <c r="D15" s="1377"/>
      <c r="E15" s="1377"/>
      <c r="F15" s="1377"/>
      <c r="G15" s="1377"/>
      <c r="H15" s="1378"/>
      <c r="I15" s="188">
        <f>I13</f>
        <v>41.8</v>
      </c>
    </row>
    <row r="16" spans="1:9">
      <c r="A16" s="1379"/>
      <c r="B16" s="1380"/>
      <c r="C16" s="1380"/>
      <c r="D16" s="1380"/>
      <c r="E16" s="1380"/>
      <c r="F16" s="1380"/>
      <c r="G16" s="1380"/>
      <c r="H16" s="1380"/>
      <c r="I16" s="1381"/>
    </row>
    <row r="17" spans="1:9">
      <c r="A17" s="1382" t="s">
        <v>160</v>
      </c>
      <c r="B17" s="1383"/>
      <c r="C17" s="1383"/>
      <c r="D17" s="1383"/>
      <c r="E17" s="1383"/>
      <c r="F17" s="1383"/>
      <c r="G17" s="1383"/>
      <c r="H17" s="1383"/>
      <c r="I17" s="1384"/>
    </row>
    <row r="18" spans="1:9">
      <c r="A18" s="77" t="s">
        <v>130</v>
      </c>
      <c r="B18" s="56" t="s">
        <v>131</v>
      </c>
      <c r="C18" s="1385" t="s">
        <v>132</v>
      </c>
      <c r="D18" s="1386"/>
      <c r="E18" s="1387"/>
      <c r="F18" s="56" t="s">
        <v>104</v>
      </c>
      <c r="G18" s="56" t="s">
        <v>133</v>
      </c>
      <c r="H18" s="56" t="s">
        <v>134</v>
      </c>
      <c r="I18" s="78" t="s">
        <v>135</v>
      </c>
    </row>
    <row r="19" spans="1:9">
      <c r="A19" s="513"/>
      <c r="B19" s="485"/>
      <c r="C19" s="1367"/>
      <c r="D19" s="1430"/>
      <c r="E19" s="1431"/>
      <c r="F19" s="8"/>
      <c r="G19" s="597"/>
      <c r="H19" s="205"/>
      <c r="I19" s="605"/>
    </row>
    <row r="20" spans="1:9">
      <c r="A20" s="349"/>
      <c r="B20" s="592"/>
      <c r="C20" s="1416"/>
      <c r="D20" s="1417"/>
      <c r="E20" s="1418"/>
      <c r="F20" s="593"/>
      <c r="G20" s="594"/>
      <c r="H20" s="596"/>
      <c r="I20" s="633"/>
    </row>
    <row r="21" spans="1:9">
      <c r="A21" s="1376" t="s">
        <v>137</v>
      </c>
      <c r="B21" s="1377"/>
      <c r="C21" s="1377"/>
      <c r="D21" s="1377"/>
      <c r="E21" s="1377"/>
      <c r="F21" s="1377"/>
      <c r="G21" s="1377"/>
      <c r="H21" s="1378"/>
      <c r="I21" s="188"/>
    </row>
    <row r="22" spans="1:9">
      <c r="A22" s="1379"/>
      <c r="B22" s="1380"/>
      <c r="C22" s="1380"/>
      <c r="D22" s="1380"/>
      <c r="E22" s="1380"/>
      <c r="F22" s="1380"/>
      <c r="G22" s="1380"/>
      <c r="H22" s="1380"/>
      <c r="I22" s="1381"/>
    </row>
    <row r="23" spans="1:9">
      <c r="A23" s="1382" t="s">
        <v>140</v>
      </c>
      <c r="B23" s="1383"/>
      <c r="C23" s="1383"/>
      <c r="D23" s="1383"/>
      <c r="E23" s="1383"/>
      <c r="F23" s="1383"/>
      <c r="G23" s="1383"/>
      <c r="H23" s="1383"/>
      <c r="I23" s="1384"/>
    </row>
    <row r="24" spans="1:9">
      <c r="A24" s="82" t="s">
        <v>130</v>
      </c>
      <c r="B24" s="654" t="s">
        <v>131</v>
      </c>
      <c r="C24" s="1427" t="s">
        <v>132</v>
      </c>
      <c r="D24" s="1428"/>
      <c r="E24" s="1429"/>
      <c r="F24" s="654" t="s">
        <v>104</v>
      </c>
      <c r="G24" s="654" t="s">
        <v>133</v>
      </c>
      <c r="H24" s="654" t="s">
        <v>134</v>
      </c>
      <c r="I24" s="83" t="s">
        <v>135</v>
      </c>
    </row>
    <row r="25" spans="1:9">
      <c r="A25" s="130"/>
      <c r="B25" s="8"/>
      <c r="C25" s="1367"/>
      <c r="D25" s="1430"/>
      <c r="E25" s="1431"/>
      <c r="F25" s="8"/>
      <c r="G25" s="8"/>
      <c r="H25" s="205"/>
      <c r="I25" s="203"/>
    </row>
    <row r="26" spans="1:9">
      <c r="A26" s="81"/>
      <c r="B26" s="3"/>
      <c r="C26" s="1364"/>
      <c r="D26" s="1365"/>
      <c r="E26" s="1366"/>
      <c r="F26" s="3"/>
      <c r="G26" s="3"/>
      <c r="H26" s="3"/>
      <c r="I26" s="80"/>
    </row>
    <row r="27" spans="1:9">
      <c r="A27" s="1376" t="s">
        <v>196</v>
      </c>
      <c r="B27" s="1377"/>
      <c r="C27" s="1377"/>
      <c r="D27" s="1377"/>
      <c r="E27" s="1377"/>
      <c r="F27" s="1377"/>
      <c r="G27" s="1377"/>
      <c r="H27" s="1378"/>
      <c r="I27" s="188"/>
    </row>
    <row r="28" spans="1:9">
      <c r="A28" s="1379"/>
      <c r="B28" s="1380"/>
      <c r="C28" s="1380"/>
      <c r="D28" s="1380"/>
      <c r="E28" s="1380"/>
      <c r="F28" s="1380"/>
      <c r="G28" s="1380"/>
      <c r="H28" s="1380"/>
      <c r="I28" s="1381"/>
    </row>
    <row r="29" spans="1:9">
      <c r="A29" s="1382" t="s">
        <v>141</v>
      </c>
      <c r="B29" s="1383"/>
      <c r="C29" s="1383"/>
      <c r="D29" s="1383"/>
      <c r="E29" s="1383"/>
      <c r="F29" s="1383"/>
      <c r="G29" s="1383"/>
      <c r="H29" s="1383"/>
      <c r="I29" s="1384"/>
    </row>
    <row r="30" spans="1:9">
      <c r="A30" s="1413" t="s">
        <v>142</v>
      </c>
      <c r="B30" s="1414"/>
      <c r="C30" s="1414"/>
      <c r="D30" s="1414"/>
      <c r="E30" s="1414"/>
      <c r="F30" s="1414"/>
      <c r="G30" s="1414"/>
      <c r="H30" s="1415"/>
      <c r="I30" s="188"/>
    </row>
    <row r="31" spans="1:9">
      <c r="A31" s="1413" t="s">
        <v>163</v>
      </c>
      <c r="B31" s="1414"/>
      <c r="C31" s="1414"/>
      <c r="D31" s="1414"/>
      <c r="E31" s="1414"/>
      <c r="F31" s="1414"/>
      <c r="G31" s="1414"/>
      <c r="H31" s="1415"/>
      <c r="I31" s="188">
        <f>I13</f>
        <v>41.8</v>
      </c>
    </row>
    <row r="32" spans="1:9">
      <c r="A32" s="1413" t="s">
        <v>196</v>
      </c>
      <c r="B32" s="1414"/>
      <c r="C32" s="1414"/>
      <c r="D32" s="1414"/>
      <c r="E32" s="1414"/>
      <c r="F32" s="1414"/>
      <c r="G32" s="1414"/>
      <c r="H32" s="1415"/>
      <c r="I32" s="188"/>
    </row>
    <row r="33" spans="1:9">
      <c r="A33" s="1413" t="s">
        <v>391</v>
      </c>
      <c r="B33" s="1414"/>
      <c r="C33" s="1414"/>
      <c r="D33" s="1414"/>
      <c r="E33" s="1414"/>
      <c r="F33" s="1414"/>
      <c r="G33" s="1414"/>
      <c r="H33" s="1415"/>
      <c r="I33" s="80"/>
    </row>
    <row r="34" spans="1:9">
      <c r="A34" s="1413" t="s">
        <v>392</v>
      </c>
      <c r="B34" s="1414"/>
      <c r="C34" s="1414"/>
      <c r="D34" s="1414"/>
      <c r="E34" s="1414"/>
      <c r="F34" s="1414"/>
      <c r="G34" s="1414"/>
      <c r="H34" s="1415"/>
      <c r="I34" s="188">
        <f>I15</f>
        <v>41.8</v>
      </c>
    </row>
    <row r="35" spans="1:9">
      <c r="A35" s="1413" t="s">
        <v>393</v>
      </c>
      <c r="B35" s="1414"/>
      <c r="C35" s="1414"/>
      <c r="D35" s="1414"/>
      <c r="E35" s="1414"/>
      <c r="F35" s="1414"/>
      <c r="G35" s="1414"/>
      <c r="H35" s="1415"/>
      <c r="I35" s="188">
        <f>I34*26.54%</f>
        <v>11.093719999999998</v>
      </c>
    </row>
    <row r="36" spans="1:9">
      <c r="A36" s="1408" t="s">
        <v>144</v>
      </c>
      <c r="B36" s="1409"/>
      <c r="C36" s="1409"/>
      <c r="D36" s="1409"/>
      <c r="E36" s="1409"/>
      <c r="F36" s="1409"/>
      <c r="G36" s="1409"/>
      <c r="H36" s="1409"/>
      <c r="I36" s="189">
        <f>I34+I35</f>
        <v>52.893719999999995</v>
      </c>
    </row>
    <row r="37" spans="1:9" ht="15.75" thickBot="1">
      <c r="A37" s="1410"/>
      <c r="B37" s="1411"/>
      <c r="C37" s="1411"/>
      <c r="D37" s="1411"/>
      <c r="E37" s="1411"/>
      <c r="F37" s="1411"/>
      <c r="G37" s="1411"/>
      <c r="H37" s="1411"/>
      <c r="I37" s="1412"/>
    </row>
  </sheetData>
  <mergeCells count="34">
    <mergeCell ref="B8:I8"/>
    <mergeCell ref="A1:H3"/>
    <mergeCell ref="C4:F4"/>
    <mergeCell ref="I4:I5"/>
    <mergeCell ref="C5:F5"/>
    <mergeCell ref="A6:H7"/>
    <mergeCell ref="A16:I16"/>
    <mergeCell ref="A17:I17"/>
    <mergeCell ref="C18:E18"/>
    <mergeCell ref="C19:E19"/>
    <mergeCell ref="B9:I9"/>
    <mergeCell ref="A11:I11"/>
    <mergeCell ref="C12:E12"/>
    <mergeCell ref="C13:E13"/>
    <mergeCell ref="C14:E14"/>
    <mergeCell ref="A15:H15"/>
    <mergeCell ref="A30:H30"/>
    <mergeCell ref="C20:E20"/>
    <mergeCell ref="A21:H21"/>
    <mergeCell ref="A22:I22"/>
    <mergeCell ref="A23:I23"/>
    <mergeCell ref="C24:E24"/>
    <mergeCell ref="C25:E25"/>
    <mergeCell ref="C26:E26"/>
    <mergeCell ref="A27:H27"/>
    <mergeCell ref="A28:I28"/>
    <mergeCell ref="A29:I29"/>
    <mergeCell ref="A37:I37"/>
    <mergeCell ref="A31:H31"/>
    <mergeCell ref="A32:H32"/>
    <mergeCell ref="A33:H33"/>
    <mergeCell ref="A34:H34"/>
    <mergeCell ref="A35:H35"/>
    <mergeCell ref="A36:H36"/>
  </mergeCells>
  <pageMargins left="0.511811024" right="0.511811024" top="0.78740157499999996" bottom="0.78740157499999996" header="0.31496062000000002" footer="0.31496062000000002"/>
  <pageSetup paperSize="9" scale="77"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L40"/>
  <sheetViews>
    <sheetView view="pageBreakPreview" zoomScaleNormal="100" zoomScaleSheetLayoutView="100" workbookViewId="0">
      <selection activeCell="C21" sqref="C21:E21"/>
    </sheetView>
  </sheetViews>
  <sheetFormatPr defaultRowHeight="15"/>
  <cols>
    <col min="3" max="3" width="16" customWidth="1"/>
    <col min="4" max="4" width="21" customWidth="1"/>
    <col min="5" max="5" width="21.5703125" customWidth="1"/>
    <col min="8" max="8" width="11.85546875" customWidth="1"/>
    <col min="9" max="9" width="12.710937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953</v>
      </c>
    </row>
    <row r="8" spans="1:9">
      <c r="A8" s="73" t="s">
        <v>128</v>
      </c>
      <c r="B8" s="1395" t="s">
        <v>1012</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c r="A13" s="130"/>
      <c r="B13" s="8"/>
      <c r="C13" s="1392"/>
      <c r="D13" s="1393"/>
      <c r="E13" s="1394"/>
      <c r="F13" s="4"/>
      <c r="G13" s="608"/>
      <c r="H13" s="213"/>
      <c r="I13" s="202"/>
    </row>
    <row r="14" spans="1:9">
      <c r="A14" s="79"/>
      <c r="B14" s="8"/>
      <c r="C14" s="1364"/>
      <c r="D14" s="1365"/>
      <c r="E14" s="1366"/>
      <c r="F14" s="4"/>
      <c r="G14" s="4"/>
      <c r="H14" s="4"/>
      <c r="I14" s="202"/>
    </row>
    <row r="15" spans="1:9">
      <c r="A15" s="1376" t="s">
        <v>139</v>
      </c>
      <c r="B15" s="1377"/>
      <c r="C15" s="1377"/>
      <c r="D15" s="1377"/>
      <c r="E15" s="1377"/>
      <c r="F15" s="1377"/>
      <c r="G15" s="1377"/>
      <c r="H15" s="1378"/>
      <c r="I15" s="188"/>
    </row>
    <row r="16" spans="1:9">
      <c r="A16" s="1379"/>
      <c r="B16" s="1380"/>
      <c r="C16" s="1380"/>
      <c r="D16" s="1380"/>
      <c r="E16" s="1380"/>
      <c r="F16" s="1380"/>
      <c r="G16" s="1380"/>
      <c r="H16" s="1380"/>
      <c r="I16" s="1381"/>
    </row>
    <row r="17" spans="1:12">
      <c r="A17" s="1382" t="s">
        <v>160</v>
      </c>
      <c r="B17" s="1383"/>
      <c r="C17" s="1383"/>
      <c r="D17" s="1383"/>
      <c r="E17" s="1383"/>
      <c r="F17" s="1383"/>
      <c r="G17" s="1383"/>
      <c r="H17" s="1383"/>
      <c r="I17" s="1384"/>
    </row>
    <row r="18" spans="1:12">
      <c r="A18" s="77" t="s">
        <v>130</v>
      </c>
      <c r="B18" s="56" t="s">
        <v>131</v>
      </c>
      <c r="C18" s="1385" t="s">
        <v>132</v>
      </c>
      <c r="D18" s="1386"/>
      <c r="E18" s="1387"/>
      <c r="F18" s="56" t="s">
        <v>104</v>
      </c>
      <c r="G18" s="56" t="s">
        <v>133</v>
      </c>
      <c r="H18" s="56" t="s">
        <v>134</v>
      </c>
      <c r="I18" s="78" t="s">
        <v>135</v>
      </c>
    </row>
    <row r="19" spans="1:12">
      <c r="A19" s="513">
        <v>85421</v>
      </c>
      <c r="B19" s="485" t="s">
        <v>58</v>
      </c>
      <c r="C19" s="1367" t="s">
        <v>939</v>
      </c>
      <c r="D19" s="1430"/>
      <c r="E19" s="1431"/>
      <c r="F19" s="8" t="s">
        <v>57</v>
      </c>
      <c r="G19" s="597">
        <f>3.6*2.1</f>
        <v>7.5600000000000005</v>
      </c>
      <c r="H19" s="205">
        <v>11.93</v>
      </c>
      <c r="I19" s="605">
        <f>G19*H19</f>
        <v>90.19080000000001</v>
      </c>
    </row>
    <row r="20" spans="1:12" ht="30.75" customHeight="1">
      <c r="A20" s="601">
        <v>97647</v>
      </c>
      <c r="B20" s="8" t="s">
        <v>58</v>
      </c>
      <c r="C20" s="1373" t="s">
        <v>940</v>
      </c>
      <c r="D20" s="1388"/>
      <c r="E20" s="1389"/>
      <c r="F20" s="8" t="s">
        <v>57</v>
      </c>
      <c r="G20" s="597">
        <v>7.8</v>
      </c>
      <c r="H20" s="205">
        <v>2.17</v>
      </c>
      <c r="I20" s="203">
        <f>G20*H20</f>
        <v>16.925999999999998</v>
      </c>
      <c r="L20" t="s">
        <v>942</v>
      </c>
    </row>
    <row r="21" spans="1:12" ht="31.5" customHeight="1">
      <c r="A21" s="130">
        <v>97655</v>
      </c>
      <c r="B21" s="8" t="s">
        <v>58</v>
      </c>
      <c r="C21" s="1373" t="s">
        <v>941</v>
      </c>
      <c r="D21" s="1374"/>
      <c r="E21" s="1375"/>
      <c r="F21" s="8" t="s">
        <v>57</v>
      </c>
      <c r="G21" s="597">
        <f>7.8+10.4+2</f>
        <v>20.2</v>
      </c>
      <c r="H21" s="205">
        <v>13.82</v>
      </c>
      <c r="I21" s="203">
        <f>G21*H21</f>
        <v>279.16399999999999</v>
      </c>
      <c r="L21" s="126">
        <f>4*1.95</f>
        <v>7.8</v>
      </c>
    </row>
    <row r="22" spans="1:12">
      <c r="A22" s="130"/>
      <c r="B22" s="8"/>
      <c r="C22" s="1367"/>
      <c r="D22" s="1368"/>
      <c r="E22" s="1369"/>
      <c r="F22" s="8"/>
      <c r="G22" s="604"/>
      <c r="H22" s="205"/>
      <c r="I22" s="203"/>
    </row>
    <row r="23" spans="1:12">
      <c r="A23" s="349"/>
      <c r="B23" s="592"/>
      <c r="C23" s="1416"/>
      <c r="D23" s="1417"/>
      <c r="E23" s="1418"/>
      <c r="F23" s="593"/>
      <c r="G23" s="594"/>
      <c r="H23" s="596"/>
      <c r="I23" s="633"/>
      <c r="L23" s="126">
        <f>4*2.6</f>
        <v>10.4</v>
      </c>
    </row>
    <row r="24" spans="1:12">
      <c r="A24" s="1376" t="s">
        <v>137</v>
      </c>
      <c r="B24" s="1377"/>
      <c r="C24" s="1377"/>
      <c r="D24" s="1377"/>
      <c r="E24" s="1377"/>
      <c r="F24" s="1377"/>
      <c r="G24" s="1377"/>
      <c r="H24" s="1378"/>
      <c r="I24" s="188">
        <f>SUM(I19:I23)</f>
        <v>386.2808</v>
      </c>
    </row>
    <row r="25" spans="1:12">
      <c r="A25" s="1379"/>
      <c r="B25" s="1380"/>
      <c r="C25" s="1380"/>
      <c r="D25" s="1380"/>
      <c r="E25" s="1380"/>
      <c r="F25" s="1380"/>
      <c r="G25" s="1380"/>
      <c r="H25" s="1380"/>
      <c r="I25" s="1381"/>
      <c r="L25" t="s">
        <v>943</v>
      </c>
    </row>
    <row r="26" spans="1:12">
      <c r="A26" s="1382" t="s">
        <v>140</v>
      </c>
      <c r="B26" s="1383"/>
      <c r="C26" s="1383"/>
      <c r="D26" s="1383"/>
      <c r="E26" s="1383"/>
      <c r="F26" s="1383"/>
      <c r="G26" s="1383"/>
      <c r="H26" s="1383"/>
      <c r="I26" s="1384"/>
      <c r="L26">
        <f>4*0.5</f>
        <v>2</v>
      </c>
    </row>
    <row r="27" spans="1:12">
      <c r="A27" s="82" t="s">
        <v>130</v>
      </c>
      <c r="B27" s="654" t="s">
        <v>131</v>
      </c>
      <c r="C27" s="1427" t="s">
        <v>132</v>
      </c>
      <c r="D27" s="1428"/>
      <c r="E27" s="1429"/>
      <c r="F27" s="654" t="s">
        <v>104</v>
      </c>
      <c r="G27" s="654" t="s">
        <v>133</v>
      </c>
      <c r="H27" s="654" t="s">
        <v>134</v>
      </c>
      <c r="I27" s="83" t="s">
        <v>135</v>
      </c>
    </row>
    <row r="28" spans="1:12">
      <c r="A28" s="130"/>
      <c r="B28" s="8"/>
      <c r="C28" s="1367"/>
      <c r="D28" s="1430"/>
      <c r="E28" s="1431"/>
      <c r="F28" s="8"/>
      <c r="G28" s="8"/>
      <c r="H28" s="205"/>
      <c r="I28" s="203"/>
    </row>
    <row r="29" spans="1:12">
      <c r="A29" s="81"/>
      <c r="B29" s="3"/>
      <c r="C29" s="1364"/>
      <c r="D29" s="1365"/>
      <c r="E29" s="1366"/>
      <c r="F29" s="3"/>
      <c r="G29" s="3"/>
      <c r="H29" s="3"/>
      <c r="I29" s="80"/>
    </row>
    <row r="30" spans="1:12">
      <c r="A30" s="1376" t="s">
        <v>196</v>
      </c>
      <c r="B30" s="1377"/>
      <c r="C30" s="1377"/>
      <c r="D30" s="1377"/>
      <c r="E30" s="1377"/>
      <c r="F30" s="1377"/>
      <c r="G30" s="1377"/>
      <c r="H30" s="1378"/>
      <c r="I30" s="188"/>
    </row>
    <row r="31" spans="1:12">
      <c r="A31" s="1379"/>
      <c r="B31" s="1380"/>
      <c r="C31" s="1380"/>
      <c r="D31" s="1380"/>
      <c r="E31" s="1380"/>
      <c r="F31" s="1380"/>
      <c r="G31" s="1380"/>
      <c r="H31" s="1380"/>
      <c r="I31" s="1381"/>
    </row>
    <row r="32" spans="1:12">
      <c r="A32" s="1382" t="s">
        <v>141</v>
      </c>
      <c r="B32" s="1383"/>
      <c r="C32" s="1383"/>
      <c r="D32" s="1383"/>
      <c r="E32" s="1383"/>
      <c r="F32" s="1383"/>
      <c r="G32" s="1383"/>
      <c r="H32" s="1383"/>
      <c r="I32" s="1384"/>
    </row>
    <row r="33" spans="1:9">
      <c r="A33" s="1413" t="s">
        <v>142</v>
      </c>
      <c r="B33" s="1414"/>
      <c r="C33" s="1414"/>
      <c r="D33" s="1414"/>
      <c r="E33" s="1414"/>
      <c r="F33" s="1414"/>
      <c r="G33" s="1414"/>
      <c r="H33" s="1415"/>
      <c r="I33" s="188"/>
    </row>
    <row r="34" spans="1:9">
      <c r="A34" s="1413" t="s">
        <v>163</v>
      </c>
      <c r="B34" s="1414"/>
      <c r="C34" s="1414"/>
      <c r="D34" s="1414"/>
      <c r="E34" s="1414"/>
      <c r="F34" s="1414"/>
      <c r="G34" s="1414"/>
      <c r="H34" s="1415"/>
      <c r="I34" s="188">
        <f>I24</f>
        <v>386.2808</v>
      </c>
    </row>
    <row r="35" spans="1:9">
      <c r="A35" s="1413" t="s">
        <v>196</v>
      </c>
      <c r="B35" s="1414"/>
      <c r="C35" s="1414"/>
      <c r="D35" s="1414"/>
      <c r="E35" s="1414"/>
      <c r="F35" s="1414"/>
      <c r="G35" s="1414"/>
      <c r="H35" s="1415"/>
      <c r="I35" s="188"/>
    </row>
    <row r="36" spans="1:9">
      <c r="A36" s="1413" t="s">
        <v>391</v>
      </c>
      <c r="B36" s="1414"/>
      <c r="C36" s="1414"/>
      <c r="D36" s="1414"/>
      <c r="E36" s="1414"/>
      <c r="F36" s="1414"/>
      <c r="G36" s="1414"/>
      <c r="H36" s="1415"/>
      <c r="I36" s="80"/>
    </row>
    <row r="37" spans="1:9">
      <c r="A37" s="1413" t="s">
        <v>392</v>
      </c>
      <c r="B37" s="1414"/>
      <c r="C37" s="1414"/>
      <c r="D37" s="1414"/>
      <c r="E37" s="1414"/>
      <c r="F37" s="1414"/>
      <c r="G37" s="1414"/>
      <c r="H37" s="1415"/>
      <c r="I37" s="188">
        <f>SUM(I33:I35)</f>
        <v>386.2808</v>
      </c>
    </row>
    <row r="38" spans="1:9">
      <c r="A38" s="1413" t="s">
        <v>393</v>
      </c>
      <c r="B38" s="1414"/>
      <c r="C38" s="1414"/>
      <c r="D38" s="1414"/>
      <c r="E38" s="1414"/>
      <c r="F38" s="1414"/>
      <c r="G38" s="1414"/>
      <c r="H38" s="1415"/>
      <c r="I38" s="188">
        <f>I37*26.54%</f>
        <v>102.51892431999998</v>
      </c>
    </row>
    <row r="39" spans="1:9">
      <c r="A39" s="1408" t="s">
        <v>144</v>
      </c>
      <c r="B39" s="1409"/>
      <c r="C39" s="1409"/>
      <c r="D39" s="1409"/>
      <c r="E39" s="1409"/>
      <c r="F39" s="1409"/>
      <c r="G39" s="1409"/>
      <c r="H39" s="1409"/>
      <c r="I39" s="189">
        <f>I37+I38</f>
        <v>488.79972432</v>
      </c>
    </row>
    <row r="40" spans="1:9" ht="15.75" thickBot="1">
      <c r="A40" s="1410"/>
      <c r="B40" s="1411"/>
      <c r="C40" s="1411"/>
      <c r="D40" s="1411"/>
      <c r="E40" s="1411"/>
      <c r="F40" s="1411"/>
      <c r="G40" s="1411"/>
      <c r="H40" s="1411"/>
      <c r="I40" s="1412"/>
    </row>
  </sheetData>
  <mergeCells count="37">
    <mergeCell ref="B9:I9"/>
    <mergeCell ref="A11:I11"/>
    <mergeCell ref="C12:E12"/>
    <mergeCell ref="C13:E13"/>
    <mergeCell ref="A1:H3"/>
    <mergeCell ref="C4:F4"/>
    <mergeCell ref="I4:I5"/>
    <mergeCell ref="C5:F5"/>
    <mergeCell ref="A6:H7"/>
    <mergeCell ref="B8:I8"/>
    <mergeCell ref="C14:E14"/>
    <mergeCell ref="A15:H15"/>
    <mergeCell ref="A16:I16"/>
    <mergeCell ref="A17:I17"/>
    <mergeCell ref="C18:E18"/>
    <mergeCell ref="C23:E23"/>
    <mergeCell ref="C19:E19"/>
    <mergeCell ref="C20:E20"/>
    <mergeCell ref="C21:E21"/>
    <mergeCell ref="C22:E22"/>
    <mergeCell ref="A24:H24"/>
    <mergeCell ref="A25:I25"/>
    <mergeCell ref="A26:I26"/>
    <mergeCell ref="C27:E27"/>
    <mergeCell ref="C28:E28"/>
    <mergeCell ref="A40:I40"/>
    <mergeCell ref="C29:E29"/>
    <mergeCell ref="A30:H30"/>
    <mergeCell ref="A31:I31"/>
    <mergeCell ref="A32:I32"/>
    <mergeCell ref="A33:H33"/>
    <mergeCell ref="A34:H34"/>
    <mergeCell ref="A35:H35"/>
    <mergeCell ref="A36:H36"/>
    <mergeCell ref="A37:H37"/>
    <mergeCell ref="A38:H38"/>
    <mergeCell ref="A39:H39"/>
  </mergeCells>
  <pageMargins left="0.511811024" right="0.511811024" top="0.78740157499999996" bottom="0.78740157499999996" header="0.31496062000000002" footer="0.31496062000000002"/>
  <pageSetup paperSize="9" scale="77"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P45"/>
  <sheetViews>
    <sheetView view="pageBreakPreview" zoomScaleNormal="100" zoomScaleSheetLayoutView="100" workbookViewId="0">
      <selection activeCell="B8" sqref="B8:I8"/>
    </sheetView>
  </sheetViews>
  <sheetFormatPr defaultRowHeight="15"/>
  <cols>
    <col min="2" max="2" width="9.85546875" customWidth="1"/>
    <col min="3" max="3" width="13.85546875" customWidth="1"/>
    <col min="4" max="4" width="15.7109375" customWidth="1"/>
    <col min="5" max="5" width="33.42578125" customWidth="1"/>
    <col min="8" max="8" width="9.5703125" bestFit="1" customWidth="1"/>
    <col min="9" max="9" width="13" customWidth="1"/>
  </cols>
  <sheetData>
    <row r="1" spans="1:9" ht="15.75" customHeight="1">
      <c r="A1" s="1397" t="s">
        <v>43</v>
      </c>
      <c r="B1" s="1398"/>
      <c r="C1" s="1398"/>
      <c r="D1" s="1398"/>
      <c r="E1" s="1398"/>
      <c r="F1" s="1398"/>
      <c r="G1" s="1398"/>
      <c r="H1" s="1398"/>
      <c r="I1" s="68"/>
    </row>
    <row r="2" spans="1:9" ht="15.75" customHeight="1">
      <c r="A2" s="1399"/>
      <c r="B2" s="1400"/>
      <c r="C2" s="1400"/>
      <c r="D2" s="1400"/>
      <c r="E2" s="1400"/>
      <c r="F2" s="1400"/>
      <c r="G2" s="1400"/>
      <c r="H2" s="1400"/>
      <c r="I2" s="69"/>
    </row>
    <row r="3" spans="1:9" ht="9.75" customHeight="1">
      <c r="A3" s="1399"/>
      <c r="B3" s="1400"/>
      <c r="C3" s="1400"/>
      <c r="D3" s="1400"/>
      <c r="E3" s="1400"/>
      <c r="F3" s="1400"/>
      <c r="G3" s="1400"/>
      <c r="H3" s="1400"/>
      <c r="I3" s="69"/>
    </row>
    <row r="4" spans="1:9" ht="15" customHeight="1">
      <c r="A4" s="70"/>
      <c r="B4" s="66"/>
      <c r="C4" s="1401" t="s">
        <v>122</v>
      </c>
      <c r="D4" s="1401"/>
      <c r="E4" s="1401"/>
      <c r="F4" s="1402"/>
      <c r="G4" s="58" t="s">
        <v>123</v>
      </c>
      <c r="H4" s="58" t="s">
        <v>124</v>
      </c>
      <c r="I4" s="1403" t="s">
        <v>127</v>
      </c>
    </row>
    <row r="5" spans="1:9" ht="18" customHeight="1">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ht="30" customHeight="1">
      <c r="A7" s="1406"/>
      <c r="B7" s="1407"/>
      <c r="C7" s="1407"/>
      <c r="D7" s="1407"/>
      <c r="E7" s="1407"/>
      <c r="F7" s="1407"/>
      <c r="G7" s="1407"/>
      <c r="H7" s="1407"/>
      <c r="I7" s="72" t="s">
        <v>955</v>
      </c>
    </row>
    <row r="8" spans="1:9" ht="57.75" customHeight="1">
      <c r="A8" s="73" t="s">
        <v>128</v>
      </c>
      <c r="B8" s="1395" t="s">
        <v>28</v>
      </c>
      <c r="C8" s="1395"/>
      <c r="D8" s="1395"/>
      <c r="E8" s="1395"/>
      <c r="F8" s="1395"/>
      <c r="G8" s="1395"/>
      <c r="H8" s="1395"/>
      <c r="I8" s="1396"/>
    </row>
    <row r="9" spans="1:9">
      <c r="A9" s="74" t="s">
        <v>129</v>
      </c>
      <c r="B9" s="1390" t="s">
        <v>57</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c r="A13" s="79">
        <v>88260</v>
      </c>
      <c r="B13" s="4" t="s">
        <v>58</v>
      </c>
      <c r="C13" s="1478" t="s">
        <v>185</v>
      </c>
      <c r="D13" s="1368"/>
      <c r="E13" s="1369"/>
      <c r="F13" s="4" t="s">
        <v>153</v>
      </c>
      <c r="G13" s="8">
        <v>0.1595</v>
      </c>
      <c r="H13" s="4">
        <v>17.170000000000002</v>
      </c>
      <c r="I13" s="202">
        <f>G13*H13</f>
        <v>2.7386150000000002</v>
      </c>
    </row>
    <row r="14" spans="1:9">
      <c r="A14" s="79">
        <v>88316</v>
      </c>
      <c r="B14" s="4" t="s">
        <v>58</v>
      </c>
      <c r="C14" s="1478" t="s">
        <v>155</v>
      </c>
      <c r="D14" s="1368"/>
      <c r="E14" s="1369"/>
      <c r="F14" s="4" t="s">
        <v>153</v>
      </c>
      <c r="G14" s="8">
        <v>0.1595</v>
      </c>
      <c r="H14" s="4">
        <v>13.65</v>
      </c>
      <c r="I14" s="202">
        <f>G14*H14</f>
        <v>2.1771750000000001</v>
      </c>
    </row>
    <row r="15" spans="1:9">
      <c r="A15" s="79"/>
      <c r="B15" s="4"/>
      <c r="C15" s="1478"/>
      <c r="D15" s="1368"/>
      <c r="E15" s="1369"/>
      <c r="F15" s="4"/>
      <c r="G15" s="4"/>
      <c r="H15" s="4"/>
      <c r="I15" s="202"/>
    </row>
    <row r="16" spans="1:9" ht="45.75" customHeight="1">
      <c r="A16" s="81"/>
      <c r="B16" s="3"/>
      <c r="C16" s="1364" t="s">
        <v>886</v>
      </c>
      <c r="D16" s="1365"/>
      <c r="E16" s="1366"/>
      <c r="F16" s="3"/>
      <c r="G16" s="3"/>
      <c r="H16" s="3"/>
      <c r="I16" s="80"/>
    </row>
    <row r="17" spans="1:16">
      <c r="A17" s="1376" t="s">
        <v>139</v>
      </c>
      <c r="B17" s="1377"/>
      <c r="C17" s="1377"/>
      <c r="D17" s="1377"/>
      <c r="E17" s="1377"/>
      <c r="F17" s="1377"/>
      <c r="G17" s="1377"/>
      <c r="H17" s="1378"/>
      <c r="I17" s="188">
        <f>SUM(I13:I14)</f>
        <v>4.9157900000000003</v>
      </c>
    </row>
    <row r="18" spans="1:16">
      <c r="A18" s="1379"/>
      <c r="B18" s="1380"/>
      <c r="C18" s="1380"/>
      <c r="D18" s="1380"/>
      <c r="E18" s="1380"/>
      <c r="F18" s="1380"/>
      <c r="G18" s="1380"/>
      <c r="H18" s="1380"/>
      <c r="I18" s="1381"/>
    </row>
    <row r="19" spans="1:16">
      <c r="A19" s="1382" t="s">
        <v>160</v>
      </c>
      <c r="B19" s="1383"/>
      <c r="C19" s="1383"/>
      <c r="D19" s="1383"/>
      <c r="E19" s="1383"/>
      <c r="F19" s="1383"/>
      <c r="G19" s="1383"/>
      <c r="H19" s="1383"/>
      <c r="I19" s="1384"/>
    </row>
    <row r="20" spans="1:16">
      <c r="A20" s="77" t="s">
        <v>130</v>
      </c>
      <c r="B20" s="56" t="s">
        <v>131</v>
      </c>
      <c r="C20" s="1385" t="s">
        <v>132</v>
      </c>
      <c r="D20" s="1386"/>
      <c r="E20" s="1387"/>
      <c r="F20" s="56" t="s">
        <v>104</v>
      </c>
      <c r="G20" s="56" t="s">
        <v>133</v>
      </c>
      <c r="H20" s="56" t="s">
        <v>134</v>
      </c>
      <c r="I20" s="78" t="s">
        <v>135</v>
      </c>
    </row>
    <row r="21" spans="1:16" ht="64.5" customHeight="1">
      <c r="A21" s="130" t="s">
        <v>161</v>
      </c>
      <c r="B21" s="8" t="s">
        <v>162</v>
      </c>
      <c r="C21" s="1367" t="s">
        <v>187</v>
      </c>
      <c r="D21" s="1430"/>
      <c r="E21" s="1431"/>
      <c r="F21" s="8" t="s">
        <v>57</v>
      </c>
      <c r="G21" s="597">
        <v>1</v>
      </c>
      <c r="H21" s="205">
        <v>40.630000000000003</v>
      </c>
      <c r="I21" s="203">
        <f>G21*H21</f>
        <v>40.630000000000003</v>
      </c>
    </row>
    <row r="22" spans="1:16" ht="30" customHeight="1">
      <c r="A22" s="130">
        <v>370</v>
      </c>
      <c r="B22" s="8" t="s">
        <v>58</v>
      </c>
      <c r="C22" s="1367" t="s">
        <v>188</v>
      </c>
      <c r="D22" s="1430"/>
      <c r="E22" s="1431"/>
      <c r="F22" s="8" t="s">
        <v>103</v>
      </c>
      <c r="G22" s="8">
        <v>0.05</v>
      </c>
      <c r="H22" s="205">
        <v>31.08</v>
      </c>
      <c r="I22" s="203">
        <f>G22*H22</f>
        <v>1.554</v>
      </c>
    </row>
    <row r="23" spans="1:16">
      <c r="A23" s="130">
        <v>4741</v>
      </c>
      <c r="B23" s="8" t="s">
        <v>58</v>
      </c>
      <c r="C23" s="1478" t="s">
        <v>189</v>
      </c>
      <c r="D23" s="1368"/>
      <c r="E23" s="1369"/>
      <c r="F23" s="8" t="s">
        <v>103</v>
      </c>
      <c r="G23" s="8">
        <v>0.1</v>
      </c>
      <c r="H23" s="205">
        <v>58.53</v>
      </c>
      <c r="I23" s="203">
        <f>G23*H23</f>
        <v>5.8530000000000006</v>
      </c>
    </row>
    <row r="24" spans="1:16">
      <c r="A24" s="81"/>
      <c r="B24" s="3"/>
      <c r="C24" s="1478"/>
      <c r="D24" s="1368"/>
      <c r="E24" s="1369"/>
      <c r="F24" s="3"/>
      <c r="G24" s="3"/>
      <c r="H24" s="3"/>
      <c r="I24" s="80"/>
    </row>
    <row r="25" spans="1:16">
      <c r="A25" s="1376" t="s">
        <v>137</v>
      </c>
      <c r="B25" s="1377"/>
      <c r="C25" s="1377"/>
      <c r="D25" s="1377"/>
      <c r="E25" s="1377"/>
      <c r="F25" s="1377"/>
      <c r="G25" s="1377"/>
      <c r="H25" s="1378"/>
      <c r="I25" s="188">
        <f>SUM(I21:I23)</f>
        <v>48.037000000000006</v>
      </c>
    </row>
    <row r="26" spans="1:16">
      <c r="A26" s="1379"/>
      <c r="B26" s="1380"/>
      <c r="C26" s="1380"/>
      <c r="D26" s="1380"/>
      <c r="E26" s="1380"/>
      <c r="F26" s="1380"/>
      <c r="G26" s="1380"/>
      <c r="H26" s="1380"/>
      <c r="I26" s="1381"/>
    </row>
    <row r="27" spans="1:16">
      <c r="A27" s="1382" t="s">
        <v>140</v>
      </c>
      <c r="B27" s="1383"/>
      <c r="C27" s="1383"/>
      <c r="D27" s="1383"/>
      <c r="E27" s="1383"/>
      <c r="F27" s="1383"/>
      <c r="G27" s="1383"/>
      <c r="H27" s="1383"/>
      <c r="I27" s="1384"/>
      <c r="K27" s="1479"/>
      <c r="L27" s="1479"/>
      <c r="M27" s="1479"/>
      <c r="N27" s="1479"/>
      <c r="O27" s="1479"/>
      <c r="P27" s="1479"/>
    </row>
    <row r="28" spans="1:16">
      <c r="A28" s="82" t="s">
        <v>130</v>
      </c>
      <c r="B28" s="654" t="s">
        <v>131</v>
      </c>
      <c r="C28" s="1427" t="s">
        <v>132</v>
      </c>
      <c r="D28" s="1428"/>
      <c r="E28" s="1429"/>
      <c r="F28" s="654" t="s">
        <v>104</v>
      </c>
      <c r="G28" s="654" t="s">
        <v>133</v>
      </c>
      <c r="H28" s="654" t="s">
        <v>134</v>
      </c>
      <c r="I28" s="83" t="s">
        <v>135</v>
      </c>
      <c r="K28" s="1479"/>
      <c r="L28" s="1479"/>
      <c r="M28" s="1479"/>
      <c r="N28" s="1479"/>
      <c r="O28" s="1479"/>
      <c r="P28" s="1479"/>
    </row>
    <row r="29" spans="1:16" ht="47.25" customHeight="1">
      <c r="A29" s="130">
        <v>91277</v>
      </c>
      <c r="B29" s="8" t="s">
        <v>58</v>
      </c>
      <c r="C29" s="1367" t="s">
        <v>190</v>
      </c>
      <c r="D29" s="1430"/>
      <c r="E29" s="1431"/>
      <c r="F29" s="8" t="s">
        <v>191</v>
      </c>
      <c r="G29" s="8">
        <v>4.1000000000000003E-3</v>
      </c>
      <c r="H29" s="205">
        <v>4.7</v>
      </c>
      <c r="I29" s="203">
        <f>G29*H29</f>
        <v>1.9270000000000002E-2</v>
      </c>
      <c r="K29" s="1479"/>
      <c r="L29" s="1479"/>
      <c r="M29" s="1479"/>
      <c r="N29" s="1479"/>
      <c r="O29" s="1479"/>
      <c r="P29" s="1479"/>
    </row>
    <row r="30" spans="1:16" ht="47.25" customHeight="1">
      <c r="A30" s="130">
        <v>91278</v>
      </c>
      <c r="B30" s="8" t="s">
        <v>58</v>
      </c>
      <c r="C30" s="1367" t="s">
        <v>192</v>
      </c>
      <c r="D30" s="1430"/>
      <c r="E30" s="1431"/>
      <c r="F30" s="8" t="s">
        <v>193</v>
      </c>
      <c r="G30" s="8">
        <v>7.5700000000000003E-2</v>
      </c>
      <c r="H30" s="205">
        <v>0.54</v>
      </c>
      <c r="I30" s="203">
        <f>G30*H30</f>
        <v>4.0878000000000005E-2</v>
      </c>
    </row>
    <row r="31" spans="1:16" ht="61.5" customHeight="1">
      <c r="A31" s="130">
        <v>91283</v>
      </c>
      <c r="B31" s="8" t="s">
        <v>58</v>
      </c>
      <c r="C31" s="1367" t="s">
        <v>194</v>
      </c>
      <c r="D31" s="1430"/>
      <c r="E31" s="1431"/>
      <c r="F31" s="8" t="s">
        <v>191</v>
      </c>
      <c r="G31" s="8">
        <v>3.7000000000000002E-3</v>
      </c>
      <c r="H31" s="205">
        <v>10.07</v>
      </c>
      <c r="I31" s="203">
        <f>G31*H31</f>
        <v>3.7259E-2</v>
      </c>
    </row>
    <row r="32" spans="1:16" ht="60" customHeight="1">
      <c r="A32" s="130">
        <v>91285</v>
      </c>
      <c r="B32" s="8" t="s">
        <v>58</v>
      </c>
      <c r="C32" s="1367" t="s">
        <v>195</v>
      </c>
      <c r="D32" s="1430"/>
      <c r="E32" s="1431"/>
      <c r="F32" s="8" t="s">
        <v>193</v>
      </c>
      <c r="G32" s="8">
        <v>7.5999999999999998E-2</v>
      </c>
      <c r="H32" s="205">
        <v>0.68</v>
      </c>
      <c r="I32" s="203">
        <f>G32*H32</f>
        <v>5.1680000000000004E-2</v>
      </c>
    </row>
    <row r="33" spans="1:9">
      <c r="A33" s="81"/>
      <c r="B33" s="3"/>
      <c r="C33" s="1478"/>
      <c r="D33" s="1368"/>
      <c r="E33" s="1369"/>
      <c r="F33" s="3"/>
      <c r="G33" s="3"/>
      <c r="H33" s="3"/>
      <c r="I33" s="80"/>
    </row>
    <row r="34" spans="1:9">
      <c r="A34" s="81"/>
      <c r="B34" s="3"/>
      <c r="C34" s="1364"/>
      <c r="D34" s="1365"/>
      <c r="E34" s="1366"/>
      <c r="F34" s="3"/>
      <c r="G34" s="3"/>
      <c r="H34" s="3"/>
      <c r="I34" s="80"/>
    </row>
    <row r="35" spans="1:9">
      <c r="A35" s="1376" t="s">
        <v>196</v>
      </c>
      <c r="B35" s="1377"/>
      <c r="C35" s="1377"/>
      <c r="D35" s="1377"/>
      <c r="E35" s="1377"/>
      <c r="F35" s="1377"/>
      <c r="G35" s="1377"/>
      <c r="H35" s="1378"/>
      <c r="I35" s="188">
        <f>SUM(I29:I32)</f>
        <v>0.14908700000000003</v>
      </c>
    </row>
    <row r="36" spans="1:9">
      <c r="A36" s="1379"/>
      <c r="B36" s="1380"/>
      <c r="C36" s="1380"/>
      <c r="D36" s="1380"/>
      <c r="E36" s="1380"/>
      <c r="F36" s="1380"/>
      <c r="G36" s="1380"/>
      <c r="H36" s="1380"/>
      <c r="I36" s="1381"/>
    </row>
    <row r="37" spans="1:9">
      <c r="A37" s="1382" t="s">
        <v>141</v>
      </c>
      <c r="B37" s="1383"/>
      <c r="C37" s="1383"/>
      <c r="D37" s="1383"/>
      <c r="E37" s="1383"/>
      <c r="F37" s="1383"/>
      <c r="G37" s="1383"/>
      <c r="H37" s="1383"/>
      <c r="I37" s="1384"/>
    </row>
    <row r="38" spans="1:9">
      <c r="A38" s="1413" t="s">
        <v>142</v>
      </c>
      <c r="B38" s="1414"/>
      <c r="C38" s="1414"/>
      <c r="D38" s="1414"/>
      <c r="E38" s="1414"/>
      <c r="F38" s="1414"/>
      <c r="G38" s="1414"/>
      <c r="H38" s="1415"/>
      <c r="I38" s="188">
        <f>I17</f>
        <v>4.9157900000000003</v>
      </c>
    </row>
    <row r="39" spans="1:9">
      <c r="A39" s="1413" t="s">
        <v>163</v>
      </c>
      <c r="B39" s="1414"/>
      <c r="C39" s="1414"/>
      <c r="D39" s="1414"/>
      <c r="E39" s="1414"/>
      <c r="F39" s="1414"/>
      <c r="G39" s="1414"/>
      <c r="H39" s="1415"/>
      <c r="I39" s="188">
        <f>I25</f>
        <v>48.037000000000006</v>
      </c>
    </row>
    <row r="40" spans="1:9">
      <c r="A40" s="1413" t="s">
        <v>196</v>
      </c>
      <c r="B40" s="1414"/>
      <c r="C40" s="1414"/>
      <c r="D40" s="1414"/>
      <c r="E40" s="1414"/>
      <c r="F40" s="1414"/>
      <c r="G40" s="1414"/>
      <c r="H40" s="1415"/>
      <c r="I40" s="188">
        <f>I35</f>
        <v>0.14908700000000003</v>
      </c>
    </row>
    <row r="41" spans="1:9">
      <c r="A41" s="1413" t="s">
        <v>391</v>
      </c>
      <c r="B41" s="1414"/>
      <c r="C41" s="1414"/>
      <c r="D41" s="1414"/>
      <c r="E41" s="1414"/>
      <c r="F41" s="1414"/>
      <c r="G41" s="1414"/>
      <c r="H41" s="1415"/>
      <c r="I41" s="80"/>
    </row>
    <row r="42" spans="1:9">
      <c r="A42" s="1413" t="s">
        <v>392</v>
      </c>
      <c r="B42" s="1414"/>
      <c r="C42" s="1414"/>
      <c r="D42" s="1414"/>
      <c r="E42" s="1414"/>
      <c r="F42" s="1414"/>
      <c r="G42" s="1414"/>
      <c r="H42" s="1415"/>
      <c r="I42" s="188">
        <f>SUM(I38:I40)</f>
        <v>53.101877000000009</v>
      </c>
    </row>
    <row r="43" spans="1:9">
      <c r="A43" s="1413" t="s">
        <v>393</v>
      </c>
      <c r="B43" s="1414"/>
      <c r="C43" s="1414"/>
      <c r="D43" s="1414"/>
      <c r="E43" s="1414"/>
      <c r="F43" s="1414"/>
      <c r="G43" s="1414"/>
      <c r="H43" s="1415"/>
      <c r="I43" s="188">
        <f>I42*26.54%</f>
        <v>14.0932381558</v>
      </c>
    </row>
    <row r="44" spans="1:9">
      <c r="A44" s="1408" t="s">
        <v>144</v>
      </c>
      <c r="B44" s="1409"/>
      <c r="C44" s="1409"/>
      <c r="D44" s="1409"/>
      <c r="E44" s="1409"/>
      <c r="F44" s="1409"/>
      <c r="G44" s="1409"/>
      <c r="H44" s="1409"/>
      <c r="I44" s="189">
        <f>I42+I43</f>
        <v>67.195115155800011</v>
      </c>
    </row>
    <row r="45" spans="1:9" ht="15.75" thickBot="1">
      <c r="A45" s="1410"/>
      <c r="B45" s="1411"/>
      <c r="C45" s="1411"/>
      <c r="D45" s="1411"/>
      <c r="E45" s="1411"/>
      <c r="F45" s="1411"/>
      <c r="G45" s="1411"/>
      <c r="H45" s="1411"/>
      <c r="I45" s="1412"/>
    </row>
  </sheetData>
  <mergeCells count="43">
    <mergeCell ref="K27:P29"/>
    <mergeCell ref="A42:H42"/>
    <mergeCell ref="A40:H40"/>
    <mergeCell ref="A43:H43"/>
    <mergeCell ref="A44:H44"/>
    <mergeCell ref="A38:H38"/>
    <mergeCell ref="A27:I27"/>
    <mergeCell ref="A37:I37"/>
    <mergeCell ref="A39:H39"/>
    <mergeCell ref="A41:H41"/>
    <mergeCell ref="A1:H3"/>
    <mergeCell ref="C13:E13"/>
    <mergeCell ref="C12:E12"/>
    <mergeCell ref="B8:I8"/>
    <mergeCell ref="I4:I5"/>
    <mergeCell ref="A6:H7"/>
    <mergeCell ref="C21:E21"/>
    <mergeCell ref="C22:E22"/>
    <mergeCell ref="C23:E23"/>
    <mergeCell ref="C4:F4"/>
    <mergeCell ref="C5:F5"/>
    <mergeCell ref="B9:I9"/>
    <mergeCell ref="A11:I11"/>
    <mergeCell ref="A19:I19"/>
    <mergeCell ref="C14:E14"/>
    <mergeCell ref="C16:E16"/>
    <mergeCell ref="C15:E15"/>
    <mergeCell ref="A45:I45"/>
    <mergeCell ref="A17:H17"/>
    <mergeCell ref="A25:H25"/>
    <mergeCell ref="A35:H35"/>
    <mergeCell ref="A36:I36"/>
    <mergeCell ref="A26:I26"/>
    <mergeCell ref="A18:I18"/>
    <mergeCell ref="C31:E31"/>
    <mergeCell ref="C32:E32"/>
    <mergeCell ref="C33:E33"/>
    <mergeCell ref="C34:E34"/>
    <mergeCell ref="C24:E24"/>
    <mergeCell ref="C28:E28"/>
    <mergeCell ref="C29:E29"/>
    <mergeCell ref="C30:E30"/>
    <mergeCell ref="C20:E20"/>
  </mergeCells>
  <pageMargins left="0.511811024" right="0.511811024" top="0.78740157499999996" bottom="0.78740157499999996" header="0.31496062000000002" footer="0.31496062000000002"/>
  <pageSetup paperSize="9" scale="75"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46"/>
  <sheetViews>
    <sheetView workbookViewId="0">
      <selection activeCell="C21" sqref="C21:E21"/>
    </sheetView>
  </sheetViews>
  <sheetFormatPr defaultRowHeight="15"/>
  <cols>
    <col min="1" max="1" width="10.28515625" style="465" customWidth="1"/>
    <col min="2" max="2" width="17.7109375" customWidth="1"/>
    <col min="5" max="5" width="27.42578125" customWidth="1"/>
    <col min="6" max="6" width="9.140625" style="465"/>
    <col min="8" max="8" width="9.5703125" bestFit="1" customWidth="1"/>
    <col min="9" max="9" width="12.8554687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479"/>
      <c r="B4" s="66"/>
      <c r="C4" s="1401" t="s">
        <v>122</v>
      </c>
      <c r="D4" s="1401"/>
      <c r="E4" s="1401"/>
      <c r="F4" s="1402"/>
      <c r="G4" s="58" t="s">
        <v>123</v>
      </c>
      <c r="H4" s="58" t="s">
        <v>124</v>
      </c>
      <c r="I4" s="1403" t="s">
        <v>127</v>
      </c>
    </row>
    <row r="5" spans="1:9" ht="15.75">
      <c r="A5" s="479"/>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956</v>
      </c>
    </row>
    <row r="8" spans="1:9" ht="80.25" customHeight="1">
      <c r="A8" s="478" t="s">
        <v>128</v>
      </c>
      <c r="B8" s="1395" t="s">
        <v>1009</v>
      </c>
      <c r="C8" s="1395"/>
      <c r="D8" s="1395"/>
      <c r="E8" s="1395"/>
      <c r="F8" s="1395"/>
      <c r="G8" s="1395"/>
      <c r="H8" s="1395"/>
      <c r="I8" s="1396"/>
    </row>
    <row r="9" spans="1:9">
      <c r="A9" s="478" t="s">
        <v>129</v>
      </c>
      <c r="B9" s="1390" t="s">
        <v>57</v>
      </c>
      <c r="C9" s="1390"/>
      <c r="D9" s="1390"/>
      <c r="E9" s="1390"/>
      <c r="F9" s="1390"/>
      <c r="G9" s="1390"/>
      <c r="H9" s="1390"/>
      <c r="I9" s="1391"/>
    </row>
    <row r="10" spans="1:9">
      <c r="A10" s="478"/>
      <c r="B10" s="60"/>
      <c r="C10" s="61"/>
      <c r="D10" s="61"/>
      <c r="E10" s="61"/>
      <c r="F10" s="477"/>
      <c r="G10" s="62"/>
      <c r="H10" s="63"/>
      <c r="I10" s="76"/>
    </row>
    <row r="11" spans="1:9">
      <c r="A11" s="1382" t="s">
        <v>138</v>
      </c>
      <c r="B11" s="1383"/>
      <c r="C11" s="1383"/>
      <c r="D11" s="1383"/>
      <c r="E11" s="1383"/>
      <c r="F11" s="1383"/>
      <c r="G11" s="1383"/>
      <c r="H11" s="1383"/>
      <c r="I11" s="1384"/>
    </row>
    <row r="12" spans="1:9">
      <c r="A12" s="82" t="s">
        <v>130</v>
      </c>
      <c r="B12" s="56" t="s">
        <v>131</v>
      </c>
      <c r="C12" s="1385" t="s">
        <v>132</v>
      </c>
      <c r="D12" s="1386"/>
      <c r="E12" s="1387"/>
      <c r="F12" s="654" t="s">
        <v>104</v>
      </c>
      <c r="G12" s="56" t="s">
        <v>133</v>
      </c>
      <c r="H12" s="56" t="s">
        <v>134</v>
      </c>
      <c r="I12" s="78" t="s">
        <v>135</v>
      </c>
    </row>
    <row r="13" spans="1:9">
      <c r="A13" s="130">
        <v>88260</v>
      </c>
      <c r="B13" s="8" t="s">
        <v>58</v>
      </c>
      <c r="C13" s="3" t="s">
        <v>185</v>
      </c>
      <c r="D13" s="3"/>
      <c r="E13" s="3"/>
      <c r="F13" s="8" t="s">
        <v>153</v>
      </c>
      <c r="G13" s="8">
        <v>0.1595</v>
      </c>
      <c r="H13" s="214">
        <v>17.170000000000002</v>
      </c>
      <c r="I13" s="202">
        <f>G13*H13</f>
        <v>2.7386150000000002</v>
      </c>
    </row>
    <row r="14" spans="1:9">
      <c r="A14" s="130">
        <v>88316</v>
      </c>
      <c r="B14" s="8" t="s">
        <v>58</v>
      </c>
      <c r="C14" s="3" t="s">
        <v>155</v>
      </c>
      <c r="D14" s="3"/>
      <c r="E14" s="3"/>
      <c r="F14" s="8" t="s">
        <v>153</v>
      </c>
      <c r="G14" s="8">
        <v>0.1595</v>
      </c>
      <c r="H14" s="214">
        <v>13.65</v>
      </c>
      <c r="I14" s="202">
        <f>G14*H14</f>
        <v>2.1771750000000001</v>
      </c>
    </row>
    <row r="15" spans="1:9">
      <c r="A15" s="130"/>
      <c r="B15" s="3"/>
      <c r="C15" s="1478"/>
      <c r="D15" s="1368"/>
      <c r="E15" s="1369"/>
      <c r="F15" s="8"/>
      <c r="G15" s="3"/>
      <c r="H15" s="3"/>
      <c r="I15" s="80"/>
    </row>
    <row r="16" spans="1:9" ht="72.75" customHeight="1">
      <c r="A16" s="130"/>
      <c r="B16" s="3"/>
      <c r="C16" s="1364" t="s">
        <v>886</v>
      </c>
      <c r="D16" s="1365"/>
      <c r="E16" s="1366"/>
      <c r="F16" s="8"/>
      <c r="G16" s="3"/>
      <c r="H16" s="3"/>
      <c r="I16" s="80"/>
    </row>
    <row r="17" spans="1:9">
      <c r="A17" s="1376" t="s">
        <v>139</v>
      </c>
      <c r="B17" s="1377"/>
      <c r="C17" s="1377"/>
      <c r="D17" s="1377"/>
      <c r="E17" s="1377"/>
      <c r="F17" s="1377"/>
      <c r="G17" s="1377"/>
      <c r="H17" s="1378"/>
      <c r="I17" s="188">
        <f>SUM(I13:I14)</f>
        <v>4.9157900000000003</v>
      </c>
    </row>
    <row r="18" spans="1:9">
      <c r="A18" s="1379"/>
      <c r="B18" s="1380"/>
      <c r="C18" s="1380"/>
      <c r="D18" s="1380"/>
      <c r="E18" s="1380"/>
      <c r="F18" s="1380"/>
      <c r="G18" s="1380"/>
      <c r="H18" s="1380"/>
      <c r="I18" s="1381"/>
    </row>
    <row r="19" spans="1:9">
      <c r="A19" s="1382" t="s">
        <v>160</v>
      </c>
      <c r="B19" s="1383"/>
      <c r="C19" s="1383"/>
      <c r="D19" s="1383"/>
      <c r="E19" s="1383"/>
      <c r="F19" s="1383"/>
      <c r="G19" s="1383"/>
      <c r="H19" s="1383"/>
      <c r="I19" s="1384"/>
    </row>
    <row r="20" spans="1:9">
      <c r="A20" s="82" t="s">
        <v>130</v>
      </c>
      <c r="B20" s="56" t="s">
        <v>131</v>
      </c>
      <c r="C20" s="1385" t="s">
        <v>132</v>
      </c>
      <c r="D20" s="1386"/>
      <c r="E20" s="1387"/>
      <c r="F20" s="654" t="s">
        <v>104</v>
      </c>
      <c r="G20" s="56" t="s">
        <v>133</v>
      </c>
      <c r="H20" s="56" t="s">
        <v>134</v>
      </c>
      <c r="I20" s="78" t="s">
        <v>135</v>
      </c>
    </row>
    <row r="21" spans="1:9" ht="74.25" customHeight="1">
      <c r="A21" s="130" t="s">
        <v>161</v>
      </c>
      <c r="B21" s="8" t="s">
        <v>162</v>
      </c>
      <c r="C21" s="1367" t="s">
        <v>887</v>
      </c>
      <c r="D21" s="1430"/>
      <c r="E21" s="1431"/>
      <c r="F21" s="8" t="s">
        <v>57</v>
      </c>
      <c r="G21" s="597">
        <v>1</v>
      </c>
      <c r="H21" s="205">
        <v>58.92</v>
      </c>
      <c r="I21" s="203">
        <f>G21*H21</f>
        <v>58.92</v>
      </c>
    </row>
    <row r="22" spans="1:9" ht="31.5" customHeight="1">
      <c r="A22" s="130">
        <v>370</v>
      </c>
      <c r="B22" s="8" t="s">
        <v>58</v>
      </c>
      <c r="C22" s="1367" t="s">
        <v>188</v>
      </c>
      <c r="D22" s="1430"/>
      <c r="E22" s="1431"/>
      <c r="F22" s="8" t="s">
        <v>103</v>
      </c>
      <c r="G22" s="8">
        <v>0.05</v>
      </c>
      <c r="H22" s="205">
        <v>31.08</v>
      </c>
      <c r="I22" s="203">
        <f>G22*H22</f>
        <v>1.554</v>
      </c>
    </row>
    <row r="23" spans="1:9" ht="27.75" customHeight="1">
      <c r="A23" s="130">
        <v>4741</v>
      </c>
      <c r="B23" s="8" t="s">
        <v>58</v>
      </c>
      <c r="C23" s="1367" t="s">
        <v>189</v>
      </c>
      <c r="D23" s="1430"/>
      <c r="E23" s="1431"/>
      <c r="F23" s="8" t="s">
        <v>103</v>
      </c>
      <c r="G23" s="8">
        <v>0.1</v>
      </c>
      <c r="H23" s="205">
        <v>58.53</v>
      </c>
      <c r="I23" s="203">
        <f>G23*H23</f>
        <v>5.8530000000000006</v>
      </c>
    </row>
    <row r="24" spans="1:9">
      <c r="A24" s="130"/>
      <c r="B24" s="3"/>
      <c r="C24" s="1478"/>
      <c r="D24" s="1368"/>
      <c r="E24" s="1369"/>
      <c r="F24" s="8"/>
      <c r="G24" s="3"/>
      <c r="H24" s="3"/>
      <c r="I24" s="80"/>
    </row>
    <row r="25" spans="1:9">
      <c r="A25" s="130"/>
      <c r="B25" s="3"/>
      <c r="C25" s="1478"/>
      <c r="D25" s="1368"/>
      <c r="E25" s="1369"/>
      <c r="F25" s="8"/>
      <c r="G25" s="3"/>
      <c r="H25" s="3"/>
      <c r="I25" s="80"/>
    </row>
    <row r="26" spans="1:9">
      <c r="A26" s="1376" t="s">
        <v>137</v>
      </c>
      <c r="B26" s="1377"/>
      <c r="C26" s="1377"/>
      <c r="D26" s="1377"/>
      <c r="E26" s="1377"/>
      <c r="F26" s="1377"/>
      <c r="G26" s="1377"/>
      <c r="H26" s="1378"/>
      <c r="I26" s="188">
        <f>SUM(I21:I23)</f>
        <v>66.326999999999998</v>
      </c>
    </row>
    <row r="27" spans="1:9">
      <c r="A27" s="1379"/>
      <c r="B27" s="1380"/>
      <c r="C27" s="1380"/>
      <c r="D27" s="1380"/>
      <c r="E27" s="1380"/>
      <c r="F27" s="1380"/>
      <c r="G27" s="1380"/>
      <c r="H27" s="1380"/>
      <c r="I27" s="1381"/>
    </row>
    <row r="28" spans="1:9">
      <c r="A28" s="1382" t="s">
        <v>140</v>
      </c>
      <c r="B28" s="1383"/>
      <c r="C28" s="1383"/>
      <c r="D28" s="1383"/>
      <c r="E28" s="1383"/>
      <c r="F28" s="1383"/>
      <c r="G28" s="1383"/>
      <c r="H28" s="1383"/>
      <c r="I28" s="1384"/>
    </row>
    <row r="29" spans="1:9">
      <c r="A29" s="82" t="s">
        <v>130</v>
      </c>
      <c r="B29" s="654" t="s">
        <v>131</v>
      </c>
      <c r="C29" s="1427" t="s">
        <v>132</v>
      </c>
      <c r="D29" s="1428"/>
      <c r="E29" s="1429"/>
      <c r="F29" s="654" t="s">
        <v>104</v>
      </c>
      <c r="G29" s="654" t="s">
        <v>133</v>
      </c>
      <c r="H29" s="654" t="s">
        <v>134</v>
      </c>
      <c r="I29" s="83" t="s">
        <v>135</v>
      </c>
    </row>
    <row r="30" spans="1:9" ht="57.75" customHeight="1">
      <c r="A30" s="130">
        <v>91277</v>
      </c>
      <c r="B30" s="8" t="s">
        <v>58</v>
      </c>
      <c r="C30" s="1367" t="s">
        <v>190</v>
      </c>
      <c r="D30" s="1430"/>
      <c r="E30" s="1431"/>
      <c r="F30" s="8" t="s">
        <v>191</v>
      </c>
      <c r="G30" s="8">
        <v>4.1000000000000003E-3</v>
      </c>
      <c r="H30" s="205">
        <v>4.7</v>
      </c>
      <c r="I30" s="203">
        <f>G30*H30</f>
        <v>1.9270000000000002E-2</v>
      </c>
    </row>
    <row r="31" spans="1:9" ht="54.75" customHeight="1">
      <c r="A31" s="130">
        <v>91278</v>
      </c>
      <c r="B31" s="8" t="s">
        <v>58</v>
      </c>
      <c r="C31" s="1373" t="s">
        <v>192</v>
      </c>
      <c r="D31" s="1388"/>
      <c r="E31" s="1389"/>
      <c r="F31" s="8" t="s">
        <v>193</v>
      </c>
      <c r="G31" s="8">
        <v>7.5700000000000003E-2</v>
      </c>
      <c r="H31" s="205">
        <v>0.54</v>
      </c>
      <c r="I31" s="203">
        <f>G31*H31</f>
        <v>4.0878000000000005E-2</v>
      </c>
    </row>
    <row r="32" spans="1:9" ht="73.5" customHeight="1">
      <c r="A32" s="130">
        <v>91283</v>
      </c>
      <c r="B32" s="8" t="s">
        <v>58</v>
      </c>
      <c r="C32" s="1367" t="s">
        <v>194</v>
      </c>
      <c r="D32" s="1430"/>
      <c r="E32" s="1431"/>
      <c r="F32" s="8" t="s">
        <v>191</v>
      </c>
      <c r="G32" s="8">
        <v>3.7000000000000002E-3</v>
      </c>
      <c r="H32" s="205">
        <v>10.07</v>
      </c>
      <c r="I32" s="203">
        <f>G32*H32</f>
        <v>3.7259E-2</v>
      </c>
    </row>
    <row r="33" spans="1:9" ht="75" customHeight="1">
      <c r="A33" s="130">
        <v>91285</v>
      </c>
      <c r="B33" s="8" t="s">
        <v>58</v>
      </c>
      <c r="C33" s="1367" t="s">
        <v>195</v>
      </c>
      <c r="D33" s="1430"/>
      <c r="E33" s="1431"/>
      <c r="F33" s="8" t="s">
        <v>193</v>
      </c>
      <c r="G33" s="8">
        <v>7.5999999999999998E-2</v>
      </c>
      <c r="H33" s="205">
        <v>0.68</v>
      </c>
      <c r="I33" s="203">
        <f>G33*H33</f>
        <v>5.1680000000000004E-2</v>
      </c>
    </row>
    <row r="34" spans="1:9">
      <c r="A34" s="130"/>
      <c r="B34" s="8"/>
      <c r="C34" s="1364"/>
      <c r="D34" s="1365"/>
      <c r="E34" s="1366"/>
      <c r="F34" s="8"/>
      <c r="G34" s="8"/>
      <c r="H34" s="205"/>
      <c r="I34" s="203"/>
    </row>
    <row r="35" spans="1:9">
      <c r="A35" s="81"/>
      <c r="B35" s="3"/>
      <c r="C35" s="1478"/>
      <c r="D35" s="1368"/>
      <c r="E35" s="1369"/>
      <c r="F35" s="3"/>
      <c r="G35" s="3"/>
      <c r="H35" s="3"/>
      <c r="I35" s="80"/>
    </row>
    <row r="36" spans="1:9">
      <c r="A36" s="1376" t="s">
        <v>196</v>
      </c>
      <c r="B36" s="1377"/>
      <c r="C36" s="1377"/>
      <c r="D36" s="1377"/>
      <c r="E36" s="1377"/>
      <c r="F36" s="1377"/>
      <c r="G36" s="1377"/>
      <c r="H36" s="1378"/>
      <c r="I36" s="188">
        <f>SUM(I30:I33)</f>
        <v>0.14908700000000003</v>
      </c>
    </row>
    <row r="37" spans="1:9">
      <c r="A37" s="1379"/>
      <c r="B37" s="1380"/>
      <c r="C37" s="1380"/>
      <c r="D37" s="1380"/>
      <c r="E37" s="1380"/>
      <c r="F37" s="1380"/>
      <c r="G37" s="1380"/>
      <c r="H37" s="1380"/>
      <c r="I37" s="1381"/>
    </row>
    <row r="38" spans="1:9">
      <c r="A38" s="1382" t="s">
        <v>141</v>
      </c>
      <c r="B38" s="1383"/>
      <c r="C38" s="1383"/>
      <c r="D38" s="1383"/>
      <c r="E38" s="1383"/>
      <c r="F38" s="1383"/>
      <c r="G38" s="1383"/>
      <c r="H38" s="1383"/>
      <c r="I38" s="1384"/>
    </row>
    <row r="39" spans="1:9">
      <c r="A39" s="1413" t="s">
        <v>142</v>
      </c>
      <c r="B39" s="1414"/>
      <c r="C39" s="1414"/>
      <c r="D39" s="1414"/>
      <c r="E39" s="1414"/>
      <c r="F39" s="1414"/>
      <c r="G39" s="1414"/>
      <c r="H39" s="1415"/>
      <c r="I39" s="188">
        <f>I17</f>
        <v>4.9157900000000003</v>
      </c>
    </row>
    <row r="40" spans="1:9">
      <c r="A40" s="1413" t="s">
        <v>163</v>
      </c>
      <c r="B40" s="1414"/>
      <c r="C40" s="1414"/>
      <c r="D40" s="1414"/>
      <c r="E40" s="1414"/>
      <c r="F40" s="1414"/>
      <c r="G40" s="1414"/>
      <c r="H40" s="1415"/>
      <c r="I40" s="188">
        <f>I26</f>
        <v>66.326999999999998</v>
      </c>
    </row>
    <row r="41" spans="1:9">
      <c r="A41" s="1413" t="s">
        <v>196</v>
      </c>
      <c r="B41" s="1414"/>
      <c r="C41" s="1414"/>
      <c r="D41" s="1414"/>
      <c r="E41" s="1414"/>
      <c r="F41" s="1414"/>
      <c r="G41" s="1414"/>
      <c r="H41" s="1415"/>
      <c r="I41" s="188">
        <f>I36</f>
        <v>0.14908700000000003</v>
      </c>
    </row>
    <row r="42" spans="1:9">
      <c r="A42" s="1413" t="s">
        <v>391</v>
      </c>
      <c r="B42" s="1414"/>
      <c r="C42" s="1414"/>
      <c r="D42" s="1414"/>
      <c r="E42" s="1414"/>
      <c r="F42" s="1414"/>
      <c r="G42" s="1414"/>
      <c r="H42" s="1415"/>
      <c r="I42" s="80"/>
    </row>
    <row r="43" spans="1:9">
      <c r="A43" s="1413" t="s">
        <v>392</v>
      </c>
      <c r="B43" s="1414"/>
      <c r="C43" s="1414"/>
      <c r="D43" s="1414"/>
      <c r="E43" s="1414"/>
      <c r="F43" s="1414"/>
      <c r="G43" s="1414"/>
      <c r="H43" s="1415"/>
      <c r="I43" s="188">
        <f>SUM(I39:I41)</f>
        <v>71.391876999999994</v>
      </c>
    </row>
    <row r="44" spans="1:9">
      <c r="A44" s="1413" t="s">
        <v>393</v>
      </c>
      <c r="B44" s="1414"/>
      <c r="C44" s="1414"/>
      <c r="D44" s="1414"/>
      <c r="E44" s="1414"/>
      <c r="F44" s="1414"/>
      <c r="G44" s="1414"/>
      <c r="H44" s="1415"/>
      <c r="I44" s="188">
        <f>I43*26.54%</f>
        <v>18.947404155799997</v>
      </c>
    </row>
    <row r="45" spans="1:9">
      <c r="A45" s="1408" t="s">
        <v>144</v>
      </c>
      <c r="B45" s="1409"/>
      <c r="C45" s="1409"/>
      <c r="D45" s="1409"/>
      <c r="E45" s="1409"/>
      <c r="F45" s="1409"/>
      <c r="G45" s="1409"/>
      <c r="H45" s="1409"/>
      <c r="I45" s="189">
        <f>I43+I44</f>
        <v>90.339281155799995</v>
      </c>
    </row>
    <row r="46" spans="1:9" ht="15.75" thickBot="1">
      <c r="A46" s="1410"/>
      <c r="B46" s="1411"/>
      <c r="C46" s="1411"/>
      <c r="D46" s="1411"/>
      <c r="E46" s="1411"/>
      <c r="F46" s="1411"/>
      <c r="G46" s="1411"/>
      <c r="H46" s="1411"/>
      <c r="I46" s="1412"/>
    </row>
  </sheetData>
  <mergeCells count="41">
    <mergeCell ref="C15:E15"/>
    <mergeCell ref="A1:H3"/>
    <mergeCell ref="C4:F4"/>
    <mergeCell ref="I4:I5"/>
    <mergeCell ref="C5:F5"/>
    <mergeCell ref="A6:H7"/>
    <mergeCell ref="B8:I8"/>
    <mergeCell ref="B9:I9"/>
    <mergeCell ref="A11:I11"/>
    <mergeCell ref="C12:E12"/>
    <mergeCell ref="A27:I27"/>
    <mergeCell ref="C16:E16"/>
    <mergeCell ref="A17:H17"/>
    <mergeCell ref="A18:I18"/>
    <mergeCell ref="A19:I19"/>
    <mergeCell ref="C20:E20"/>
    <mergeCell ref="C21:E21"/>
    <mergeCell ref="C22:E22"/>
    <mergeCell ref="C23:E23"/>
    <mergeCell ref="C24:E24"/>
    <mergeCell ref="C25:E25"/>
    <mergeCell ref="A26:H26"/>
    <mergeCell ref="A39:H39"/>
    <mergeCell ref="A28:I28"/>
    <mergeCell ref="C29:E29"/>
    <mergeCell ref="C30:E30"/>
    <mergeCell ref="C31:E31"/>
    <mergeCell ref="C32:E32"/>
    <mergeCell ref="C33:E33"/>
    <mergeCell ref="C35:E35"/>
    <mergeCell ref="A36:H36"/>
    <mergeCell ref="A37:I37"/>
    <mergeCell ref="A38:I38"/>
    <mergeCell ref="C34:E34"/>
    <mergeCell ref="A46:I46"/>
    <mergeCell ref="A40:H40"/>
    <mergeCell ref="A42:H42"/>
    <mergeCell ref="A43:H43"/>
    <mergeCell ref="A41:H41"/>
    <mergeCell ref="A44:H44"/>
    <mergeCell ref="A45:H45"/>
  </mergeCells>
  <pageMargins left="0.9055118110236221" right="0.51181102362204722" top="0.78740157480314965" bottom="0.78740157480314965" header="0.31496062992125984" footer="0.31496062992125984"/>
  <pageSetup paperSize="9" scale="68" fitToWidth="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T164"/>
  <sheetViews>
    <sheetView view="pageBreakPreview" topLeftCell="A43" zoomScaleNormal="100" zoomScaleSheetLayoutView="100" workbookViewId="0">
      <selection activeCell="A138" sqref="A138:C138"/>
    </sheetView>
  </sheetViews>
  <sheetFormatPr defaultRowHeight="15"/>
  <cols>
    <col min="1" max="1" width="9.85546875" customWidth="1"/>
    <col min="2" max="2" width="9.140625" customWidth="1"/>
    <col min="3" max="3" width="30.28515625" customWidth="1"/>
    <col min="4" max="4" width="11" customWidth="1"/>
    <col min="5" max="5" width="13.85546875" customWidth="1"/>
    <col min="7" max="7" width="19.140625" customWidth="1"/>
    <col min="8" max="8" width="10.5703125" bestFit="1" customWidth="1"/>
    <col min="9" max="9" width="15.710937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957</v>
      </c>
    </row>
    <row r="8" spans="1:9" ht="60" customHeight="1">
      <c r="A8" s="73" t="s">
        <v>128</v>
      </c>
      <c r="B8" s="1395" t="s">
        <v>1070</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61"/>
      <c r="D10" s="61"/>
      <c r="E10" s="61"/>
      <c r="F10" s="60"/>
      <c r="G10" s="62"/>
      <c r="H10" s="63"/>
      <c r="I10" s="76"/>
    </row>
    <row r="11" spans="1:9">
      <c r="A11" s="1382" t="s">
        <v>138</v>
      </c>
      <c r="B11" s="1383"/>
      <c r="C11" s="1383"/>
      <c r="D11" s="1383"/>
      <c r="E11" s="1383"/>
      <c r="F11" s="1383"/>
      <c r="G11" s="1383"/>
      <c r="H11" s="1383"/>
      <c r="I11" s="1384"/>
    </row>
    <row r="12" spans="1:9">
      <c r="A12" s="77" t="s">
        <v>130</v>
      </c>
      <c r="B12" s="56" t="s">
        <v>131</v>
      </c>
      <c r="C12" s="1385" t="s">
        <v>132</v>
      </c>
      <c r="D12" s="1386"/>
      <c r="E12" s="1387"/>
      <c r="F12" s="56" t="s">
        <v>104</v>
      </c>
      <c r="G12" s="56" t="s">
        <v>133</v>
      </c>
      <c r="H12" s="56" t="s">
        <v>134</v>
      </c>
      <c r="I12" s="78" t="s">
        <v>135</v>
      </c>
    </row>
    <row r="13" spans="1:9">
      <c r="A13" s="1067" t="s">
        <v>1180</v>
      </c>
      <c r="B13" s="630" t="s">
        <v>56</v>
      </c>
      <c r="C13" s="1478" t="s">
        <v>1179</v>
      </c>
      <c r="D13" s="1368"/>
      <c r="E13" s="1369"/>
      <c r="F13" s="4" t="s">
        <v>153</v>
      </c>
      <c r="G13" s="1069">
        <f>0.45*(G21+G22+G23)</f>
        <v>0.80640000000000023</v>
      </c>
      <c r="H13" s="213">
        <v>10.78</v>
      </c>
      <c r="I13" s="631">
        <f>G13*H13</f>
        <v>8.6929920000000021</v>
      </c>
    </row>
    <row r="14" spans="1:9">
      <c r="A14" s="79">
        <v>88273</v>
      </c>
      <c r="B14" s="4" t="s">
        <v>58</v>
      </c>
      <c r="C14" s="1478" t="s">
        <v>405</v>
      </c>
      <c r="D14" s="1368"/>
      <c r="E14" s="1369"/>
      <c r="F14" s="4" t="s">
        <v>153</v>
      </c>
      <c r="G14" s="222">
        <f>1.8*5.41</f>
        <v>9.7380000000000013</v>
      </c>
      <c r="H14" s="213">
        <v>19.399999999999999</v>
      </c>
      <c r="I14" s="188">
        <f>G14*H14</f>
        <v>188.91720000000001</v>
      </c>
    </row>
    <row r="15" spans="1:9">
      <c r="A15" s="79">
        <v>88243</v>
      </c>
      <c r="B15" s="140" t="s">
        <v>58</v>
      </c>
      <c r="C15" s="1367" t="s">
        <v>406</v>
      </c>
      <c r="D15" s="1430"/>
      <c r="E15" s="1431"/>
      <c r="F15" s="137" t="s">
        <v>153</v>
      </c>
      <c r="G15" s="222">
        <f>1.5*5.41</f>
        <v>8.1150000000000002</v>
      </c>
      <c r="H15" s="213">
        <v>16.25</v>
      </c>
      <c r="I15" s="188">
        <f>G15*H15</f>
        <v>131.86875000000001</v>
      </c>
    </row>
    <row r="16" spans="1:9" ht="137.25" customHeight="1">
      <c r="A16" s="81"/>
      <c r="B16" s="3"/>
      <c r="C16" s="1442" t="s">
        <v>1181</v>
      </c>
      <c r="D16" s="1545"/>
      <c r="E16" s="1546"/>
      <c r="F16" s="3"/>
      <c r="G16" s="223" t="s">
        <v>1185</v>
      </c>
      <c r="H16" s="214"/>
      <c r="I16" s="80"/>
    </row>
    <row r="17" spans="1:20">
      <c r="A17" s="1376" t="s">
        <v>139</v>
      </c>
      <c r="B17" s="1377"/>
      <c r="C17" s="1377"/>
      <c r="D17" s="1377"/>
      <c r="E17" s="1377"/>
      <c r="F17" s="1377"/>
      <c r="G17" s="1377"/>
      <c r="H17" s="1378"/>
      <c r="I17" s="188">
        <f>SUM(I13:I15)</f>
        <v>329.47894200000002</v>
      </c>
    </row>
    <row r="18" spans="1:20">
      <c r="A18" s="1379"/>
      <c r="B18" s="1380"/>
      <c r="C18" s="1380"/>
      <c r="D18" s="1380"/>
      <c r="E18" s="1380"/>
      <c r="F18" s="1380"/>
      <c r="G18" s="1380"/>
      <c r="H18" s="1380"/>
      <c r="I18" s="1381"/>
    </row>
    <row r="19" spans="1:20">
      <c r="A19" s="1382" t="s">
        <v>160</v>
      </c>
      <c r="B19" s="1383"/>
      <c r="C19" s="1383"/>
      <c r="D19" s="1383"/>
      <c r="E19" s="1383"/>
      <c r="F19" s="1383"/>
      <c r="G19" s="1383"/>
      <c r="H19" s="1383"/>
      <c r="I19" s="1384"/>
    </row>
    <row r="20" spans="1:20">
      <c r="A20" s="77" t="s">
        <v>130</v>
      </c>
      <c r="B20" s="56" t="s">
        <v>131</v>
      </c>
      <c r="C20" s="1385" t="s">
        <v>132</v>
      </c>
      <c r="D20" s="1386"/>
      <c r="E20" s="1387"/>
      <c r="F20" s="56" t="s">
        <v>104</v>
      </c>
      <c r="G20" s="56" t="s">
        <v>133</v>
      </c>
      <c r="H20" s="56" t="s">
        <v>134</v>
      </c>
      <c r="I20" s="78" t="s">
        <v>135</v>
      </c>
    </row>
    <row r="21" spans="1:20" ht="30.75" customHeight="1">
      <c r="A21" s="718">
        <v>6081</v>
      </c>
      <c r="B21" s="141" t="s">
        <v>58</v>
      </c>
      <c r="C21" s="1552" t="s">
        <v>394</v>
      </c>
      <c r="D21" s="1532"/>
      <c r="E21" s="1533"/>
      <c r="F21" s="131" t="s">
        <v>103</v>
      </c>
      <c r="G21" s="136">
        <f>I60</f>
        <v>1.0240000000000002</v>
      </c>
      <c r="H21" s="206">
        <v>28.48</v>
      </c>
      <c r="I21" s="134">
        <f t="shared" ref="I21:I23" si="0">ROUND(G21*H21,2)</f>
        <v>29.16</v>
      </c>
    </row>
    <row r="22" spans="1:20" ht="32.25" customHeight="1">
      <c r="A22" s="718">
        <v>367</v>
      </c>
      <c r="B22" s="141" t="s">
        <v>58</v>
      </c>
      <c r="C22" s="1552" t="s">
        <v>390</v>
      </c>
      <c r="D22" s="1532"/>
      <c r="E22" s="1533"/>
      <c r="F22" s="131" t="s">
        <v>103</v>
      </c>
      <c r="G22" s="136">
        <f>I63</f>
        <v>0.38400000000000006</v>
      </c>
      <c r="H22" s="206">
        <v>59.81</v>
      </c>
      <c r="I22" s="134">
        <f t="shared" si="0"/>
        <v>22.97</v>
      </c>
    </row>
    <row r="23" spans="1:20" ht="30" customHeight="1">
      <c r="A23" s="718">
        <v>4718</v>
      </c>
      <c r="B23" s="141" t="s">
        <v>58</v>
      </c>
      <c r="C23" s="1552" t="s">
        <v>225</v>
      </c>
      <c r="D23" s="1532"/>
      <c r="E23" s="1533"/>
      <c r="F23" s="131" t="s">
        <v>103</v>
      </c>
      <c r="G23" s="136">
        <f>I66</f>
        <v>0.38400000000000006</v>
      </c>
      <c r="H23" s="206">
        <v>61.32</v>
      </c>
      <c r="I23" s="134">
        <f t="shared" si="0"/>
        <v>23.55</v>
      </c>
    </row>
    <row r="24" spans="1:20" ht="30.75" customHeight="1">
      <c r="A24" s="718">
        <v>93358</v>
      </c>
      <c r="B24" s="141" t="s">
        <v>58</v>
      </c>
      <c r="C24" s="1552" t="s">
        <v>118</v>
      </c>
      <c r="D24" s="1532"/>
      <c r="E24" s="1533"/>
      <c r="F24" s="131" t="s">
        <v>103</v>
      </c>
      <c r="G24" s="132">
        <f>I72</f>
        <v>0.57774999999999999</v>
      </c>
      <c r="H24" s="215">
        <v>53.99</v>
      </c>
      <c r="I24" s="134">
        <f>ROUND(G24*H24,2)</f>
        <v>31.19</v>
      </c>
      <c r="K24" s="191"/>
      <c r="L24" s="87"/>
      <c r="M24" s="87"/>
      <c r="N24" s="87"/>
      <c r="O24" s="191"/>
      <c r="P24" s="87"/>
      <c r="Q24" s="87"/>
      <c r="R24" s="87"/>
    </row>
    <row r="25" spans="1:20" ht="30" customHeight="1">
      <c r="A25" s="718">
        <v>96616</v>
      </c>
      <c r="B25" s="141" t="s">
        <v>58</v>
      </c>
      <c r="C25" s="1550" t="s">
        <v>290</v>
      </c>
      <c r="D25" s="1524"/>
      <c r="E25" s="1525"/>
      <c r="F25" s="131" t="s">
        <v>103</v>
      </c>
      <c r="G25" s="136">
        <f>I75</f>
        <v>8.0000000000000016E-2</v>
      </c>
      <c r="H25" s="206">
        <v>370.85</v>
      </c>
      <c r="I25" s="134">
        <f>ROUND(G25*H25,2)</f>
        <v>29.67</v>
      </c>
      <c r="K25" s="191"/>
      <c r="L25" s="87"/>
      <c r="M25" s="87"/>
      <c r="N25" s="508"/>
      <c r="O25" s="1043"/>
      <c r="P25" s="87"/>
      <c r="Q25" s="87"/>
      <c r="R25" s="87"/>
    </row>
    <row r="26" spans="1:20" ht="30" customHeight="1">
      <c r="A26" s="1432">
        <v>94965</v>
      </c>
      <c r="B26" s="1434" t="s">
        <v>58</v>
      </c>
      <c r="C26" s="1421" t="s">
        <v>882</v>
      </c>
      <c r="D26" s="1422"/>
      <c r="E26" s="1423"/>
      <c r="F26" s="1436" t="s">
        <v>103</v>
      </c>
      <c r="G26" s="1543">
        <f>I80</f>
        <v>0.17774999999999996</v>
      </c>
      <c r="H26" s="1440">
        <v>262.73</v>
      </c>
      <c r="I26" s="1541">
        <f>ROUND(G26*H26,2)</f>
        <v>46.7</v>
      </c>
      <c r="K26" s="191"/>
      <c r="L26" s="87"/>
      <c r="M26" s="87"/>
    </row>
    <row r="27" spans="1:20" ht="30.75" customHeight="1">
      <c r="A27" s="1433"/>
      <c r="B27" s="1435"/>
      <c r="C27" s="1424" t="s">
        <v>921</v>
      </c>
      <c r="D27" s="1425"/>
      <c r="E27" s="1426"/>
      <c r="F27" s="1437"/>
      <c r="G27" s="1544"/>
      <c r="H27" s="1441"/>
      <c r="I27" s="1542"/>
    </row>
    <row r="28" spans="1:20" ht="61.5" customHeight="1">
      <c r="A28" s="719">
        <v>87894</v>
      </c>
      <c r="B28" s="140" t="s">
        <v>58</v>
      </c>
      <c r="C28" s="1367" t="s">
        <v>366</v>
      </c>
      <c r="D28" s="1430"/>
      <c r="E28" s="1431"/>
      <c r="F28" s="140" t="s">
        <v>57</v>
      </c>
      <c r="G28" s="139">
        <f>H86</f>
        <v>15.28</v>
      </c>
      <c r="H28" s="206">
        <v>4.47</v>
      </c>
      <c r="I28" s="134">
        <f t="shared" ref="I28:I31" si="1">ROUND(G28*H28,2)</f>
        <v>68.3</v>
      </c>
      <c r="K28" s="1044"/>
      <c r="L28" s="87"/>
      <c r="M28" s="87"/>
    </row>
    <row r="29" spans="1:20" ht="47.25" customHeight="1">
      <c r="A29" s="719">
        <v>120303</v>
      </c>
      <c r="B29" s="140" t="s">
        <v>56</v>
      </c>
      <c r="C29" s="1367" t="s">
        <v>367</v>
      </c>
      <c r="D29" s="1430"/>
      <c r="E29" s="1431"/>
      <c r="F29" s="140" t="s">
        <v>57</v>
      </c>
      <c r="G29" s="139">
        <f>H89</f>
        <v>15.28</v>
      </c>
      <c r="H29" s="206">
        <v>36.29</v>
      </c>
      <c r="I29" s="134">
        <f t="shared" si="1"/>
        <v>554.51</v>
      </c>
      <c r="K29" s="87"/>
      <c r="L29" s="87"/>
      <c r="M29" s="87"/>
      <c r="P29" s="87"/>
      <c r="Q29" s="87"/>
      <c r="R29" s="87"/>
      <c r="S29" s="87"/>
      <c r="T29" s="87"/>
    </row>
    <row r="30" spans="1:20" ht="33" customHeight="1">
      <c r="A30" s="719">
        <v>100203</v>
      </c>
      <c r="B30" s="140" t="s">
        <v>56</v>
      </c>
      <c r="C30" s="1367" t="s">
        <v>398</v>
      </c>
      <c r="D30" s="1430"/>
      <c r="E30" s="1431"/>
      <c r="F30" s="140" t="s">
        <v>57</v>
      </c>
      <c r="G30" s="597">
        <f>H92</f>
        <v>6.08</v>
      </c>
      <c r="H30" s="206">
        <v>30.69</v>
      </c>
      <c r="I30" s="134">
        <f t="shared" si="1"/>
        <v>186.6</v>
      </c>
      <c r="K30" s="191"/>
      <c r="L30" s="87"/>
      <c r="M30" s="87"/>
      <c r="P30" s="87"/>
      <c r="Q30" s="87"/>
      <c r="R30" s="191"/>
      <c r="S30" s="87"/>
      <c r="T30" s="87"/>
    </row>
    <row r="31" spans="1:20" ht="17.25" customHeight="1">
      <c r="A31" s="192" t="s">
        <v>396</v>
      </c>
      <c r="B31" s="140" t="s">
        <v>58</v>
      </c>
      <c r="C31" s="1478" t="s">
        <v>403</v>
      </c>
      <c r="D31" s="1368"/>
      <c r="E31" s="1369"/>
      <c r="F31" s="140" t="s">
        <v>57</v>
      </c>
      <c r="G31" s="139">
        <f>H95+H96</f>
        <v>9.1999999999999993</v>
      </c>
      <c r="H31" s="206">
        <v>16.82</v>
      </c>
      <c r="I31" s="134">
        <f t="shared" si="1"/>
        <v>154.74</v>
      </c>
      <c r="K31" s="87"/>
      <c r="L31" s="87"/>
      <c r="M31" s="87"/>
      <c r="P31" s="87"/>
      <c r="Q31" s="87"/>
      <c r="R31" s="87"/>
      <c r="S31" s="191"/>
      <c r="T31" s="87"/>
    </row>
    <row r="32" spans="1:20" ht="30.75" customHeight="1">
      <c r="A32" s="1018">
        <v>20213</v>
      </c>
      <c r="B32" s="1017" t="s">
        <v>58</v>
      </c>
      <c r="C32" s="1367" t="s">
        <v>935</v>
      </c>
      <c r="D32" s="1368"/>
      <c r="E32" s="1369"/>
      <c r="F32" s="1019" t="s">
        <v>105</v>
      </c>
      <c r="G32" s="1020">
        <f>G106</f>
        <v>23.919999999999995</v>
      </c>
      <c r="H32" s="1021">
        <v>17.21</v>
      </c>
      <c r="I32" s="1022">
        <f>ROUND(G32*H32,2)</f>
        <v>411.66</v>
      </c>
      <c r="K32" s="87"/>
      <c r="L32" s="87"/>
      <c r="M32" s="87"/>
      <c r="P32" s="87"/>
      <c r="Q32" s="87"/>
      <c r="R32" s="87"/>
      <c r="S32" s="191"/>
      <c r="T32" s="87"/>
    </row>
    <row r="33" spans="1:20" ht="30.75" customHeight="1">
      <c r="A33" s="720">
        <v>20204</v>
      </c>
      <c r="B33" s="140" t="s">
        <v>58</v>
      </c>
      <c r="C33" s="1540" t="s">
        <v>919</v>
      </c>
      <c r="D33" s="1511"/>
      <c r="E33" s="1512"/>
      <c r="F33" s="137" t="s">
        <v>105</v>
      </c>
      <c r="G33" s="139">
        <f>G114</f>
        <v>26.2</v>
      </c>
      <c r="H33" s="206">
        <v>60.14</v>
      </c>
      <c r="I33" s="134">
        <f>ROUND(G33*H33,2)</f>
        <v>1575.67</v>
      </c>
      <c r="K33" s="87"/>
      <c r="L33" s="87"/>
      <c r="M33" s="87"/>
      <c r="P33" s="87"/>
      <c r="Q33" s="87"/>
      <c r="R33" s="191"/>
      <c r="S33" s="87"/>
      <c r="T33" s="87"/>
    </row>
    <row r="34" spans="1:20" ht="30" customHeight="1">
      <c r="A34" s="719">
        <v>40839</v>
      </c>
      <c r="B34" s="140" t="s">
        <v>58</v>
      </c>
      <c r="C34" s="1550" t="s">
        <v>920</v>
      </c>
      <c r="D34" s="1508"/>
      <c r="E34" s="1509"/>
      <c r="F34" s="140" t="s">
        <v>231</v>
      </c>
      <c r="G34" s="138">
        <v>0.72</v>
      </c>
      <c r="H34" s="135">
        <v>31.38</v>
      </c>
      <c r="I34" s="134">
        <f>ROUND(G34*H34,2)</f>
        <v>22.59</v>
      </c>
      <c r="K34" s="191"/>
      <c r="L34" s="87"/>
      <c r="M34" s="87"/>
      <c r="P34" s="87"/>
      <c r="Q34" s="87"/>
      <c r="R34" s="87"/>
      <c r="S34" s="87"/>
      <c r="T34" s="87"/>
    </row>
    <row r="35" spans="1:20">
      <c r="A35" s="221">
        <v>79466</v>
      </c>
      <c r="B35" s="209" t="s">
        <v>58</v>
      </c>
      <c r="C35" s="1503" t="s">
        <v>404</v>
      </c>
      <c r="D35" s="1503"/>
      <c r="E35" s="1503"/>
      <c r="F35" s="209" t="s">
        <v>57</v>
      </c>
      <c r="G35" s="138">
        <f>H133</f>
        <v>25.655200000000004</v>
      </c>
      <c r="H35" s="206">
        <v>15.74</v>
      </c>
      <c r="I35" s="134">
        <f>ROUND(G35*H35,2)</f>
        <v>403.81</v>
      </c>
      <c r="K35" s="87"/>
      <c r="L35" s="87"/>
      <c r="M35" s="87"/>
      <c r="P35" s="87"/>
      <c r="Q35" s="87"/>
      <c r="R35" s="87"/>
      <c r="S35" s="87"/>
      <c r="T35" s="87"/>
    </row>
    <row r="36" spans="1:20" ht="60.75" customHeight="1">
      <c r="A36" s="719">
        <v>89483</v>
      </c>
      <c r="B36" s="140" t="s">
        <v>58</v>
      </c>
      <c r="C36" s="1551" t="s">
        <v>912</v>
      </c>
      <c r="D36" s="1499"/>
      <c r="E36" s="1500"/>
      <c r="F36" s="140" t="s">
        <v>57</v>
      </c>
      <c r="G36" s="138">
        <f>H138</f>
        <v>8.2799999999999994</v>
      </c>
      <c r="H36" s="206">
        <v>77.430000000000007</v>
      </c>
      <c r="I36" s="134">
        <f>G36*H36</f>
        <v>641.12040000000002</v>
      </c>
      <c r="K36" s="191"/>
      <c r="L36" s="87"/>
      <c r="M36" s="87"/>
      <c r="P36" s="87"/>
      <c r="Q36" s="87"/>
      <c r="R36" s="191"/>
      <c r="S36" s="87"/>
      <c r="T36" s="87"/>
    </row>
    <row r="37" spans="1:20">
      <c r="A37" s="720"/>
      <c r="B37" s="140"/>
      <c r="C37" s="1540"/>
      <c r="D37" s="1511"/>
      <c r="E37" s="1512"/>
      <c r="F37" s="137"/>
      <c r="G37" s="139"/>
      <c r="H37" s="135"/>
      <c r="I37" s="134"/>
      <c r="K37" s="191"/>
      <c r="L37" s="87"/>
      <c r="M37" s="87"/>
      <c r="P37" s="87"/>
      <c r="Q37" s="87"/>
      <c r="R37" s="87"/>
      <c r="S37" s="87"/>
      <c r="T37" s="1066"/>
    </row>
    <row r="38" spans="1:20">
      <c r="A38" s="1376" t="s">
        <v>137</v>
      </c>
      <c r="B38" s="1377"/>
      <c r="C38" s="1377"/>
      <c r="D38" s="1377"/>
      <c r="E38" s="1377"/>
      <c r="F38" s="1377"/>
      <c r="G38" s="1377"/>
      <c r="H38" s="1378"/>
      <c r="I38" s="188">
        <f>SUM(I21:I36)</f>
        <v>4202.2404000000006</v>
      </c>
      <c r="K38" s="87"/>
      <c r="L38" s="87"/>
      <c r="M38" s="87"/>
      <c r="P38" s="87"/>
      <c r="Q38" s="87"/>
      <c r="R38" s="87"/>
      <c r="S38" s="87"/>
      <c r="T38" s="87"/>
    </row>
    <row r="39" spans="1:20">
      <c r="A39" s="1379"/>
      <c r="B39" s="1380"/>
      <c r="C39" s="1380"/>
      <c r="D39" s="1380"/>
      <c r="E39" s="1380"/>
      <c r="F39" s="1380"/>
      <c r="G39" s="1380"/>
      <c r="H39" s="1380"/>
      <c r="I39" s="1381"/>
      <c r="K39" s="191"/>
      <c r="L39" s="87"/>
      <c r="M39" s="87"/>
    </row>
    <row r="40" spans="1:20">
      <c r="A40" s="1382" t="s">
        <v>140</v>
      </c>
      <c r="B40" s="1383"/>
      <c r="C40" s="1383"/>
      <c r="D40" s="1383"/>
      <c r="E40" s="1383"/>
      <c r="F40" s="1383"/>
      <c r="G40" s="1383"/>
      <c r="H40" s="1383"/>
      <c r="I40" s="1384"/>
      <c r="K40" s="1040"/>
      <c r="L40" s="191"/>
      <c r="M40" s="87"/>
    </row>
    <row r="41" spans="1:20">
      <c r="A41" s="82" t="s">
        <v>130</v>
      </c>
      <c r="B41" s="654" t="s">
        <v>131</v>
      </c>
      <c r="C41" s="1427" t="s">
        <v>132</v>
      </c>
      <c r="D41" s="1428"/>
      <c r="E41" s="1429"/>
      <c r="F41" s="654" t="s">
        <v>104</v>
      </c>
      <c r="G41" s="654" t="s">
        <v>133</v>
      </c>
      <c r="H41" s="654" t="s">
        <v>134</v>
      </c>
      <c r="I41" s="83" t="s">
        <v>135</v>
      </c>
      <c r="K41" s="87"/>
      <c r="L41" s="87"/>
      <c r="M41" s="87"/>
    </row>
    <row r="42" spans="1:20">
      <c r="A42" s="79"/>
      <c r="B42" s="4"/>
      <c r="C42" s="1478"/>
      <c r="D42" s="1368"/>
      <c r="E42" s="1369"/>
      <c r="F42" s="4"/>
      <c r="G42" s="4"/>
      <c r="H42" s="4"/>
      <c r="I42" s="80"/>
      <c r="K42" s="191"/>
      <c r="L42" s="87"/>
      <c r="M42" s="87"/>
    </row>
    <row r="43" spans="1:20">
      <c r="A43" s="81"/>
      <c r="B43" s="3"/>
      <c r="C43" s="1478"/>
      <c r="D43" s="1368"/>
      <c r="E43" s="1369"/>
      <c r="F43" s="3"/>
      <c r="G43" s="3"/>
      <c r="H43" s="3"/>
      <c r="I43" s="80"/>
      <c r="K43" s="87"/>
      <c r="L43" s="87"/>
      <c r="M43" s="87"/>
    </row>
    <row r="44" spans="1:20">
      <c r="A44" s="81"/>
      <c r="B44" s="3"/>
      <c r="C44" s="1478"/>
      <c r="D44" s="1368"/>
      <c r="E44" s="1369"/>
      <c r="F44" s="3"/>
      <c r="G44" s="3"/>
      <c r="H44" s="3"/>
      <c r="I44" s="80"/>
      <c r="K44" s="191"/>
      <c r="L44" s="87"/>
      <c r="M44" s="87"/>
    </row>
    <row r="45" spans="1:20">
      <c r="A45" s="1376" t="s">
        <v>196</v>
      </c>
      <c r="B45" s="1377"/>
      <c r="C45" s="1377"/>
      <c r="D45" s="1377"/>
      <c r="E45" s="1377"/>
      <c r="F45" s="1377"/>
      <c r="G45" s="1377"/>
      <c r="H45" s="1378"/>
      <c r="I45" s="80"/>
      <c r="K45" s="87"/>
      <c r="L45" s="191"/>
      <c r="M45" s="87"/>
    </row>
    <row r="46" spans="1:20">
      <c r="A46" s="1379"/>
      <c r="B46" s="1380"/>
      <c r="C46" s="1380"/>
      <c r="D46" s="1380"/>
      <c r="E46" s="1380"/>
      <c r="F46" s="1380"/>
      <c r="G46" s="1380"/>
      <c r="H46" s="1380"/>
      <c r="I46" s="1381"/>
      <c r="K46" s="87"/>
      <c r="L46" s="87"/>
      <c r="M46" s="87"/>
    </row>
    <row r="47" spans="1:20">
      <c r="A47" s="1382" t="s">
        <v>141</v>
      </c>
      <c r="B47" s="1383"/>
      <c r="C47" s="1383"/>
      <c r="D47" s="1383"/>
      <c r="E47" s="1383"/>
      <c r="F47" s="1383"/>
      <c r="G47" s="1383"/>
      <c r="H47" s="1383"/>
      <c r="I47" s="1384"/>
      <c r="K47" s="191"/>
      <c r="L47" s="87"/>
      <c r="M47" s="87"/>
    </row>
    <row r="48" spans="1:20">
      <c r="A48" s="1413" t="s">
        <v>142</v>
      </c>
      <c r="B48" s="1414"/>
      <c r="C48" s="1414"/>
      <c r="D48" s="1414"/>
      <c r="E48" s="1414"/>
      <c r="F48" s="1414"/>
      <c r="G48" s="1414"/>
      <c r="H48" s="1415"/>
      <c r="I48" s="188">
        <f>I17</f>
        <v>329.47894200000002</v>
      </c>
      <c r="K48" s="87"/>
      <c r="L48" s="87"/>
      <c r="M48" s="87"/>
    </row>
    <row r="49" spans="1:13">
      <c r="A49" s="1413" t="s">
        <v>163</v>
      </c>
      <c r="B49" s="1414"/>
      <c r="C49" s="1414"/>
      <c r="D49" s="1414"/>
      <c r="E49" s="1414"/>
      <c r="F49" s="1414"/>
      <c r="G49" s="1414"/>
      <c r="H49" s="1415"/>
      <c r="I49" s="188">
        <f>I38</f>
        <v>4202.2404000000006</v>
      </c>
      <c r="K49" s="87"/>
      <c r="L49" s="87"/>
      <c r="M49" s="87"/>
    </row>
    <row r="50" spans="1:13">
      <c r="A50" s="1413" t="s">
        <v>196</v>
      </c>
      <c r="B50" s="1414"/>
      <c r="C50" s="1414"/>
      <c r="D50" s="1414"/>
      <c r="E50" s="1414"/>
      <c r="F50" s="1414"/>
      <c r="G50" s="1414"/>
      <c r="H50" s="1415"/>
      <c r="I50" s="188"/>
      <c r="K50" s="87"/>
      <c r="L50" s="87"/>
      <c r="M50" s="87"/>
    </row>
    <row r="51" spans="1:13">
      <c r="A51" s="1413" t="s">
        <v>391</v>
      </c>
      <c r="B51" s="1414"/>
      <c r="C51" s="1414"/>
      <c r="D51" s="1414"/>
      <c r="E51" s="1414"/>
      <c r="F51" s="1414"/>
      <c r="G51" s="1414"/>
      <c r="H51" s="1415"/>
      <c r="I51" s="80"/>
      <c r="K51" s="191"/>
      <c r="L51" s="87"/>
      <c r="M51" s="87"/>
    </row>
    <row r="52" spans="1:13">
      <c r="A52" s="1413" t="s">
        <v>392</v>
      </c>
      <c r="B52" s="1414"/>
      <c r="C52" s="1414"/>
      <c r="D52" s="1414"/>
      <c r="E52" s="1414"/>
      <c r="F52" s="1414"/>
      <c r="G52" s="1414"/>
      <c r="H52" s="1415"/>
      <c r="I52" s="188">
        <f>I48+I49</f>
        <v>4531.7193420000003</v>
      </c>
      <c r="K52" s="87"/>
      <c r="L52" s="87"/>
      <c r="M52" s="87"/>
    </row>
    <row r="53" spans="1:13">
      <c r="A53" s="1413" t="s">
        <v>393</v>
      </c>
      <c r="B53" s="1414"/>
      <c r="C53" s="1414"/>
      <c r="D53" s="1414"/>
      <c r="E53" s="1414"/>
      <c r="F53" s="1414"/>
      <c r="G53" s="1414"/>
      <c r="H53" s="1415"/>
      <c r="I53" s="188">
        <f>I52*26.54%</f>
        <v>1202.7183133668</v>
      </c>
    </row>
    <row r="54" spans="1:13">
      <c r="A54" s="1408" t="s">
        <v>144</v>
      </c>
      <c r="B54" s="1409"/>
      <c r="C54" s="1409"/>
      <c r="D54" s="1409"/>
      <c r="E54" s="1409"/>
      <c r="F54" s="1409"/>
      <c r="G54" s="1409"/>
      <c r="H54" s="1409"/>
      <c r="I54" s="189">
        <f>I52+I53</f>
        <v>5734.4376553668008</v>
      </c>
    </row>
    <row r="55" spans="1:13" ht="15.75" thickBot="1">
      <c r="A55" s="1410"/>
      <c r="B55" s="1411"/>
      <c r="C55" s="1411"/>
      <c r="D55" s="1411"/>
      <c r="E55" s="1411"/>
      <c r="F55" s="1411"/>
      <c r="G55" s="1411"/>
      <c r="H55" s="1411"/>
      <c r="I55" s="1412"/>
    </row>
    <row r="56" spans="1:13" ht="50.25" customHeight="1" thickBot="1">
      <c r="A56" s="1501"/>
      <c r="B56" s="1501"/>
      <c r="C56" s="1501"/>
      <c r="D56" s="1501"/>
      <c r="E56" s="1501"/>
      <c r="F56" s="1501"/>
      <c r="G56" s="1501"/>
      <c r="H56" s="1501"/>
      <c r="I56" s="1501"/>
    </row>
    <row r="57" spans="1:13" ht="15.75" thickBot="1">
      <c r="A57" s="1127"/>
      <c r="B57" s="1128"/>
      <c r="C57" s="1128"/>
      <c r="D57" s="1128"/>
      <c r="E57" s="1128"/>
      <c r="F57" s="1128"/>
      <c r="G57" s="1128"/>
      <c r="H57" s="1128"/>
      <c r="I57" s="1129"/>
    </row>
    <row r="58" spans="1:13" ht="15.75" thickBot="1">
      <c r="A58" s="1537" t="s">
        <v>1159</v>
      </c>
      <c r="B58" s="1538"/>
      <c r="C58" s="1538"/>
      <c r="D58" s="1538"/>
      <c r="E58" s="1538"/>
      <c r="F58" s="1538"/>
      <c r="G58" s="1538"/>
      <c r="H58" s="1538"/>
      <c r="I58" s="1539"/>
    </row>
    <row r="59" spans="1:13" ht="31.5" customHeight="1">
      <c r="A59" s="1534" t="s">
        <v>394</v>
      </c>
      <c r="B59" s="1535"/>
      <c r="C59" s="1536"/>
      <c r="D59" s="1049" t="s">
        <v>1158</v>
      </c>
      <c r="E59" s="1049" t="s">
        <v>788</v>
      </c>
      <c r="F59" s="1049" t="s">
        <v>787</v>
      </c>
      <c r="G59" s="1049" t="s">
        <v>789</v>
      </c>
      <c r="H59" s="1049" t="s">
        <v>1154</v>
      </c>
      <c r="I59" s="1130" t="s">
        <v>1153</v>
      </c>
    </row>
    <row r="60" spans="1:13">
      <c r="A60" s="1492" t="s">
        <v>1160</v>
      </c>
      <c r="B60" s="1493"/>
      <c r="C60" s="1493"/>
      <c r="D60" s="515"/>
      <c r="E60" s="1031">
        <v>1.6</v>
      </c>
      <c r="F60" s="515">
        <v>1.6</v>
      </c>
      <c r="G60" s="1032">
        <v>0.4</v>
      </c>
      <c r="H60" s="1027"/>
      <c r="I60" s="1131">
        <f>E60*F60*G60</f>
        <v>1.0240000000000002</v>
      </c>
    </row>
    <row r="61" spans="1:13">
      <c r="A61" s="1529"/>
      <c r="B61" s="1530"/>
      <c r="C61" s="1530"/>
      <c r="D61" s="1024"/>
      <c r="E61" s="1024"/>
      <c r="F61" s="1024"/>
      <c r="G61" s="1025"/>
      <c r="H61" s="1026"/>
      <c r="I61" s="1132"/>
    </row>
    <row r="62" spans="1:13" ht="27" customHeight="1">
      <c r="A62" s="1531" t="s">
        <v>390</v>
      </c>
      <c r="B62" s="1532"/>
      <c r="C62" s="1533"/>
      <c r="D62" s="910" t="s">
        <v>1158</v>
      </c>
      <c r="E62" s="910" t="s">
        <v>788</v>
      </c>
      <c r="F62" s="910" t="s">
        <v>787</v>
      </c>
      <c r="G62" s="910" t="s">
        <v>789</v>
      </c>
      <c r="H62" s="910" t="s">
        <v>1154</v>
      </c>
      <c r="I62" s="1133" t="s">
        <v>1153</v>
      </c>
    </row>
    <row r="63" spans="1:13">
      <c r="A63" s="1527"/>
      <c r="B63" s="1528"/>
      <c r="C63" s="1528"/>
      <c r="D63" s="515"/>
      <c r="E63" s="1031">
        <v>1.6</v>
      </c>
      <c r="F63" s="515">
        <v>1.6</v>
      </c>
      <c r="G63" s="1095">
        <v>0.15</v>
      </c>
      <c r="H63" s="1027"/>
      <c r="I63" s="1131">
        <f>E63*F63*G63</f>
        <v>0.38400000000000006</v>
      </c>
    </row>
    <row r="64" spans="1:13">
      <c r="A64" s="1529"/>
      <c r="B64" s="1530"/>
      <c r="C64" s="1530"/>
      <c r="D64" s="1024"/>
      <c r="E64" s="1024"/>
      <c r="F64" s="1024"/>
      <c r="G64" s="1025"/>
      <c r="H64" s="1026"/>
      <c r="I64" s="1132"/>
    </row>
    <row r="65" spans="1:9" ht="31.5" customHeight="1">
      <c r="A65" s="1531" t="s">
        <v>225</v>
      </c>
      <c r="B65" s="1532"/>
      <c r="C65" s="1533"/>
      <c r="D65" s="910" t="s">
        <v>1158</v>
      </c>
      <c r="E65" s="910" t="s">
        <v>788</v>
      </c>
      <c r="F65" s="910" t="s">
        <v>787</v>
      </c>
      <c r="G65" s="910" t="s">
        <v>789</v>
      </c>
      <c r="H65" s="910" t="s">
        <v>1154</v>
      </c>
      <c r="I65" s="1133" t="s">
        <v>1153</v>
      </c>
    </row>
    <row r="66" spans="1:9">
      <c r="A66" s="1527"/>
      <c r="B66" s="1528"/>
      <c r="C66" s="1528"/>
      <c r="D66" s="515"/>
      <c r="E66" s="1031">
        <v>1.6</v>
      </c>
      <c r="F66" s="515">
        <v>1.6</v>
      </c>
      <c r="G66" s="1095">
        <v>0.15</v>
      </c>
      <c r="H66" s="1027"/>
      <c r="I66" s="1131">
        <f>E66*F66*G66</f>
        <v>0.38400000000000006</v>
      </c>
    </row>
    <row r="67" spans="1:9">
      <c r="A67" s="1529"/>
      <c r="B67" s="1530"/>
      <c r="C67" s="1530"/>
      <c r="D67" s="1024"/>
      <c r="E67" s="1024"/>
      <c r="F67" s="1024"/>
      <c r="G67" s="1025"/>
      <c r="H67" s="1026"/>
      <c r="I67" s="1132"/>
    </row>
    <row r="68" spans="1:9" ht="29.25" customHeight="1">
      <c r="A68" s="1531" t="s">
        <v>118</v>
      </c>
      <c r="B68" s="1532"/>
      <c r="C68" s="1533"/>
      <c r="D68" s="910" t="s">
        <v>1158</v>
      </c>
      <c r="E68" s="910" t="s">
        <v>788</v>
      </c>
      <c r="F68" s="910" t="s">
        <v>787</v>
      </c>
      <c r="G68" s="910" t="s">
        <v>789</v>
      </c>
      <c r="H68" s="910" t="s">
        <v>1154</v>
      </c>
      <c r="I68" s="83" t="s">
        <v>1153</v>
      </c>
    </row>
    <row r="69" spans="1:9">
      <c r="A69" s="1492" t="s">
        <v>1155</v>
      </c>
      <c r="B69" s="1493"/>
      <c r="C69" s="1493"/>
      <c r="D69" s="515">
        <v>1</v>
      </c>
      <c r="E69" s="1031">
        <v>0.25</v>
      </c>
      <c r="F69" s="515">
        <f>2*4</f>
        <v>8</v>
      </c>
      <c r="G69" s="1095">
        <v>0.2</v>
      </c>
      <c r="H69" s="1027"/>
      <c r="I69" s="1131">
        <f>E69*F69*G69</f>
        <v>0.4</v>
      </c>
    </row>
    <row r="70" spans="1:9">
      <c r="A70" s="1480" t="s">
        <v>1156</v>
      </c>
      <c r="B70" s="1481"/>
      <c r="C70" s="1482"/>
      <c r="D70" s="1035">
        <v>12</v>
      </c>
      <c r="E70" s="1035">
        <v>0.5</v>
      </c>
      <c r="F70" s="1037">
        <v>0.15</v>
      </c>
      <c r="G70" s="1037">
        <v>0.15</v>
      </c>
      <c r="H70" s="1028"/>
      <c r="I70" s="1134">
        <f>D70*E70*F70*G70</f>
        <v>0.13499999999999998</v>
      </c>
    </row>
    <row r="71" spans="1:9">
      <c r="A71" s="1483" t="s">
        <v>1157</v>
      </c>
      <c r="B71" s="1484"/>
      <c r="C71" s="1485"/>
      <c r="D71" s="530">
        <v>2</v>
      </c>
      <c r="E71" s="1038">
        <v>0.95</v>
      </c>
      <c r="F71" s="558">
        <v>0.15</v>
      </c>
      <c r="G71" s="1029">
        <v>0.15</v>
      </c>
      <c r="H71" s="1036"/>
      <c r="I71" s="1135">
        <f>D71*E71*F71*G71</f>
        <v>4.2749999999999996E-2</v>
      </c>
    </row>
    <row r="72" spans="1:9">
      <c r="A72" s="1521"/>
      <c r="B72" s="1522"/>
      <c r="C72" s="1523"/>
      <c r="D72" s="1035"/>
      <c r="E72" s="1035"/>
      <c r="F72" s="1037"/>
      <c r="G72" s="1037"/>
      <c r="H72" s="1237" t="s">
        <v>1005</v>
      </c>
      <c r="I72" s="1238">
        <f>SUM(I69:I71)</f>
        <v>0.57774999999999999</v>
      </c>
    </row>
    <row r="73" spans="1:9">
      <c r="A73" s="1513"/>
      <c r="B73" s="1514"/>
      <c r="C73" s="1515"/>
      <c r="D73" s="530"/>
      <c r="E73" s="1038"/>
      <c r="F73" s="558"/>
      <c r="G73" s="1029"/>
      <c r="H73" s="1036"/>
      <c r="I73" s="1135"/>
    </row>
    <row r="74" spans="1:9" ht="30.75" customHeight="1">
      <c r="A74" s="1507" t="s">
        <v>290</v>
      </c>
      <c r="B74" s="1524"/>
      <c r="C74" s="1525"/>
      <c r="D74" s="910" t="s">
        <v>1158</v>
      </c>
      <c r="E74" s="910" t="s">
        <v>788</v>
      </c>
      <c r="F74" s="910" t="s">
        <v>787</v>
      </c>
      <c r="G74" s="910" t="s">
        <v>789</v>
      </c>
      <c r="H74" s="910" t="s">
        <v>1154</v>
      </c>
      <c r="I74" s="83" t="s">
        <v>1153</v>
      </c>
    </row>
    <row r="75" spans="1:9">
      <c r="A75" s="1492" t="s">
        <v>1155</v>
      </c>
      <c r="B75" s="1493"/>
      <c r="C75" s="1494"/>
      <c r="D75" s="515">
        <v>1</v>
      </c>
      <c r="E75" s="1031">
        <v>0.2</v>
      </c>
      <c r="F75" s="515">
        <f>2*4</f>
        <v>8</v>
      </c>
      <c r="G75" s="1095">
        <v>0.05</v>
      </c>
      <c r="H75" s="1027"/>
      <c r="I75" s="1131">
        <f>D75*E75*F75*G75</f>
        <v>8.0000000000000016E-2</v>
      </c>
    </row>
    <row r="76" spans="1:9">
      <c r="A76" s="1521"/>
      <c r="B76" s="1522"/>
      <c r="C76" s="1523"/>
      <c r="D76" s="1035"/>
      <c r="E76" s="1035"/>
      <c r="F76" s="1037"/>
      <c r="G76" s="1037"/>
      <c r="H76" s="1028"/>
      <c r="I76" s="1134"/>
    </row>
    <row r="77" spans="1:9" ht="44.25" customHeight="1">
      <c r="A77" s="1526" t="s">
        <v>882</v>
      </c>
      <c r="B77" s="1422"/>
      <c r="C77" s="1423"/>
      <c r="D77" s="910" t="s">
        <v>1158</v>
      </c>
      <c r="E77" s="910" t="s">
        <v>788</v>
      </c>
      <c r="F77" s="910" t="s">
        <v>787</v>
      </c>
      <c r="G77" s="910" t="s">
        <v>789</v>
      </c>
      <c r="H77" s="910" t="s">
        <v>1154</v>
      </c>
      <c r="I77" s="83" t="s">
        <v>1153</v>
      </c>
    </row>
    <row r="78" spans="1:9">
      <c r="A78" s="1480" t="s">
        <v>1156</v>
      </c>
      <c r="B78" s="1481"/>
      <c r="C78" s="1482"/>
      <c r="D78" s="1035">
        <v>12</v>
      </c>
      <c r="E78" s="1035">
        <v>0.5</v>
      </c>
      <c r="F78" s="1037">
        <v>0.15</v>
      </c>
      <c r="G78" s="1037">
        <v>0.15</v>
      </c>
      <c r="H78" s="1028"/>
      <c r="I78" s="1134">
        <f>D78*E78*F78*G78</f>
        <v>0.13499999999999998</v>
      </c>
    </row>
    <row r="79" spans="1:9">
      <c r="A79" s="1483" t="s">
        <v>1157</v>
      </c>
      <c r="B79" s="1484"/>
      <c r="C79" s="1485"/>
      <c r="D79" s="530">
        <v>2</v>
      </c>
      <c r="E79" s="1038">
        <v>0.95</v>
      </c>
      <c r="F79" s="558">
        <v>0.15</v>
      </c>
      <c r="G79" s="1029">
        <v>0.15</v>
      </c>
      <c r="H79" s="1036"/>
      <c r="I79" s="1135">
        <f>D79*E79*F79*G79</f>
        <v>4.2749999999999996E-2</v>
      </c>
    </row>
    <row r="80" spans="1:9">
      <c r="A80" s="1521"/>
      <c r="B80" s="1522"/>
      <c r="C80" s="1523"/>
      <c r="D80" s="1035"/>
      <c r="E80" s="1035"/>
      <c r="F80" s="1037"/>
      <c r="G80" s="1037"/>
      <c r="H80" s="1237" t="s">
        <v>1005</v>
      </c>
      <c r="I80" s="1238">
        <f>SUM(I78:I79)</f>
        <v>0.17774999999999996</v>
      </c>
    </row>
    <row r="81" spans="1:9">
      <c r="A81" s="1513"/>
      <c r="B81" s="1514"/>
      <c r="C81" s="1515"/>
      <c r="D81" s="530"/>
      <c r="E81" s="1038"/>
      <c r="F81" s="558"/>
      <c r="G81" s="1029"/>
      <c r="H81" s="1036"/>
      <c r="I81" s="1135"/>
    </row>
    <row r="82" spans="1:9" ht="60.75" customHeight="1">
      <c r="A82" s="1517" t="s">
        <v>366</v>
      </c>
      <c r="B82" s="1430"/>
      <c r="C82" s="1431"/>
      <c r="D82" s="910" t="s">
        <v>1158</v>
      </c>
      <c r="E82" s="910" t="s">
        <v>788</v>
      </c>
      <c r="F82" s="910" t="s">
        <v>787</v>
      </c>
      <c r="G82" s="910" t="s">
        <v>789</v>
      </c>
      <c r="H82" s="910" t="s">
        <v>1154</v>
      </c>
      <c r="I82" s="83" t="s">
        <v>1153</v>
      </c>
    </row>
    <row r="83" spans="1:9">
      <c r="A83" s="1480" t="s">
        <v>1161</v>
      </c>
      <c r="B83" s="1481"/>
      <c r="C83" s="1482"/>
      <c r="D83" s="1035">
        <v>4</v>
      </c>
      <c r="E83" s="1035"/>
      <c r="F83" s="530">
        <v>2</v>
      </c>
      <c r="G83" s="1037">
        <v>0.95</v>
      </c>
      <c r="H83" s="1045">
        <f>D83*F83*G83</f>
        <v>7.6</v>
      </c>
      <c r="I83" s="1134"/>
    </row>
    <row r="84" spans="1:9">
      <c r="A84" s="1483" t="s">
        <v>1162</v>
      </c>
      <c r="B84" s="1484"/>
      <c r="C84" s="1485"/>
      <c r="D84" s="530">
        <v>4</v>
      </c>
      <c r="E84" s="1038"/>
      <c r="F84" s="558">
        <v>1.6</v>
      </c>
      <c r="G84" s="1029">
        <v>0.95</v>
      </c>
      <c r="H84" s="1045">
        <f>D84*F84*G84</f>
        <v>6.08</v>
      </c>
      <c r="I84" s="1135"/>
    </row>
    <row r="85" spans="1:9">
      <c r="A85" s="1480" t="s">
        <v>1163</v>
      </c>
      <c r="B85" s="1481"/>
      <c r="C85" s="1482"/>
      <c r="D85" s="1035">
        <v>1</v>
      </c>
      <c r="E85" s="1035">
        <v>0.2</v>
      </c>
      <c r="F85" s="530">
        <f>2*4</f>
        <v>8</v>
      </c>
      <c r="G85" s="1037"/>
      <c r="H85" s="1045">
        <f>D85*E85*F85</f>
        <v>1.6</v>
      </c>
      <c r="I85" s="1136"/>
    </row>
    <row r="86" spans="1:9">
      <c r="A86" s="1513"/>
      <c r="B86" s="1514"/>
      <c r="C86" s="1515"/>
      <c r="D86" s="530"/>
      <c r="E86" s="530"/>
      <c r="F86" s="558"/>
      <c r="G86" s="1236" t="s">
        <v>1005</v>
      </c>
      <c r="H86" s="1234">
        <f>SUM(H83:H85)</f>
        <v>15.28</v>
      </c>
      <c r="I86" s="1135"/>
    </row>
    <row r="87" spans="1:9">
      <c r="A87" s="1513"/>
      <c r="B87" s="1514"/>
      <c r="C87" s="1515"/>
      <c r="D87" s="530"/>
      <c r="E87" s="530"/>
      <c r="F87" s="558"/>
      <c r="G87" s="1029"/>
      <c r="H87" s="1036"/>
      <c r="I87" s="1135"/>
    </row>
    <row r="88" spans="1:9" ht="48" customHeight="1">
      <c r="A88" s="1517" t="s">
        <v>367</v>
      </c>
      <c r="B88" s="1430"/>
      <c r="C88" s="1431"/>
      <c r="D88" s="910" t="s">
        <v>1158</v>
      </c>
      <c r="E88" s="910" t="s">
        <v>788</v>
      </c>
      <c r="F88" s="910" t="s">
        <v>787</v>
      </c>
      <c r="G88" s="910" t="s">
        <v>789</v>
      </c>
      <c r="H88" s="910" t="s">
        <v>1154</v>
      </c>
      <c r="I88" s="83" t="s">
        <v>1153</v>
      </c>
    </row>
    <row r="89" spans="1:9">
      <c r="A89" s="1480" t="s">
        <v>1164</v>
      </c>
      <c r="B89" s="1481"/>
      <c r="C89" s="1482"/>
      <c r="D89" s="1035"/>
      <c r="E89" s="1035"/>
      <c r="F89" s="530"/>
      <c r="G89" s="1037"/>
      <c r="H89" s="1039">
        <f>H86</f>
        <v>15.28</v>
      </c>
      <c r="I89" s="1134"/>
    </row>
    <row r="90" spans="1:9">
      <c r="A90" s="1483"/>
      <c r="B90" s="1484"/>
      <c r="C90" s="1485"/>
      <c r="D90" s="530"/>
      <c r="E90" s="1038"/>
      <c r="F90" s="558"/>
      <c r="G90" s="1029"/>
      <c r="H90" s="1045"/>
      <c r="I90" s="1135"/>
    </row>
    <row r="91" spans="1:9" ht="30" customHeight="1">
      <c r="A91" s="1517" t="s">
        <v>398</v>
      </c>
      <c r="B91" s="1430"/>
      <c r="C91" s="1431"/>
      <c r="D91" s="910" t="s">
        <v>1158</v>
      </c>
      <c r="E91" s="910" t="s">
        <v>788</v>
      </c>
      <c r="F91" s="910" t="s">
        <v>787</v>
      </c>
      <c r="G91" s="910" t="s">
        <v>789</v>
      </c>
      <c r="H91" s="910" t="s">
        <v>1154</v>
      </c>
      <c r="I91" s="83" t="s">
        <v>1153</v>
      </c>
    </row>
    <row r="92" spans="1:9" ht="30.75" customHeight="1">
      <c r="A92" s="1518" t="s">
        <v>1165</v>
      </c>
      <c r="B92" s="1519"/>
      <c r="C92" s="1520"/>
      <c r="D92" s="1045">
        <v>4</v>
      </c>
      <c r="E92" s="1045"/>
      <c r="F92" s="490">
        <v>1.6</v>
      </c>
      <c r="G92" s="1046">
        <v>0.95</v>
      </c>
      <c r="H92" s="1045">
        <f>D92*F92*G92</f>
        <v>6.08</v>
      </c>
      <c r="I92" s="1134"/>
    </row>
    <row r="93" spans="1:9">
      <c r="A93" s="1483"/>
      <c r="B93" s="1484"/>
      <c r="C93" s="1485"/>
      <c r="D93" s="530"/>
      <c r="E93" s="1038"/>
      <c r="F93" s="558"/>
      <c r="G93" s="1029"/>
      <c r="H93" s="1045"/>
      <c r="I93" s="1135"/>
    </row>
    <row r="94" spans="1:9">
      <c r="A94" s="1516" t="s">
        <v>403</v>
      </c>
      <c r="B94" s="1368"/>
      <c r="C94" s="1369"/>
      <c r="D94" s="910" t="s">
        <v>1158</v>
      </c>
      <c r="E94" s="910" t="s">
        <v>788</v>
      </c>
      <c r="F94" s="910" t="s">
        <v>787</v>
      </c>
      <c r="G94" s="910" t="s">
        <v>789</v>
      </c>
      <c r="H94" s="910" t="s">
        <v>1154</v>
      </c>
      <c r="I94" s="83" t="s">
        <v>1153</v>
      </c>
    </row>
    <row r="95" spans="1:9">
      <c r="A95" s="1483" t="s">
        <v>1166</v>
      </c>
      <c r="B95" s="1484"/>
      <c r="C95" s="1485"/>
      <c r="D95" s="530">
        <v>4</v>
      </c>
      <c r="E95" s="530"/>
      <c r="F95" s="558">
        <v>2</v>
      </c>
      <c r="G95" s="1047">
        <v>0.95</v>
      </c>
      <c r="H95" s="1048">
        <f>D95*F95*G95</f>
        <v>7.6</v>
      </c>
      <c r="I95" s="1135"/>
    </row>
    <row r="96" spans="1:9">
      <c r="A96" s="1480" t="s">
        <v>1163</v>
      </c>
      <c r="B96" s="1481"/>
      <c r="C96" s="1482"/>
      <c r="D96" s="1035">
        <v>1</v>
      </c>
      <c r="E96" s="1035">
        <v>0.2</v>
      </c>
      <c r="F96" s="530">
        <f>2*4</f>
        <v>8</v>
      </c>
      <c r="G96" s="1037"/>
      <c r="H96" s="1045">
        <f>D96*E96*F96</f>
        <v>1.6</v>
      </c>
      <c r="I96" s="1135"/>
    </row>
    <row r="97" spans="1:9">
      <c r="A97" s="1483"/>
      <c r="B97" s="1484"/>
      <c r="C97" s="1485"/>
      <c r="D97" s="530"/>
      <c r="E97" s="1038"/>
      <c r="F97" s="558"/>
      <c r="G97" s="1029"/>
      <c r="H97" s="1045"/>
      <c r="I97" s="1135"/>
    </row>
    <row r="98" spans="1:9" ht="45.75" customHeight="1">
      <c r="A98" s="1517" t="s">
        <v>935</v>
      </c>
      <c r="B98" s="1368"/>
      <c r="C98" s="1369"/>
      <c r="D98" s="910" t="s">
        <v>1158</v>
      </c>
      <c r="E98" s="910" t="s">
        <v>788</v>
      </c>
      <c r="F98" s="910" t="s">
        <v>787</v>
      </c>
      <c r="G98" s="910" t="s">
        <v>789</v>
      </c>
      <c r="H98" s="910" t="s">
        <v>1154</v>
      </c>
      <c r="I98" s="83" t="s">
        <v>1153</v>
      </c>
    </row>
    <row r="99" spans="1:9">
      <c r="A99" s="1483" t="s">
        <v>1174</v>
      </c>
      <c r="B99" s="1484"/>
      <c r="C99" s="1485"/>
      <c r="D99" s="530">
        <v>4</v>
      </c>
      <c r="E99" s="1038"/>
      <c r="F99" s="558">
        <v>0.7</v>
      </c>
      <c r="G99" s="1063">
        <f>D99*F99</f>
        <v>2.8</v>
      </c>
      <c r="H99" s="1045"/>
      <c r="I99" s="1135"/>
    </row>
    <row r="100" spans="1:9">
      <c r="A100" s="1483" t="s">
        <v>1174</v>
      </c>
      <c r="B100" s="1484"/>
      <c r="C100" s="1485"/>
      <c r="D100" s="1035">
        <v>2</v>
      </c>
      <c r="E100" s="1035"/>
      <c r="F100" s="530">
        <v>1.65</v>
      </c>
      <c r="G100" s="1063">
        <f>D100*F100</f>
        <v>3.3</v>
      </c>
      <c r="H100" s="1045"/>
      <c r="I100" s="1134"/>
    </row>
    <row r="101" spans="1:9">
      <c r="A101" s="1480" t="s">
        <v>1174</v>
      </c>
      <c r="B101" s="1481"/>
      <c r="C101" s="1482"/>
      <c r="D101" s="1035">
        <v>3</v>
      </c>
      <c r="E101" s="1035"/>
      <c r="F101" s="1052">
        <v>0.82</v>
      </c>
      <c r="G101" s="1041">
        <f>D101*F101</f>
        <v>2.46</v>
      </c>
      <c r="H101" s="1045"/>
      <c r="I101" s="1134"/>
    </row>
    <row r="102" spans="1:9">
      <c r="A102" s="1492" t="s">
        <v>1173</v>
      </c>
      <c r="B102" s="1493"/>
      <c r="C102" s="1494"/>
      <c r="D102" s="515">
        <v>12</v>
      </c>
      <c r="E102" s="1064"/>
      <c r="F102" s="515">
        <v>0.48</v>
      </c>
      <c r="G102" s="1032">
        <f t="shared" ref="G102:G105" si="2">D102*F102</f>
        <v>5.76</v>
      </c>
      <c r="H102" s="1057"/>
      <c r="I102" s="1137"/>
    </row>
    <row r="103" spans="1:9">
      <c r="A103" s="1489"/>
      <c r="B103" s="1490"/>
      <c r="C103" s="1491"/>
      <c r="D103" s="1033">
        <v>6</v>
      </c>
      <c r="E103" s="1033"/>
      <c r="F103" s="1065">
        <v>0.32</v>
      </c>
      <c r="G103" s="1034">
        <f t="shared" si="2"/>
        <v>1.92</v>
      </c>
      <c r="H103" s="1058"/>
      <c r="I103" s="1132"/>
    </row>
    <row r="104" spans="1:9">
      <c r="A104" s="1492" t="s">
        <v>1172</v>
      </c>
      <c r="B104" s="1493"/>
      <c r="C104" s="1494"/>
      <c r="D104" s="515">
        <v>6</v>
      </c>
      <c r="E104" s="1064"/>
      <c r="F104" s="515">
        <v>0.32</v>
      </c>
      <c r="G104" s="1032">
        <f t="shared" si="2"/>
        <v>1.92</v>
      </c>
      <c r="H104" s="1057"/>
      <c r="I104" s="1137"/>
    </row>
    <row r="105" spans="1:9">
      <c r="A105" s="1489"/>
      <c r="B105" s="1490"/>
      <c r="C105" s="1491"/>
      <c r="D105" s="1033">
        <v>12</v>
      </c>
      <c r="E105" s="1033"/>
      <c r="F105" s="1034">
        <v>0.48</v>
      </c>
      <c r="G105" s="1034">
        <f t="shared" si="2"/>
        <v>5.76</v>
      </c>
      <c r="H105" s="1058"/>
      <c r="I105" s="1138"/>
    </row>
    <row r="106" spans="1:9">
      <c r="A106" s="1486"/>
      <c r="B106" s="1487"/>
      <c r="C106" s="1488"/>
      <c r="D106" s="1053"/>
      <c r="E106" s="1053"/>
      <c r="F106" s="1235" t="s">
        <v>1005</v>
      </c>
      <c r="G106" s="1235">
        <f>SUM(G99:G105)</f>
        <v>23.919999999999995</v>
      </c>
      <c r="H106" s="1054"/>
      <c r="I106" s="1139"/>
    </row>
    <row r="107" spans="1:9">
      <c r="A107" s="1513"/>
      <c r="B107" s="1514"/>
      <c r="C107" s="1515"/>
      <c r="D107" s="530"/>
      <c r="E107" s="530"/>
      <c r="F107" s="558"/>
      <c r="G107" s="1030"/>
      <c r="H107" s="1039"/>
      <c r="I107" s="1135"/>
    </row>
    <row r="108" spans="1:9" ht="45" customHeight="1">
      <c r="A108" s="1510" t="s">
        <v>919</v>
      </c>
      <c r="B108" s="1511"/>
      <c r="C108" s="1512"/>
      <c r="D108" s="910" t="s">
        <v>1158</v>
      </c>
      <c r="E108" s="910" t="s">
        <v>788</v>
      </c>
      <c r="F108" s="910" t="s">
        <v>787</v>
      </c>
      <c r="G108" s="1051" t="s">
        <v>1168</v>
      </c>
      <c r="H108" s="910" t="s">
        <v>1154</v>
      </c>
      <c r="I108" s="83" t="s">
        <v>1153</v>
      </c>
    </row>
    <row r="109" spans="1:9">
      <c r="A109" s="1504" t="s">
        <v>1171</v>
      </c>
      <c r="B109" s="1505"/>
      <c r="C109" s="1506"/>
      <c r="D109" s="1059">
        <v>4</v>
      </c>
      <c r="E109" s="1059"/>
      <c r="F109" s="1060">
        <v>1.7</v>
      </c>
      <c r="G109" s="1060">
        <f>D109*F109</f>
        <v>6.8</v>
      </c>
      <c r="H109" s="1061"/>
      <c r="I109" s="1140"/>
    </row>
    <row r="110" spans="1:9">
      <c r="A110" s="1486" t="s">
        <v>1169</v>
      </c>
      <c r="B110" s="1487"/>
      <c r="C110" s="1488"/>
      <c r="D110" s="558">
        <v>2</v>
      </c>
      <c r="E110" s="1052"/>
      <c r="F110" s="558">
        <v>2.4</v>
      </c>
      <c r="G110" s="558">
        <f t="shared" ref="G110:G113" si="3">D110*F110</f>
        <v>4.8</v>
      </c>
      <c r="H110" s="1054"/>
      <c r="I110" s="1141"/>
    </row>
    <row r="111" spans="1:9">
      <c r="A111" s="1480"/>
      <c r="B111" s="1481"/>
      <c r="C111" s="1482"/>
      <c r="D111" s="1035">
        <v>2</v>
      </c>
      <c r="E111" s="1035"/>
      <c r="F111" s="1052">
        <v>2.6</v>
      </c>
      <c r="G111" s="1038">
        <f t="shared" si="3"/>
        <v>5.2</v>
      </c>
      <c r="H111" s="1045"/>
      <c r="I111" s="1134"/>
    </row>
    <row r="112" spans="1:9">
      <c r="A112" s="1495" t="s">
        <v>1170</v>
      </c>
      <c r="B112" s="1496"/>
      <c r="C112" s="1497"/>
      <c r="D112" s="1056">
        <v>2</v>
      </c>
      <c r="E112" s="1056"/>
      <c r="F112" s="515">
        <v>2.2999999999999998</v>
      </c>
      <c r="G112" s="515">
        <f t="shared" si="3"/>
        <v>4.5999999999999996</v>
      </c>
      <c r="H112" s="1057"/>
      <c r="I112" s="1142"/>
    </row>
    <row r="113" spans="1:9">
      <c r="A113" s="1489"/>
      <c r="B113" s="1490"/>
      <c r="C113" s="1491"/>
      <c r="D113" s="1033">
        <v>2</v>
      </c>
      <c r="E113" s="1033"/>
      <c r="F113" s="1034">
        <v>2.4</v>
      </c>
      <c r="G113" s="1034">
        <f t="shared" si="3"/>
        <v>4.8</v>
      </c>
      <c r="H113" s="1058"/>
      <c r="I113" s="1138"/>
    </row>
    <row r="114" spans="1:9">
      <c r="A114" s="1486"/>
      <c r="B114" s="1487"/>
      <c r="C114" s="1488"/>
      <c r="D114" s="1053"/>
      <c r="E114" s="1053"/>
      <c r="F114" s="1235" t="s">
        <v>1005</v>
      </c>
      <c r="G114" s="1235">
        <f>SUM(G109:G113)</f>
        <v>26.2</v>
      </c>
      <c r="H114" s="1054"/>
      <c r="I114" s="1139"/>
    </row>
    <row r="115" spans="1:9">
      <c r="A115" s="1480"/>
      <c r="B115" s="1481"/>
      <c r="C115" s="1482"/>
      <c r="D115" s="530"/>
      <c r="E115" s="530"/>
      <c r="F115" s="558"/>
      <c r="G115" s="1030"/>
      <c r="H115" s="1039"/>
      <c r="I115" s="1135"/>
    </row>
    <row r="116" spans="1:9" ht="45" customHeight="1">
      <c r="A116" s="1507" t="s">
        <v>920</v>
      </c>
      <c r="B116" s="1508"/>
      <c r="C116" s="1509"/>
      <c r="D116" s="910" t="s">
        <v>1158</v>
      </c>
      <c r="E116" s="910" t="s">
        <v>788</v>
      </c>
      <c r="F116" s="910" t="s">
        <v>787</v>
      </c>
      <c r="G116" s="910" t="s">
        <v>789</v>
      </c>
      <c r="H116" s="910" t="s">
        <v>1154</v>
      </c>
      <c r="I116" s="83" t="s">
        <v>1153</v>
      </c>
    </row>
    <row r="117" spans="1:9">
      <c r="A117" s="1480" t="s">
        <v>1167</v>
      </c>
      <c r="B117" s="1481"/>
      <c r="C117" s="1482"/>
      <c r="D117" s="1035">
        <v>72</v>
      </c>
      <c r="E117" s="1035"/>
      <c r="F117" s="530"/>
      <c r="G117" s="1037"/>
      <c r="H117" s="1045"/>
      <c r="I117" s="1134"/>
    </row>
    <row r="118" spans="1:9">
      <c r="A118" s="1483"/>
      <c r="B118" s="1484"/>
      <c r="C118" s="1485"/>
      <c r="D118" s="530"/>
      <c r="E118" s="1038"/>
      <c r="F118" s="558"/>
      <c r="G118" s="1029"/>
      <c r="H118" s="1045"/>
      <c r="I118" s="1135"/>
    </row>
    <row r="119" spans="1:9">
      <c r="A119" s="1502" t="s">
        <v>404</v>
      </c>
      <c r="B119" s="1503"/>
      <c r="C119" s="1503"/>
      <c r="D119" s="910" t="s">
        <v>1158</v>
      </c>
      <c r="E119" s="910" t="s">
        <v>788</v>
      </c>
      <c r="F119" s="910" t="s">
        <v>787</v>
      </c>
      <c r="G119" s="910" t="s">
        <v>789</v>
      </c>
      <c r="H119" s="910" t="s">
        <v>1154</v>
      </c>
      <c r="I119" s="83" t="s">
        <v>1153</v>
      </c>
    </row>
    <row r="120" spans="1:9">
      <c r="A120" s="1495" t="s">
        <v>1177</v>
      </c>
      <c r="B120" s="1496"/>
      <c r="C120" s="1497"/>
      <c r="D120" s="1056">
        <f>12+12</f>
        <v>24</v>
      </c>
      <c r="E120" s="1056"/>
      <c r="F120" s="515">
        <v>0.48</v>
      </c>
      <c r="G120" s="1023"/>
      <c r="H120" s="1057">
        <f>D120*(0.06*2+0.12*2)*F120</f>
        <v>4.1471999999999998</v>
      </c>
      <c r="I120" s="1142"/>
    </row>
    <row r="121" spans="1:9">
      <c r="A121" s="1483"/>
      <c r="B121" s="1484"/>
      <c r="C121" s="1485"/>
      <c r="D121" s="1035">
        <f>6+6</f>
        <v>12</v>
      </c>
      <c r="E121" s="1035"/>
      <c r="F121" s="558">
        <v>0.32</v>
      </c>
      <c r="G121" s="1029"/>
      <c r="H121" s="1045">
        <f t="shared" ref="H121:H124" si="4">D121*(0.06*2+0.12*2)*F121</f>
        <v>1.3824000000000001</v>
      </c>
      <c r="I121" s="1134"/>
    </row>
    <row r="122" spans="1:9">
      <c r="A122" s="1483"/>
      <c r="B122" s="1484"/>
      <c r="C122" s="1485"/>
      <c r="D122" s="530">
        <v>4</v>
      </c>
      <c r="E122" s="1038"/>
      <c r="F122" s="558">
        <v>0.7</v>
      </c>
      <c r="G122" s="1029"/>
      <c r="H122" s="1045">
        <f t="shared" si="4"/>
        <v>1.008</v>
      </c>
      <c r="I122" s="1134"/>
    </row>
    <row r="123" spans="1:9">
      <c r="A123" s="1483"/>
      <c r="B123" s="1484"/>
      <c r="C123" s="1485"/>
      <c r="D123" s="1035">
        <v>2</v>
      </c>
      <c r="E123" s="1035"/>
      <c r="F123" s="530">
        <v>1.65</v>
      </c>
      <c r="G123" s="1029"/>
      <c r="H123" s="1045">
        <f t="shared" si="4"/>
        <v>1.1879999999999999</v>
      </c>
      <c r="I123" s="1134"/>
    </row>
    <row r="124" spans="1:9">
      <c r="A124" s="1489"/>
      <c r="B124" s="1490"/>
      <c r="C124" s="1491"/>
      <c r="D124" s="1034">
        <v>3</v>
      </c>
      <c r="E124" s="1034"/>
      <c r="F124" s="1065">
        <v>0.82</v>
      </c>
      <c r="G124" s="1098"/>
      <c r="H124" s="1058">
        <f t="shared" si="4"/>
        <v>0.88560000000000005</v>
      </c>
      <c r="I124" s="1132"/>
    </row>
    <row r="125" spans="1:9">
      <c r="A125" s="1486"/>
      <c r="B125" s="1487"/>
      <c r="C125" s="1488"/>
      <c r="D125" s="1053"/>
      <c r="E125" s="1053"/>
      <c r="F125" s="1052"/>
      <c r="G125" s="1042"/>
      <c r="H125" s="1054"/>
      <c r="I125" s="1143"/>
    </row>
    <row r="126" spans="1:9">
      <c r="A126" s="1492" t="s">
        <v>1178</v>
      </c>
      <c r="B126" s="1493"/>
      <c r="C126" s="1494"/>
      <c r="D126" s="1056">
        <v>4</v>
      </c>
      <c r="E126" s="1056"/>
      <c r="F126" s="515">
        <v>1.7</v>
      </c>
      <c r="G126" s="1095"/>
      <c r="H126" s="1057">
        <f>D126*(0.075*2+0.23*2)*F126</f>
        <v>4.1479999999999997</v>
      </c>
      <c r="I126" s="1142"/>
    </row>
    <row r="127" spans="1:9">
      <c r="A127" s="1483"/>
      <c r="B127" s="1484"/>
      <c r="C127" s="1485"/>
      <c r="D127" s="1035">
        <v>4</v>
      </c>
      <c r="E127" s="1035"/>
      <c r="F127" s="558">
        <v>2.4</v>
      </c>
      <c r="G127" s="1029"/>
      <c r="H127" s="1045">
        <f>D127*(0.075*2+0.23*2)*F127</f>
        <v>5.8559999999999999</v>
      </c>
      <c r="I127" s="1134"/>
    </row>
    <row r="128" spans="1:9">
      <c r="A128" s="1483"/>
      <c r="B128" s="1484"/>
      <c r="C128" s="1485"/>
      <c r="D128" s="1035">
        <v>2</v>
      </c>
      <c r="E128" s="1035"/>
      <c r="F128" s="558">
        <v>2.6</v>
      </c>
      <c r="G128" s="1029"/>
      <c r="H128" s="1045">
        <f t="shared" ref="H128" si="5">D128*(0.075*2+0.23*2)*F128</f>
        <v>3.1720000000000002</v>
      </c>
      <c r="I128" s="1134"/>
    </row>
    <row r="129" spans="1:12">
      <c r="A129" s="1483"/>
      <c r="B129" s="1484"/>
      <c r="C129" s="1485"/>
      <c r="D129" s="1035">
        <v>2</v>
      </c>
      <c r="E129" s="1035"/>
      <c r="F129" s="558">
        <v>2.2999999999999998</v>
      </c>
      <c r="G129" s="1029"/>
      <c r="H129" s="1045">
        <f>D129*(0.075*2+0.23*2)*F129</f>
        <v>2.8059999999999996</v>
      </c>
      <c r="I129" s="1134"/>
    </row>
    <row r="130" spans="1:12">
      <c r="A130" s="1483" t="s">
        <v>1182</v>
      </c>
      <c r="B130" s="1484"/>
      <c r="C130" s="1485"/>
      <c r="D130" s="1035">
        <f>SUM(D120:D124)*2</f>
        <v>90</v>
      </c>
      <c r="E130" s="1035">
        <v>0.06</v>
      </c>
      <c r="F130" s="558"/>
      <c r="G130" s="558">
        <v>0.12</v>
      </c>
      <c r="H130" s="1045">
        <f>D130*E130*G130</f>
        <v>0.64799999999999991</v>
      </c>
      <c r="I130" s="1134"/>
    </row>
    <row r="131" spans="1:12">
      <c r="A131" s="1483" t="s">
        <v>1183</v>
      </c>
      <c r="B131" s="1484"/>
      <c r="C131" s="1485"/>
      <c r="D131" s="1035">
        <f>SUM(D126:D129)*2</f>
        <v>24</v>
      </c>
      <c r="E131" s="1068">
        <v>7.4999999999999997E-2</v>
      </c>
      <c r="F131" s="558"/>
      <c r="G131" s="558">
        <v>0.23</v>
      </c>
      <c r="H131" s="1045">
        <f>D131*E131*G131</f>
        <v>0.41399999999999998</v>
      </c>
      <c r="I131" s="1134"/>
    </row>
    <row r="132" spans="1:12">
      <c r="A132" s="1483"/>
      <c r="B132" s="1484"/>
      <c r="C132" s="1485"/>
      <c r="D132" s="1035"/>
      <c r="E132" s="1035"/>
      <c r="F132" s="558"/>
      <c r="G132" s="1029"/>
      <c r="H132" s="1045"/>
      <c r="I132" s="1134"/>
    </row>
    <row r="133" spans="1:12">
      <c r="A133" s="1483"/>
      <c r="B133" s="1484"/>
      <c r="C133" s="1485"/>
      <c r="D133" s="530"/>
      <c r="E133" s="1038"/>
      <c r="F133" s="558"/>
      <c r="G133" s="1233" t="s">
        <v>1005</v>
      </c>
      <c r="H133" s="1234">
        <f>SUM(H120:H131)</f>
        <v>25.655200000000004</v>
      </c>
      <c r="I133" s="1134"/>
    </row>
    <row r="134" spans="1:12">
      <c r="A134" s="1480"/>
      <c r="B134" s="1481"/>
      <c r="C134" s="1482"/>
      <c r="D134" s="1035"/>
      <c r="E134" s="1035"/>
      <c r="F134" s="530"/>
      <c r="G134" s="1037"/>
      <c r="H134" s="1045"/>
      <c r="I134" s="1136"/>
    </row>
    <row r="135" spans="1:12" ht="78.75" customHeight="1">
      <c r="A135" s="1498" t="s">
        <v>912</v>
      </c>
      <c r="B135" s="1499"/>
      <c r="C135" s="1500"/>
      <c r="D135" s="910" t="s">
        <v>1158</v>
      </c>
      <c r="E135" s="910" t="s">
        <v>788</v>
      </c>
      <c r="F135" s="910" t="s">
        <v>787</v>
      </c>
      <c r="G135" s="910" t="s">
        <v>789</v>
      </c>
      <c r="H135" s="910" t="s">
        <v>1154</v>
      </c>
      <c r="I135" s="83" t="s">
        <v>1153</v>
      </c>
    </row>
    <row r="136" spans="1:12">
      <c r="A136" s="1480" t="s">
        <v>1175</v>
      </c>
      <c r="B136" s="1481"/>
      <c r="C136" s="1482"/>
      <c r="D136" s="1035">
        <v>2</v>
      </c>
      <c r="E136" s="1035"/>
      <c r="F136" s="530">
        <v>2</v>
      </c>
      <c r="G136" s="1037">
        <f>0.95+0.2</f>
        <v>1.1499999999999999</v>
      </c>
      <c r="H136" s="1048">
        <f>D136*F136*G136</f>
        <v>4.5999999999999996</v>
      </c>
      <c r="I136" s="1134"/>
    </row>
    <row r="137" spans="1:12">
      <c r="A137" s="1480" t="s">
        <v>1175</v>
      </c>
      <c r="B137" s="1481"/>
      <c r="C137" s="1482"/>
      <c r="D137" s="1035">
        <v>2</v>
      </c>
      <c r="E137" s="1035"/>
      <c r="F137" s="558">
        <v>1.6</v>
      </c>
      <c r="G137" s="1037">
        <f>0.95+0.2</f>
        <v>1.1499999999999999</v>
      </c>
      <c r="H137" s="1048">
        <f>D137*F137*G137</f>
        <v>3.6799999999999997</v>
      </c>
      <c r="I137" s="1134"/>
    </row>
    <row r="138" spans="1:12">
      <c r="A138" s="1483" t="s">
        <v>1176</v>
      </c>
      <c r="B138" s="1484"/>
      <c r="C138" s="1485"/>
      <c r="D138" s="530"/>
      <c r="E138" s="1038"/>
      <c r="F138" s="558"/>
      <c r="G138" s="1233" t="s">
        <v>1005</v>
      </c>
      <c r="H138" s="1234">
        <f>SUM(H136:H137)</f>
        <v>8.2799999999999994</v>
      </c>
      <c r="I138" s="1135"/>
    </row>
    <row r="139" spans="1:12" ht="15.75" thickBot="1">
      <c r="A139" s="1547"/>
      <c r="B139" s="1548"/>
      <c r="C139" s="1549"/>
      <c r="D139" s="1144"/>
      <c r="E139" s="1144"/>
      <c r="F139" s="1145"/>
      <c r="G139" s="1146"/>
      <c r="H139" s="1147"/>
      <c r="I139" s="1148"/>
    </row>
    <row r="140" spans="1:12">
      <c r="A140" s="1487"/>
      <c r="B140" s="1487"/>
      <c r="C140" s="1488"/>
      <c r="D140" s="1053"/>
      <c r="E140" s="1053"/>
      <c r="F140" s="558"/>
      <c r="G140" s="1126"/>
      <c r="H140" s="1054"/>
      <c r="I140" s="1055"/>
    </row>
    <row r="141" spans="1:12">
      <c r="A141" s="1481"/>
      <c r="B141" s="1481"/>
      <c r="C141" s="1482"/>
      <c r="D141" s="1035"/>
      <c r="E141" s="1035"/>
      <c r="F141" s="530"/>
      <c r="G141" s="1037"/>
      <c r="H141" s="1045"/>
      <c r="I141" s="1039"/>
    </row>
    <row r="143" spans="1:12">
      <c r="A143" s="87"/>
      <c r="B143" s="87"/>
      <c r="C143" s="87"/>
      <c r="D143" s="87"/>
      <c r="E143" s="87"/>
      <c r="F143" s="87"/>
    </row>
    <row r="144" spans="1:12">
      <c r="A144" s="87"/>
      <c r="B144" s="87"/>
      <c r="C144" s="87"/>
      <c r="D144" s="87"/>
      <c r="E144" s="87"/>
      <c r="F144" s="87"/>
      <c r="G144" s="87"/>
      <c r="H144" s="191"/>
      <c r="I144" s="87"/>
      <c r="J144" s="87"/>
      <c r="K144" s="87"/>
      <c r="L144" s="87"/>
    </row>
    <row r="145" spans="1:12">
      <c r="A145" s="1050"/>
      <c r="B145" s="1050"/>
      <c r="C145" s="1050"/>
      <c r="D145" s="1050"/>
      <c r="E145" s="87"/>
      <c r="F145" s="87"/>
      <c r="G145" s="87"/>
      <c r="H145" s="191"/>
      <c r="I145" s="87"/>
      <c r="J145" s="87"/>
      <c r="K145" s="87"/>
      <c r="L145" s="87"/>
    </row>
    <row r="146" spans="1:12">
      <c r="A146" s="87"/>
      <c r="B146" s="87"/>
      <c r="C146" s="87"/>
      <c r="D146" s="87"/>
      <c r="E146" s="87"/>
      <c r="F146" s="87"/>
      <c r="G146" s="87"/>
      <c r="H146" s="87"/>
      <c r="I146" s="87"/>
      <c r="J146" s="87"/>
      <c r="K146" s="87"/>
      <c r="L146" s="87"/>
    </row>
    <row r="147" spans="1:12">
      <c r="A147" s="611"/>
      <c r="B147" s="611"/>
      <c r="C147" s="611"/>
      <c r="D147" s="611"/>
      <c r="E147" s="87"/>
      <c r="F147" s="87"/>
      <c r="G147" s="87"/>
      <c r="H147" s="191"/>
      <c r="I147" s="87"/>
      <c r="J147" s="87"/>
      <c r="K147" s="87"/>
      <c r="L147" s="87"/>
    </row>
    <row r="148" spans="1:12">
      <c r="A148" s="611"/>
      <c r="B148" s="611"/>
      <c r="C148" s="611"/>
      <c r="D148" s="611"/>
      <c r="E148" s="87"/>
      <c r="F148" s="87"/>
      <c r="G148" s="87"/>
      <c r="H148" s="191"/>
      <c r="I148" s="87"/>
      <c r="J148" s="87"/>
      <c r="K148" s="87"/>
      <c r="L148" s="87"/>
    </row>
    <row r="149" spans="1:12">
      <c r="A149" s="87"/>
      <c r="B149" s="87"/>
      <c r="C149" s="87"/>
      <c r="D149" s="87"/>
      <c r="E149" s="87"/>
      <c r="F149" s="87"/>
      <c r="G149" s="87"/>
      <c r="H149" s="87"/>
      <c r="I149" s="87"/>
      <c r="J149" s="87"/>
      <c r="K149" s="87"/>
      <c r="L149" s="87"/>
    </row>
    <row r="150" spans="1:12">
      <c r="A150" s="87"/>
      <c r="B150" s="87"/>
      <c r="C150" s="87"/>
      <c r="D150" s="87"/>
      <c r="E150" s="87"/>
      <c r="F150" s="87"/>
      <c r="G150" s="87"/>
      <c r="H150" s="191"/>
      <c r="I150" s="87"/>
      <c r="J150" s="87"/>
      <c r="K150" s="87"/>
      <c r="L150" s="87"/>
    </row>
    <row r="151" spans="1:12">
      <c r="A151" s="87"/>
      <c r="B151" s="87"/>
      <c r="C151" s="87"/>
      <c r="D151" s="87"/>
      <c r="E151" s="87"/>
      <c r="F151" s="87"/>
      <c r="G151" s="87"/>
      <c r="H151" s="87"/>
      <c r="I151" s="1062"/>
      <c r="J151" s="87"/>
      <c r="K151" s="87"/>
      <c r="L151" s="87"/>
    </row>
    <row r="152" spans="1:12">
      <c r="A152" s="87"/>
      <c r="B152" s="87"/>
      <c r="C152" s="87"/>
      <c r="D152" s="87"/>
      <c r="E152" s="87"/>
      <c r="F152" s="87"/>
      <c r="G152" s="87"/>
      <c r="H152" s="87"/>
      <c r="I152" s="87"/>
      <c r="J152" s="87"/>
      <c r="K152" s="87"/>
      <c r="L152" s="87"/>
    </row>
    <row r="153" spans="1:12">
      <c r="A153" s="1050"/>
      <c r="B153" s="1050"/>
      <c r="C153" s="1050"/>
      <c r="D153" s="1050"/>
      <c r="E153" s="87"/>
      <c r="F153" s="87"/>
    </row>
    <row r="154" spans="1:12">
      <c r="A154" s="1050"/>
      <c r="B154" s="1050"/>
      <c r="C154" s="1050"/>
      <c r="D154" s="1050"/>
      <c r="E154" s="87"/>
      <c r="F154" s="87"/>
    </row>
    <row r="155" spans="1:12">
      <c r="A155" s="87"/>
      <c r="B155" s="87"/>
      <c r="C155" s="87"/>
      <c r="D155" s="87"/>
      <c r="E155" s="87"/>
      <c r="F155" s="87"/>
    </row>
    <row r="156" spans="1:12">
      <c r="A156" s="87"/>
      <c r="B156" s="87"/>
      <c r="C156" s="87"/>
      <c r="D156" s="87"/>
      <c r="E156" s="87"/>
      <c r="F156" s="87"/>
    </row>
    <row r="157" spans="1:12">
      <c r="A157" s="1050"/>
      <c r="B157" s="1050"/>
      <c r="C157" s="1050"/>
      <c r="D157" s="1050"/>
      <c r="E157" s="87"/>
      <c r="F157" s="87"/>
    </row>
    <row r="158" spans="1:12">
      <c r="A158" s="1050"/>
      <c r="B158" s="1050"/>
      <c r="C158" s="1050"/>
      <c r="D158" s="1050"/>
      <c r="E158" s="87"/>
      <c r="F158" s="87"/>
    </row>
    <row r="159" spans="1:12">
      <c r="A159" s="87"/>
      <c r="B159" s="87"/>
      <c r="C159" s="87"/>
      <c r="D159" s="87"/>
      <c r="E159" s="87"/>
      <c r="F159" s="87"/>
    </row>
    <row r="160" spans="1:12">
      <c r="A160" s="87"/>
      <c r="B160" s="87"/>
      <c r="C160" s="87"/>
      <c r="D160" s="87"/>
      <c r="E160" s="87"/>
      <c r="F160" s="87"/>
    </row>
    <row r="161" spans="1:6">
      <c r="A161" s="87"/>
      <c r="B161" s="87"/>
      <c r="C161" s="87"/>
      <c r="D161" s="87"/>
      <c r="E161" s="87"/>
      <c r="F161" s="87"/>
    </row>
    <row r="162" spans="1:6">
      <c r="A162" s="87"/>
      <c r="B162" s="87"/>
      <c r="C162" s="87"/>
      <c r="D162" s="1040"/>
      <c r="E162" s="1091"/>
      <c r="F162" s="87"/>
    </row>
    <row r="163" spans="1:6">
      <c r="A163" s="87"/>
      <c r="B163" s="87"/>
      <c r="C163" s="87"/>
      <c r="D163" s="1092"/>
      <c r="E163" s="1093"/>
      <c r="F163" s="87"/>
    </row>
    <row r="164" spans="1:6">
      <c r="A164" s="87"/>
      <c r="B164" s="87"/>
      <c r="C164" s="87"/>
      <c r="D164" s="87"/>
      <c r="E164" s="87"/>
      <c r="F164" s="87"/>
    </row>
  </sheetData>
  <mergeCells count="143">
    <mergeCell ref="A139:C139"/>
    <mergeCell ref="A140:C140"/>
    <mergeCell ref="C13:E13"/>
    <mergeCell ref="A131:C131"/>
    <mergeCell ref="A130:C130"/>
    <mergeCell ref="A1:H3"/>
    <mergeCell ref="C4:F4"/>
    <mergeCell ref="I4:I5"/>
    <mergeCell ref="C5:F5"/>
    <mergeCell ref="A6:H7"/>
    <mergeCell ref="C34:E34"/>
    <mergeCell ref="C35:E35"/>
    <mergeCell ref="C36:E36"/>
    <mergeCell ref="C37:E37"/>
    <mergeCell ref="C14:E14"/>
    <mergeCell ref="C30:E30"/>
    <mergeCell ref="C31:E31"/>
    <mergeCell ref="C21:E21"/>
    <mergeCell ref="C22:E22"/>
    <mergeCell ref="C23:E23"/>
    <mergeCell ref="C24:E24"/>
    <mergeCell ref="C29:E29"/>
    <mergeCell ref="C27:E27"/>
    <mergeCell ref="C25:E25"/>
    <mergeCell ref="A51:H51"/>
    <mergeCell ref="A52:H52"/>
    <mergeCell ref="A50:H50"/>
    <mergeCell ref="A53:H53"/>
    <mergeCell ref="C28:E28"/>
    <mergeCell ref="B8:I8"/>
    <mergeCell ref="B9:I9"/>
    <mergeCell ref="A11:I11"/>
    <mergeCell ref="C12:E12"/>
    <mergeCell ref="C20:E20"/>
    <mergeCell ref="C15:E15"/>
    <mergeCell ref="C16:E16"/>
    <mergeCell ref="A17:H17"/>
    <mergeCell ref="A18:I18"/>
    <mergeCell ref="A19:I19"/>
    <mergeCell ref="A58:I58"/>
    <mergeCell ref="C33:E33"/>
    <mergeCell ref="H26:H27"/>
    <mergeCell ref="I26:I27"/>
    <mergeCell ref="C32:E32"/>
    <mergeCell ref="A26:A27"/>
    <mergeCell ref="B26:B27"/>
    <mergeCell ref="C26:E26"/>
    <mergeCell ref="F26:F27"/>
    <mergeCell ref="G26:G27"/>
    <mergeCell ref="A46:I46"/>
    <mergeCell ref="A38:H38"/>
    <mergeCell ref="A39:I39"/>
    <mergeCell ref="A40:I40"/>
    <mergeCell ref="C41:E41"/>
    <mergeCell ref="C42:E42"/>
    <mergeCell ref="C43:E43"/>
    <mergeCell ref="C44:E44"/>
    <mergeCell ref="A45:H45"/>
    <mergeCell ref="A54:H54"/>
    <mergeCell ref="A55:I55"/>
    <mergeCell ref="A47:I47"/>
    <mergeCell ref="A48:H48"/>
    <mergeCell ref="A49:H49"/>
    <mergeCell ref="A63:C63"/>
    <mergeCell ref="A64:C64"/>
    <mergeCell ref="A60:C60"/>
    <mergeCell ref="A66:C66"/>
    <mergeCell ref="A67:C67"/>
    <mergeCell ref="A65:C65"/>
    <mergeCell ref="A68:C68"/>
    <mergeCell ref="A61:C61"/>
    <mergeCell ref="A59:C59"/>
    <mergeCell ref="A62:C62"/>
    <mergeCell ref="A73:C73"/>
    <mergeCell ref="A69:C69"/>
    <mergeCell ref="A70:C70"/>
    <mergeCell ref="A71:C71"/>
    <mergeCell ref="A72:C72"/>
    <mergeCell ref="A78:C78"/>
    <mergeCell ref="A79:C79"/>
    <mergeCell ref="A80:C80"/>
    <mergeCell ref="A82:C82"/>
    <mergeCell ref="A81:C81"/>
    <mergeCell ref="A74:C74"/>
    <mergeCell ref="A75:C75"/>
    <mergeCell ref="A76:C76"/>
    <mergeCell ref="A77:C77"/>
    <mergeCell ref="A88:C88"/>
    <mergeCell ref="A89:C89"/>
    <mergeCell ref="A90:C90"/>
    <mergeCell ref="A91:C91"/>
    <mergeCell ref="A92:C92"/>
    <mergeCell ref="A83:C83"/>
    <mergeCell ref="A84:C84"/>
    <mergeCell ref="A85:C85"/>
    <mergeCell ref="A86:C86"/>
    <mergeCell ref="A87:C87"/>
    <mergeCell ref="A115:C115"/>
    <mergeCell ref="A116:C116"/>
    <mergeCell ref="A108:C108"/>
    <mergeCell ref="A99:C99"/>
    <mergeCell ref="A106:C106"/>
    <mergeCell ref="A107:C107"/>
    <mergeCell ref="A101:C101"/>
    <mergeCell ref="A93:C93"/>
    <mergeCell ref="A94:C94"/>
    <mergeCell ref="A95:C95"/>
    <mergeCell ref="A96:C96"/>
    <mergeCell ref="A98:C98"/>
    <mergeCell ref="A138:C138"/>
    <mergeCell ref="A141:C141"/>
    <mergeCell ref="A128:C128"/>
    <mergeCell ref="A129:C129"/>
    <mergeCell ref="A120:C120"/>
    <mergeCell ref="A133:C133"/>
    <mergeCell ref="A134:C134"/>
    <mergeCell ref="A135:C135"/>
    <mergeCell ref="A56:I56"/>
    <mergeCell ref="A97:C97"/>
    <mergeCell ref="A110:C110"/>
    <mergeCell ref="A111:C111"/>
    <mergeCell ref="A112:C112"/>
    <mergeCell ref="A114:C114"/>
    <mergeCell ref="A102:C102"/>
    <mergeCell ref="A103:C103"/>
    <mergeCell ref="A104:C104"/>
    <mergeCell ref="A105:C105"/>
    <mergeCell ref="A100:C100"/>
    <mergeCell ref="A119:C119"/>
    <mergeCell ref="A117:C117"/>
    <mergeCell ref="A118:C118"/>
    <mergeCell ref="A109:C109"/>
    <mergeCell ref="A113:C113"/>
    <mergeCell ref="A137:C137"/>
    <mergeCell ref="A127:C127"/>
    <mergeCell ref="A125:C125"/>
    <mergeCell ref="A132:C132"/>
    <mergeCell ref="A121:C121"/>
    <mergeCell ref="A122:C122"/>
    <mergeCell ref="A123:C123"/>
    <mergeCell ref="A124:C124"/>
    <mergeCell ref="A126:C126"/>
    <mergeCell ref="A136:C136"/>
  </mergeCells>
  <pageMargins left="1.1023622047244095" right="0.70866141732283472" top="0.74803149606299213" bottom="0.74803149606299213" header="0.31496062992125984" footer="0.31496062992125984"/>
  <pageSetup paperSize="9" scale="56"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49"/>
  <sheetViews>
    <sheetView view="pageBreakPreview" zoomScaleNormal="100" zoomScaleSheetLayoutView="100" workbookViewId="0">
      <selection activeCell="C20" sqref="C20:E20"/>
    </sheetView>
  </sheetViews>
  <sheetFormatPr defaultRowHeight="15"/>
  <cols>
    <col min="1" max="1" width="9.7109375" customWidth="1"/>
    <col min="3" max="3" width="9.140625" style="371"/>
    <col min="4" max="4" width="21.85546875" style="371" customWidth="1"/>
    <col min="5" max="5" width="18.140625" style="371" customWidth="1"/>
    <col min="8" max="8" width="11.140625" bestFit="1" customWidth="1"/>
    <col min="9" max="9" width="13.5703125"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958</v>
      </c>
    </row>
    <row r="8" spans="1:9" ht="47.25" customHeight="1">
      <c r="A8" s="73" t="s">
        <v>128</v>
      </c>
      <c r="B8" s="1395" t="s">
        <v>1052</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721"/>
      <c r="D10" s="721"/>
      <c r="E10" s="721"/>
      <c r="F10" s="60"/>
      <c r="G10" s="62"/>
      <c r="H10" s="63"/>
      <c r="I10" s="76"/>
    </row>
    <row r="11" spans="1:9">
      <c r="A11" s="1382" t="s">
        <v>138</v>
      </c>
      <c r="B11" s="1383"/>
      <c r="C11" s="1383"/>
      <c r="D11" s="1383"/>
      <c r="E11" s="1383"/>
      <c r="F11" s="1383"/>
      <c r="G11" s="1383"/>
      <c r="H11" s="1383"/>
      <c r="I11" s="1384"/>
    </row>
    <row r="12" spans="1:9">
      <c r="A12" s="77" t="s">
        <v>130</v>
      </c>
      <c r="B12" s="56" t="s">
        <v>131</v>
      </c>
      <c r="C12" s="1427" t="s">
        <v>132</v>
      </c>
      <c r="D12" s="1428"/>
      <c r="E12" s="1429"/>
      <c r="F12" s="56" t="s">
        <v>104</v>
      </c>
      <c r="G12" s="56" t="s">
        <v>133</v>
      </c>
      <c r="H12" s="56" t="s">
        <v>134</v>
      </c>
      <c r="I12" s="78" t="s">
        <v>135</v>
      </c>
    </row>
    <row r="13" spans="1:9">
      <c r="A13" s="79"/>
      <c r="B13" s="4"/>
      <c r="C13" s="1553"/>
      <c r="D13" s="1374"/>
      <c r="E13" s="1375"/>
      <c r="F13" s="4"/>
      <c r="G13" s="4"/>
      <c r="H13" s="4"/>
      <c r="I13" s="80"/>
    </row>
    <row r="14" spans="1:9">
      <c r="A14" s="79"/>
      <c r="B14" s="4"/>
      <c r="C14" s="1553"/>
      <c r="D14" s="1374"/>
      <c r="E14" s="1375"/>
      <c r="F14" s="4"/>
      <c r="G14" s="4"/>
      <c r="H14" s="4"/>
      <c r="I14" s="80"/>
    </row>
    <row r="15" spans="1:9">
      <c r="A15" s="81"/>
      <c r="B15" s="3"/>
      <c r="C15" s="1553"/>
      <c r="D15" s="1374"/>
      <c r="E15" s="1375"/>
      <c r="F15" s="3"/>
      <c r="G15" s="3"/>
      <c r="H15" s="3"/>
      <c r="I15" s="80"/>
    </row>
    <row r="16" spans="1:9">
      <c r="A16" s="1376" t="s">
        <v>139</v>
      </c>
      <c r="B16" s="1377"/>
      <c r="C16" s="1377"/>
      <c r="D16" s="1377"/>
      <c r="E16" s="1377"/>
      <c r="F16" s="1377"/>
      <c r="G16" s="1377"/>
      <c r="H16" s="1378"/>
      <c r="I16" s="80"/>
    </row>
    <row r="17" spans="1:13">
      <c r="A17" s="1379"/>
      <c r="B17" s="1380"/>
      <c r="C17" s="1380"/>
      <c r="D17" s="1380"/>
      <c r="E17" s="1380"/>
      <c r="F17" s="1380"/>
      <c r="G17" s="1380"/>
      <c r="H17" s="1380"/>
      <c r="I17" s="1381"/>
    </row>
    <row r="18" spans="1:13">
      <c r="A18" s="1382" t="s">
        <v>160</v>
      </c>
      <c r="B18" s="1383"/>
      <c r="C18" s="1383"/>
      <c r="D18" s="1383"/>
      <c r="E18" s="1383"/>
      <c r="F18" s="1383"/>
      <c r="G18" s="1383"/>
      <c r="H18" s="1383"/>
      <c r="I18" s="1384"/>
    </row>
    <row r="19" spans="1:13">
      <c r="A19" s="77" t="s">
        <v>130</v>
      </c>
      <c r="B19" s="56" t="s">
        <v>131</v>
      </c>
      <c r="C19" s="1427" t="s">
        <v>132</v>
      </c>
      <c r="D19" s="1428"/>
      <c r="E19" s="1429"/>
      <c r="F19" s="56" t="s">
        <v>104</v>
      </c>
      <c r="G19" s="56" t="s">
        <v>133</v>
      </c>
      <c r="H19" s="56" t="s">
        <v>134</v>
      </c>
      <c r="I19" s="78" t="s">
        <v>135</v>
      </c>
    </row>
    <row r="20" spans="1:13" ht="31.5" customHeight="1">
      <c r="A20" s="718">
        <v>93358</v>
      </c>
      <c r="B20" s="141" t="s">
        <v>58</v>
      </c>
      <c r="C20" s="1554" t="s">
        <v>118</v>
      </c>
      <c r="D20" s="1555"/>
      <c r="E20" s="1556"/>
      <c r="F20" s="131" t="s">
        <v>103</v>
      </c>
      <c r="G20" s="132">
        <v>0.4</v>
      </c>
      <c r="H20" s="215">
        <v>53.99</v>
      </c>
      <c r="I20" s="134">
        <f>ROUND(G20*H20,2)</f>
        <v>21.6</v>
      </c>
    </row>
    <row r="21" spans="1:13" ht="29.25" customHeight="1">
      <c r="A21" s="718">
        <v>96616</v>
      </c>
      <c r="B21" s="141" t="s">
        <v>58</v>
      </c>
      <c r="C21" s="1551" t="s">
        <v>290</v>
      </c>
      <c r="D21" s="1499"/>
      <c r="E21" s="1500"/>
      <c r="F21" s="131" t="s">
        <v>103</v>
      </c>
      <c r="G21" s="8">
        <v>7.4999999999999997E-2</v>
      </c>
      <c r="H21" s="206">
        <v>370.85</v>
      </c>
      <c r="I21" s="134">
        <f>ROUND(G21*H21,2)</f>
        <v>27.81</v>
      </c>
    </row>
    <row r="22" spans="1:13" ht="75.75" customHeight="1" thickBot="1">
      <c r="A22" s="719">
        <v>89483</v>
      </c>
      <c r="B22" s="140" t="s">
        <v>58</v>
      </c>
      <c r="C22" s="1551" t="s">
        <v>912</v>
      </c>
      <c r="D22" s="1499"/>
      <c r="E22" s="1500"/>
      <c r="F22" s="140" t="s">
        <v>57</v>
      </c>
      <c r="G22" s="138">
        <v>9.5</v>
      </c>
      <c r="H22" s="206">
        <v>77.430000000000007</v>
      </c>
      <c r="I22" s="134">
        <f>ROUND(G22*H22,2)</f>
        <v>735.59</v>
      </c>
    </row>
    <row r="23" spans="1:13" ht="59.25" customHeight="1">
      <c r="A23" s="719">
        <v>87894</v>
      </c>
      <c r="B23" s="140" t="s">
        <v>58</v>
      </c>
      <c r="C23" s="1373" t="s">
        <v>366</v>
      </c>
      <c r="D23" s="1388"/>
      <c r="E23" s="1389"/>
      <c r="F23" s="140" t="s">
        <v>57</v>
      </c>
      <c r="G23" s="139">
        <v>20.5</v>
      </c>
      <c r="H23" s="206">
        <v>4.47</v>
      </c>
      <c r="I23" s="134">
        <f t="shared" ref="I23:I26" si="0">ROUND(G23*H23,2)</f>
        <v>91.64</v>
      </c>
      <c r="K23" s="190" t="s">
        <v>395</v>
      </c>
      <c r="L23" s="183"/>
      <c r="M23" s="184"/>
    </row>
    <row r="24" spans="1:13" ht="43.5" customHeight="1">
      <c r="A24" s="719">
        <v>120303</v>
      </c>
      <c r="B24" s="140" t="s">
        <v>56</v>
      </c>
      <c r="C24" s="1373" t="s">
        <v>367</v>
      </c>
      <c r="D24" s="1388"/>
      <c r="E24" s="1389"/>
      <c r="F24" s="140" t="s">
        <v>57</v>
      </c>
      <c r="G24" s="139">
        <v>20.5</v>
      </c>
      <c r="H24" s="206">
        <v>36.29</v>
      </c>
      <c r="I24" s="134">
        <f t="shared" si="0"/>
        <v>743.95</v>
      </c>
      <c r="K24" s="100">
        <v>0.95</v>
      </c>
      <c r="L24" s="87">
        <v>2.5</v>
      </c>
      <c r="M24" s="101">
        <v>2.5</v>
      </c>
    </row>
    <row r="25" spans="1:13" ht="29.25" customHeight="1" thickBot="1">
      <c r="A25" s="719">
        <v>100203</v>
      </c>
      <c r="B25" s="140" t="s">
        <v>56</v>
      </c>
      <c r="C25" s="1373" t="s">
        <v>398</v>
      </c>
      <c r="D25" s="1388"/>
      <c r="E25" s="1389"/>
      <c r="F25" s="140" t="s">
        <v>57</v>
      </c>
      <c r="G25" s="597">
        <v>9.5</v>
      </c>
      <c r="H25" s="206">
        <v>30.69</v>
      </c>
      <c r="I25" s="134">
        <f t="shared" si="0"/>
        <v>291.56</v>
      </c>
      <c r="K25" s="609">
        <f>(L24*4)*0.95</f>
        <v>9.5</v>
      </c>
      <c r="L25" s="186"/>
      <c r="M25" s="187"/>
    </row>
    <row r="26" spans="1:13" ht="27" customHeight="1" thickBot="1">
      <c r="A26" s="610" t="s">
        <v>396</v>
      </c>
      <c r="B26" s="140" t="s">
        <v>58</v>
      </c>
      <c r="C26" s="1373" t="s">
        <v>403</v>
      </c>
      <c r="D26" s="1388"/>
      <c r="E26" s="1389"/>
      <c r="F26" s="140" t="s">
        <v>57</v>
      </c>
      <c r="G26" s="139">
        <v>11</v>
      </c>
      <c r="H26" s="206">
        <v>16.82</v>
      </c>
      <c r="I26" s="134">
        <f t="shared" si="0"/>
        <v>185.02</v>
      </c>
    </row>
    <row r="27" spans="1:13">
      <c r="A27" s="81"/>
      <c r="B27" s="3"/>
      <c r="C27" s="1553"/>
      <c r="D27" s="1374"/>
      <c r="E27" s="1375"/>
      <c r="F27" s="3"/>
      <c r="G27" s="3"/>
      <c r="H27" s="3"/>
      <c r="I27" s="80"/>
      <c r="K27" s="190" t="s">
        <v>285</v>
      </c>
      <c r="L27" s="183"/>
      <c r="M27" s="184"/>
    </row>
    <row r="28" spans="1:13">
      <c r="A28" s="81"/>
      <c r="B28" s="3"/>
      <c r="C28" s="1553"/>
      <c r="D28" s="1374"/>
      <c r="E28" s="1375"/>
      <c r="F28" s="3"/>
      <c r="G28" s="3"/>
      <c r="H28" s="3"/>
      <c r="I28" s="80"/>
      <c r="K28" s="100">
        <v>0.15</v>
      </c>
      <c r="L28" s="87">
        <v>0.2</v>
      </c>
      <c r="M28" s="101">
        <f>2.5*4</f>
        <v>10</v>
      </c>
    </row>
    <row r="29" spans="1:13" ht="15.75" thickBot="1">
      <c r="A29" s="1376" t="s">
        <v>137</v>
      </c>
      <c r="B29" s="1377"/>
      <c r="C29" s="1377"/>
      <c r="D29" s="1377"/>
      <c r="E29" s="1377"/>
      <c r="F29" s="1377"/>
      <c r="G29" s="1377"/>
      <c r="H29" s="1378"/>
      <c r="I29" s="188">
        <f>SUM(I20:I26)</f>
        <v>2097.17</v>
      </c>
      <c r="K29" s="609">
        <f>K28*L28*M28</f>
        <v>0.3</v>
      </c>
      <c r="L29" s="186"/>
      <c r="M29" s="187"/>
    </row>
    <row r="30" spans="1:13" ht="15.75" thickBot="1">
      <c r="A30" s="1379"/>
      <c r="B30" s="1380"/>
      <c r="C30" s="1380"/>
      <c r="D30" s="1380"/>
      <c r="E30" s="1380"/>
      <c r="F30" s="1380"/>
      <c r="G30" s="1380"/>
      <c r="H30" s="1380"/>
      <c r="I30" s="1381"/>
    </row>
    <row r="31" spans="1:13">
      <c r="A31" s="1382" t="s">
        <v>140</v>
      </c>
      <c r="B31" s="1383"/>
      <c r="C31" s="1383"/>
      <c r="D31" s="1383"/>
      <c r="E31" s="1383"/>
      <c r="F31" s="1383"/>
      <c r="G31" s="1383"/>
      <c r="H31" s="1383"/>
      <c r="I31" s="1384"/>
      <c r="K31" s="190" t="s">
        <v>913</v>
      </c>
      <c r="L31" s="183"/>
      <c r="M31" s="184"/>
    </row>
    <row r="32" spans="1:13">
      <c r="A32" s="82" t="s">
        <v>130</v>
      </c>
      <c r="B32" s="654" t="s">
        <v>131</v>
      </c>
      <c r="C32" s="1427" t="s">
        <v>132</v>
      </c>
      <c r="D32" s="1428"/>
      <c r="E32" s="1429"/>
      <c r="F32" s="654" t="s">
        <v>104</v>
      </c>
      <c r="G32" s="654" t="s">
        <v>133</v>
      </c>
      <c r="H32" s="654" t="s">
        <v>134</v>
      </c>
      <c r="I32" s="83" t="s">
        <v>135</v>
      </c>
      <c r="K32" s="100">
        <v>0.15</v>
      </c>
      <c r="L32" s="87">
        <v>0.05</v>
      </c>
      <c r="M32" s="101">
        <f>2.5*4</f>
        <v>10</v>
      </c>
    </row>
    <row r="33" spans="1:13" ht="15.75" thickBot="1">
      <c r="A33" s="79"/>
      <c r="B33" s="4"/>
      <c r="C33" s="1553"/>
      <c r="D33" s="1374"/>
      <c r="E33" s="1375"/>
      <c r="F33" s="4"/>
      <c r="G33" s="4"/>
      <c r="H33" s="4"/>
      <c r="I33" s="80"/>
      <c r="K33" s="609">
        <f>K32*L32*M32</f>
        <v>7.4999999999999997E-2</v>
      </c>
      <c r="L33" s="186"/>
      <c r="M33" s="187"/>
    </row>
    <row r="34" spans="1:13" ht="15.75" thickBot="1">
      <c r="A34" s="81"/>
      <c r="B34" s="3"/>
      <c r="C34" s="1553"/>
      <c r="D34" s="1374"/>
      <c r="E34" s="1375"/>
      <c r="F34" s="3"/>
      <c r="G34" s="3"/>
      <c r="H34" s="3"/>
      <c r="I34" s="80"/>
    </row>
    <row r="35" spans="1:13">
      <c r="A35" s="1376" t="s">
        <v>196</v>
      </c>
      <c r="B35" s="1377"/>
      <c r="C35" s="1377"/>
      <c r="D35" s="1377"/>
      <c r="E35" s="1377"/>
      <c r="F35" s="1377"/>
      <c r="G35" s="1377"/>
      <c r="H35" s="1378"/>
      <c r="I35" s="80"/>
      <c r="K35" s="190" t="s">
        <v>914</v>
      </c>
      <c r="L35" s="183"/>
      <c r="M35" s="184"/>
    </row>
    <row r="36" spans="1:13">
      <c r="A36" s="1379"/>
      <c r="B36" s="1380"/>
      <c r="C36" s="1380"/>
      <c r="D36" s="1380"/>
      <c r="E36" s="1380"/>
      <c r="F36" s="1380"/>
      <c r="G36" s="1380"/>
      <c r="H36" s="1380"/>
      <c r="I36" s="1381"/>
      <c r="K36" s="100">
        <v>0.95</v>
      </c>
      <c r="L36" s="87">
        <v>2.5</v>
      </c>
      <c r="M36" s="101">
        <v>2.5</v>
      </c>
    </row>
    <row r="37" spans="1:13">
      <c r="A37" s="1382" t="s">
        <v>141</v>
      </c>
      <c r="B37" s="1383"/>
      <c r="C37" s="1383"/>
      <c r="D37" s="1383"/>
      <c r="E37" s="1383"/>
      <c r="F37" s="1383"/>
      <c r="G37" s="1383"/>
      <c r="H37" s="1383"/>
      <c r="I37" s="1384"/>
      <c r="K37" s="193">
        <f>(K36*(L36*4))*2</f>
        <v>19</v>
      </c>
      <c r="L37" s="87"/>
      <c r="M37" s="101"/>
    </row>
    <row r="38" spans="1:13">
      <c r="A38" s="1413" t="s">
        <v>142</v>
      </c>
      <c r="B38" s="1414"/>
      <c r="C38" s="1414"/>
      <c r="D38" s="1414"/>
      <c r="E38" s="1414"/>
      <c r="F38" s="1414"/>
      <c r="G38" s="1414"/>
      <c r="H38" s="1415"/>
      <c r="I38" s="188"/>
      <c r="K38" s="100">
        <v>0.15</v>
      </c>
      <c r="L38" s="87">
        <f>2.5*4</f>
        <v>10</v>
      </c>
      <c r="M38" s="101"/>
    </row>
    <row r="39" spans="1:13">
      <c r="A39" s="1413" t="s">
        <v>163</v>
      </c>
      <c r="B39" s="1414"/>
      <c r="C39" s="1414"/>
      <c r="D39" s="1414"/>
      <c r="E39" s="1414"/>
      <c r="F39" s="1414"/>
      <c r="G39" s="1414"/>
      <c r="H39" s="1415"/>
      <c r="I39" s="188">
        <f>I29</f>
        <v>2097.17</v>
      </c>
      <c r="K39" s="193">
        <f>K38*L38</f>
        <v>1.5</v>
      </c>
      <c r="L39" s="87"/>
      <c r="M39" s="101"/>
    </row>
    <row r="40" spans="1:13" ht="15.75" thickBot="1">
      <c r="A40" s="1413" t="s">
        <v>196</v>
      </c>
      <c r="B40" s="1414"/>
      <c r="C40" s="1414"/>
      <c r="D40" s="1414"/>
      <c r="E40" s="1414"/>
      <c r="F40" s="1414"/>
      <c r="G40" s="1414"/>
      <c r="H40" s="1415"/>
      <c r="I40" s="80"/>
      <c r="K40" s="185" t="s">
        <v>245</v>
      </c>
      <c r="L40" s="194">
        <f>K37+K39</f>
        <v>20.5</v>
      </c>
      <c r="M40" s="187"/>
    </row>
    <row r="41" spans="1:13" ht="15.75" thickBot="1">
      <c r="A41" s="1413" t="s">
        <v>391</v>
      </c>
      <c r="B41" s="1414"/>
      <c r="C41" s="1414"/>
      <c r="D41" s="1414"/>
      <c r="E41" s="1414"/>
      <c r="F41" s="1414"/>
      <c r="G41" s="1414"/>
      <c r="H41" s="1415"/>
      <c r="I41" s="80"/>
    </row>
    <row r="42" spans="1:13">
      <c r="A42" s="1413" t="s">
        <v>392</v>
      </c>
      <c r="B42" s="1414"/>
      <c r="C42" s="1414"/>
      <c r="D42" s="1414"/>
      <c r="E42" s="1414"/>
      <c r="F42" s="1414"/>
      <c r="G42" s="1414"/>
      <c r="H42" s="1415"/>
      <c r="I42" s="188">
        <f>I39</f>
        <v>2097.17</v>
      </c>
      <c r="K42" s="190" t="s">
        <v>915</v>
      </c>
      <c r="L42" s="183"/>
      <c r="M42" s="184"/>
    </row>
    <row r="43" spans="1:13">
      <c r="A43" s="1413" t="s">
        <v>393</v>
      </c>
      <c r="B43" s="1414"/>
      <c r="C43" s="1414"/>
      <c r="D43" s="1414"/>
      <c r="E43" s="1414"/>
      <c r="F43" s="1414"/>
      <c r="G43" s="1414"/>
      <c r="H43" s="1415"/>
      <c r="I43" s="188">
        <f>I42*26.54%</f>
        <v>556.58891799999992</v>
      </c>
      <c r="K43" s="100">
        <v>0.95</v>
      </c>
      <c r="L43" s="87">
        <v>2.5</v>
      </c>
      <c r="M43" s="101">
        <v>4</v>
      </c>
    </row>
    <row r="44" spans="1:13" ht="15.75" thickBot="1">
      <c r="A44" s="1408" t="s">
        <v>144</v>
      </c>
      <c r="B44" s="1409"/>
      <c r="C44" s="1409"/>
      <c r="D44" s="1409"/>
      <c r="E44" s="1409"/>
      <c r="F44" s="1409"/>
      <c r="G44" s="1409"/>
      <c r="H44" s="1409"/>
      <c r="I44" s="189">
        <f>I42+I43</f>
        <v>2653.758918</v>
      </c>
      <c r="K44" s="609">
        <f>K43*(L43*M43)</f>
        <v>9.5</v>
      </c>
      <c r="L44" s="186"/>
      <c r="M44" s="187"/>
    </row>
    <row r="45" spans="1:13" ht="15.75" thickBot="1">
      <c r="A45" s="1410"/>
      <c r="B45" s="1411"/>
      <c r="C45" s="1411"/>
      <c r="D45" s="1411"/>
      <c r="E45" s="1411"/>
      <c r="F45" s="1411"/>
      <c r="G45" s="1411"/>
      <c r="H45" s="1411"/>
      <c r="I45" s="1412"/>
    </row>
    <row r="46" spans="1:13">
      <c r="K46" s="190" t="s">
        <v>916</v>
      </c>
      <c r="L46" s="183"/>
      <c r="M46" s="184"/>
    </row>
    <row r="47" spans="1:13">
      <c r="K47" s="100">
        <v>0.95</v>
      </c>
      <c r="L47" s="87">
        <v>2.5</v>
      </c>
      <c r="M47" s="101">
        <v>4</v>
      </c>
    </row>
    <row r="48" spans="1:13">
      <c r="K48" s="100">
        <v>0.15</v>
      </c>
      <c r="L48" s="87">
        <v>10</v>
      </c>
      <c r="M48" s="101"/>
    </row>
    <row r="49" spans="11:13" ht="15.75" thickBot="1">
      <c r="K49" s="609">
        <f>(K47*(L47*M47))+(K48*L48)</f>
        <v>11</v>
      </c>
      <c r="L49" s="186"/>
      <c r="M49" s="187"/>
    </row>
  </sheetData>
  <mergeCells count="42">
    <mergeCell ref="C13:E13"/>
    <mergeCell ref="A1:H3"/>
    <mergeCell ref="C4:F4"/>
    <mergeCell ref="I4:I5"/>
    <mergeCell ref="C5:F5"/>
    <mergeCell ref="A6:H7"/>
    <mergeCell ref="B8:I8"/>
    <mergeCell ref="B9:I9"/>
    <mergeCell ref="A11:I11"/>
    <mergeCell ref="C12:E12"/>
    <mergeCell ref="C19:E19"/>
    <mergeCell ref="C24:E24"/>
    <mergeCell ref="C25:E25"/>
    <mergeCell ref="C26:E26"/>
    <mergeCell ref="C27:E27"/>
    <mergeCell ref="C20:E20"/>
    <mergeCell ref="C21:E21"/>
    <mergeCell ref="C14:E14"/>
    <mergeCell ref="C15:E15"/>
    <mergeCell ref="A16:H16"/>
    <mergeCell ref="A17:I17"/>
    <mergeCell ref="A18:I18"/>
    <mergeCell ref="A44:H44"/>
    <mergeCell ref="A45:I45"/>
    <mergeCell ref="A37:I37"/>
    <mergeCell ref="A38:H38"/>
    <mergeCell ref="A39:H39"/>
    <mergeCell ref="A41:H41"/>
    <mergeCell ref="A42:H42"/>
    <mergeCell ref="A43:H43"/>
    <mergeCell ref="C28:E28"/>
    <mergeCell ref="C23:E23"/>
    <mergeCell ref="A40:H40"/>
    <mergeCell ref="C22:E22"/>
    <mergeCell ref="A36:I36"/>
    <mergeCell ref="A29:H29"/>
    <mergeCell ref="A30:I30"/>
    <mergeCell ref="A31:I31"/>
    <mergeCell ref="C32:E32"/>
    <mergeCell ref="C33:E33"/>
    <mergeCell ref="C34:E34"/>
    <mergeCell ref="A35:H35"/>
  </mergeCells>
  <pageMargins left="0.511811024" right="0.511811024" top="0.78740157499999996" bottom="0.78740157499999996" header="0.31496062000000002" footer="0.31496062000000002"/>
  <pageSetup paperSize="9" scale="82"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Q150"/>
  <sheetViews>
    <sheetView view="pageBreakPreview" topLeftCell="A61" zoomScaleNormal="100" zoomScaleSheetLayoutView="100" workbookViewId="0">
      <selection activeCell="K152" sqref="K152"/>
    </sheetView>
  </sheetViews>
  <sheetFormatPr defaultRowHeight="15"/>
  <cols>
    <col min="1" max="1" width="14.7109375" customWidth="1"/>
    <col min="2" max="2" width="11.42578125" customWidth="1"/>
    <col min="3" max="3" width="23.7109375" style="371" customWidth="1"/>
    <col min="4" max="4" width="17.140625" style="371" customWidth="1"/>
    <col min="5" max="5" width="12" style="371" customWidth="1"/>
    <col min="7" max="7" width="13.140625" customWidth="1"/>
    <col min="8" max="8" width="11.42578125" customWidth="1"/>
    <col min="9" max="9" width="14.85546875" customWidth="1"/>
  </cols>
  <sheetData>
    <row r="1" spans="1:15" ht="15.75">
      <c r="A1" s="1397" t="s">
        <v>43</v>
      </c>
      <c r="B1" s="1398"/>
      <c r="C1" s="1398"/>
      <c r="D1" s="1398"/>
      <c r="E1" s="1398"/>
      <c r="F1" s="1398"/>
      <c r="G1" s="1398"/>
      <c r="H1" s="1398"/>
      <c r="I1" s="68"/>
    </row>
    <row r="2" spans="1:15" ht="15.75">
      <c r="A2" s="1399"/>
      <c r="B2" s="1400"/>
      <c r="C2" s="1400"/>
      <c r="D2" s="1400"/>
      <c r="E2" s="1400"/>
      <c r="F2" s="1400"/>
      <c r="G2" s="1400"/>
      <c r="H2" s="1400"/>
      <c r="I2" s="69"/>
    </row>
    <row r="3" spans="1:15" ht="15.75">
      <c r="A3" s="1399"/>
      <c r="B3" s="1400"/>
      <c r="C3" s="1400"/>
      <c r="D3" s="1400"/>
      <c r="E3" s="1400"/>
      <c r="F3" s="1400"/>
      <c r="G3" s="1400"/>
      <c r="H3" s="1400"/>
      <c r="I3" s="69"/>
    </row>
    <row r="4" spans="1:15" ht="15.75">
      <c r="A4" s="70"/>
      <c r="B4" s="66"/>
      <c r="C4" s="1401" t="s">
        <v>122</v>
      </c>
      <c r="D4" s="1401"/>
      <c r="E4" s="1401"/>
      <c r="F4" s="1402"/>
      <c r="G4" s="58" t="s">
        <v>123</v>
      </c>
      <c r="H4" s="58" t="s">
        <v>124</v>
      </c>
      <c r="I4" s="1403" t="s">
        <v>127</v>
      </c>
    </row>
    <row r="5" spans="1:15" ht="15.75">
      <c r="A5" s="70"/>
      <c r="B5" s="65"/>
      <c r="C5" s="1404" t="s">
        <v>125</v>
      </c>
      <c r="D5" s="1404"/>
      <c r="E5" s="1404"/>
      <c r="F5" s="1405"/>
      <c r="G5" s="84">
        <v>0.89539999999999997</v>
      </c>
      <c r="H5" s="59">
        <v>0.26540000000000002</v>
      </c>
      <c r="I5" s="1403"/>
    </row>
    <row r="6" spans="1:15">
      <c r="A6" s="1406" t="s">
        <v>126</v>
      </c>
      <c r="B6" s="1407"/>
      <c r="C6" s="1407"/>
      <c r="D6" s="1407"/>
      <c r="E6" s="1407"/>
      <c r="F6" s="1407"/>
      <c r="G6" s="1407"/>
      <c r="H6" s="1407"/>
      <c r="I6" s="71">
        <v>43313</v>
      </c>
    </row>
    <row r="7" spans="1:15">
      <c r="A7" s="1406"/>
      <c r="B7" s="1407"/>
      <c r="C7" s="1407"/>
      <c r="D7" s="1407"/>
      <c r="E7" s="1407"/>
      <c r="F7" s="1407"/>
      <c r="G7" s="1407"/>
      <c r="H7" s="1407"/>
      <c r="I7" s="72" t="s">
        <v>960</v>
      </c>
    </row>
    <row r="8" spans="1:15" ht="93.75" customHeight="1">
      <c r="A8" s="73" t="s">
        <v>128</v>
      </c>
      <c r="B8" s="1395" t="s">
        <v>1071</v>
      </c>
      <c r="C8" s="1395"/>
      <c r="D8" s="1395"/>
      <c r="E8" s="1395"/>
      <c r="F8" s="1395"/>
      <c r="G8" s="1395"/>
      <c r="H8" s="1395"/>
      <c r="I8" s="1396"/>
    </row>
    <row r="9" spans="1:15">
      <c r="A9" s="74" t="s">
        <v>129</v>
      </c>
      <c r="B9" s="1390" t="s">
        <v>104</v>
      </c>
      <c r="C9" s="1390"/>
      <c r="D9" s="1390"/>
      <c r="E9" s="1390"/>
      <c r="F9" s="1390"/>
      <c r="G9" s="1390"/>
      <c r="H9" s="1390"/>
      <c r="I9" s="1391"/>
    </row>
    <row r="10" spans="1:15">
      <c r="A10" s="75"/>
      <c r="B10" s="60"/>
      <c r="C10" s="721"/>
      <c r="D10" s="721"/>
      <c r="E10" s="721"/>
      <c r="F10" s="60"/>
      <c r="G10" s="62"/>
      <c r="H10" s="63"/>
      <c r="I10" s="76"/>
    </row>
    <row r="11" spans="1:15">
      <c r="A11" s="1382" t="s">
        <v>138</v>
      </c>
      <c r="B11" s="1383"/>
      <c r="C11" s="1383"/>
      <c r="D11" s="1383"/>
      <c r="E11" s="1383"/>
      <c r="F11" s="1383"/>
      <c r="G11" s="1383"/>
      <c r="H11" s="1383"/>
      <c r="I11" s="1384"/>
    </row>
    <row r="12" spans="1:15">
      <c r="A12" s="77" t="s">
        <v>130</v>
      </c>
      <c r="B12" s="56" t="s">
        <v>131</v>
      </c>
      <c r="C12" s="1427" t="s">
        <v>132</v>
      </c>
      <c r="D12" s="1428"/>
      <c r="E12" s="1429"/>
      <c r="F12" s="56" t="s">
        <v>104</v>
      </c>
      <c r="G12" s="56" t="s">
        <v>133</v>
      </c>
      <c r="H12" s="56" t="s">
        <v>134</v>
      </c>
      <c r="I12" s="78" t="s">
        <v>135</v>
      </c>
    </row>
    <row r="13" spans="1:15">
      <c r="A13" s="1067" t="s">
        <v>1180</v>
      </c>
      <c r="B13" s="630" t="s">
        <v>56</v>
      </c>
      <c r="C13" s="1478" t="s">
        <v>1179</v>
      </c>
      <c r="D13" s="1368"/>
      <c r="E13" s="1369"/>
      <c r="F13" s="4" t="s">
        <v>153</v>
      </c>
      <c r="G13" s="1069">
        <f>0.45*(G20+G21+G22)</f>
        <v>1.12995</v>
      </c>
      <c r="H13" s="213">
        <v>10.78</v>
      </c>
      <c r="I13" s="631">
        <f>G13*H13</f>
        <v>12.180861</v>
      </c>
    </row>
    <row r="14" spans="1:15" ht="78" customHeight="1">
      <c r="A14" s="1067"/>
      <c r="B14" s="630"/>
      <c r="C14" s="1442" t="s">
        <v>1184</v>
      </c>
      <c r="D14" s="1443"/>
      <c r="E14" s="1444"/>
      <c r="F14" s="4"/>
      <c r="G14" s="223" t="s">
        <v>1186</v>
      </c>
      <c r="H14" s="213"/>
      <c r="I14" s="631"/>
    </row>
    <row r="15" spans="1:15">
      <c r="A15" s="79"/>
      <c r="B15" s="4"/>
      <c r="C15" s="1553"/>
      <c r="D15" s="1374"/>
      <c r="E15" s="1375"/>
      <c r="F15" s="4"/>
      <c r="G15" s="4"/>
      <c r="H15" s="4"/>
      <c r="I15" s="80"/>
      <c r="K15" s="87"/>
      <c r="L15" s="87"/>
      <c r="M15" s="87"/>
      <c r="N15" s="87"/>
      <c r="O15" s="87"/>
    </row>
    <row r="16" spans="1:15">
      <c r="A16" s="1376" t="s">
        <v>139</v>
      </c>
      <c r="B16" s="1377"/>
      <c r="C16" s="1377"/>
      <c r="D16" s="1377"/>
      <c r="E16" s="1377"/>
      <c r="F16" s="1377"/>
      <c r="G16" s="1377"/>
      <c r="H16" s="1378"/>
      <c r="I16" s="188">
        <f>SUM(I13)</f>
        <v>12.180861</v>
      </c>
      <c r="K16" s="1580"/>
      <c r="L16" s="1580"/>
      <c r="M16" s="1580"/>
      <c r="N16" s="1580"/>
      <c r="O16" s="87"/>
    </row>
    <row r="17" spans="1:16">
      <c r="A17" s="1379"/>
      <c r="B17" s="1380"/>
      <c r="C17" s="1380"/>
      <c r="D17" s="1380"/>
      <c r="E17" s="1380"/>
      <c r="F17" s="1380"/>
      <c r="G17" s="1380"/>
      <c r="H17" s="1380"/>
      <c r="I17" s="1381"/>
      <c r="K17" s="87"/>
      <c r="L17" s="87"/>
      <c r="M17" s="87"/>
      <c r="N17" s="87"/>
      <c r="O17" s="87"/>
    </row>
    <row r="18" spans="1:16">
      <c r="A18" s="1382" t="s">
        <v>160</v>
      </c>
      <c r="B18" s="1383"/>
      <c r="C18" s="1383"/>
      <c r="D18" s="1383"/>
      <c r="E18" s="1383"/>
      <c r="F18" s="1383"/>
      <c r="G18" s="1383"/>
      <c r="H18" s="1383"/>
      <c r="I18" s="1384"/>
      <c r="K18" s="87"/>
      <c r="L18" s="87"/>
      <c r="M18" s="87"/>
      <c r="N18" s="87"/>
      <c r="O18" s="1579"/>
    </row>
    <row r="19" spans="1:16">
      <c r="A19" s="77" t="s">
        <v>130</v>
      </c>
      <c r="B19" s="56" t="s">
        <v>131</v>
      </c>
      <c r="C19" s="1427" t="s">
        <v>132</v>
      </c>
      <c r="D19" s="1428"/>
      <c r="E19" s="1429"/>
      <c r="F19" s="56" t="s">
        <v>104</v>
      </c>
      <c r="G19" s="56" t="s">
        <v>133</v>
      </c>
      <c r="H19" s="56" t="s">
        <v>134</v>
      </c>
      <c r="I19" s="78" t="s">
        <v>135</v>
      </c>
      <c r="K19" s="87"/>
      <c r="L19" s="87"/>
      <c r="M19" s="87"/>
      <c r="N19" s="87"/>
      <c r="O19" s="1579"/>
    </row>
    <row r="20" spans="1:16" ht="32.25" customHeight="1">
      <c r="A20" s="718">
        <v>6081</v>
      </c>
      <c r="B20" s="141" t="s">
        <v>58</v>
      </c>
      <c r="C20" s="1554" t="s">
        <v>394</v>
      </c>
      <c r="D20" s="1555"/>
      <c r="E20" s="1556"/>
      <c r="F20" s="131" t="s">
        <v>103</v>
      </c>
      <c r="G20" s="136">
        <f>I61</f>
        <v>0.83699999999999997</v>
      </c>
      <c r="H20" s="135">
        <v>28.48</v>
      </c>
      <c r="I20" s="134">
        <f t="shared" ref="I20:I25" si="0">ROUND(G20*H20,2)</f>
        <v>23.84</v>
      </c>
      <c r="K20" s="87"/>
      <c r="L20" s="87"/>
      <c r="M20" s="87"/>
      <c r="N20" s="87"/>
      <c r="O20" s="87"/>
    </row>
    <row r="21" spans="1:16" ht="30" customHeight="1">
      <c r="A21" s="718">
        <v>367</v>
      </c>
      <c r="B21" s="141" t="s">
        <v>58</v>
      </c>
      <c r="C21" s="1554" t="s">
        <v>390</v>
      </c>
      <c r="D21" s="1555"/>
      <c r="E21" s="1556"/>
      <c r="F21" s="131" t="s">
        <v>103</v>
      </c>
      <c r="G21" s="136">
        <f>I64</f>
        <v>0.83699999999999997</v>
      </c>
      <c r="H21" s="135">
        <v>59.81</v>
      </c>
      <c r="I21" s="134">
        <f t="shared" si="0"/>
        <v>50.06</v>
      </c>
      <c r="K21" s="191"/>
      <c r="L21" s="87"/>
      <c r="M21" s="87"/>
      <c r="N21" s="87"/>
      <c r="O21" s="87"/>
    </row>
    <row r="22" spans="1:16" ht="31.5" customHeight="1">
      <c r="A22" s="718">
        <v>4718</v>
      </c>
      <c r="B22" s="141" t="s">
        <v>58</v>
      </c>
      <c r="C22" s="1554" t="s">
        <v>225</v>
      </c>
      <c r="D22" s="1555"/>
      <c r="E22" s="1556"/>
      <c r="F22" s="131" t="s">
        <v>103</v>
      </c>
      <c r="G22" s="136">
        <f>I67</f>
        <v>0.83699999999999997</v>
      </c>
      <c r="H22" s="135">
        <v>61.32</v>
      </c>
      <c r="I22" s="134">
        <f t="shared" si="0"/>
        <v>51.32</v>
      </c>
      <c r="K22" s="87"/>
      <c r="L22" s="87"/>
      <c r="M22" s="87"/>
      <c r="N22" s="87"/>
      <c r="O22" s="87"/>
    </row>
    <row r="23" spans="1:16" ht="30.75" customHeight="1">
      <c r="A23" s="718">
        <v>93358</v>
      </c>
      <c r="B23" s="141" t="s">
        <v>58</v>
      </c>
      <c r="C23" s="1554" t="s">
        <v>118</v>
      </c>
      <c r="D23" s="1555"/>
      <c r="E23" s="1556"/>
      <c r="F23" s="131" t="s">
        <v>103</v>
      </c>
      <c r="G23" s="132">
        <f>I73</f>
        <v>1.6335000000000002</v>
      </c>
      <c r="H23" s="133">
        <v>53.99</v>
      </c>
      <c r="I23" s="134">
        <f t="shared" si="0"/>
        <v>88.19</v>
      </c>
      <c r="K23" s="87"/>
      <c r="L23" s="87"/>
      <c r="M23" s="87"/>
      <c r="N23" s="87"/>
      <c r="O23" s="87"/>
    </row>
    <row r="24" spans="1:16" ht="20.25" customHeight="1">
      <c r="A24" s="718">
        <v>96995</v>
      </c>
      <c r="B24" s="141" t="s">
        <v>58</v>
      </c>
      <c r="C24" s="1554" t="s">
        <v>121</v>
      </c>
      <c r="D24" s="1555"/>
      <c r="E24" s="1556"/>
      <c r="F24" s="131" t="s">
        <v>103</v>
      </c>
      <c r="G24" s="136">
        <f>I76</f>
        <v>0.81900000000000017</v>
      </c>
      <c r="H24" s="135">
        <v>32.74</v>
      </c>
      <c r="I24" s="134">
        <f t="shared" si="0"/>
        <v>26.81</v>
      </c>
      <c r="K24" s="87"/>
      <c r="L24" s="87"/>
      <c r="M24" s="87"/>
      <c r="N24" s="87"/>
      <c r="O24" s="87"/>
    </row>
    <row r="25" spans="1:16" ht="31.5" customHeight="1">
      <c r="A25" s="718">
        <v>96616</v>
      </c>
      <c r="B25" s="141" t="s">
        <v>58</v>
      </c>
      <c r="C25" s="1551" t="s">
        <v>290</v>
      </c>
      <c r="D25" s="1574"/>
      <c r="E25" s="1575"/>
      <c r="F25" s="131" t="s">
        <v>103</v>
      </c>
      <c r="G25" s="136">
        <f>I83</f>
        <v>0.14849999999999999</v>
      </c>
      <c r="H25" s="135">
        <v>370.85</v>
      </c>
      <c r="I25" s="134">
        <f t="shared" si="0"/>
        <v>55.07</v>
      </c>
      <c r="K25" s="87"/>
      <c r="L25" s="87"/>
      <c r="M25" s="87"/>
      <c r="N25" s="87"/>
      <c r="O25" s="87"/>
    </row>
    <row r="26" spans="1:16" ht="77.25" customHeight="1">
      <c r="A26" s="722">
        <v>92434</v>
      </c>
      <c r="B26" s="140" t="s">
        <v>58</v>
      </c>
      <c r="C26" s="1551" t="s">
        <v>386</v>
      </c>
      <c r="D26" s="1574"/>
      <c r="E26" s="1575"/>
      <c r="F26" s="137" t="s">
        <v>57</v>
      </c>
      <c r="G26" s="138">
        <f>I92</f>
        <v>19.130000000000003</v>
      </c>
      <c r="H26" s="135">
        <v>37.200000000000003</v>
      </c>
      <c r="I26" s="134">
        <f t="shared" ref="I26" si="1">ROUND(G26*H26,2)</f>
        <v>711.64</v>
      </c>
      <c r="K26" s="87"/>
      <c r="L26" s="87"/>
      <c r="M26" s="87"/>
      <c r="N26" s="87"/>
      <c r="O26" s="87"/>
    </row>
    <row r="27" spans="1:16" ht="60.75" customHeight="1">
      <c r="A27" s="722">
        <v>92778</v>
      </c>
      <c r="B27" s="140" t="s">
        <v>58</v>
      </c>
      <c r="C27" s="1373" t="s">
        <v>388</v>
      </c>
      <c r="D27" s="1388"/>
      <c r="E27" s="1389"/>
      <c r="F27" s="137" t="s">
        <v>136</v>
      </c>
      <c r="G27" s="138">
        <f>I95</f>
        <v>28.1</v>
      </c>
      <c r="H27" s="135">
        <v>7.73</v>
      </c>
      <c r="I27" s="134">
        <f t="shared" ref="I27:I32" si="2">ROUND(G27*H27,2)</f>
        <v>217.21</v>
      </c>
      <c r="K27" s="87"/>
      <c r="L27" s="87"/>
      <c r="M27" s="87"/>
      <c r="N27" s="87"/>
      <c r="O27" s="87"/>
    </row>
    <row r="28" spans="1:16" ht="60.75" customHeight="1">
      <c r="A28" s="130">
        <v>92777</v>
      </c>
      <c r="B28" s="8" t="s">
        <v>58</v>
      </c>
      <c r="C28" s="1373" t="s">
        <v>384</v>
      </c>
      <c r="D28" s="1388"/>
      <c r="E28" s="1389"/>
      <c r="F28" s="8" t="s">
        <v>136</v>
      </c>
      <c r="G28" s="138">
        <f>I98</f>
        <v>24.6</v>
      </c>
      <c r="H28" s="135">
        <v>9.57</v>
      </c>
      <c r="I28" s="134">
        <f t="shared" si="2"/>
        <v>235.42</v>
      </c>
      <c r="K28" s="87"/>
      <c r="L28" s="87"/>
      <c r="M28" s="87"/>
      <c r="N28" s="87"/>
      <c r="O28" s="87"/>
    </row>
    <row r="29" spans="1:16" ht="60.75" customHeight="1">
      <c r="A29" s="130">
        <v>92776</v>
      </c>
      <c r="B29" s="181" t="s">
        <v>58</v>
      </c>
      <c r="C29" s="1571" t="s">
        <v>387</v>
      </c>
      <c r="D29" s="1572"/>
      <c r="E29" s="1573"/>
      <c r="F29" s="181" t="s">
        <v>136</v>
      </c>
      <c r="G29" s="138">
        <f>I101</f>
        <v>34.200000000000003</v>
      </c>
      <c r="H29" s="135">
        <v>10.08</v>
      </c>
      <c r="I29" s="134">
        <f t="shared" si="2"/>
        <v>344.74</v>
      </c>
      <c r="L29" s="126"/>
      <c r="M29" s="87"/>
      <c r="N29" s="87"/>
      <c r="O29" s="87"/>
      <c r="P29" s="87"/>
    </row>
    <row r="30" spans="1:16" ht="63.75" customHeight="1">
      <c r="A30" s="720">
        <v>92775</v>
      </c>
      <c r="B30" s="140" t="s">
        <v>58</v>
      </c>
      <c r="C30" s="1571" t="s">
        <v>295</v>
      </c>
      <c r="D30" s="1572"/>
      <c r="E30" s="1573"/>
      <c r="F30" s="137" t="s">
        <v>136</v>
      </c>
      <c r="G30" s="139">
        <f>I104</f>
        <v>48.3</v>
      </c>
      <c r="H30" s="135">
        <v>11.71</v>
      </c>
      <c r="I30" s="134">
        <f t="shared" si="2"/>
        <v>565.59</v>
      </c>
      <c r="M30" s="87"/>
      <c r="N30" s="87"/>
      <c r="O30" s="87"/>
      <c r="P30" s="87"/>
    </row>
    <row r="31" spans="1:16" ht="60" customHeight="1">
      <c r="A31" s="719">
        <v>92718</v>
      </c>
      <c r="B31" s="140" t="s">
        <v>58</v>
      </c>
      <c r="C31" s="1551" t="s">
        <v>237</v>
      </c>
      <c r="D31" s="1499"/>
      <c r="E31" s="1500"/>
      <c r="F31" s="140" t="s">
        <v>103</v>
      </c>
      <c r="G31" s="138">
        <f>I114</f>
        <v>2.1735000000000002</v>
      </c>
      <c r="H31" s="135">
        <v>418.06</v>
      </c>
      <c r="I31" s="134">
        <f t="shared" si="2"/>
        <v>908.65</v>
      </c>
      <c r="M31" s="87"/>
      <c r="N31" s="87"/>
      <c r="O31" s="87"/>
      <c r="P31" s="87"/>
    </row>
    <row r="32" spans="1:16" ht="84" customHeight="1">
      <c r="A32" s="1582">
        <v>89483</v>
      </c>
      <c r="B32" s="1584" t="s">
        <v>58</v>
      </c>
      <c r="C32" s="1551" t="s">
        <v>912</v>
      </c>
      <c r="D32" s="1499"/>
      <c r="E32" s="1500"/>
      <c r="F32" s="1584" t="s">
        <v>57</v>
      </c>
      <c r="G32" s="1586">
        <f>H121</f>
        <v>7.0949999999999998</v>
      </c>
      <c r="H32" s="1588">
        <v>77.430000000000007</v>
      </c>
      <c r="I32" s="1541">
        <f t="shared" si="2"/>
        <v>549.37</v>
      </c>
      <c r="M32" s="87"/>
      <c r="N32" s="87"/>
      <c r="O32" s="87"/>
    </row>
    <row r="33" spans="1:17">
      <c r="A33" s="1583"/>
      <c r="B33" s="1585"/>
      <c r="C33" s="1576" t="s">
        <v>1188</v>
      </c>
      <c r="D33" s="1577"/>
      <c r="E33" s="1578"/>
      <c r="F33" s="1585"/>
      <c r="G33" s="1587"/>
      <c r="H33" s="1589"/>
      <c r="I33" s="1542"/>
      <c r="M33" s="87"/>
      <c r="N33" s="87"/>
      <c r="O33" s="87"/>
    </row>
    <row r="34" spans="1:17" ht="60" customHeight="1">
      <c r="A34" s="719">
        <v>87894</v>
      </c>
      <c r="B34" s="140" t="s">
        <v>58</v>
      </c>
      <c r="C34" s="1373" t="s">
        <v>366</v>
      </c>
      <c r="D34" s="1388"/>
      <c r="E34" s="1389"/>
      <c r="F34" s="140" t="s">
        <v>57</v>
      </c>
      <c r="G34" s="139">
        <f>I130</f>
        <v>24.560000000000002</v>
      </c>
      <c r="H34" s="135">
        <v>4.47</v>
      </c>
      <c r="I34" s="134">
        <f>ROUND(G34*H34,2)</f>
        <v>109.78</v>
      </c>
      <c r="K34" s="87"/>
      <c r="L34" s="87"/>
      <c r="M34" s="87"/>
      <c r="N34" s="87"/>
      <c r="O34" s="87"/>
    </row>
    <row r="35" spans="1:17" ht="43.5" customHeight="1">
      <c r="A35" s="719">
        <v>120303</v>
      </c>
      <c r="B35" s="140" t="s">
        <v>56</v>
      </c>
      <c r="C35" s="1373" t="s">
        <v>367</v>
      </c>
      <c r="D35" s="1388"/>
      <c r="E35" s="1389"/>
      <c r="F35" s="140" t="s">
        <v>57</v>
      </c>
      <c r="G35" s="139">
        <f>H133</f>
        <v>24.560000000000002</v>
      </c>
      <c r="H35" s="135">
        <v>36.29</v>
      </c>
      <c r="I35" s="134">
        <f>ROUND(G35*H35,2)</f>
        <v>891.28</v>
      </c>
      <c r="K35" s="87"/>
      <c r="L35" s="87"/>
      <c r="M35" s="87"/>
      <c r="N35" s="87"/>
      <c r="O35" s="87"/>
    </row>
    <row r="36" spans="1:17" ht="30" customHeight="1">
      <c r="A36" s="719" t="s">
        <v>179</v>
      </c>
      <c r="B36" s="140" t="s">
        <v>58</v>
      </c>
      <c r="C36" s="1551" t="s">
        <v>180</v>
      </c>
      <c r="D36" s="1499"/>
      <c r="E36" s="1500"/>
      <c r="F36" s="140" t="s">
        <v>57</v>
      </c>
      <c r="G36" s="139">
        <f>H136</f>
        <v>6.5200000000000014</v>
      </c>
      <c r="H36" s="135">
        <v>15.45</v>
      </c>
      <c r="I36" s="134">
        <f>ROUND(G36*H36,2)</f>
        <v>100.73</v>
      </c>
      <c r="N36" s="87"/>
      <c r="O36" s="87"/>
    </row>
    <row r="37" spans="1:17" ht="30.75" customHeight="1">
      <c r="A37" s="719">
        <v>100203</v>
      </c>
      <c r="B37" s="140" t="s">
        <v>56</v>
      </c>
      <c r="C37" s="1373" t="s">
        <v>398</v>
      </c>
      <c r="D37" s="1388"/>
      <c r="E37" s="1389"/>
      <c r="F37" s="140" t="s">
        <v>57</v>
      </c>
      <c r="G37" s="597">
        <f>I141</f>
        <v>11.2</v>
      </c>
      <c r="H37" s="135">
        <v>30.69</v>
      </c>
      <c r="I37" s="134">
        <f>ROUND(G37*H37,2)</f>
        <v>343.73</v>
      </c>
    </row>
    <row r="38" spans="1:17" ht="13.5" customHeight="1">
      <c r="A38" s="192" t="s">
        <v>396</v>
      </c>
      <c r="B38" s="140" t="s">
        <v>58</v>
      </c>
      <c r="C38" s="1553" t="s">
        <v>397</v>
      </c>
      <c r="D38" s="1374"/>
      <c r="E38" s="1375"/>
      <c r="F38" s="140" t="s">
        <v>57</v>
      </c>
      <c r="G38" s="139">
        <f>I149</f>
        <v>18.32</v>
      </c>
      <c r="H38" s="135">
        <v>16.82</v>
      </c>
      <c r="I38" s="134">
        <f>ROUND(G38*H38,2)</f>
        <v>308.14</v>
      </c>
    </row>
    <row r="39" spans="1:17" ht="15.75">
      <c r="A39" s="192"/>
      <c r="B39" s="140"/>
      <c r="C39" s="1568" t="s">
        <v>1187</v>
      </c>
      <c r="D39" s="1569"/>
      <c r="E39" s="1570"/>
      <c r="F39" s="140"/>
      <c r="G39" s="139"/>
      <c r="H39" s="135"/>
      <c r="I39" s="134"/>
    </row>
    <row r="40" spans="1:17">
      <c r="A40" s="1376" t="s">
        <v>137</v>
      </c>
      <c r="B40" s="1377"/>
      <c r="C40" s="1377"/>
      <c r="D40" s="1377"/>
      <c r="E40" s="1377"/>
      <c r="F40" s="1377"/>
      <c r="G40" s="1377"/>
      <c r="H40" s="1378"/>
      <c r="I40" s="188">
        <f>SUM(I20:I38)</f>
        <v>5581.5700000000006</v>
      </c>
    </row>
    <row r="41" spans="1:17">
      <c r="A41" s="1379"/>
      <c r="B41" s="1380"/>
      <c r="C41" s="1380"/>
      <c r="D41" s="1380"/>
      <c r="E41" s="1380"/>
      <c r="F41" s="1380"/>
      <c r="G41" s="1380"/>
      <c r="H41" s="1380"/>
      <c r="I41" s="1381"/>
      <c r="K41" s="87"/>
      <c r="L41" s="87"/>
      <c r="M41" s="87"/>
      <c r="N41" s="87"/>
      <c r="O41" s="87"/>
      <c r="P41" s="87"/>
      <c r="Q41" s="87"/>
    </row>
    <row r="42" spans="1:17">
      <c r="A42" s="1382" t="s">
        <v>140</v>
      </c>
      <c r="B42" s="1383"/>
      <c r="C42" s="1383"/>
      <c r="D42" s="1383"/>
      <c r="E42" s="1383"/>
      <c r="F42" s="1383"/>
      <c r="G42" s="1383"/>
      <c r="H42" s="1383"/>
      <c r="I42" s="1384"/>
      <c r="K42" s="191"/>
      <c r="L42" s="87"/>
      <c r="M42" s="87"/>
      <c r="N42" s="87"/>
      <c r="O42" s="87"/>
      <c r="P42" s="87"/>
      <c r="Q42" s="87"/>
    </row>
    <row r="43" spans="1:17">
      <c r="A43" s="82" t="s">
        <v>130</v>
      </c>
      <c r="B43" s="654" t="s">
        <v>131</v>
      </c>
      <c r="C43" s="1427" t="s">
        <v>132</v>
      </c>
      <c r="D43" s="1428"/>
      <c r="E43" s="1429"/>
      <c r="F43" s="654" t="s">
        <v>104</v>
      </c>
      <c r="G43" s="654" t="s">
        <v>133</v>
      </c>
      <c r="H43" s="654" t="s">
        <v>134</v>
      </c>
      <c r="I43" s="83" t="s">
        <v>135</v>
      </c>
      <c r="K43" s="1090"/>
      <c r="L43" s="87"/>
      <c r="M43" s="87"/>
      <c r="N43" s="87"/>
      <c r="O43" s="87"/>
      <c r="P43" s="87"/>
      <c r="Q43" s="87"/>
    </row>
    <row r="44" spans="1:17">
      <c r="A44" s="79"/>
      <c r="B44" s="4"/>
      <c r="C44" s="1553"/>
      <c r="D44" s="1374"/>
      <c r="E44" s="1375"/>
      <c r="F44" s="4"/>
      <c r="G44" s="4"/>
      <c r="H44" s="4"/>
      <c r="I44" s="80"/>
      <c r="K44" s="87"/>
      <c r="L44" s="87"/>
      <c r="M44" s="87"/>
      <c r="N44" s="87"/>
      <c r="O44" s="87"/>
      <c r="P44" s="87"/>
      <c r="Q44" s="87"/>
    </row>
    <row r="45" spans="1:17">
      <c r="A45" s="79"/>
      <c r="B45" s="4"/>
      <c r="C45" s="1373"/>
      <c r="D45" s="1388"/>
      <c r="E45" s="1389"/>
      <c r="F45" s="4"/>
      <c r="G45" s="4"/>
      <c r="H45" s="4"/>
      <c r="I45" s="80"/>
      <c r="K45" s="87"/>
      <c r="L45" s="87"/>
      <c r="M45" s="87"/>
      <c r="N45" s="87"/>
      <c r="O45" s="87"/>
      <c r="P45" s="87"/>
      <c r="Q45" s="87"/>
    </row>
    <row r="46" spans="1:17">
      <c r="A46" s="1376" t="s">
        <v>196</v>
      </c>
      <c r="B46" s="1377"/>
      <c r="C46" s="1377"/>
      <c r="D46" s="1377"/>
      <c r="E46" s="1377"/>
      <c r="F46" s="1377"/>
      <c r="G46" s="1377"/>
      <c r="H46" s="1378"/>
      <c r="I46" s="80"/>
      <c r="K46" s="725"/>
      <c r="L46" s="87"/>
      <c r="M46" s="87"/>
      <c r="N46" s="87"/>
      <c r="O46" s="87"/>
      <c r="P46" s="87"/>
      <c r="Q46" s="87"/>
    </row>
    <row r="47" spans="1:17">
      <c r="A47" s="1379"/>
      <c r="B47" s="1380"/>
      <c r="C47" s="1380"/>
      <c r="D47" s="1380"/>
      <c r="E47" s="1380"/>
      <c r="F47" s="1380"/>
      <c r="G47" s="1380"/>
      <c r="H47" s="1380"/>
      <c r="I47" s="1381"/>
      <c r="K47" s="87"/>
      <c r="L47" s="87"/>
      <c r="M47" s="87"/>
      <c r="N47" s="87"/>
      <c r="O47" s="87"/>
      <c r="P47" s="87"/>
      <c r="Q47" s="87"/>
    </row>
    <row r="48" spans="1:17">
      <c r="A48" s="1382" t="s">
        <v>141</v>
      </c>
      <c r="B48" s="1383"/>
      <c r="C48" s="1383"/>
      <c r="D48" s="1383"/>
      <c r="E48" s="1383"/>
      <c r="F48" s="1383"/>
      <c r="G48" s="1383"/>
      <c r="H48" s="1383"/>
      <c r="I48" s="1384"/>
      <c r="K48" s="87"/>
      <c r="L48" s="87"/>
      <c r="M48" s="87"/>
      <c r="N48" s="87"/>
      <c r="O48" s="87"/>
      <c r="P48" s="87"/>
      <c r="Q48" s="87"/>
    </row>
    <row r="49" spans="1:17">
      <c r="A49" s="1413" t="s">
        <v>142</v>
      </c>
      <c r="B49" s="1414"/>
      <c r="C49" s="1414"/>
      <c r="D49" s="1414"/>
      <c r="E49" s="1414"/>
      <c r="F49" s="1414"/>
      <c r="G49" s="1414"/>
      <c r="H49" s="1415"/>
      <c r="I49" s="188">
        <f>I16</f>
        <v>12.180861</v>
      </c>
      <c r="K49" s="87"/>
      <c r="L49" s="87"/>
      <c r="M49" s="87"/>
      <c r="N49" s="87"/>
      <c r="O49" s="87"/>
      <c r="P49" s="87"/>
      <c r="Q49" s="87"/>
    </row>
    <row r="50" spans="1:17">
      <c r="A50" s="1413" t="s">
        <v>163</v>
      </c>
      <c r="B50" s="1414"/>
      <c r="C50" s="1414"/>
      <c r="D50" s="1414"/>
      <c r="E50" s="1414"/>
      <c r="F50" s="1414"/>
      <c r="G50" s="1414"/>
      <c r="H50" s="1415"/>
      <c r="I50" s="188">
        <f>I40</f>
        <v>5581.5700000000006</v>
      </c>
      <c r="K50" s="191"/>
      <c r="L50" s="87"/>
      <c r="M50" s="87"/>
      <c r="N50" s="87"/>
      <c r="O50" s="87"/>
      <c r="P50" s="87"/>
      <c r="Q50" s="87"/>
    </row>
    <row r="51" spans="1:17">
      <c r="A51" s="1413" t="s">
        <v>196</v>
      </c>
      <c r="B51" s="1414"/>
      <c r="C51" s="1414"/>
      <c r="D51" s="1414"/>
      <c r="E51" s="1414"/>
      <c r="F51" s="1414"/>
      <c r="G51" s="1414"/>
      <c r="H51" s="1415"/>
      <c r="I51" s="80"/>
      <c r="K51" s="87"/>
      <c r="L51" s="87"/>
      <c r="M51" s="87"/>
      <c r="N51" s="87"/>
      <c r="O51" s="87"/>
      <c r="P51" s="87"/>
      <c r="Q51" s="87"/>
    </row>
    <row r="52" spans="1:17">
      <c r="A52" s="1413" t="s">
        <v>391</v>
      </c>
      <c r="B52" s="1414"/>
      <c r="C52" s="1414"/>
      <c r="D52" s="1414"/>
      <c r="E52" s="1414"/>
      <c r="F52" s="1414"/>
      <c r="G52" s="1414"/>
      <c r="H52" s="1415"/>
      <c r="I52" s="188"/>
      <c r="K52" s="87"/>
      <c r="L52" s="87"/>
      <c r="M52" s="87"/>
      <c r="N52" s="191"/>
      <c r="O52" s="87"/>
      <c r="P52" s="87"/>
      <c r="Q52" s="87"/>
    </row>
    <row r="53" spans="1:17">
      <c r="A53" s="1413" t="s">
        <v>392</v>
      </c>
      <c r="B53" s="1414"/>
      <c r="C53" s="1414"/>
      <c r="D53" s="1414"/>
      <c r="E53" s="1414"/>
      <c r="F53" s="1414"/>
      <c r="G53" s="1414"/>
      <c r="H53" s="1415"/>
      <c r="I53" s="188">
        <f>I49+I50</f>
        <v>5593.7508610000004</v>
      </c>
      <c r="K53" s="87"/>
      <c r="L53" s="87"/>
      <c r="M53" s="87"/>
      <c r="N53" s="87"/>
      <c r="O53" s="87"/>
      <c r="P53" s="87"/>
      <c r="Q53" s="87"/>
    </row>
    <row r="54" spans="1:17">
      <c r="A54" s="1413" t="s">
        <v>393</v>
      </c>
      <c r="B54" s="1414"/>
      <c r="C54" s="1414"/>
      <c r="D54" s="1414"/>
      <c r="E54" s="1414"/>
      <c r="F54" s="1414"/>
      <c r="G54" s="1414"/>
      <c r="H54" s="1415"/>
      <c r="I54" s="188">
        <f>I53*26.54%</f>
        <v>1484.5814785093999</v>
      </c>
      <c r="K54" s="191"/>
      <c r="L54" s="87"/>
      <c r="M54" s="87"/>
      <c r="N54" s="191"/>
      <c r="O54" s="87"/>
      <c r="P54" s="87"/>
      <c r="Q54" s="87"/>
    </row>
    <row r="55" spans="1:17">
      <c r="A55" s="1408" t="s">
        <v>144</v>
      </c>
      <c r="B55" s="1409"/>
      <c r="C55" s="1409"/>
      <c r="D55" s="1409"/>
      <c r="E55" s="1409"/>
      <c r="F55" s="1409"/>
      <c r="G55" s="1409"/>
      <c r="H55" s="1409"/>
      <c r="I55" s="189">
        <f>I53+I54</f>
        <v>7078.3323395094003</v>
      </c>
      <c r="K55" s="87"/>
      <c r="L55" s="191"/>
      <c r="M55" s="87"/>
      <c r="N55" s="191"/>
      <c r="O55" s="87"/>
      <c r="P55" s="87"/>
      <c r="Q55" s="87"/>
    </row>
    <row r="56" spans="1:17" ht="15.75" thickBot="1">
      <c r="A56" s="1410"/>
      <c r="B56" s="1411"/>
      <c r="C56" s="1411"/>
      <c r="D56" s="1411"/>
      <c r="E56" s="1411"/>
      <c r="F56" s="1411"/>
      <c r="G56" s="1411"/>
      <c r="H56" s="1411"/>
      <c r="I56" s="1412"/>
      <c r="K56" s="87"/>
      <c r="L56" s="87"/>
      <c r="M56" s="87"/>
      <c r="N56" s="87"/>
      <c r="O56" s="87"/>
      <c r="P56" s="87"/>
      <c r="Q56" s="87"/>
    </row>
    <row r="57" spans="1:17" ht="39" customHeight="1" thickBot="1">
      <c r="A57" s="1501"/>
      <c r="B57" s="1501"/>
      <c r="C57" s="1501"/>
      <c r="D57" s="1501"/>
      <c r="E57" s="1501"/>
      <c r="F57" s="1501"/>
      <c r="G57" s="1501"/>
      <c r="H57" s="1501"/>
      <c r="I57" s="1501"/>
    </row>
    <row r="58" spans="1:17" ht="15.75" thickBot="1">
      <c r="A58" s="1127"/>
      <c r="B58" s="1128"/>
      <c r="C58" s="1128"/>
      <c r="D58" s="1128"/>
      <c r="E58" s="1128"/>
      <c r="F58" s="1128"/>
      <c r="G58" s="1128"/>
      <c r="H58" s="1128"/>
      <c r="I58" s="1129"/>
    </row>
    <row r="59" spans="1:17" ht="15.75" thickBot="1">
      <c r="A59" s="1537" t="s">
        <v>1159</v>
      </c>
      <c r="B59" s="1538"/>
      <c r="C59" s="1538"/>
      <c r="D59" s="1538"/>
      <c r="E59" s="1538"/>
      <c r="F59" s="1538"/>
      <c r="G59" s="1538"/>
      <c r="H59" s="1538"/>
      <c r="I59" s="1539"/>
    </row>
    <row r="60" spans="1:17" ht="30.75" customHeight="1">
      <c r="A60" s="1534" t="s">
        <v>394</v>
      </c>
      <c r="B60" s="1535"/>
      <c r="C60" s="1536"/>
      <c r="D60" s="1049" t="s">
        <v>1158</v>
      </c>
      <c r="E60" s="1049" t="s">
        <v>788</v>
      </c>
      <c r="F60" s="1049" t="s">
        <v>787</v>
      </c>
      <c r="G60" s="1049" t="s">
        <v>789</v>
      </c>
      <c r="H60" s="1049" t="s">
        <v>1154</v>
      </c>
      <c r="I60" s="1130" t="s">
        <v>1153</v>
      </c>
    </row>
    <row r="61" spans="1:17">
      <c r="A61" s="1492"/>
      <c r="B61" s="1493"/>
      <c r="C61" s="1493"/>
      <c r="D61" s="515">
        <v>2</v>
      </c>
      <c r="E61" s="1031">
        <v>0.9</v>
      </c>
      <c r="F61" s="515">
        <v>3.1</v>
      </c>
      <c r="G61" s="1095">
        <v>0.15</v>
      </c>
      <c r="H61" s="1027"/>
      <c r="I61" s="1131">
        <f>E61*F61*G61*D61</f>
        <v>0.83699999999999997</v>
      </c>
    </row>
    <row r="62" spans="1:17">
      <c r="A62" s="1529"/>
      <c r="B62" s="1530"/>
      <c r="C62" s="1530"/>
      <c r="D62" s="1024"/>
      <c r="E62" s="1024"/>
      <c r="F62" s="1024"/>
      <c r="G62" s="1025"/>
      <c r="H62" s="1026"/>
      <c r="I62" s="1132"/>
    </row>
    <row r="63" spans="1:17">
      <c r="A63" s="1581" t="s">
        <v>390</v>
      </c>
      <c r="B63" s="1555"/>
      <c r="C63" s="1556"/>
      <c r="D63" s="1049" t="s">
        <v>1158</v>
      </c>
      <c r="E63" s="1049" t="s">
        <v>788</v>
      </c>
      <c r="F63" s="1049" t="s">
        <v>787</v>
      </c>
      <c r="G63" s="1049" t="s">
        <v>789</v>
      </c>
      <c r="H63" s="1049" t="s">
        <v>1154</v>
      </c>
      <c r="I63" s="1130" t="s">
        <v>1153</v>
      </c>
    </row>
    <row r="64" spans="1:17">
      <c r="A64" s="1492"/>
      <c r="B64" s="1493"/>
      <c r="C64" s="1493"/>
      <c r="D64" s="515">
        <v>2</v>
      </c>
      <c r="E64" s="1031">
        <v>0.9</v>
      </c>
      <c r="F64" s="515">
        <v>3.1</v>
      </c>
      <c r="G64" s="1095">
        <v>0.15</v>
      </c>
      <c r="H64" s="1027"/>
      <c r="I64" s="1131">
        <f>E64*F64*G64*D64</f>
        <v>0.83699999999999997</v>
      </c>
    </row>
    <row r="65" spans="1:9">
      <c r="A65" s="1529"/>
      <c r="B65" s="1530"/>
      <c r="C65" s="1530"/>
      <c r="D65" s="1024"/>
      <c r="E65" s="1024"/>
      <c r="F65" s="1024"/>
      <c r="G65" s="1025"/>
      <c r="H65" s="1026"/>
      <c r="I65" s="1132"/>
    </row>
    <row r="66" spans="1:9">
      <c r="A66" s="1581" t="s">
        <v>225</v>
      </c>
      <c r="B66" s="1555"/>
      <c r="C66" s="1556"/>
      <c r="D66" s="1049" t="s">
        <v>1158</v>
      </c>
      <c r="E66" s="1049" t="s">
        <v>788</v>
      </c>
      <c r="F66" s="1049" t="s">
        <v>787</v>
      </c>
      <c r="G66" s="1049" t="s">
        <v>789</v>
      </c>
      <c r="H66" s="1049" t="s">
        <v>1154</v>
      </c>
      <c r="I66" s="1130" t="s">
        <v>1153</v>
      </c>
    </row>
    <row r="67" spans="1:9">
      <c r="A67" s="1492"/>
      <c r="B67" s="1493"/>
      <c r="C67" s="1493"/>
      <c r="D67" s="515">
        <v>2</v>
      </c>
      <c r="E67" s="1031">
        <v>0.9</v>
      </c>
      <c r="F67" s="515">
        <v>3.1</v>
      </c>
      <c r="G67" s="1095">
        <v>0.15</v>
      </c>
      <c r="H67" s="1027"/>
      <c r="I67" s="1131">
        <f>E67*F67*G67*D67</f>
        <v>0.83699999999999997</v>
      </c>
    </row>
    <row r="68" spans="1:9">
      <c r="A68" s="1592"/>
      <c r="B68" s="1593"/>
      <c r="C68" s="1593"/>
      <c r="D68" s="1073"/>
      <c r="E68" s="1073"/>
      <c r="F68" s="1073"/>
      <c r="G68" s="1074"/>
      <c r="H68" s="1028"/>
      <c r="I68" s="1134"/>
    </row>
    <row r="69" spans="1:9" ht="28.5" customHeight="1">
      <c r="A69" s="1594" t="s">
        <v>118</v>
      </c>
      <c r="B69" s="1595"/>
      <c r="C69" s="1595"/>
      <c r="D69" s="910" t="s">
        <v>1158</v>
      </c>
      <c r="E69" s="910" t="s">
        <v>788</v>
      </c>
      <c r="F69" s="910" t="s">
        <v>787</v>
      </c>
      <c r="G69" s="910" t="s">
        <v>789</v>
      </c>
      <c r="H69" s="910" t="s">
        <v>1154</v>
      </c>
      <c r="I69" s="83" t="s">
        <v>1153</v>
      </c>
    </row>
    <row r="70" spans="1:9">
      <c r="A70" s="1596" t="s">
        <v>1190</v>
      </c>
      <c r="B70" s="1597"/>
      <c r="C70" s="1598"/>
      <c r="D70" s="558"/>
      <c r="E70" s="1075"/>
      <c r="F70" s="558"/>
      <c r="G70" s="1029"/>
      <c r="H70" s="1076"/>
      <c r="I70" s="1149"/>
    </row>
    <row r="71" spans="1:9">
      <c r="A71" s="1560" t="s">
        <v>1191</v>
      </c>
      <c r="B71" s="1561"/>
      <c r="C71" s="1562"/>
      <c r="D71" s="558">
        <v>4</v>
      </c>
      <c r="E71" s="1063">
        <v>0.75</v>
      </c>
      <c r="F71" s="558">
        <v>0.75</v>
      </c>
      <c r="G71" s="1063">
        <v>0.55000000000000004</v>
      </c>
      <c r="H71" s="1076"/>
      <c r="I71" s="1149">
        <f>D71*E71*F71*G71</f>
        <v>1.2375</v>
      </c>
    </row>
    <row r="72" spans="1:9">
      <c r="A72" s="1560" t="s">
        <v>1192</v>
      </c>
      <c r="B72" s="1561"/>
      <c r="C72" s="1562"/>
      <c r="D72" s="558">
        <v>2</v>
      </c>
      <c r="E72" s="1063">
        <v>0.6</v>
      </c>
      <c r="F72" s="558">
        <v>0.6</v>
      </c>
      <c r="G72" s="1063">
        <v>0.55000000000000004</v>
      </c>
      <c r="H72" s="1076"/>
      <c r="I72" s="1149">
        <f>D72*E72*F72*G72</f>
        <v>0.39600000000000002</v>
      </c>
    </row>
    <row r="73" spans="1:9">
      <c r="A73" s="1560"/>
      <c r="B73" s="1561"/>
      <c r="C73" s="1562"/>
      <c r="D73" s="1037"/>
      <c r="E73" s="1096"/>
      <c r="F73" s="1037"/>
      <c r="G73" s="1037"/>
      <c r="H73" s="1081" t="s">
        <v>1005</v>
      </c>
      <c r="I73" s="1150">
        <f>SUM(I71:I72)</f>
        <v>1.6335000000000002</v>
      </c>
    </row>
    <row r="74" spans="1:9">
      <c r="A74" s="1590"/>
      <c r="B74" s="1591"/>
      <c r="C74" s="1591"/>
      <c r="D74" s="1070"/>
      <c r="E74" s="1070"/>
      <c r="F74" s="1070"/>
      <c r="G74" s="1071"/>
      <c r="H74" s="1072"/>
      <c r="I74" s="1151"/>
    </row>
    <row r="75" spans="1:9">
      <c r="A75" s="1581" t="s">
        <v>121</v>
      </c>
      <c r="B75" s="1555"/>
      <c r="C75" s="1556"/>
      <c r="D75" s="910" t="s">
        <v>1158</v>
      </c>
      <c r="E75" s="910" t="s">
        <v>788</v>
      </c>
      <c r="F75" s="910" t="s">
        <v>787</v>
      </c>
      <c r="G75" s="910" t="s">
        <v>789</v>
      </c>
      <c r="H75" s="910" t="s">
        <v>1154</v>
      </c>
      <c r="I75" s="83" t="s">
        <v>1153</v>
      </c>
    </row>
    <row r="76" spans="1:9" ht="30" customHeight="1">
      <c r="A76" s="1600" t="s">
        <v>1200</v>
      </c>
      <c r="B76" s="1601"/>
      <c r="C76" s="1602"/>
      <c r="D76" s="1080"/>
      <c r="E76" s="1085"/>
      <c r="F76" s="1080"/>
      <c r="G76" s="1080"/>
      <c r="H76" s="1086"/>
      <c r="I76" s="1152">
        <f>I77-I78</f>
        <v>0.81900000000000017</v>
      </c>
    </row>
    <row r="77" spans="1:9">
      <c r="A77" s="1513" t="s">
        <v>1201</v>
      </c>
      <c r="B77" s="1514"/>
      <c r="C77" s="1515"/>
      <c r="D77" s="1037"/>
      <c r="E77" s="1096"/>
      <c r="F77" s="1037"/>
      <c r="G77" s="1037"/>
      <c r="H77" s="1036"/>
      <c r="I77" s="1153">
        <f>I73</f>
        <v>1.6335000000000002</v>
      </c>
    </row>
    <row r="78" spans="1:9">
      <c r="A78" s="1513" t="s">
        <v>1202</v>
      </c>
      <c r="B78" s="1514"/>
      <c r="C78" s="1515"/>
      <c r="D78" s="1037"/>
      <c r="E78" s="1096"/>
      <c r="F78" s="1037"/>
      <c r="G78" s="1037"/>
      <c r="H78" s="1036"/>
      <c r="I78" s="1153">
        <f>I107+I108+I109</f>
        <v>0.8145</v>
      </c>
    </row>
    <row r="79" spans="1:9">
      <c r="A79" s="1590"/>
      <c r="B79" s="1591"/>
      <c r="C79" s="1591"/>
      <c r="D79" s="1070"/>
      <c r="E79" s="1070"/>
      <c r="F79" s="1070"/>
      <c r="G79" s="1071"/>
      <c r="H79" s="1072"/>
      <c r="I79" s="1151"/>
    </row>
    <row r="80" spans="1:9" ht="30.75" customHeight="1">
      <c r="A80" s="1498" t="s">
        <v>290</v>
      </c>
      <c r="B80" s="1574"/>
      <c r="C80" s="1575"/>
      <c r="D80" s="910" t="s">
        <v>1158</v>
      </c>
      <c r="E80" s="910" t="s">
        <v>788</v>
      </c>
      <c r="F80" s="910" t="s">
        <v>787</v>
      </c>
      <c r="G80" s="910" t="s">
        <v>789</v>
      </c>
      <c r="H80" s="910" t="s">
        <v>1154</v>
      </c>
      <c r="I80" s="83" t="s">
        <v>1153</v>
      </c>
    </row>
    <row r="81" spans="1:9">
      <c r="A81" s="1560" t="s">
        <v>1191</v>
      </c>
      <c r="B81" s="1561"/>
      <c r="C81" s="1562"/>
      <c r="D81" s="530">
        <v>4</v>
      </c>
      <c r="E81" s="1096">
        <v>0.75</v>
      </c>
      <c r="F81" s="1037">
        <v>0.75</v>
      </c>
      <c r="G81" s="1037">
        <v>0.05</v>
      </c>
      <c r="H81" s="1036"/>
      <c r="I81" s="1154">
        <f>D81*E81*F81*G81</f>
        <v>0.1125</v>
      </c>
    </row>
    <row r="82" spans="1:9">
      <c r="A82" s="1560" t="s">
        <v>1192</v>
      </c>
      <c r="B82" s="1561"/>
      <c r="C82" s="1562"/>
      <c r="D82" s="530">
        <v>2</v>
      </c>
      <c r="E82" s="1082">
        <v>0.6</v>
      </c>
      <c r="F82" s="530">
        <v>0.6</v>
      </c>
      <c r="G82" s="1037">
        <v>0.05</v>
      </c>
      <c r="H82" s="1036"/>
      <c r="I82" s="1154">
        <f>D82*E82*F82*G82</f>
        <v>3.5999999999999997E-2</v>
      </c>
    </row>
    <row r="83" spans="1:9">
      <c r="A83" s="1560"/>
      <c r="B83" s="1561"/>
      <c r="C83" s="1562"/>
      <c r="D83" s="1037"/>
      <c r="E83" s="1096"/>
      <c r="F83" s="1037"/>
      <c r="G83" s="1037"/>
      <c r="H83" s="1081" t="s">
        <v>1005</v>
      </c>
      <c r="I83" s="1150">
        <f>SUM(I81:I82)</f>
        <v>0.14849999999999999</v>
      </c>
    </row>
    <row r="84" spans="1:9">
      <c r="A84" s="1592"/>
      <c r="B84" s="1593"/>
      <c r="C84" s="1593"/>
      <c r="D84" s="1073"/>
      <c r="E84" s="1073"/>
      <c r="F84" s="1073"/>
      <c r="G84" s="1074"/>
      <c r="H84" s="1028"/>
      <c r="I84" s="1134"/>
    </row>
    <row r="85" spans="1:9" ht="75.75" customHeight="1">
      <c r="A85" s="1498" t="s">
        <v>386</v>
      </c>
      <c r="B85" s="1574"/>
      <c r="C85" s="1575"/>
      <c r="D85" s="910" t="s">
        <v>1158</v>
      </c>
      <c r="E85" s="910" t="s">
        <v>788</v>
      </c>
      <c r="F85" s="910" t="s">
        <v>787</v>
      </c>
      <c r="G85" s="910" t="s">
        <v>789</v>
      </c>
      <c r="H85" s="910" t="s">
        <v>1154</v>
      </c>
      <c r="I85" s="83" t="s">
        <v>1153</v>
      </c>
    </row>
    <row r="86" spans="1:9" ht="15.75" thickBot="1">
      <c r="A86" s="1155"/>
      <c r="B86" s="1108"/>
      <c r="C86" s="1108"/>
      <c r="D86" s="1109"/>
      <c r="E86" s="1109"/>
      <c r="F86" s="1109"/>
      <c r="G86" s="1109"/>
      <c r="H86" s="1109"/>
      <c r="I86" s="1156"/>
    </row>
    <row r="87" spans="1:9">
      <c r="A87" s="1112" t="s">
        <v>274</v>
      </c>
      <c r="B87" s="1003" t="s">
        <v>275</v>
      </c>
      <c r="C87" s="1113" t="s">
        <v>268</v>
      </c>
      <c r="D87" s="1003" t="s">
        <v>276</v>
      </c>
      <c r="E87" s="1003" t="s">
        <v>277</v>
      </c>
      <c r="F87" s="1003" t="s">
        <v>278</v>
      </c>
      <c r="G87" s="1003" t="s">
        <v>279</v>
      </c>
      <c r="H87" s="1003" t="s">
        <v>241</v>
      </c>
      <c r="I87" s="1114" t="s">
        <v>280</v>
      </c>
    </row>
    <row r="88" spans="1:9">
      <c r="A88" s="104" t="s">
        <v>271</v>
      </c>
      <c r="B88" s="3">
        <v>0.2</v>
      </c>
      <c r="C88" s="4">
        <v>0.2</v>
      </c>
      <c r="D88" s="3">
        <v>0.2</v>
      </c>
      <c r="E88" s="3">
        <v>0.2</v>
      </c>
      <c r="F88" s="3">
        <v>0.75</v>
      </c>
      <c r="G88" s="3">
        <f>(B88+C88+D88+E88)*F88</f>
        <v>0.60000000000000009</v>
      </c>
      <c r="H88" s="3">
        <v>6</v>
      </c>
      <c r="I88" s="110">
        <f>H88*G88</f>
        <v>3.6000000000000005</v>
      </c>
    </row>
    <row r="89" spans="1:9">
      <c r="A89" s="104" t="s">
        <v>1220</v>
      </c>
      <c r="B89" s="3">
        <v>0.25</v>
      </c>
      <c r="C89" s="4">
        <v>0.25</v>
      </c>
      <c r="D89" s="3">
        <v>0.2</v>
      </c>
      <c r="E89" s="3"/>
      <c r="F89" s="106">
        <v>0.9</v>
      </c>
      <c r="G89" s="173">
        <f>(B89+C89+D89+E89)*F89</f>
        <v>0.63</v>
      </c>
      <c r="H89" s="3">
        <v>3</v>
      </c>
      <c r="I89" s="110">
        <f>H89*G89</f>
        <v>1.8900000000000001</v>
      </c>
    </row>
    <row r="90" spans="1:9" ht="38.25">
      <c r="A90" s="1107" t="s">
        <v>1221</v>
      </c>
      <c r="B90" s="3">
        <v>0.6</v>
      </c>
      <c r="C90" s="4">
        <v>0.25</v>
      </c>
      <c r="D90" s="3">
        <v>0.25</v>
      </c>
      <c r="E90" s="3"/>
      <c r="F90" s="106">
        <v>3.1</v>
      </c>
      <c r="G90" s="173">
        <f>(B90+C90+D90+E90)*F90</f>
        <v>3.4100000000000006</v>
      </c>
      <c r="H90" s="3">
        <v>4</v>
      </c>
      <c r="I90" s="110">
        <f>H90*G90</f>
        <v>13.640000000000002</v>
      </c>
    </row>
    <row r="91" spans="1:9">
      <c r="A91" s="1102"/>
      <c r="B91" s="1103"/>
      <c r="C91" s="1110"/>
      <c r="D91" s="1103"/>
      <c r="E91" s="1103"/>
      <c r="F91" s="1104"/>
      <c r="G91" s="1105"/>
      <c r="H91" s="1103"/>
      <c r="I91" s="1106"/>
    </row>
    <row r="92" spans="1:9" ht="15.75" thickBot="1">
      <c r="A92" s="111"/>
      <c r="B92" s="112"/>
      <c r="C92" s="1111"/>
      <c r="D92" s="112"/>
      <c r="E92" s="112"/>
      <c r="F92" s="112"/>
      <c r="G92" s="113" t="s">
        <v>245</v>
      </c>
      <c r="H92" s="112"/>
      <c r="I92" s="114">
        <f>SUM(I88:I90)</f>
        <v>19.130000000000003</v>
      </c>
    </row>
    <row r="93" spans="1:9">
      <c r="A93" s="1592"/>
      <c r="B93" s="1593"/>
      <c r="C93" s="1593"/>
      <c r="D93" s="1073"/>
      <c r="E93" s="1073"/>
      <c r="F93" s="1073"/>
      <c r="G93" s="1074"/>
      <c r="H93" s="1028"/>
      <c r="I93" s="1134"/>
    </row>
    <row r="94" spans="1:9" ht="64.5" customHeight="1">
      <c r="A94" s="1566" t="s">
        <v>388</v>
      </c>
      <c r="B94" s="1388"/>
      <c r="C94" s="1389"/>
      <c r="D94" s="910" t="s">
        <v>1158</v>
      </c>
      <c r="E94" s="910" t="s">
        <v>788</v>
      </c>
      <c r="F94" s="910" t="s">
        <v>787</v>
      </c>
      <c r="G94" s="910" t="s">
        <v>789</v>
      </c>
      <c r="H94" s="910" t="s">
        <v>1154</v>
      </c>
      <c r="I94" s="83" t="s">
        <v>136</v>
      </c>
    </row>
    <row r="95" spans="1:9" ht="31.5" customHeight="1">
      <c r="A95" s="1599" t="s">
        <v>1203</v>
      </c>
      <c r="B95" s="1307"/>
      <c r="C95" s="1308"/>
      <c r="D95" s="1037"/>
      <c r="E95" s="1096"/>
      <c r="F95" s="1037"/>
      <c r="G95" s="1037"/>
      <c r="H95" s="1036"/>
      <c r="I95" s="1154">
        <v>28.1</v>
      </c>
    </row>
    <row r="96" spans="1:9">
      <c r="A96" s="1592"/>
      <c r="B96" s="1593"/>
      <c r="C96" s="1593"/>
      <c r="D96" s="1073"/>
      <c r="E96" s="1073"/>
      <c r="F96" s="1073"/>
      <c r="G96" s="1074"/>
      <c r="H96" s="1028"/>
      <c r="I96" s="1134"/>
    </row>
    <row r="97" spans="1:9" ht="74.25" customHeight="1">
      <c r="A97" s="1566" t="s">
        <v>384</v>
      </c>
      <c r="B97" s="1388"/>
      <c r="C97" s="1389"/>
      <c r="D97" s="910" t="s">
        <v>1158</v>
      </c>
      <c r="E97" s="910" t="s">
        <v>788</v>
      </c>
      <c r="F97" s="910" t="s">
        <v>787</v>
      </c>
      <c r="G97" s="910" t="s">
        <v>789</v>
      </c>
      <c r="H97" s="910" t="s">
        <v>1154</v>
      </c>
      <c r="I97" s="83" t="s">
        <v>136</v>
      </c>
    </row>
    <row r="98" spans="1:9" ht="31.5" customHeight="1">
      <c r="A98" s="1599" t="s">
        <v>1203</v>
      </c>
      <c r="B98" s="1307"/>
      <c r="C98" s="1308"/>
      <c r="D98" s="1037"/>
      <c r="E98" s="1096"/>
      <c r="F98" s="1037"/>
      <c r="G98" s="1037"/>
      <c r="H98" s="1036"/>
      <c r="I98" s="1154">
        <v>24.6</v>
      </c>
    </row>
    <row r="99" spans="1:9">
      <c r="A99" s="1592"/>
      <c r="B99" s="1593"/>
      <c r="C99" s="1593"/>
      <c r="D99" s="1073"/>
      <c r="E99" s="1073"/>
      <c r="F99" s="1073"/>
      <c r="G99" s="1074"/>
      <c r="H99" s="1028"/>
      <c r="I99" s="1134"/>
    </row>
    <row r="100" spans="1:9" ht="61.5" customHeight="1">
      <c r="A100" s="1603" t="s">
        <v>387</v>
      </c>
      <c r="B100" s="1572"/>
      <c r="C100" s="1573"/>
      <c r="D100" s="910" t="s">
        <v>1158</v>
      </c>
      <c r="E100" s="910" t="s">
        <v>788</v>
      </c>
      <c r="F100" s="910" t="s">
        <v>787</v>
      </c>
      <c r="G100" s="910" t="s">
        <v>789</v>
      </c>
      <c r="H100" s="910" t="s">
        <v>1154</v>
      </c>
      <c r="I100" s="83" t="s">
        <v>136</v>
      </c>
    </row>
    <row r="101" spans="1:9" ht="30" customHeight="1">
      <c r="A101" s="1599" t="s">
        <v>1203</v>
      </c>
      <c r="B101" s="1307"/>
      <c r="C101" s="1308"/>
      <c r="D101" s="1037"/>
      <c r="E101" s="1096"/>
      <c r="F101" s="1037"/>
      <c r="G101" s="1037"/>
      <c r="H101" s="1036"/>
      <c r="I101" s="1154">
        <v>34.200000000000003</v>
      </c>
    </row>
    <row r="102" spans="1:9">
      <c r="A102" s="1592"/>
      <c r="B102" s="1593"/>
      <c r="C102" s="1593"/>
      <c r="D102" s="1073"/>
      <c r="E102" s="1073"/>
      <c r="F102" s="1073"/>
      <c r="G102" s="1074"/>
      <c r="H102" s="1028"/>
      <c r="I102" s="1134"/>
    </row>
    <row r="103" spans="1:9" ht="62.25" customHeight="1">
      <c r="A103" s="1603" t="s">
        <v>295</v>
      </c>
      <c r="B103" s="1572"/>
      <c r="C103" s="1573"/>
      <c r="D103" s="910" t="s">
        <v>1158</v>
      </c>
      <c r="E103" s="910" t="s">
        <v>788</v>
      </c>
      <c r="F103" s="910" t="s">
        <v>787</v>
      </c>
      <c r="G103" s="910" t="s">
        <v>789</v>
      </c>
      <c r="H103" s="910" t="s">
        <v>1154</v>
      </c>
      <c r="I103" s="83" t="s">
        <v>136</v>
      </c>
    </row>
    <row r="104" spans="1:9" ht="30" customHeight="1">
      <c r="A104" s="1599" t="s">
        <v>1203</v>
      </c>
      <c r="B104" s="1307"/>
      <c r="C104" s="1308"/>
      <c r="D104" s="1037"/>
      <c r="E104" s="1096"/>
      <c r="F104" s="1037"/>
      <c r="G104" s="1037"/>
      <c r="H104" s="1036"/>
      <c r="I104" s="1154">
        <v>48.3</v>
      </c>
    </row>
    <row r="105" spans="1:9">
      <c r="A105" s="1592"/>
      <c r="B105" s="1593"/>
      <c r="C105" s="1593"/>
      <c r="D105" s="1073"/>
      <c r="E105" s="1073"/>
      <c r="F105" s="1073"/>
      <c r="G105" s="1074"/>
      <c r="H105" s="1028"/>
      <c r="I105" s="1134"/>
    </row>
    <row r="106" spans="1:9" ht="61.5" customHeight="1">
      <c r="A106" s="1498" t="s">
        <v>237</v>
      </c>
      <c r="B106" s="1499"/>
      <c r="C106" s="1500"/>
      <c r="D106" s="910" t="s">
        <v>1158</v>
      </c>
      <c r="E106" s="910" t="s">
        <v>788</v>
      </c>
      <c r="F106" s="910" t="s">
        <v>787</v>
      </c>
      <c r="G106" s="910" t="s">
        <v>789</v>
      </c>
      <c r="H106" s="910" t="s">
        <v>1154</v>
      </c>
      <c r="I106" s="83" t="s">
        <v>1153</v>
      </c>
    </row>
    <row r="107" spans="1:9">
      <c r="A107" s="1513" t="s">
        <v>1193</v>
      </c>
      <c r="B107" s="1514"/>
      <c r="C107" s="1515"/>
      <c r="D107" s="530">
        <v>4</v>
      </c>
      <c r="E107" s="1082">
        <v>0.75</v>
      </c>
      <c r="F107" s="530">
        <v>0.75</v>
      </c>
      <c r="G107" s="530">
        <v>0.25</v>
      </c>
      <c r="H107" s="1036"/>
      <c r="I107" s="1154">
        <f>D107*E107*F107*G107</f>
        <v>0.5625</v>
      </c>
    </row>
    <row r="108" spans="1:9">
      <c r="A108" s="1513" t="s">
        <v>1194</v>
      </c>
      <c r="B108" s="1514"/>
      <c r="C108" s="1515"/>
      <c r="D108" s="530">
        <v>2</v>
      </c>
      <c r="E108" s="1082">
        <v>0.6</v>
      </c>
      <c r="F108" s="530">
        <v>0.6</v>
      </c>
      <c r="G108" s="1037">
        <v>0.25</v>
      </c>
      <c r="H108" s="1036"/>
      <c r="I108" s="1154">
        <f t="shared" ref="I108:I113" si="3">D108*E108*F108*G108</f>
        <v>0.18</v>
      </c>
    </row>
    <row r="109" spans="1:9">
      <c r="A109" s="1513" t="s">
        <v>1198</v>
      </c>
      <c r="B109" s="1514"/>
      <c r="C109" s="1515"/>
      <c r="D109" s="530">
        <v>6</v>
      </c>
      <c r="E109" s="1082">
        <v>0.2</v>
      </c>
      <c r="F109" s="530">
        <v>0.2</v>
      </c>
      <c r="G109" s="530">
        <v>0.3</v>
      </c>
      <c r="H109" s="1036"/>
      <c r="I109" s="1154">
        <f t="shared" si="3"/>
        <v>7.2000000000000008E-2</v>
      </c>
    </row>
    <row r="110" spans="1:9">
      <c r="A110" s="1513" t="s">
        <v>1199</v>
      </c>
      <c r="B110" s="1514"/>
      <c r="C110" s="1515"/>
      <c r="D110" s="530">
        <v>6</v>
      </c>
      <c r="E110" s="1082">
        <v>0.2</v>
      </c>
      <c r="F110" s="530">
        <v>0.2</v>
      </c>
      <c r="G110" s="530">
        <v>0.2</v>
      </c>
      <c r="H110" s="1036"/>
      <c r="I110" s="1154">
        <f t="shared" si="3"/>
        <v>4.8000000000000015E-2</v>
      </c>
    </row>
    <row r="111" spans="1:9">
      <c r="A111" s="1513" t="s">
        <v>1195</v>
      </c>
      <c r="B111" s="1514"/>
      <c r="C111" s="1515"/>
      <c r="D111" s="530">
        <v>2</v>
      </c>
      <c r="E111" s="1082">
        <v>0.2</v>
      </c>
      <c r="F111" s="530">
        <v>0.25</v>
      </c>
      <c r="G111" s="530">
        <v>6.8</v>
      </c>
      <c r="H111" s="1036"/>
      <c r="I111" s="1154">
        <f t="shared" si="3"/>
        <v>0.68</v>
      </c>
    </row>
    <row r="112" spans="1:9">
      <c r="A112" s="1513" t="s">
        <v>1196</v>
      </c>
      <c r="B112" s="1514"/>
      <c r="C112" s="1515"/>
      <c r="D112" s="530">
        <v>3</v>
      </c>
      <c r="E112" s="1082">
        <v>0.2</v>
      </c>
      <c r="F112" s="530">
        <v>0.25</v>
      </c>
      <c r="G112" s="530">
        <v>0.9</v>
      </c>
      <c r="H112" s="1036"/>
      <c r="I112" s="1154">
        <f t="shared" si="3"/>
        <v>0.13500000000000004</v>
      </c>
    </row>
    <row r="113" spans="1:12">
      <c r="A113" s="1513" t="s">
        <v>1197</v>
      </c>
      <c r="B113" s="1514"/>
      <c r="C113" s="1515"/>
      <c r="D113" s="530">
        <v>4</v>
      </c>
      <c r="E113" s="1082">
        <v>0.4</v>
      </c>
      <c r="F113" s="530">
        <v>3.1</v>
      </c>
      <c r="G113" s="530">
        <v>0.1</v>
      </c>
      <c r="H113" s="1036"/>
      <c r="I113" s="1154">
        <f t="shared" si="3"/>
        <v>0.49600000000000011</v>
      </c>
    </row>
    <row r="114" spans="1:12">
      <c r="A114" s="1560"/>
      <c r="B114" s="1561"/>
      <c r="C114" s="1562"/>
      <c r="D114" s="1037"/>
      <c r="E114" s="1096"/>
      <c r="F114" s="1037"/>
      <c r="G114" s="1037"/>
      <c r="H114" s="1084" t="s">
        <v>1005</v>
      </c>
      <c r="I114" s="1157">
        <f>SUM(I107:I113)</f>
        <v>2.1735000000000002</v>
      </c>
      <c r="K114" s="126"/>
      <c r="L114" s="1087"/>
    </row>
    <row r="115" spans="1:12">
      <c r="A115" s="1592"/>
      <c r="B115" s="1593"/>
      <c r="C115" s="1593"/>
      <c r="D115" s="1073"/>
      <c r="E115" s="1073"/>
      <c r="F115" s="1073"/>
      <c r="G115" s="1074"/>
      <c r="H115" s="1028"/>
      <c r="I115" s="1134"/>
    </row>
    <row r="116" spans="1:12" ht="78.75" customHeight="1">
      <c r="A116" s="1498" t="s">
        <v>912</v>
      </c>
      <c r="B116" s="1499"/>
      <c r="C116" s="1500"/>
      <c r="D116" s="910" t="s">
        <v>1158</v>
      </c>
      <c r="E116" s="910" t="s">
        <v>788</v>
      </c>
      <c r="F116" s="910" t="s">
        <v>787</v>
      </c>
      <c r="G116" s="910" t="s">
        <v>789</v>
      </c>
      <c r="H116" s="910" t="s">
        <v>1154</v>
      </c>
      <c r="I116" s="83" t="s">
        <v>1153</v>
      </c>
    </row>
    <row r="117" spans="1:12">
      <c r="A117" s="1560"/>
      <c r="B117" s="1561"/>
      <c r="C117" s="1562"/>
      <c r="D117" s="530">
        <v>4</v>
      </c>
      <c r="E117" s="1096"/>
      <c r="F117" s="530">
        <v>3.1</v>
      </c>
      <c r="G117" s="530">
        <v>0.2</v>
      </c>
      <c r="H117" s="490">
        <f>D117*F117*G117</f>
        <v>2.4800000000000004</v>
      </c>
      <c r="I117" s="1154"/>
    </row>
    <row r="118" spans="1:12">
      <c r="A118" s="1560"/>
      <c r="B118" s="1561"/>
      <c r="C118" s="1562"/>
      <c r="D118" s="530">
        <v>3</v>
      </c>
      <c r="E118" s="1096"/>
      <c r="F118" s="530">
        <v>0.9</v>
      </c>
      <c r="G118" s="530">
        <v>0.2</v>
      </c>
      <c r="H118" s="490">
        <f>D118*F118*G118</f>
        <v>0.54</v>
      </c>
      <c r="I118" s="1154"/>
    </row>
    <row r="119" spans="1:12">
      <c r="A119" s="1560"/>
      <c r="B119" s="1561"/>
      <c r="C119" s="1562"/>
      <c r="D119" s="530">
        <v>2</v>
      </c>
      <c r="E119" s="1096"/>
      <c r="F119" s="530">
        <v>6.8</v>
      </c>
      <c r="G119" s="1037">
        <v>0.25</v>
      </c>
      <c r="H119" s="490">
        <f>D119*F119*G119</f>
        <v>3.4</v>
      </c>
      <c r="I119" s="1154"/>
    </row>
    <row r="120" spans="1:12">
      <c r="A120" s="1560"/>
      <c r="B120" s="1561"/>
      <c r="C120" s="1562"/>
      <c r="D120" s="530">
        <v>3</v>
      </c>
      <c r="E120" s="1096"/>
      <c r="F120" s="530">
        <v>0.9</v>
      </c>
      <c r="G120" s="1037">
        <v>0.25</v>
      </c>
      <c r="H120" s="490">
        <f>D120*F120*G120</f>
        <v>0.67500000000000004</v>
      </c>
      <c r="I120" s="1154"/>
    </row>
    <row r="121" spans="1:12">
      <c r="A121" s="1560"/>
      <c r="B121" s="1561"/>
      <c r="C121" s="1562"/>
      <c r="D121" s="530"/>
      <c r="E121" s="1096"/>
      <c r="F121" s="1037"/>
      <c r="G121" s="1084" t="s">
        <v>1005</v>
      </c>
      <c r="H121" s="1083">
        <f>SUM(H117:H120)</f>
        <v>7.0949999999999998</v>
      </c>
      <c r="I121" s="1154"/>
    </row>
    <row r="122" spans="1:12">
      <c r="A122" s="1560"/>
      <c r="B122" s="1561"/>
      <c r="C122" s="1562"/>
      <c r="D122" s="1037"/>
      <c r="E122" s="1096"/>
      <c r="F122" s="1037"/>
      <c r="G122" s="1037"/>
      <c r="H122" s="1036"/>
      <c r="I122" s="1154"/>
    </row>
    <row r="123" spans="1:12" ht="66" customHeight="1">
      <c r="A123" s="1566" t="s">
        <v>366</v>
      </c>
      <c r="B123" s="1388"/>
      <c r="C123" s="1389"/>
      <c r="D123" s="910" t="s">
        <v>1158</v>
      </c>
      <c r="E123" s="910" t="s">
        <v>788</v>
      </c>
      <c r="F123" s="910" t="s">
        <v>787</v>
      </c>
      <c r="G123" s="910" t="s">
        <v>789</v>
      </c>
      <c r="H123" s="910" t="s">
        <v>1154</v>
      </c>
      <c r="I123" s="83" t="s">
        <v>1205</v>
      </c>
    </row>
    <row r="124" spans="1:12" ht="60">
      <c r="A124" s="1560"/>
      <c r="B124" s="1561"/>
      <c r="C124" s="1562"/>
      <c r="D124" s="1037"/>
      <c r="E124" s="1096"/>
      <c r="F124" s="1037"/>
      <c r="G124" s="1037"/>
      <c r="H124" s="1088" t="s">
        <v>1209</v>
      </c>
      <c r="I124" s="1158" t="s">
        <v>1204</v>
      </c>
    </row>
    <row r="125" spans="1:12">
      <c r="A125" s="1483" t="s">
        <v>1206</v>
      </c>
      <c r="B125" s="1484"/>
      <c r="C125" s="1485"/>
      <c r="D125" s="530">
        <v>2</v>
      </c>
      <c r="E125" s="1096"/>
      <c r="F125" s="530">
        <v>6.8</v>
      </c>
      <c r="G125" s="530">
        <v>0.7</v>
      </c>
      <c r="H125" s="490">
        <f>4*3.1*0.1</f>
        <v>1.2400000000000002</v>
      </c>
      <c r="I125" s="1154">
        <f>(D125*F125*G125)-H125</f>
        <v>8.2799999999999994</v>
      </c>
    </row>
    <row r="126" spans="1:12">
      <c r="A126" s="1483" t="s">
        <v>1207</v>
      </c>
      <c r="B126" s="1484"/>
      <c r="C126" s="1485"/>
      <c r="D126" s="530">
        <v>4</v>
      </c>
      <c r="E126" s="1096"/>
      <c r="F126" s="530">
        <v>3.1</v>
      </c>
      <c r="G126" s="530">
        <v>0.7</v>
      </c>
      <c r="H126" s="490"/>
      <c r="I126" s="1154">
        <f>(D126*F126*G126)-H126</f>
        <v>8.68</v>
      </c>
    </row>
    <row r="127" spans="1:12">
      <c r="A127" s="1483" t="s">
        <v>1207</v>
      </c>
      <c r="B127" s="1484"/>
      <c r="C127" s="1485"/>
      <c r="D127" s="530">
        <v>4</v>
      </c>
      <c r="E127" s="1082"/>
      <c r="F127" s="530">
        <v>0.9</v>
      </c>
      <c r="G127" s="530">
        <v>0.7</v>
      </c>
      <c r="H127" s="1036"/>
      <c r="I127" s="1154">
        <f t="shared" ref="I127:I129" si="4">(D127*F127*G127)-H127</f>
        <v>2.52</v>
      </c>
    </row>
    <row r="128" spans="1:12">
      <c r="A128" s="1483" t="s">
        <v>1206</v>
      </c>
      <c r="B128" s="1484"/>
      <c r="C128" s="1485"/>
      <c r="D128" s="530">
        <v>2</v>
      </c>
      <c r="E128" s="1096"/>
      <c r="F128" s="530">
        <v>1.3</v>
      </c>
      <c r="G128" s="530">
        <v>0.7</v>
      </c>
      <c r="H128" s="1036"/>
      <c r="I128" s="1154">
        <f t="shared" si="4"/>
        <v>1.8199999999999998</v>
      </c>
    </row>
    <row r="129" spans="1:9">
      <c r="A129" s="1483" t="s">
        <v>1208</v>
      </c>
      <c r="B129" s="1484"/>
      <c r="C129" s="1485"/>
      <c r="D129" s="530">
        <v>1</v>
      </c>
      <c r="E129" s="1096"/>
      <c r="F129" s="530">
        <f>(6.8*2)+(0.9*3)</f>
        <v>16.3</v>
      </c>
      <c r="G129" s="530">
        <v>0.2</v>
      </c>
      <c r="H129" s="1036"/>
      <c r="I129" s="1154">
        <f t="shared" si="4"/>
        <v>3.2600000000000002</v>
      </c>
    </row>
    <row r="130" spans="1:9">
      <c r="A130" s="1560"/>
      <c r="B130" s="1561"/>
      <c r="C130" s="1562"/>
      <c r="D130" s="1037"/>
      <c r="E130" s="1096"/>
      <c r="F130" s="1037"/>
      <c r="G130" s="1037"/>
      <c r="H130" s="1084" t="s">
        <v>1005</v>
      </c>
      <c r="I130" s="1157">
        <f>SUM(I125:I129)</f>
        <v>24.560000000000002</v>
      </c>
    </row>
    <row r="131" spans="1:9">
      <c r="A131" s="1560"/>
      <c r="B131" s="1561"/>
      <c r="C131" s="1562"/>
      <c r="D131" s="1037"/>
      <c r="E131" s="1096"/>
      <c r="F131" s="1037"/>
      <c r="G131" s="1037"/>
      <c r="H131" s="1036"/>
      <c r="I131" s="1154"/>
    </row>
    <row r="132" spans="1:9" ht="45.75" customHeight="1">
      <c r="A132" s="1566" t="s">
        <v>367</v>
      </c>
      <c r="B132" s="1388"/>
      <c r="C132" s="1389"/>
      <c r="D132" s="910" t="s">
        <v>1158</v>
      </c>
      <c r="E132" s="910" t="s">
        <v>788</v>
      </c>
      <c r="F132" s="910" t="s">
        <v>787</v>
      </c>
      <c r="G132" s="910" t="s">
        <v>789</v>
      </c>
      <c r="H132" s="910" t="s">
        <v>1154</v>
      </c>
      <c r="I132" s="83" t="s">
        <v>1153</v>
      </c>
    </row>
    <row r="133" spans="1:9">
      <c r="A133" s="1563" t="s">
        <v>1164</v>
      </c>
      <c r="B133" s="1564"/>
      <c r="C133" s="1565"/>
      <c r="D133" s="1080"/>
      <c r="E133" s="1085"/>
      <c r="F133" s="1080"/>
      <c r="G133" s="1080"/>
      <c r="H133" s="1089">
        <f>I130</f>
        <v>24.560000000000002</v>
      </c>
      <c r="I133" s="1154"/>
    </row>
    <row r="134" spans="1:9">
      <c r="A134" s="1560"/>
      <c r="B134" s="1561"/>
      <c r="C134" s="1562"/>
      <c r="D134" s="1037"/>
      <c r="E134" s="1096"/>
      <c r="F134" s="1037"/>
      <c r="G134" s="1037"/>
      <c r="H134" s="1036"/>
      <c r="I134" s="1154"/>
    </row>
    <row r="135" spans="1:9">
      <c r="A135" s="1498" t="s">
        <v>180</v>
      </c>
      <c r="B135" s="1499"/>
      <c r="C135" s="1500"/>
      <c r="D135" s="910" t="s">
        <v>1158</v>
      </c>
      <c r="E135" s="910" t="s">
        <v>788</v>
      </c>
      <c r="F135" s="910" t="s">
        <v>787</v>
      </c>
      <c r="G135" s="910" t="s">
        <v>789</v>
      </c>
      <c r="H135" s="910" t="s">
        <v>1154</v>
      </c>
      <c r="I135" s="83" t="s">
        <v>1153</v>
      </c>
    </row>
    <row r="136" spans="1:9">
      <c r="A136" s="1513" t="s">
        <v>1210</v>
      </c>
      <c r="B136" s="1514"/>
      <c r="C136" s="1515"/>
      <c r="D136" s="530">
        <v>4</v>
      </c>
      <c r="E136" s="1082">
        <v>0.4</v>
      </c>
      <c r="F136" s="530">
        <v>3.1</v>
      </c>
      <c r="G136" s="530">
        <v>0.1</v>
      </c>
      <c r="H136" s="1037">
        <f>D136*((E136*G136*2)+(F136*E136)+(F136*G136))</f>
        <v>6.5200000000000014</v>
      </c>
      <c r="I136" s="1154"/>
    </row>
    <row r="137" spans="1:9">
      <c r="A137" s="1560"/>
      <c r="B137" s="1561"/>
      <c r="C137" s="1562"/>
      <c r="D137" s="1037"/>
      <c r="E137" s="1096"/>
      <c r="F137" s="1037"/>
      <c r="G137" s="1037"/>
      <c r="H137" s="1036"/>
      <c r="I137" s="1154"/>
    </row>
    <row r="138" spans="1:9">
      <c r="A138" s="1566" t="s">
        <v>398</v>
      </c>
      <c r="B138" s="1388"/>
      <c r="C138" s="1389"/>
      <c r="D138" s="910" t="s">
        <v>1158</v>
      </c>
      <c r="E138" s="910" t="s">
        <v>788</v>
      </c>
      <c r="F138" s="910" t="s">
        <v>787</v>
      </c>
      <c r="G138" s="910" t="s">
        <v>789</v>
      </c>
      <c r="H138" s="910" t="s">
        <v>1154</v>
      </c>
      <c r="I138" s="83" t="s">
        <v>1153</v>
      </c>
    </row>
    <row r="139" spans="1:9">
      <c r="A139" s="1483" t="s">
        <v>1211</v>
      </c>
      <c r="B139" s="1484"/>
      <c r="C139" s="1485"/>
      <c r="D139" s="530">
        <v>4</v>
      </c>
      <c r="E139" s="1096"/>
      <c r="F139" s="530">
        <v>3.1</v>
      </c>
      <c r="G139" s="530">
        <v>0.7</v>
      </c>
      <c r="H139" s="490"/>
      <c r="I139" s="1154">
        <f>(D139*F139*G139)-H139</f>
        <v>8.68</v>
      </c>
    </row>
    <row r="140" spans="1:9">
      <c r="A140" s="1483" t="s">
        <v>1211</v>
      </c>
      <c r="B140" s="1484"/>
      <c r="C140" s="1485"/>
      <c r="D140" s="530">
        <v>4</v>
      </c>
      <c r="E140" s="1082"/>
      <c r="F140" s="530">
        <v>0.9</v>
      </c>
      <c r="G140" s="530">
        <v>0.7</v>
      </c>
      <c r="H140" s="1036"/>
      <c r="I140" s="1154">
        <f t="shared" ref="I140" si="5">(D140*F140*G140)-H140</f>
        <v>2.52</v>
      </c>
    </row>
    <row r="141" spans="1:9">
      <c r="A141" s="1560"/>
      <c r="B141" s="1561"/>
      <c r="C141" s="1562"/>
      <c r="D141" s="1037"/>
      <c r="E141" s="1096"/>
      <c r="F141" s="1037"/>
      <c r="G141" s="1037"/>
      <c r="H141" s="1081" t="s">
        <v>1005</v>
      </c>
      <c r="I141" s="1150">
        <f>SUM(I139:I140)</f>
        <v>11.2</v>
      </c>
    </row>
    <row r="142" spans="1:9">
      <c r="A142" s="1560"/>
      <c r="B142" s="1561"/>
      <c r="C142" s="1562"/>
      <c r="D142" s="1037"/>
      <c r="E142" s="1096"/>
      <c r="F142" s="1037"/>
      <c r="G142" s="1037"/>
      <c r="H142" s="1036"/>
      <c r="I142" s="1154"/>
    </row>
    <row r="143" spans="1:9">
      <c r="A143" s="1567" t="s">
        <v>397</v>
      </c>
      <c r="B143" s="1374"/>
      <c r="C143" s="1375"/>
      <c r="D143" s="910" t="s">
        <v>1158</v>
      </c>
      <c r="E143" s="910" t="s">
        <v>788</v>
      </c>
      <c r="F143" s="910" t="s">
        <v>787</v>
      </c>
      <c r="G143" s="910" t="s">
        <v>789</v>
      </c>
      <c r="H143" s="910" t="s">
        <v>1154</v>
      </c>
      <c r="I143" s="83" t="s">
        <v>1213</v>
      </c>
    </row>
    <row r="144" spans="1:9" ht="60">
      <c r="A144" s="1560"/>
      <c r="B144" s="1561"/>
      <c r="C144" s="1562"/>
      <c r="D144" s="1037"/>
      <c r="E144" s="1096"/>
      <c r="F144" s="1037"/>
      <c r="G144" s="1037"/>
      <c r="H144" s="1088" t="s">
        <v>1209</v>
      </c>
      <c r="I144" s="1158" t="s">
        <v>1204</v>
      </c>
    </row>
    <row r="145" spans="1:9">
      <c r="A145" s="1483" t="s">
        <v>1212</v>
      </c>
      <c r="B145" s="1484"/>
      <c r="C145" s="1485"/>
      <c r="D145" s="530">
        <v>2</v>
      </c>
      <c r="E145" s="1096"/>
      <c r="F145" s="530">
        <v>6.8</v>
      </c>
      <c r="G145" s="530">
        <v>0.7</v>
      </c>
      <c r="H145" s="490">
        <f>4*3.1*0.1</f>
        <v>1.2400000000000002</v>
      </c>
      <c r="I145" s="1154">
        <f>(D145*F145*G145)-H145</f>
        <v>8.2799999999999994</v>
      </c>
    </row>
    <row r="146" spans="1:9">
      <c r="A146" s="1483" t="s">
        <v>1212</v>
      </c>
      <c r="B146" s="1484"/>
      <c r="C146" s="1485"/>
      <c r="D146" s="530">
        <v>2</v>
      </c>
      <c r="E146" s="1096"/>
      <c r="F146" s="530">
        <v>1.3</v>
      </c>
      <c r="G146" s="530">
        <v>0.7</v>
      </c>
      <c r="H146" s="1036"/>
      <c r="I146" s="1154">
        <f>(D146*F146*G146)-H146</f>
        <v>1.8199999999999998</v>
      </c>
    </row>
    <row r="147" spans="1:9">
      <c r="A147" s="1483" t="s">
        <v>1208</v>
      </c>
      <c r="B147" s="1484"/>
      <c r="C147" s="1485"/>
      <c r="D147" s="530">
        <v>1</v>
      </c>
      <c r="E147" s="1096"/>
      <c r="F147" s="530">
        <f>(6.8*2)+(0.9*3)</f>
        <v>16.3</v>
      </c>
      <c r="G147" s="530">
        <v>0.2</v>
      </c>
      <c r="H147" s="1036"/>
      <c r="I147" s="1154">
        <f>(D147*F147*G147)-H147</f>
        <v>3.2600000000000002</v>
      </c>
    </row>
    <row r="148" spans="1:9">
      <c r="A148" s="1483" t="s">
        <v>1214</v>
      </c>
      <c r="B148" s="1484"/>
      <c r="C148" s="1485"/>
      <c r="D148" s="530">
        <v>4</v>
      </c>
      <c r="E148" s="1082">
        <v>0.4</v>
      </c>
      <c r="F148" s="530">
        <v>3.1</v>
      </c>
      <c r="G148" s="1037"/>
      <c r="H148" s="1036"/>
      <c r="I148" s="1154">
        <f>D148*E148*F148</f>
        <v>4.9600000000000009</v>
      </c>
    </row>
    <row r="149" spans="1:9">
      <c r="A149" s="1560"/>
      <c r="B149" s="1561"/>
      <c r="C149" s="1562"/>
      <c r="D149" s="1037"/>
      <c r="E149" s="1096"/>
      <c r="F149" s="1037"/>
      <c r="G149" s="1037"/>
      <c r="H149" s="1084" t="s">
        <v>1005</v>
      </c>
      <c r="I149" s="1157">
        <f>SUM(I145:I148)</f>
        <v>18.32</v>
      </c>
    </row>
    <row r="150" spans="1:9" ht="15.75" thickBot="1">
      <c r="A150" s="1557"/>
      <c r="B150" s="1558"/>
      <c r="C150" s="1559"/>
      <c r="D150" s="1146"/>
      <c r="E150" s="1159"/>
      <c r="F150" s="1146"/>
      <c r="G150" s="1146"/>
      <c r="H150" s="1160"/>
      <c r="I150" s="1161"/>
    </row>
  </sheetData>
  <mergeCells count="147">
    <mergeCell ref="A94:C94"/>
    <mergeCell ref="A95:C95"/>
    <mergeCell ref="A96:C96"/>
    <mergeCell ref="A93:C93"/>
    <mergeCell ref="A76:C76"/>
    <mergeCell ref="A78:C78"/>
    <mergeCell ref="A79:C79"/>
    <mergeCell ref="A123:C123"/>
    <mergeCell ref="A97:C97"/>
    <mergeCell ref="A100:C100"/>
    <mergeCell ref="A103:C103"/>
    <mergeCell ref="A106:C106"/>
    <mergeCell ref="A116:C116"/>
    <mergeCell ref="A98:C98"/>
    <mergeCell ref="A99:C99"/>
    <mergeCell ref="A101:C101"/>
    <mergeCell ref="A102:C102"/>
    <mergeCell ref="A104:C104"/>
    <mergeCell ref="A105:C105"/>
    <mergeCell ref="A107:C107"/>
    <mergeCell ref="A115:C115"/>
    <mergeCell ref="A108:C108"/>
    <mergeCell ref="A113:C113"/>
    <mergeCell ref="A74:C74"/>
    <mergeCell ref="A75:C75"/>
    <mergeCell ref="A80:C80"/>
    <mergeCell ref="A85:C85"/>
    <mergeCell ref="A82:C82"/>
    <mergeCell ref="A84:C84"/>
    <mergeCell ref="A67:C67"/>
    <mergeCell ref="A68:C68"/>
    <mergeCell ref="A69:C69"/>
    <mergeCell ref="A70:C70"/>
    <mergeCell ref="A73:C73"/>
    <mergeCell ref="A71:C71"/>
    <mergeCell ref="A72:C72"/>
    <mergeCell ref="A81:C81"/>
    <mergeCell ref="A83:C83"/>
    <mergeCell ref="I32:I33"/>
    <mergeCell ref="A63:C63"/>
    <mergeCell ref="A64:C64"/>
    <mergeCell ref="A65:C65"/>
    <mergeCell ref="A66:C66"/>
    <mergeCell ref="A32:A33"/>
    <mergeCell ref="B32:B33"/>
    <mergeCell ref="F32:F33"/>
    <mergeCell ref="G32:G33"/>
    <mergeCell ref="H32:H33"/>
    <mergeCell ref="A59:I59"/>
    <mergeCell ref="A60:C60"/>
    <mergeCell ref="A61:C61"/>
    <mergeCell ref="A62:C62"/>
    <mergeCell ref="A57:I57"/>
    <mergeCell ref="A54:H54"/>
    <mergeCell ref="A55:H55"/>
    <mergeCell ref="A56:I56"/>
    <mergeCell ref="A48:I48"/>
    <mergeCell ref="A49:H49"/>
    <mergeCell ref="A50:H50"/>
    <mergeCell ref="A52:H52"/>
    <mergeCell ref="A53:H53"/>
    <mergeCell ref="A51:H51"/>
    <mergeCell ref="B9:I9"/>
    <mergeCell ref="A11:I11"/>
    <mergeCell ref="C12:E12"/>
    <mergeCell ref="O18:O19"/>
    <mergeCell ref="K16:N16"/>
    <mergeCell ref="C13:E13"/>
    <mergeCell ref="C15:E15"/>
    <mergeCell ref="A16:H16"/>
    <mergeCell ref="A17:I17"/>
    <mergeCell ref="A18:I18"/>
    <mergeCell ref="C19:E19"/>
    <mergeCell ref="C14:E14"/>
    <mergeCell ref="A1:H3"/>
    <mergeCell ref="C4:F4"/>
    <mergeCell ref="I4:I5"/>
    <mergeCell ref="C5:F5"/>
    <mergeCell ref="A6:H7"/>
    <mergeCell ref="C37:E37"/>
    <mergeCell ref="C36:E36"/>
    <mergeCell ref="C21:E21"/>
    <mergeCell ref="C22:E22"/>
    <mergeCell ref="C35:E35"/>
    <mergeCell ref="C30:E30"/>
    <mergeCell ref="C24:E24"/>
    <mergeCell ref="C25:E25"/>
    <mergeCell ref="C26:E26"/>
    <mergeCell ref="C28:E28"/>
    <mergeCell ref="C29:E29"/>
    <mergeCell ref="C27:E27"/>
    <mergeCell ref="C33:E33"/>
    <mergeCell ref="C20:E20"/>
    <mergeCell ref="C32:E32"/>
    <mergeCell ref="C34:E34"/>
    <mergeCell ref="C31:E31"/>
    <mergeCell ref="C23:E23"/>
    <mergeCell ref="B8:I8"/>
    <mergeCell ref="C38:E38"/>
    <mergeCell ref="A47:I47"/>
    <mergeCell ref="A40:H40"/>
    <mergeCell ref="A41:I41"/>
    <mergeCell ref="A42:I42"/>
    <mergeCell ref="C43:E43"/>
    <mergeCell ref="C44:E44"/>
    <mergeCell ref="C45:E45"/>
    <mergeCell ref="A46:H46"/>
    <mergeCell ref="C39:E39"/>
    <mergeCell ref="A142:C142"/>
    <mergeCell ref="A145:C145"/>
    <mergeCell ref="A148:C148"/>
    <mergeCell ref="A149:C149"/>
    <mergeCell ref="A114:C114"/>
    <mergeCell ref="A117:C117"/>
    <mergeCell ref="A118:C118"/>
    <mergeCell ref="A122:C122"/>
    <mergeCell ref="A124:C124"/>
    <mergeCell ref="A131:C131"/>
    <mergeCell ref="A133:C133"/>
    <mergeCell ref="A132:C132"/>
    <mergeCell ref="A135:C135"/>
    <mergeCell ref="A138:C138"/>
    <mergeCell ref="A143:C143"/>
    <mergeCell ref="A150:C150"/>
    <mergeCell ref="A144:C144"/>
    <mergeCell ref="A146:C146"/>
    <mergeCell ref="A147:C147"/>
    <mergeCell ref="A109:C109"/>
    <mergeCell ref="A111:C111"/>
    <mergeCell ref="A112:C112"/>
    <mergeCell ref="A110:C110"/>
    <mergeCell ref="A77:C77"/>
    <mergeCell ref="A121:C121"/>
    <mergeCell ref="A119:C119"/>
    <mergeCell ref="A120:C120"/>
    <mergeCell ref="A125:C125"/>
    <mergeCell ref="A127:C127"/>
    <mergeCell ref="A128:C128"/>
    <mergeCell ref="A129:C129"/>
    <mergeCell ref="A130:C130"/>
    <mergeCell ref="A126:C126"/>
    <mergeCell ref="A134:C134"/>
    <mergeCell ref="A140:C140"/>
    <mergeCell ref="A136:C136"/>
    <mergeCell ref="A137:C137"/>
    <mergeCell ref="A139:C139"/>
    <mergeCell ref="A141:C141"/>
  </mergeCells>
  <pageMargins left="0.511811024" right="0.511811024" top="0.78740157499999996" bottom="0.78740157499999996" header="0.31496062000000002" footer="0.31496062000000002"/>
  <pageSetup paperSize="9" scale="72"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43"/>
  <sheetViews>
    <sheetView view="pageBreakPreview" zoomScaleNormal="100" zoomScaleSheetLayoutView="100" workbookViewId="0">
      <selection activeCell="C20" sqref="C20:E20"/>
    </sheetView>
  </sheetViews>
  <sheetFormatPr defaultRowHeight="15"/>
  <cols>
    <col min="1" max="1" width="10.7109375" customWidth="1"/>
    <col min="2" max="2" width="12.7109375" customWidth="1"/>
    <col min="3" max="3" width="18.7109375" style="371" customWidth="1"/>
    <col min="4" max="4" width="9.140625" style="371"/>
    <col min="5" max="5" width="30.140625" style="371" customWidth="1"/>
    <col min="8" max="8" width="10.5703125" bestFit="1" customWidth="1"/>
    <col min="9" max="9" width="14.85546875" bestFit="1"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58" t="s">
        <v>124</v>
      </c>
      <c r="I4" s="1403" t="s">
        <v>127</v>
      </c>
    </row>
    <row r="5" spans="1:9" ht="15.75">
      <c r="A5" s="70"/>
      <c r="B5" s="65"/>
      <c r="C5" s="1404" t="s">
        <v>125</v>
      </c>
      <c r="D5" s="1404"/>
      <c r="E5" s="1404"/>
      <c r="F5" s="1405"/>
      <c r="G5" s="84">
        <v>0.89539999999999997</v>
      </c>
      <c r="H5" s="59">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961</v>
      </c>
    </row>
    <row r="8" spans="1:9" ht="30.75" customHeight="1">
      <c r="A8" s="73" t="s">
        <v>128</v>
      </c>
      <c r="B8" s="1395" t="s">
        <v>1051</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721"/>
      <c r="D10" s="721"/>
      <c r="E10" s="721"/>
      <c r="F10" s="60"/>
      <c r="G10" s="62"/>
      <c r="H10" s="63"/>
      <c r="I10" s="76"/>
    </row>
    <row r="11" spans="1:9">
      <c r="A11" s="1382" t="s">
        <v>138</v>
      </c>
      <c r="B11" s="1383"/>
      <c r="C11" s="1383"/>
      <c r="D11" s="1383"/>
      <c r="E11" s="1383"/>
      <c r="F11" s="1383"/>
      <c r="G11" s="1383"/>
      <c r="H11" s="1383"/>
      <c r="I11" s="1384"/>
    </row>
    <row r="12" spans="1:9">
      <c r="A12" s="77" t="s">
        <v>130</v>
      </c>
      <c r="B12" s="56" t="s">
        <v>131</v>
      </c>
      <c r="C12" s="1427" t="s">
        <v>132</v>
      </c>
      <c r="D12" s="1428"/>
      <c r="E12" s="1429"/>
      <c r="F12" s="56" t="s">
        <v>104</v>
      </c>
      <c r="G12" s="56" t="s">
        <v>133</v>
      </c>
      <c r="H12" s="56" t="s">
        <v>134</v>
      </c>
      <c r="I12" s="78" t="s">
        <v>135</v>
      </c>
    </row>
    <row r="13" spans="1:9" ht="31.5" customHeight="1">
      <c r="A13" s="130">
        <v>88274</v>
      </c>
      <c r="B13" s="8" t="s">
        <v>58</v>
      </c>
      <c r="C13" s="1373" t="s">
        <v>401</v>
      </c>
      <c r="D13" s="1388"/>
      <c r="E13" s="1389"/>
      <c r="F13" s="8" t="s">
        <v>153</v>
      </c>
      <c r="G13" s="8">
        <v>1.92</v>
      </c>
      <c r="H13" s="205">
        <v>19.79</v>
      </c>
      <c r="I13" s="203">
        <f>G13*H13</f>
        <v>37.9968</v>
      </c>
    </row>
    <row r="14" spans="1:9" ht="42.75" customHeight="1">
      <c r="A14" s="81"/>
      <c r="B14" s="3"/>
      <c r="C14" s="1442" t="s">
        <v>889</v>
      </c>
      <c r="D14" s="1545"/>
      <c r="E14" s="1546"/>
      <c r="F14" s="3"/>
      <c r="G14" s="3"/>
      <c r="H14" s="3"/>
      <c r="I14" s="80"/>
    </row>
    <row r="15" spans="1:9">
      <c r="A15" s="1376" t="s">
        <v>139</v>
      </c>
      <c r="B15" s="1377"/>
      <c r="C15" s="1377"/>
      <c r="D15" s="1377"/>
      <c r="E15" s="1377"/>
      <c r="F15" s="1377"/>
      <c r="G15" s="1377"/>
      <c r="H15" s="1378"/>
      <c r="I15" s="188">
        <f>I13</f>
        <v>37.9968</v>
      </c>
    </row>
    <row r="16" spans="1:9">
      <c r="A16" s="1379"/>
      <c r="B16" s="1380"/>
      <c r="C16" s="1380"/>
      <c r="D16" s="1380"/>
      <c r="E16" s="1380"/>
      <c r="F16" s="1380"/>
      <c r="G16" s="1380"/>
      <c r="H16" s="1380"/>
      <c r="I16" s="1381"/>
    </row>
    <row r="17" spans="1:9">
      <c r="A17" s="1382" t="s">
        <v>160</v>
      </c>
      <c r="B17" s="1383"/>
      <c r="C17" s="1383"/>
      <c r="D17" s="1383"/>
      <c r="E17" s="1383"/>
      <c r="F17" s="1383"/>
      <c r="G17" s="1383"/>
      <c r="H17" s="1383"/>
      <c r="I17" s="1384"/>
    </row>
    <row r="18" spans="1:9">
      <c r="A18" s="77" t="s">
        <v>130</v>
      </c>
      <c r="B18" s="56" t="s">
        <v>131</v>
      </c>
      <c r="C18" s="1427" t="s">
        <v>132</v>
      </c>
      <c r="D18" s="1428"/>
      <c r="E18" s="1429"/>
      <c r="F18" s="56" t="s">
        <v>104</v>
      </c>
      <c r="G18" s="56" t="s">
        <v>133</v>
      </c>
      <c r="H18" s="56" t="s">
        <v>134</v>
      </c>
      <c r="I18" s="78" t="s">
        <v>135</v>
      </c>
    </row>
    <row r="19" spans="1:9" ht="30.75" customHeight="1">
      <c r="A19" s="718">
        <v>93358</v>
      </c>
      <c r="B19" s="141" t="s">
        <v>58</v>
      </c>
      <c r="C19" s="1554" t="s">
        <v>118</v>
      </c>
      <c r="D19" s="1555"/>
      <c r="E19" s="1556"/>
      <c r="F19" s="131" t="s">
        <v>103</v>
      </c>
      <c r="G19" s="615">
        <f>'QUADRO ESTRUTURAL TÓTEM'!H34</f>
        <v>0.38500000000000001</v>
      </c>
      <c r="H19" s="206">
        <v>53.99</v>
      </c>
      <c r="I19" s="203">
        <f t="shared" ref="I19:I25" si="0">G19*H19</f>
        <v>20.786150000000003</v>
      </c>
    </row>
    <row r="20" spans="1:9" ht="75" customHeight="1">
      <c r="A20" s="722">
        <v>92434</v>
      </c>
      <c r="B20" s="140" t="s">
        <v>58</v>
      </c>
      <c r="C20" s="1551" t="s">
        <v>400</v>
      </c>
      <c r="D20" s="1574"/>
      <c r="E20" s="1575"/>
      <c r="F20" s="137" t="s">
        <v>57</v>
      </c>
      <c r="G20" s="138">
        <f>'QUADRO ESTRUTURAL TÓTEM'!J30</f>
        <v>3.78</v>
      </c>
      <c r="H20" s="206">
        <v>37.200000000000003</v>
      </c>
      <c r="I20" s="203">
        <f t="shared" si="0"/>
        <v>140.61600000000001</v>
      </c>
    </row>
    <row r="21" spans="1:9" ht="45" customHeight="1">
      <c r="A21" s="722">
        <v>92778</v>
      </c>
      <c r="B21" s="140" t="s">
        <v>58</v>
      </c>
      <c r="C21" s="1551" t="s">
        <v>1074</v>
      </c>
      <c r="D21" s="1499"/>
      <c r="E21" s="1500"/>
      <c r="F21" s="137" t="s">
        <v>136</v>
      </c>
      <c r="G21" s="138">
        <f>'QUADRO ESTRUTURAL TÓTEM'!J11</f>
        <v>29.751739999999998</v>
      </c>
      <c r="H21" s="206">
        <v>7.73</v>
      </c>
      <c r="I21" s="203">
        <f t="shared" si="0"/>
        <v>229.9809502</v>
      </c>
    </row>
    <row r="22" spans="1:9" ht="47.25" customHeight="1">
      <c r="A22" s="720">
        <v>92915</v>
      </c>
      <c r="B22" s="140" t="s">
        <v>58</v>
      </c>
      <c r="C22" s="1571" t="s">
        <v>145</v>
      </c>
      <c r="D22" s="1572"/>
      <c r="E22" s="1573"/>
      <c r="F22" s="137" t="s">
        <v>136</v>
      </c>
      <c r="G22" s="138">
        <f>'QUADRO ESTRUTURAL TÓTEM'!J12</f>
        <v>3.984</v>
      </c>
      <c r="H22" s="206">
        <v>10.63</v>
      </c>
      <c r="I22" s="203">
        <f t="shared" si="0"/>
        <v>42.349920000000004</v>
      </c>
    </row>
    <row r="23" spans="1:9" ht="60" customHeight="1">
      <c r="A23" s="719">
        <v>92718</v>
      </c>
      <c r="B23" s="140" t="s">
        <v>58</v>
      </c>
      <c r="C23" s="1551" t="s">
        <v>237</v>
      </c>
      <c r="D23" s="1499"/>
      <c r="E23" s="1500"/>
      <c r="F23" s="140" t="s">
        <v>103</v>
      </c>
      <c r="G23" s="138">
        <f>'QUADRO ESTRUTURAL TÓTEM'!H20</f>
        <v>0.83800000000000008</v>
      </c>
      <c r="H23" s="206">
        <v>418.06</v>
      </c>
      <c r="I23" s="203">
        <f t="shared" si="0"/>
        <v>350.33428000000004</v>
      </c>
    </row>
    <row r="24" spans="1:9" ht="34.5" customHeight="1">
      <c r="A24" s="719">
        <v>88489</v>
      </c>
      <c r="B24" s="140" t="s">
        <v>58</v>
      </c>
      <c r="C24" s="1551" t="s">
        <v>385</v>
      </c>
      <c r="D24" s="1499"/>
      <c r="E24" s="1500"/>
      <c r="F24" s="140" t="s">
        <v>57</v>
      </c>
      <c r="G24" s="138">
        <f>'QUADRO ESTRUTURAL TÓTEM'!H42</f>
        <v>4.5600000000000005</v>
      </c>
      <c r="H24" s="206">
        <v>10.18</v>
      </c>
      <c r="I24" s="203">
        <f t="shared" si="0"/>
        <v>46.420800000000007</v>
      </c>
    </row>
    <row r="25" spans="1:9">
      <c r="A25" s="130">
        <v>37595</v>
      </c>
      <c r="B25" s="140" t="s">
        <v>58</v>
      </c>
      <c r="C25" s="1553" t="s">
        <v>402</v>
      </c>
      <c r="D25" s="1374"/>
      <c r="E25" s="1375"/>
      <c r="F25" s="140" t="s">
        <v>136</v>
      </c>
      <c r="G25" s="8">
        <v>0.97499999999999998</v>
      </c>
      <c r="H25" s="206">
        <v>1.58</v>
      </c>
      <c r="I25" s="203">
        <f t="shared" si="0"/>
        <v>1.5405</v>
      </c>
    </row>
    <row r="26" spans="1:9">
      <c r="A26" s="610"/>
      <c r="B26" s="738"/>
      <c r="C26" s="1545" t="s">
        <v>1072</v>
      </c>
      <c r="D26" s="1545"/>
      <c r="E26" s="1545"/>
      <c r="F26" s="738"/>
      <c r="G26" s="739"/>
      <c r="H26" s="740"/>
      <c r="I26" s="203"/>
    </row>
    <row r="27" spans="1:9">
      <c r="A27" s="1376" t="s">
        <v>137</v>
      </c>
      <c r="B27" s="1377"/>
      <c r="C27" s="1377"/>
      <c r="D27" s="1377"/>
      <c r="E27" s="1377"/>
      <c r="F27" s="1377"/>
      <c r="G27" s="1377"/>
      <c r="H27" s="1378"/>
      <c r="I27" s="188">
        <f>SUM(I19:I25)</f>
        <v>832.02860020000003</v>
      </c>
    </row>
    <row r="28" spans="1:9">
      <c r="A28" s="1379"/>
      <c r="B28" s="1380"/>
      <c r="C28" s="1380"/>
      <c r="D28" s="1380"/>
      <c r="E28" s="1380"/>
      <c r="F28" s="1380"/>
      <c r="G28" s="1380"/>
      <c r="H28" s="1380"/>
      <c r="I28" s="1381"/>
    </row>
    <row r="29" spans="1:9">
      <c r="A29" s="1382" t="s">
        <v>140</v>
      </c>
      <c r="B29" s="1383"/>
      <c r="C29" s="1383"/>
      <c r="D29" s="1383"/>
      <c r="E29" s="1383"/>
      <c r="F29" s="1383"/>
      <c r="G29" s="1383"/>
      <c r="H29" s="1383"/>
      <c r="I29" s="1384"/>
    </row>
    <row r="30" spans="1:9">
      <c r="A30" s="82" t="s">
        <v>130</v>
      </c>
      <c r="B30" s="654" t="s">
        <v>131</v>
      </c>
      <c r="C30" s="1427" t="s">
        <v>132</v>
      </c>
      <c r="D30" s="1428"/>
      <c r="E30" s="1429"/>
      <c r="F30" s="654" t="s">
        <v>104</v>
      </c>
      <c r="G30" s="654" t="s">
        <v>133</v>
      </c>
      <c r="H30" s="654" t="s">
        <v>134</v>
      </c>
      <c r="I30" s="83" t="s">
        <v>135</v>
      </c>
    </row>
    <row r="31" spans="1:9">
      <c r="A31" s="79"/>
      <c r="B31" s="4"/>
      <c r="C31" s="1553"/>
      <c r="D31" s="1374"/>
      <c r="E31" s="1375"/>
      <c r="F31" s="4"/>
      <c r="G31" s="4"/>
      <c r="H31" s="4"/>
      <c r="I31" s="80"/>
    </row>
    <row r="32" spans="1:9">
      <c r="A32" s="79"/>
      <c r="B32" s="4"/>
      <c r="C32" s="1373"/>
      <c r="D32" s="1388"/>
      <c r="E32" s="1389"/>
      <c r="F32" s="4"/>
      <c r="G32" s="4"/>
      <c r="H32" s="4"/>
      <c r="I32" s="80"/>
    </row>
    <row r="33" spans="1:9">
      <c r="A33" s="1376" t="s">
        <v>196</v>
      </c>
      <c r="B33" s="1377"/>
      <c r="C33" s="1377"/>
      <c r="D33" s="1377"/>
      <c r="E33" s="1377"/>
      <c r="F33" s="1377"/>
      <c r="G33" s="1377"/>
      <c r="H33" s="1378"/>
      <c r="I33" s="80"/>
    </row>
    <row r="34" spans="1:9">
      <c r="A34" s="1379"/>
      <c r="B34" s="1380"/>
      <c r="C34" s="1380"/>
      <c r="D34" s="1380"/>
      <c r="E34" s="1380"/>
      <c r="F34" s="1380"/>
      <c r="G34" s="1380"/>
      <c r="H34" s="1380"/>
      <c r="I34" s="1381"/>
    </row>
    <row r="35" spans="1:9">
      <c r="A35" s="1382" t="s">
        <v>141</v>
      </c>
      <c r="B35" s="1383"/>
      <c r="C35" s="1383"/>
      <c r="D35" s="1383"/>
      <c r="E35" s="1383"/>
      <c r="F35" s="1383"/>
      <c r="G35" s="1383"/>
      <c r="H35" s="1383"/>
      <c r="I35" s="1384"/>
    </row>
    <row r="36" spans="1:9">
      <c r="A36" s="1413" t="s">
        <v>142</v>
      </c>
      <c r="B36" s="1414"/>
      <c r="C36" s="1414"/>
      <c r="D36" s="1414"/>
      <c r="E36" s="1414"/>
      <c r="F36" s="1414"/>
      <c r="G36" s="1414"/>
      <c r="H36" s="1415"/>
      <c r="I36" s="188">
        <f>I15</f>
        <v>37.9968</v>
      </c>
    </row>
    <row r="37" spans="1:9">
      <c r="A37" s="1413" t="s">
        <v>163</v>
      </c>
      <c r="B37" s="1414"/>
      <c r="C37" s="1414"/>
      <c r="D37" s="1414"/>
      <c r="E37" s="1414"/>
      <c r="F37" s="1414"/>
      <c r="G37" s="1414"/>
      <c r="H37" s="1415"/>
      <c r="I37" s="188">
        <f>I27</f>
        <v>832.02860020000003</v>
      </c>
    </row>
    <row r="38" spans="1:9">
      <c r="A38" s="1604" t="s">
        <v>196</v>
      </c>
      <c r="B38" s="1605"/>
      <c r="C38" s="1605"/>
      <c r="D38" s="1605"/>
      <c r="E38" s="1605"/>
      <c r="F38" s="1605"/>
      <c r="G38" s="1605"/>
      <c r="H38" s="1606"/>
      <c r="I38" s="80"/>
    </row>
    <row r="39" spans="1:9">
      <c r="A39" s="1604" t="s">
        <v>391</v>
      </c>
      <c r="B39" s="1605"/>
      <c r="C39" s="1605"/>
      <c r="D39" s="1605"/>
      <c r="E39" s="1605"/>
      <c r="F39" s="1605"/>
      <c r="G39" s="1605"/>
      <c r="H39" s="1606"/>
      <c r="I39" s="80"/>
    </row>
    <row r="40" spans="1:9">
      <c r="A40" s="1413" t="s">
        <v>392</v>
      </c>
      <c r="B40" s="1414"/>
      <c r="C40" s="1414"/>
      <c r="D40" s="1414"/>
      <c r="E40" s="1414"/>
      <c r="F40" s="1414"/>
      <c r="G40" s="1414"/>
      <c r="H40" s="1415"/>
      <c r="I40" s="188">
        <f>I36+I37+I38</f>
        <v>870.02540020000004</v>
      </c>
    </row>
    <row r="41" spans="1:9">
      <c r="A41" s="1413" t="s">
        <v>393</v>
      </c>
      <c r="B41" s="1414"/>
      <c r="C41" s="1414"/>
      <c r="D41" s="1414"/>
      <c r="E41" s="1414"/>
      <c r="F41" s="1414"/>
      <c r="G41" s="1414"/>
      <c r="H41" s="1415"/>
      <c r="I41" s="188">
        <f>I40*26.54%</f>
        <v>230.90474121307997</v>
      </c>
    </row>
    <row r="42" spans="1:9">
      <c r="A42" s="1408" t="s">
        <v>144</v>
      </c>
      <c r="B42" s="1409"/>
      <c r="C42" s="1409"/>
      <c r="D42" s="1409"/>
      <c r="E42" s="1409"/>
      <c r="F42" s="1409"/>
      <c r="G42" s="1409"/>
      <c r="H42" s="1409"/>
      <c r="I42" s="189">
        <f>I40+I41</f>
        <v>1100.93014141308</v>
      </c>
    </row>
    <row r="43" spans="1:9" ht="15.75" thickBot="1">
      <c r="A43" s="1410"/>
      <c r="B43" s="1411"/>
      <c r="C43" s="1411"/>
      <c r="D43" s="1411"/>
      <c r="E43" s="1411"/>
      <c r="F43" s="1411"/>
      <c r="G43" s="1411"/>
      <c r="H43" s="1411"/>
      <c r="I43" s="1412"/>
    </row>
  </sheetData>
  <mergeCells count="40">
    <mergeCell ref="A1:H3"/>
    <mergeCell ref="B9:I9"/>
    <mergeCell ref="A11:I11"/>
    <mergeCell ref="C12:E12"/>
    <mergeCell ref="C13:E13"/>
    <mergeCell ref="C4:F4"/>
    <mergeCell ref="I4:I5"/>
    <mergeCell ref="C5:F5"/>
    <mergeCell ref="A6:H7"/>
    <mergeCell ref="B8:I8"/>
    <mergeCell ref="C18:E18"/>
    <mergeCell ref="C19:E19"/>
    <mergeCell ref="C14:E14"/>
    <mergeCell ref="A15:H15"/>
    <mergeCell ref="A16:I16"/>
    <mergeCell ref="A17:I17"/>
    <mergeCell ref="C31:E31"/>
    <mergeCell ref="C32:E32"/>
    <mergeCell ref="C25:E25"/>
    <mergeCell ref="A27:H27"/>
    <mergeCell ref="A28:I28"/>
    <mergeCell ref="A29:I29"/>
    <mergeCell ref="C30:E30"/>
    <mergeCell ref="C26:E26"/>
    <mergeCell ref="A38:H38"/>
    <mergeCell ref="A42:H42"/>
    <mergeCell ref="A43:I43"/>
    <mergeCell ref="C20:E20"/>
    <mergeCell ref="C21:E21"/>
    <mergeCell ref="C22:E22"/>
    <mergeCell ref="C23:E23"/>
    <mergeCell ref="C24:E24"/>
    <mergeCell ref="A37:H37"/>
    <mergeCell ref="A39:H39"/>
    <mergeCell ref="A40:H40"/>
    <mergeCell ref="A41:H41"/>
    <mergeCell ref="A33:H33"/>
    <mergeCell ref="A34:I34"/>
    <mergeCell ref="A35:I35"/>
    <mergeCell ref="A36:H36"/>
  </mergeCells>
  <pageMargins left="0.511811024" right="0.511811024" top="0.78740157499999996" bottom="0.78740157499999996" header="0.31496062000000002" footer="0.31496062000000002"/>
  <pageSetup paperSize="9" scale="73"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P52"/>
  <sheetViews>
    <sheetView view="pageBreakPreview" zoomScaleNormal="100" zoomScaleSheetLayoutView="100" workbookViewId="0">
      <selection activeCell="C25" sqref="C25:E25"/>
    </sheetView>
  </sheetViews>
  <sheetFormatPr defaultRowHeight="15"/>
  <cols>
    <col min="1" max="1" width="10.140625" customWidth="1"/>
    <col min="3" max="3" width="16.5703125" style="371" customWidth="1"/>
    <col min="4" max="4" width="16.85546875" style="371" customWidth="1"/>
    <col min="5" max="5" width="26.42578125" style="371" customWidth="1"/>
    <col min="7" max="7" width="12.28515625" customWidth="1"/>
    <col min="8" max="8" width="10.5703125" style="207" bestFit="1" customWidth="1"/>
    <col min="9" max="9" width="13.85546875" customWidth="1"/>
    <col min="16" max="16" width="12.140625" bestFit="1" customWidth="1"/>
  </cols>
  <sheetData>
    <row r="1" spans="1:9" ht="15.75">
      <c r="A1" s="1397" t="s">
        <v>43</v>
      </c>
      <c r="B1" s="1398"/>
      <c r="C1" s="1398"/>
      <c r="D1" s="1398"/>
      <c r="E1" s="1398"/>
      <c r="F1" s="1398"/>
      <c r="G1" s="1398"/>
      <c r="H1" s="1398"/>
      <c r="I1" s="68"/>
    </row>
    <row r="2" spans="1:9" ht="15.75">
      <c r="A2" s="1399"/>
      <c r="B2" s="1400"/>
      <c r="C2" s="1400"/>
      <c r="D2" s="1400"/>
      <c r="E2" s="1400"/>
      <c r="F2" s="1400"/>
      <c r="G2" s="1400"/>
      <c r="H2" s="1400"/>
      <c r="I2" s="69"/>
    </row>
    <row r="3" spans="1:9" ht="15.75">
      <c r="A3" s="1399"/>
      <c r="B3" s="1400"/>
      <c r="C3" s="1400"/>
      <c r="D3" s="1400"/>
      <c r="E3" s="1400"/>
      <c r="F3" s="1400"/>
      <c r="G3" s="1400"/>
      <c r="H3" s="1400"/>
      <c r="I3" s="69"/>
    </row>
    <row r="4" spans="1:9" ht="15.75">
      <c r="A4" s="70"/>
      <c r="B4" s="66"/>
      <c r="C4" s="1401" t="s">
        <v>122</v>
      </c>
      <c r="D4" s="1401"/>
      <c r="E4" s="1401"/>
      <c r="F4" s="1402"/>
      <c r="G4" s="58" t="s">
        <v>123</v>
      </c>
      <c r="H4" s="210" t="s">
        <v>124</v>
      </c>
      <c r="I4" s="1403" t="s">
        <v>127</v>
      </c>
    </row>
    <row r="5" spans="1:9" ht="15.75">
      <c r="A5" s="70"/>
      <c r="B5" s="65"/>
      <c r="C5" s="1404" t="s">
        <v>125</v>
      </c>
      <c r="D5" s="1404"/>
      <c r="E5" s="1404"/>
      <c r="F5" s="1405"/>
      <c r="G5" s="84">
        <v>0.89539999999999997</v>
      </c>
      <c r="H5" s="962">
        <v>0.26540000000000002</v>
      </c>
      <c r="I5" s="1403"/>
    </row>
    <row r="6" spans="1:9">
      <c r="A6" s="1406" t="s">
        <v>126</v>
      </c>
      <c r="B6" s="1407"/>
      <c r="C6" s="1407"/>
      <c r="D6" s="1407"/>
      <c r="E6" s="1407"/>
      <c r="F6" s="1407"/>
      <c r="G6" s="1407"/>
      <c r="H6" s="1407"/>
      <c r="I6" s="71">
        <v>43313</v>
      </c>
    </row>
    <row r="7" spans="1:9">
      <c r="A7" s="1406"/>
      <c r="B7" s="1407"/>
      <c r="C7" s="1407"/>
      <c r="D7" s="1407"/>
      <c r="E7" s="1407"/>
      <c r="F7" s="1407"/>
      <c r="G7" s="1407"/>
      <c r="H7" s="1407"/>
      <c r="I7" s="72" t="s">
        <v>962</v>
      </c>
    </row>
    <row r="8" spans="1:9" ht="91.5" customHeight="1">
      <c r="A8" s="73" t="s">
        <v>128</v>
      </c>
      <c r="B8" s="1395" t="s">
        <v>1053</v>
      </c>
      <c r="C8" s="1395"/>
      <c r="D8" s="1395"/>
      <c r="E8" s="1395"/>
      <c r="F8" s="1395"/>
      <c r="G8" s="1395"/>
      <c r="H8" s="1395"/>
      <c r="I8" s="1396"/>
    </row>
    <row r="9" spans="1:9">
      <c r="A9" s="74" t="s">
        <v>129</v>
      </c>
      <c r="B9" s="1390" t="s">
        <v>104</v>
      </c>
      <c r="C9" s="1390"/>
      <c r="D9" s="1390"/>
      <c r="E9" s="1390"/>
      <c r="F9" s="1390"/>
      <c r="G9" s="1390"/>
      <c r="H9" s="1390"/>
      <c r="I9" s="1391"/>
    </row>
    <row r="10" spans="1:9">
      <c r="A10" s="75"/>
      <c r="B10" s="60"/>
      <c r="C10" s="721"/>
      <c r="D10" s="721"/>
      <c r="E10" s="721"/>
      <c r="F10" s="60"/>
      <c r="G10" s="62"/>
      <c r="H10" s="211"/>
      <c r="I10" s="76"/>
    </row>
    <row r="11" spans="1:9">
      <c r="A11" s="1382" t="s">
        <v>138</v>
      </c>
      <c r="B11" s="1383"/>
      <c r="C11" s="1383"/>
      <c r="D11" s="1383"/>
      <c r="E11" s="1383"/>
      <c r="F11" s="1383"/>
      <c r="G11" s="1383"/>
      <c r="H11" s="1383"/>
      <c r="I11" s="1384"/>
    </row>
    <row r="12" spans="1:9">
      <c r="A12" s="77" t="s">
        <v>130</v>
      </c>
      <c r="B12" s="56" t="s">
        <v>131</v>
      </c>
      <c r="C12" s="1427" t="s">
        <v>132</v>
      </c>
      <c r="D12" s="1428"/>
      <c r="E12" s="1429"/>
      <c r="F12" s="56" t="s">
        <v>104</v>
      </c>
      <c r="G12" s="56" t="s">
        <v>133</v>
      </c>
      <c r="H12" s="212" t="s">
        <v>134</v>
      </c>
      <c r="I12" s="78" t="s">
        <v>135</v>
      </c>
    </row>
    <row r="13" spans="1:9">
      <c r="A13" s="79">
        <v>88273</v>
      </c>
      <c r="B13" s="4" t="s">
        <v>58</v>
      </c>
      <c r="C13" s="1553" t="s">
        <v>405</v>
      </c>
      <c r="D13" s="1374"/>
      <c r="E13" s="1375"/>
      <c r="F13" s="4" t="s">
        <v>153</v>
      </c>
      <c r="G13" s="222">
        <f>1.8*21.76</f>
        <v>39.168000000000006</v>
      </c>
      <c r="H13" s="213">
        <v>19.399999999999999</v>
      </c>
      <c r="I13" s="188">
        <f>G13*H13</f>
        <v>759.8592000000001</v>
      </c>
    </row>
    <row r="14" spans="1:9">
      <c r="A14" s="79">
        <v>88243</v>
      </c>
      <c r="B14" s="140" t="s">
        <v>58</v>
      </c>
      <c r="C14" s="1373" t="s">
        <v>406</v>
      </c>
      <c r="D14" s="1388"/>
      <c r="E14" s="1389"/>
      <c r="F14" s="137" t="s">
        <v>153</v>
      </c>
      <c r="G14" s="222">
        <f>1.5*21.76</f>
        <v>32.64</v>
      </c>
      <c r="H14" s="213">
        <v>16.25</v>
      </c>
      <c r="I14" s="188">
        <f>G14*H14</f>
        <v>530.4</v>
      </c>
    </row>
    <row r="15" spans="1:9" ht="78" customHeight="1">
      <c r="A15" s="81"/>
      <c r="B15" s="3"/>
      <c r="C15" s="1442" t="s">
        <v>1076</v>
      </c>
      <c r="D15" s="1545"/>
      <c r="E15" s="1546"/>
      <c r="F15" s="3"/>
      <c r="G15" s="223" t="s">
        <v>783</v>
      </c>
      <c r="H15" s="214"/>
      <c r="I15" s="80"/>
    </row>
    <row r="16" spans="1:9">
      <c r="A16" s="1376" t="s">
        <v>139</v>
      </c>
      <c r="B16" s="1377"/>
      <c r="C16" s="1377"/>
      <c r="D16" s="1377"/>
      <c r="E16" s="1377"/>
      <c r="F16" s="1377"/>
      <c r="G16" s="1377"/>
      <c r="H16" s="1378"/>
      <c r="I16" s="188">
        <f>SUM(I13:I14)</f>
        <v>1290.2592</v>
      </c>
    </row>
    <row r="17" spans="1:16">
      <c r="A17" s="1379"/>
      <c r="B17" s="1380"/>
      <c r="C17" s="1380"/>
      <c r="D17" s="1380"/>
      <c r="E17" s="1380"/>
      <c r="F17" s="1380"/>
      <c r="G17" s="1380"/>
      <c r="H17" s="1380"/>
      <c r="I17" s="1381"/>
    </row>
    <row r="18" spans="1:16">
      <c r="A18" s="1382" t="s">
        <v>160</v>
      </c>
      <c r="B18" s="1383"/>
      <c r="C18" s="1383"/>
      <c r="D18" s="1383"/>
      <c r="E18" s="1383"/>
      <c r="F18" s="1383"/>
      <c r="G18" s="1383"/>
      <c r="H18" s="1383"/>
      <c r="I18" s="1384"/>
    </row>
    <row r="19" spans="1:16">
      <c r="A19" s="77" t="s">
        <v>130</v>
      </c>
      <c r="B19" s="56" t="s">
        <v>131</v>
      </c>
      <c r="C19" s="1427" t="s">
        <v>132</v>
      </c>
      <c r="D19" s="1428"/>
      <c r="E19" s="1429"/>
      <c r="F19" s="56" t="s">
        <v>104</v>
      </c>
      <c r="G19" s="56" t="s">
        <v>133</v>
      </c>
      <c r="H19" s="212" t="s">
        <v>134</v>
      </c>
      <c r="I19" s="78" t="s">
        <v>135</v>
      </c>
    </row>
    <row r="20" spans="1:16" ht="30" customHeight="1">
      <c r="A20" s="718">
        <v>93358</v>
      </c>
      <c r="B20" s="141" t="s">
        <v>58</v>
      </c>
      <c r="C20" s="1554" t="s">
        <v>118</v>
      </c>
      <c r="D20" s="1555"/>
      <c r="E20" s="1556"/>
      <c r="F20" s="131" t="s">
        <v>103</v>
      </c>
      <c r="G20" s="132">
        <f>0.6*0.6*1.05*6</f>
        <v>2.2679999999999998</v>
      </c>
      <c r="H20" s="215">
        <v>53.99</v>
      </c>
      <c r="I20" s="134">
        <f t="shared" ref="I20:I31" si="0">ROUND(G20*H20,2)</f>
        <v>122.45</v>
      </c>
      <c r="K20" s="126"/>
    </row>
    <row r="21" spans="1:16">
      <c r="A21" s="718">
        <v>96995</v>
      </c>
      <c r="B21" s="141" t="s">
        <v>58</v>
      </c>
      <c r="C21" s="1554" t="s">
        <v>121</v>
      </c>
      <c r="D21" s="1555"/>
      <c r="E21" s="1556"/>
      <c r="F21" s="131" t="s">
        <v>103</v>
      </c>
      <c r="G21" s="136">
        <v>1.08</v>
      </c>
      <c r="H21" s="206">
        <v>32.74</v>
      </c>
      <c r="I21" s="134">
        <f t="shared" si="0"/>
        <v>35.36</v>
      </c>
      <c r="P21" s="208"/>
    </row>
    <row r="22" spans="1:16" ht="15" customHeight="1">
      <c r="A22" s="718">
        <v>96616</v>
      </c>
      <c r="B22" s="141" t="s">
        <v>58</v>
      </c>
      <c r="C22" s="1551" t="s">
        <v>290</v>
      </c>
      <c r="D22" s="1499"/>
      <c r="E22" s="1500"/>
      <c r="F22" s="131" t="s">
        <v>103</v>
      </c>
      <c r="G22" s="136">
        <f>0.6*0.6*0.05*6</f>
        <v>0.10799999999999998</v>
      </c>
      <c r="H22" s="206">
        <v>370.85</v>
      </c>
      <c r="I22" s="134">
        <f t="shared" si="0"/>
        <v>40.049999999999997</v>
      </c>
    </row>
    <row r="23" spans="1:16" ht="75" customHeight="1">
      <c r="A23" s="722">
        <v>92434</v>
      </c>
      <c r="B23" s="140" t="s">
        <v>58</v>
      </c>
      <c r="C23" s="1551" t="s">
        <v>386</v>
      </c>
      <c r="D23" s="1574"/>
      <c r="E23" s="1575"/>
      <c r="F23" s="137" t="s">
        <v>57</v>
      </c>
      <c r="G23" s="138">
        <f>6*(4*0.3*0.88)</f>
        <v>6.3360000000000003</v>
      </c>
      <c r="H23" s="206">
        <v>37.200000000000003</v>
      </c>
      <c r="I23" s="134">
        <f t="shared" si="0"/>
        <v>235.7</v>
      </c>
    </row>
    <row r="24" spans="1:16" ht="72.75" customHeight="1">
      <c r="A24" s="722">
        <v>92777</v>
      </c>
      <c r="B24" s="140" t="s">
        <v>58</v>
      </c>
      <c r="C24" s="1373" t="s">
        <v>936</v>
      </c>
      <c r="D24" s="1388"/>
      <c r="E24" s="1389"/>
      <c r="F24" s="137" t="s">
        <v>136</v>
      </c>
      <c r="G24" s="138">
        <v>12.61</v>
      </c>
      <c r="H24" s="206">
        <v>9.57</v>
      </c>
      <c r="I24" s="134">
        <f t="shared" si="0"/>
        <v>120.68</v>
      </c>
    </row>
    <row r="25" spans="1:16" ht="60.75" customHeight="1">
      <c r="A25" s="130">
        <v>92776</v>
      </c>
      <c r="B25" s="181" t="s">
        <v>58</v>
      </c>
      <c r="C25" s="1571" t="s">
        <v>387</v>
      </c>
      <c r="D25" s="1572"/>
      <c r="E25" s="1573"/>
      <c r="F25" s="181" t="s">
        <v>136</v>
      </c>
      <c r="G25" s="138">
        <v>17.690000000000001</v>
      </c>
      <c r="H25" s="206">
        <v>10.08</v>
      </c>
      <c r="I25" s="134">
        <f t="shared" si="0"/>
        <v>178.32</v>
      </c>
    </row>
    <row r="26" spans="1:16" ht="61.5" customHeight="1">
      <c r="A26" s="720">
        <v>92775</v>
      </c>
      <c r="B26" s="140" t="s">
        <v>58</v>
      </c>
      <c r="C26" s="1571" t="s">
        <v>295</v>
      </c>
      <c r="D26" s="1572"/>
      <c r="E26" s="1573"/>
      <c r="F26" s="137" t="s">
        <v>136</v>
      </c>
      <c r="G26" s="139">
        <v>7.83</v>
      </c>
      <c r="H26" s="206">
        <v>11.71</v>
      </c>
      <c r="I26" s="134">
        <f t="shared" si="0"/>
        <v>91.69</v>
      </c>
    </row>
    <row r="27" spans="1:16" ht="66.75" customHeight="1">
      <c r="A27" s="719">
        <v>92718</v>
      </c>
      <c r="B27" s="140" t="s">
        <v>58</v>
      </c>
      <c r="C27" s="1551" t="s">
        <v>237</v>
      </c>
      <c r="D27" s="1499"/>
      <c r="E27" s="1500"/>
      <c r="F27" s="140" t="s">
        <v>103</v>
      </c>
      <c r="G27" s="138">
        <v>1.1499999999999999</v>
      </c>
      <c r="H27" s="206">
        <v>418.06</v>
      </c>
      <c r="I27" s="134">
        <f t="shared" si="0"/>
        <v>480.77</v>
      </c>
      <c r="J27" s="126"/>
    </row>
    <row r="28" spans="1:16">
      <c r="A28" s="79" t="s">
        <v>396</v>
      </c>
      <c r="B28" s="209" t="s">
        <v>58</v>
      </c>
      <c r="C28" s="1610" t="s">
        <v>403</v>
      </c>
      <c r="D28" s="1610"/>
      <c r="E28" s="1610"/>
      <c r="F28" s="209" t="s">
        <v>57</v>
      </c>
      <c r="G28" s="204">
        <f>((0.3*0.3)+(0.13*0.3*4))*6</f>
        <v>1.476</v>
      </c>
      <c r="H28" s="206">
        <v>16.82</v>
      </c>
      <c r="I28" s="134">
        <f t="shared" si="0"/>
        <v>24.83</v>
      </c>
    </row>
    <row r="29" spans="1:16" ht="15.75" customHeight="1">
      <c r="A29" s="221">
        <v>79466</v>
      </c>
      <c r="B29" s="209" t="s">
        <v>58</v>
      </c>
      <c r="C29" s="1611" t="s">
        <v>404</v>
      </c>
      <c r="D29" s="1611"/>
      <c r="E29" s="1611"/>
      <c r="F29" s="209" t="s">
        <v>57</v>
      </c>
      <c r="G29" s="138">
        <v>61.596000000000011</v>
      </c>
      <c r="H29" s="206">
        <v>15.74</v>
      </c>
      <c r="I29" s="134">
        <f t="shared" si="0"/>
        <v>969.52</v>
      </c>
    </row>
    <row r="30" spans="1:16" ht="27" customHeight="1">
      <c r="A30" s="720">
        <v>13294</v>
      </c>
      <c r="B30" s="217" t="s">
        <v>58</v>
      </c>
      <c r="C30" s="1611" t="s">
        <v>227</v>
      </c>
      <c r="D30" s="1611"/>
      <c r="E30" s="1611"/>
      <c r="F30" s="217" t="s">
        <v>104</v>
      </c>
      <c r="G30" s="218">
        <v>10</v>
      </c>
      <c r="H30" s="219">
        <v>0.41</v>
      </c>
      <c r="I30" s="134">
        <f t="shared" si="0"/>
        <v>4.0999999999999996</v>
      </c>
    </row>
    <row r="31" spans="1:16" ht="45" customHeight="1">
      <c r="A31" s="720">
        <v>4305</v>
      </c>
      <c r="B31" s="217" t="s">
        <v>58</v>
      </c>
      <c r="C31" s="1607" t="s">
        <v>228</v>
      </c>
      <c r="D31" s="1608"/>
      <c r="E31" s="1609"/>
      <c r="F31" s="217" t="s">
        <v>104</v>
      </c>
      <c r="G31" s="218">
        <v>12</v>
      </c>
      <c r="H31" s="219">
        <v>1.19</v>
      </c>
      <c r="I31" s="134">
        <f t="shared" si="0"/>
        <v>14.28</v>
      </c>
    </row>
    <row r="32" spans="1:16" ht="46.5" customHeight="1">
      <c r="A32" s="720">
        <v>35276</v>
      </c>
      <c r="B32" s="217" t="s">
        <v>58</v>
      </c>
      <c r="C32" s="1607" t="s">
        <v>1151</v>
      </c>
      <c r="D32" s="1608"/>
      <c r="E32" s="1609"/>
      <c r="F32" s="217" t="s">
        <v>105</v>
      </c>
      <c r="G32" s="218">
        <v>14.22</v>
      </c>
      <c r="H32" s="219">
        <v>109.54</v>
      </c>
      <c r="I32" s="220">
        <f>G32*H32</f>
        <v>1557.6588000000002</v>
      </c>
    </row>
    <row r="33" spans="1:9" ht="33.75" customHeight="1">
      <c r="A33" s="720">
        <v>20204</v>
      </c>
      <c r="B33" s="217" t="s">
        <v>58</v>
      </c>
      <c r="C33" s="1607" t="s">
        <v>226</v>
      </c>
      <c r="D33" s="1608"/>
      <c r="E33" s="1609"/>
      <c r="F33" s="217" t="s">
        <v>105</v>
      </c>
      <c r="G33" s="218">
        <f>6.8+3.2</f>
        <v>10</v>
      </c>
      <c r="H33" s="219">
        <v>60.14</v>
      </c>
      <c r="I33" s="220">
        <f>G33*H33</f>
        <v>601.4</v>
      </c>
    </row>
    <row r="34" spans="1:9" ht="33" customHeight="1">
      <c r="A34" s="720">
        <v>20211</v>
      </c>
      <c r="B34" s="217" t="s">
        <v>58</v>
      </c>
      <c r="C34" s="1607" t="s">
        <v>407</v>
      </c>
      <c r="D34" s="1608"/>
      <c r="E34" s="1609"/>
      <c r="F34" s="217" t="s">
        <v>105</v>
      </c>
      <c r="G34" s="218">
        <v>87.5</v>
      </c>
      <c r="H34" s="219">
        <v>25.42</v>
      </c>
      <c r="I34" s="220">
        <f>G34*H34</f>
        <v>2224.25</v>
      </c>
    </row>
    <row r="35" spans="1:9" ht="15.75">
      <c r="A35" s="81"/>
      <c r="B35" s="3"/>
      <c r="C35" s="1568" t="s">
        <v>1152</v>
      </c>
      <c r="D35" s="1569"/>
      <c r="E35" s="1570"/>
      <c r="F35" s="3"/>
      <c r="G35" s="138"/>
      <c r="H35" s="214"/>
      <c r="I35" s="80"/>
    </row>
    <row r="36" spans="1:9">
      <c r="A36" s="1376" t="s">
        <v>137</v>
      </c>
      <c r="B36" s="1377"/>
      <c r="C36" s="1377"/>
      <c r="D36" s="1377"/>
      <c r="E36" s="1377"/>
      <c r="F36" s="1377"/>
      <c r="G36" s="1377"/>
      <c r="H36" s="1378"/>
      <c r="I36" s="188">
        <f>SUM(I20:I34)</f>
        <v>6701.0587999999998</v>
      </c>
    </row>
    <row r="37" spans="1:9">
      <c r="A37" s="1379"/>
      <c r="B37" s="1380"/>
      <c r="C37" s="1380"/>
      <c r="D37" s="1380"/>
      <c r="E37" s="1380"/>
      <c r="F37" s="1380"/>
      <c r="G37" s="1380"/>
      <c r="H37" s="1380"/>
      <c r="I37" s="1381"/>
    </row>
    <row r="38" spans="1:9">
      <c r="A38" s="1382" t="s">
        <v>140</v>
      </c>
      <c r="B38" s="1383"/>
      <c r="C38" s="1383"/>
      <c r="D38" s="1383"/>
      <c r="E38" s="1383"/>
      <c r="F38" s="1383"/>
      <c r="G38" s="1383"/>
      <c r="H38" s="1383"/>
      <c r="I38" s="1384"/>
    </row>
    <row r="39" spans="1:9">
      <c r="A39" s="82" t="s">
        <v>130</v>
      </c>
      <c r="B39" s="654" t="s">
        <v>131</v>
      </c>
      <c r="C39" s="1427" t="s">
        <v>132</v>
      </c>
      <c r="D39" s="1428"/>
      <c r="E39" s="1429"/>
      <c r="F39" s="654" t="s">
        <v>104</v>
      </c>
      <c r="G39" s="654" t="s">
        <v>133</v>
      </c>
      <c r="H39" s="216" t="s">
        <v>134</v>
      </c>
      <c r="I39" s="83" t="s">
        <v>135</v>
      </c>
    </row>
    <row r="40" spans="1:9">
      <c r="A40" s="79"/>
      <c r="B40" s="4"/>
      <c r="C40" s="1553"/>
      <c r="D40" s="1374"/>
      <c r="E40" s="1375"/>
      <c r="F40" s="4"/>
      <c r="G40" s="4"/>
      <c r="H40" s="213"/>
      <c r="I40" s="80"/>
    </row>
    <row r="41" spans="1:9">
      <c r="A41" s="79"/>
      <c r="B41" s="4"/>
      <c r="C41" s="1373"/>
      <c r="D41" s="1388"/>
      <c r="E41" s="1389"/>
      <c r="F41" s="4"/>
      <c r="G41" s="4"/>
      <c r="H41" s="213"/>
      <c r="I41" s="80"/>
    </row>
    <row r="42" spans="1:9">
      <c r="A42" s="1376" t="s">
        <v>196</v>
      </c>
      <c r="B42" s="1377"/>
      <c r="C42" s="1377"/>
      <c r="D42" s="1377"/>
      <c r="E42" s="1377"/>
      <c r="F42" s="1377"/>
      <c r="G42" s="1377"/>
      <c r="H42" s="1378"/>
      <c r="I42" s="80"/>
    </row>
    <row r="43" spans="1:9">
      <c r="A43" s="1379"/>
      <c r="B43" s="1380"/>
      <c r="C43" s="1380"/>
      <c r="D43" s="1380"/>
      <c r="E43" s="1380"/>
      <c r="F43" s="1380"/>
      <c r="G43" s="1380"/>
      <c r="H43" s="1380"/>
      <c r="I43" s="1381"/>
    </row>
    <row r="44" spans="1:9">
      <c r="A44" s="1382" t="s">
        <v>141</v>
      </c>
      <c r="B44" s="1383"/>
      <c r="C44" s="1383"/>
      <c r="D44" s="1383"/>
      <c r="E44" s="1383"/>
      <c r="F44" s="1383"/>
      <c r="G44" s="1383"/>
      <c r="H44" s="1383"/>
      <c r="I44" s="1384"/>
    </row>
    <row r="45" spans="1:9">
      <c r="A45" s="1413" t="s">
        <v>142</v>
      </c>
      <c r="B45" s="1414"/>
      <c r="C45" s="1414"/>
      <c r="D45" s="1414"/>
      <c r="E45" s="1414"/>
      <c r="F45" s="1414"/>
      <c r="G45" s="1414"/>
      <c r="H45" s="1415"/>
      <c r="I45" s="188">
        <f>I16</f>
        <v>1290.2592</v>
      </c>
    </row>
    <row r="46" spans="1:9">
      <c r="A46" s="1413" t="s">
        <v>163</v>
      </c>
      <c r="B46" s="1414"/>
      <c r="C46" s="1414"/>
      <c r="D46" s="1414"/>
      <c r="E46" s="1414"/>
      <c r="F46" s="1414"/>
      <c r="G46" s="1414"/>
      <c r="H46" s="1415"/>
      <c r="I46" s="188">
        <f>I36</f>
        <v>6701.0587999999998</v>
      </c>
    </row>
    <row r="47" spans="1:9">
      <c r="A47" s="1413" t="s">
        <v>196</v>
      </c>
      <c r="B47" s="1414"/>
      <c r="C47" s="1414"/>
      <c r="D47" s="1414"/>
      <c r="E47" s="1414"/>
      <c r="F47" s="1414"/>
      <c r="G47" s="1414"/>
      <c r="H47" s="1415"/>
      <c r="I47" s="80"/>
    </row>
    <row r="48" spans="1:9">
      <c r="A48" s="1413" t="s">
        <v>391</v>
      </c>
      <c r="B48" s="1414"/>
      <c r="C48" s="1414"/>
      <c r="D48" s="1414"/>
      <c r="E48" s="1414"/>
      <c r="F48" s="1414"/>
      <c r="G48" s="1414"/>
      <c r="H48" s="1415"/>
      <c r="I48" s="80"/>
    </row>
    <row r="49" spans="1:9">
      <c r="A49" s="1413" t="s">
        <v>392</v>
      </c>
      <c r="B49" s="1414"/>
      <c r="C49" s="1414"/>
      <c r="D49" s="1414"/>
      <c r="E49" s="1414"/>
      <c r="F49" s="1414"/>
      <c r="G49" s="1414"/>
      <c r="H49" s="1415"/>
      <c r="I49" s="188">
        <f>I45+I46+I47</f>
        <v>7991.3179999999993</v>
      </c>
    </row>
    <row r="50" spans="1:9">
      <c r="A50" s="1413" t="s">
        <v>393</v>
      </c>
      <c r="B50" s="1414"/>
      <c r="C50" s="1414"/>
      <c r="D50" s="1414"/>
      <c r="E50" s="1414"/>
      <c r="F50" s="1414"/>
      <c r="G50" s="1414"/>
      <c r="H50" s="1415"/>
      <c r="I50" s="188">
        <f>I49*26.54%</f>
        <v>2120.8957971999994</v>
      </c>
    </row>
    <row r="51" spans="1:9">
      <c r="A51" s="1408" t="s">
        <v>144</v>
      </c>
      <c r="B51" s="1409"/>
      <c r="C51" s="1409"/>
      <c r="D51" s="1409"/>
      <c r="E51" s="1409"/>
      <c r="F51" s="1409"/>
      <c r="G51" s="1409"/>
      <c r="H51" s="1409"/>
      <c r="I51" s="189">
        <f>I49+I50</f>
        <v>10112.213797199998</v>
      </c>
    </row>
    <row r="52" spans="1:9" ht="15.75" thickBot="1">
      <c r="A52" s="1410"/>
      <c r="B52" s="1411"/>
      <c r="C52" s="1411"/>
      <c r="D52" s="1411"/>
      <c r="E52" s="1411"/>
      <c r="F52" s="1411"/>
      <c r="G52" s="1411"/>
      <c r="H52" s="1411"/>
      <c r="I52" s="1412"/>
    </row>
  </sheetData>
  <mergeCells count="49">
    <mergeCell ref="C14:E14"/>
    <mergeCell ref="B8:I8"/>
    <mergeCell ref="B9:I9"/>
    <mergeCell ref="A11:I11"/>
    <mergeCell ref="C12:E12"/>
    <mergeCell ref="C13:E13"/>
    <mergeCell ref="A1:H3"/>
    <mergeCell ref="C4:F4"/>
    <mergeCell ref="I4:I5"/>
    <mergeCell ref="C5:F5"/>
    <mergeCell ref="A6:H7"/>
    <mergeCell ref="C20:E20"/>
    <mergeCell ref="C31:E31"/>
    <mergeCell ref="C32:E32"/>
    <mergeCell ref="C35:E35"/>
    <mergeCell ref="C21:E21"/>
    <mergeCell ref="C22:E22"/>
    <mergeCell ref="C23:E23"/>
    <mergeCell ref="C24:E24"/>
    <mergeCell ref="C25:E25"/>
    <mergeCell ref="C26:E26"/>
    <mergeCell ref="C27:E27"/>
    <mergeCell ref="C28:E28"/>
    <mergeCell ref="C34:E34"/>
    <mergeCell ref="C30:E30"/>
    <mergeCell ref="C33:E33"/>
    <mergeCell ref="C29:E29"/>
    <mergeCell ref="C15:E15"/>
    <mergeCell ref="A16:H16"/>
    <mergeCell ref="A17:I17"/>
    <mergeCell ref="A18:I18"/>
    <mergeCell ref="C19:E19"/>
    <mergeCell ref="A52:I52"/>
    <mergeCell ref="A46:H46"/>
    <mergeCell ref="A48:H48"/>
    <mergeCell ref="A49:H49"/>
    <mergeCell ref="A50:H50"/>
    <mergeCell ref="A51:H51"/>
    <mergeCell ref="A47:H47"/>
    <mergeCell ref="A37:I37"/>
    <mergeCell ref="A36:H36"/>
    <mergeCell ref="A45:H45"/>
    <mergeCell ref="A38:I38"/>
    <mergeCell ref="C39:E39"/>
    <mergeCell ref="C40:E40"/>
    <mergeCell ref="C41:E41"/>
    <mergeCell ref="A42:H42"/>
    <mergeCell ref="A43:I43"/>
    <mergeCell ref="A44:I44"/>
  </mergeCells>
  <pageMargins left="0.9055118110236221" right="0.51181102362204722" top="0.78740157480314965" bottom="0.78740157480314965" header="0.31496062992125984" footer="0.31496062992125984"/>
  <pageSetup paperSize="9" scale="57" orientation="portrait" r:id="rId1"/>
  <colBreaks count="1" manualBreakCount="1">
    <brk id="9" max="1048575" man="1"/>
  </col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U54"/>
  <sheetViews>
    <sheetView view="pageBreakPreview" zoomScaleNormal="100" zoomScaleSheetLayoutView="100" workbookViewId="0">
      <selection activeCell="K8" sqref="K8"/>
    </sheetView>
  </sheetViews>
  <sheetFormatPr defaultRowHeight="15"/>
  <cols>
    <col min="1" max="1" width="13" customWidth="1"/>
    <col min="2" max="2" width="11.28515625" customWidth="1"/>
    <col min="3" max="3" width="9.140625" style="371"/>
    <col min="4" max="4" width="23" style="371" customWidth="1"/>
    <col min="5" max="5" width="26.5703125" style="371" customWidth="1"/>
    <col min="7" max="7" width="13.7109375" customWidth="1"/>
    <col min="8" max="8" width="13.5703125" customWidth="1"/>
    <col min="9" max="9" width="13.85546875" customWidth="1"/>
    <col min="13" max="13" width="10.5703125" bestFit="1" customWidth="1"/>
  </cols>
  <sheetData>
    <row r="1" spans="1:21" ht="15.75" customHeight="1">
      <c r="A1" s="85"/>
      <c r="B1" s="1615" t="s">
        <v>43</v>
      </c>
      <c r="C1" s="1615"/>
      <c r="D1" s="1615"/>
      <c r="E1" s="1615"/>
      <c r="F1" s="1615"/>
      <c r="G1" s="1615"/>
      <c r="H1" s="1615"/>
      <c r="I1" s="1616"/>
    </row>
    <row r="2" spans="1:21" ht="15.75">
      <c r="A2" s="86"/>
      <c r="B2" s="1617"/>
      <c r="C2" s="1617"/>
      <c r="D2" s="1617"/>
      <c r="E2" s="1617"/>
      <c r="F2" s="1617"/>
      <c r="G2" s="1617"/>
      <c r="H2" s="1617"/>
      <c r="I2" s="1618"/>
    </row>
    <row r="3" spans="1:21" ht="15.75">
      <c r="A3" s="86"/>
      <c r="B3" s="1617"/>
      <c r="C3" s="1617"/>
      <c r="D3" s="1617"/>
      <c r="E3" s="1617"/>
      <c r="F3" s="1617"/>
      <c r="G3" s="1617"/>
      <c r="H3" s="1617"/>
      <c r="I3" s="1618"/>
    </row>
    <row r="4" spans="1:21" ht="15.75">
      <c r="A4" s="70"/>
      <c r="B4" s="66"/>
      <c r="C4" s="1401" t="s">
        <v>122</v>
      </c>
      <c r="D4" s="1401"/>
      <c r="E4" s="1401"/>
      <c r="F4" s="1402"/>
      <c r="G4" s="58" t="s">
        <v>123</v>
      </c>
      <c r="H4" s="58" t="s">
        <v>124</v>
      </c>
      <c r="I4" s="1403" t="s">
        <v>127</v>
      </c>
    </row>
    <row r="5" spans="1:21" ht="15.75">
      <c r="A5" s="70"/>
      <c r="B5" s="65"/>
      <c r="C5" s="1404" t="s">
        <v>125</v>
      </c>
      <c r="D5" s="1404"/>
      <c r="E5" s="1404"/>
      <c r="F5" s="1405"/>
      <c r="G5" s="84">
        <v>0.89539999999999997</v>
      </c>
      <c r="H5" s="59">
        <v>0.26540000000000002</v>
      </c>
      <c r="I5" s="1403"/>
    </row>
    <row r="6" spans="1:21">
      <c r="A6" s="1406" t="s">
        <v>126</v>
      </c>
      <c r="B6" s="1407"/>
      <c r="C6" s="1407"/>
      <c r="D6" s="1407"/>
      <c r="E6" s="1407"/>
      <c r="F6" s="1407"/>
      <c r="G6" s="1407"/>
      <c r="H6" s="1407"/>
      <c r="I6" s="71">
        <v>43313</v>
      </c>
    </row>
    <row r="7" spans="1:21">
      <c r="A7" s="1406"/>
      <c r="B7" s="1407"/>
      <c r="C7" s="1407"/>
      <c r="D7" s="1407"/>
      <c r="E7" s="1407"/>
      <c r="F7" s="1407"/>
      <c r="G7" s="1407"/>
      <c r="H7" s="1407"/>
      <c r="I7" s="72" t="s">
        <v>963</v>
      </c>
    </row>
    <row r="8" spans="1:21" ht="82.5" customHeight="1">
      <c r="A8" s="73" t="s">
        <v>128</v>
      </c>
      <c r="B8" s="1395" t="s">
        <v>1069</v>
      </c>
      <c r="C8" s="1395"/>
      <c r="D8" s="1395"/>
      <c r="E8" s="1395"/>
      <c r="F8" s="1395"/>
      <c r="G8" s="1395"/>
      <c r="H8" s="1395"/>
      <c r="I8" s="1396"/>
      <c r="L8" s="1479" t="s">
        <v>236</v>
      </c>
      <c r="M8" s="1479"/>
      <c r="N8" s="1479"/>
      <c r="O8" s="1479"/>
      <c r="P8" s="1479"/>
      <c r="Q8" s="1479"/>
      <c r="R8" s="1479"/>
      <c r="S8" s="1479"/>
      <c r="T8" s="1479"/>
      <c r="U8" s="1479"/>
    </row>
    <row r="9" spans="1:21">
      <c r="A9" s="74" t="s">
        <v>129</v>
      </c>
      <c r="B9" s="1390" t="s">
        <v>104</v>
      </c>
      <c r="C9" s="1390"/>
      <c r="D9" s="1390"/>
      <c r="E9" s="1390"/>
      <c r="F9" s="1390"/>
      <c r="G9" s="1390"/>
      <c r="H9" s="1390"/>
      <c r="I9" s="1391"/>
    </row>
    <row r="10" spans="1:21">
      <c r="A10" s="75"/>
      <c r="B10" s="60"/>
      <c r="C10" s="721"/>
      <c r="D10" s="721"/>
      <c r="E10" s="721"/>
      <c r="F10" s="60"/>
      <c r="G10" s="62"/>
      <c r="H10" s="63"/>
      <c r="I10" s="76"/>
    </row>
    <row r="11" spans="1:21">
      <c r="A11" s="1382" t="s">
        <v>138</v>
      </c>
      <c r="B11" s="1383"/>
      <c r="C11" s="1383"/>
      <c r="D11" s="1383"/>
      <c r="E11" s="1383"/>
      <c r="F11" s="1383"/>
      <c r="G11" s="1383"/>
      <c r="H11" s="1383"/>
      <c r="I11" s="1384"/>
    </row>
    <row r="12" spans="1:21">
      <c r="A12" s="77" t="s">
        <v>130</v>
      </c>
      <c r="B12" s="56" t="s">
        <v>131</v>
      </c>
      <c r="C12" s="1427" t="s">
        <v>132</v>
      </c>
      <c r="D12" s="1428"/>
      <c r="E12" s="1429"/>
      <c r="F12" s="56" t="s">
        <v>104</v>
      </c>
      <c r="G12" s="56" t="s">
        <v>133</v>
      </c>
      <c r="H12" s="56" t="s">
        <v>134</v>
      </c>
      <c r="I12" s="78" t="s">
        <v>135</v>
      </c>
    </row>
    <row r="13" spans="1:21">
      <c r="A13" s="629">
        <v>8316</v>
      </c>
      <c r="B13" s="630" t="s">
        <v>58</v>
      </c>
      <c r="C13" s="1553" t="s">
        <v>937</v>
      </c>
      <c r="D13" s="1374"/>
      <c r="E13" s="1375"/>
      <c r="F13" s="630" t="s">
        <v>153</v>
      </c>
      <c r="G13" s="630">
        <v>0.184</v>
      </c>
      <c r="H13" s="213">
        <v>13.65</v>
      </c>
      <c r="I13" s="631">
        <f>G13*H13</f>
        <v>2.5116000000000001</v>
      </c>
    </row>
    <row r="14" spans="1:21">
      <c r="A14" s="79">
        <v>88323</v>
      </c>
      <c r="B14" s="4" t="s">
        <v>58</v>
      </c>
      <c r="C14" s="1553" t="s">
        <v>229</v>
      </c>
      <c r="D14" s="1374"/>
      <c r="E14" s="1375"/>
      <c r="F14" s="4" t="s">
        <v>153</v>
      </c>
      <c r="G14" s="4">
        <v>0.183</v>
      </c>
      <c r="H14" s="213">
        <v>17.329999999999998</v>
      </c>
      <c r="I14" s="188">
        <f>G14*H14</f>
        <v>3.1713899999999997</v>
      </c>
    </row>
    <row r="15" spans="1:21">
      <c r="A15" s="79">
        <v>88273</v>
      </c>
      <c r="B15" s="4" t="s">
        <v>58</v>
      </c>
      <c r="C15" s="1553" t="s">
        <v>405</v>
      </c>
      <c r="D15" s="1374"/>
      <c r="E15" s="1375"/>
      <c r="F15" s="4" t="s">
        <v>153</v>
      </c>
      <c r="G15" s="222">
        <f>1.8*5.59</f>
        <v>10.061999999999999</v>
      </c>
      <c r="H15" s="213">
        <v>19.399999999999999</v>
      </c>
      <c r="I15" s="188">
        <f>G15*H15</f>
        <v>195.20279999999997</v>
      </c>
    </row>
    <row r="16" spans="1:21">
      <c r="A16" s="79">
        <v>88243</v>
      </c>
      <c r="B16" s="140" t="s">
        <v>58</v>
      </c>
      <c r="C16" s="1373" t="s">
        <v>406</v>
      </c>
      <c r="D16" s="1388"/>
      <c r="E16" s="1389"/>
      <c r="F16" s="137" t="s">
        <v>153</v>
      </c>
      <c r="G16" s="222">
        <f>1.5*5.59</f>
        <v>8.3849999999999998</v>
      </c>
      <c r="H16" s="213">
        <v>16.25</v>
      </c>
      <c r="I16" s="188">
        <f>G16*H16</f>
        <v>136.25624999999999</v>
      </c>
    </row>
    <row r="17" spans="1:13" ht="122.25" customHeight="1">
      <c r="A17" s="81"/>
      <c r="B17" s="3"/>
      <c r="C17" s="1442" t="s">
        <v>1045</v>
      </c>
      <c r="D17" s="1545"/>
      <c r="E17" s="1546"/>
      <c r="F17" s="3"/>
      <c r="G17" s="632" t="s">
        <v>1046</v>
      </c>
      <c r="H17" s="214"/>
      <c r="I17" s="80"/>
    </row>
    <row r="18" spans="1:13" ht="15" customHeight="1">
      <c r="A18" s="81"/>
      <c r="B18" s="3"/>
      <c r="C18" s="1553"/>
      <c r="D18" s="1374"/>
      <c r="E18" s="1375"/>
      <c r="F18" s="3"/>
      <c r="G18" s="3"/>
      <c r="H18" s="3"/>
      <c r="I18" s="80"/>
    </row>
    <row r="19" spans="1:13">
      <c r="A19" s="1376" t="s">
        <v>139</v>
      </c>
      <c r="B19" s="1377"/>
      <c r="C19" s="1377"/>
      <c r="D19" s="1377"/>
      <c r="E19" s="1377"/>
      <c r="F19" s="1377"/>
      <c r="G19" s="1377"/>
      <c r="H19" s="1378"/>
      <c r="I19" s="188">
        <f>SUM(I13:I16)</f>
        <v>337.14203999999995</v>
      </c>
    </row>
    <row r="20" spans="1:13">
      <c r="A20" s="1379"/>
      <c r="B20" s="1380"/>
      <c r="C20" s="1380"/>
      <c r="D20" s="1380"/>
      <c r="E20" s="1380"/>
      <c r="F20" s="1380"/>
      <c r="G20" s="1380"/>
      <c r="H20" s="1380"/>
      <c r="I20" s="1381"/>
    </row>
    <row r="21" spans="1:13">
      <c r="A21" s="1382" t="s">
        <v>160</v>
      </c>
      <c r="B21" s="1383"/>
      <c r="C21" s="1383"/>
      <c r="D21" s="1383"/>
      <c r="E21" s="1383"/>
      <c r="F21" s="1383"/>
      <c r="G21" s="1383"/>
      <c r="H21" s="1383"/>
      <c r="I21" s="1384"/>
    </row>
    <row r="22" spans="1:13">
      <c r="A22" s="77" t="s">
        <v>130</v>
      </c>
      <c r="B22" s="56" t="s">
        <v>131</v>
      </c>
      <c r="C22" s="1427" t="s">
        <v>132</v>
      </c>
      <c r="D22" s="1428"/>
      <c r="E22" s="1429"/>
      <c r="F22" s="56" t="s">
        <v>104</v>
      </c>
      <c r="G22" s="56" t="s">
        <v>133</v>
      </c>
      <c r="H22" s="56" t="s">
        <v>134</v>
      </c>
      <c r="I22" s="78" t="s">
        <v>135</v>
      </c>
    </row>
    <row r="23" spans="1:13">
      <c r="A23" s="718">
        <v>93358</v>
      </c>
      <c r="B23" s="141" t="s">
        <v>58</v>
      </c>
      <c r="C23" s="1554" t="s">
        <v>118</v>
      </c>
      <c r="D23" s="1555"/>
      <c r="E23" s="1556"/>
      <c r="F23" s="131" t="s">
        <v>103</v>
      </c>
      <c r="G23" s="132">
        <f>'QUADRO ESTRUTURAL PONTO ONIBUS'!H41</f>
        <v>5.668000000000001</v>
      </c>
      <c r="H23" s="215">
        <v>53.99</v>
      </c>
      <c r="I23" s="134">
        <f t="shared" ref="I23:I30" si="0">ROUND(G23*H23,2)</f>
        <v>306.02</v>
      </c>
      <c r="K23" s="616"/>
    </row>
    <row r="24" spans="1:13">
      <c r="A24" s="718">
        <v>96995</v>
      </c>
      <c r="B24" s="141" t="s">
        <v>58</v>
      </c>
      <c r="C24" s="1612" t="s">
        <v>121</v>
      </c>
      <c r="D24" s="1613"/>
      <c r="E24" s="1614"/>
      <c r="F24" s="131" t="s">
        <v>103</v>
      </c>
      <c r="G24" s="136">
        <f>'QUADRO ESTRUTURAL PONTO ONIBUS'!H44</f>
        <v>3.0437500000000011</v>
      </c>
      <c r="H24" s="206">
        <v>32.74</v>
      </c>
      <c r="I24" s="134">
        <f t="shared" si="0"/>
        <v>99.65</v>
      </c>
    </row>
    <row r="25" spans="1:13" ht="31.5" customHeight="1">
      <c r="A25" s="718">
        <v>96616</v>
      </c>
      <c r="B25" s="141" t="s">
        <v>58</v>
      </c>
      <c r="C25" s="1551" t="s">
        <v>290</v>
      </c>
      <c r="D25" s="1574"/>
      <c r="E25" s="1575"/>
      <c r="F25" s="131" t="s">
        <v>103</v>
      </c>
      <c r="G25" s="136">
        <f>'QUADRO ESTRUTURAL PONTO ONIBUS'!H29</f>
        <v>0.12800000000000003</v>
      </c>
      <c r="H25" s="206">
        <v>370.85</v>
      </c>
      <c r="I25" s="134">
        <f t="shared" si="0"/>
        <v>47.47</v>
      </c>
    </row>
    <row r="26" spans="1:13" ht="78" customHeight="1">
      <c r="A26" s="722">
        <v>92414</v>
      </c>
      <c r="B26" s="140" t="s">
        <v>58</v>
      </c>
      <c r="C26" s="1551" t="s">
        <v>1067</v>
      </c>
      <c r="D26" s="1574"/>
      <c r="E26" s="1575"/>
      <c r="F26" s="137" t="s">
        <v>57</v>
      </c>
      <c r="G26" s="138">
        <f>'QUADRO ESTRUTURAL PONTO ONIBUS'!J35</f>
        <v>42.38</v>
      </c>
      <c r="H26" s="206">
        <v>97.24</v>
      </c>
      <c r="I26" s="134">
        <f t="shared" si="0"/>
        <v>4121.03</v>
      </c>
    </row>
    <row r="27" spans="1:13" ht="59.25" customHeight="1">
      <c r="A27" s="130">
        <v>92777</v>
      </c>
      <c r="B27" s="8" t="s">
        <v>58</v>
      </c>
      <c r="C27" s="1373" t="s">
        <v>936</v>
      </c>
      <c r="D27" s="1388"/>
      <c r="E27" s="1389"/>
      <c r="F27" s="8" t="s">
        <v>136</v>
      </c>
      <c r="G27" s="138">
        <f>'QUADRO ESTRUTURAL PONTO ONIBUS'!J16</f>
        <v>99.097600000000014</v>
      </c>
      <c r="H27" s="206">
        <v>9.57</v>
      </c>
      <c r="I27" s="134">
        <f t="shared" si="0"/>
        <v>948.36</v>
      </c>
      <c r="M27" s="126"/>
    </row>
    <row r="28" spans="1:13" ht="60" customHeight="1">
      <c r="A28" s="720">
        <v>92775</v>
      </c>
      <c r="B28" s="140" t="s">
        <v>58</v>
      </c>
      <c r="C28" s="1571" t="s">
        <v>295</v>
      </c>
      <c r="D28" s="1572"/>
      <c r="E28" s="1573"/>
      <c r="F28" s="137" t="s">
        <v>136</v>
      </c>
      <c r="G28" s="139">
        <f>'QUADRO ESTRUTURAL PONTO ONIBUS'!J17</f>
        <v>46.8416</v>
      </c>
      <c r="H28" s="206">
        <v>11.71</v>
      </c>
      <c r="I28" s="134">
        <f t="shared" si="0"/>
        <v>548.52</v>
      </c>
    </row>
    <row r="29" spans="1:13" ht="60" customHeight="1">
      <c r="A29" s="719">
        <v>92718</v>
      </c>
      <c r="B29" s="140" t="s">
        <v>58</v>
      </c>
      <c r="C29" s="1551" t="s">
        <v>237</v>
      </c>
      <c r="D29" s="1499"/>
      <c r="E29" s="1500"/>
      <c r="F29" s="140" t="s">
        <v>103</v>
      </c>
      <c r="G29" s="138">
        <f>'QUADRO ESTRUTURAL PONTO ONIBUS'!H25</f>
        <v>4.78</v>
      </c>
      <c r="H29" s="206">
        <v>418.06</v>
      </c>
      <c r="I29" s="134">
        <f t="shared" si="0"/>
        <v>1998.33</v>
      </c>
    </row>
    <row r="30" spans="1:13" ht="30" customHeight="1">
      <c r="A30" s="719">
        <v>84678</v>
      </c>
      <c r="B30" s="140" t="s">
        <v>58</v>
      </c>
      <c r="C30" s="1551" t="s">
        <v>1068</v>
      </c>
      <c r="D30" s="1499"/>
      <c r="E30" s="1500"/>
      <c r="F30" s="140" t="s">
        <v>57</v>
      </c>
      <c r="G30" s="139">
        <f>5.195*4</f>
        <v>20.78</v>
      </c>
      <c r="H30" s="206">
        <v>16.55</v>
      </c>
      <c r="I30" s="134">
        <f t="shared" si="0"/>
        <v>343.91</v>
      </c>
    </row>
    <row r="31" spans="1:13" ht="60.75" hidden="1" customHeight="1">
      <c r="A31" s="621">
        <v>42172</v>
      </c>
      <c r="B31" s="622" t="s">
        <v>58</v>
      </c>
      <c r="C31" s="1622" t="s">
        <v>233</v>
      </c>
      <c r="D31" s="1623"/>
      <c r="E31" s="1624"/>
      <c r="F31" s="623" t="s">
        <v>57</v>
      </c>
      <c r="G31" s="624">
        <v>24.6</v>
      </c>
      <c r="H31" s="625">
        <v>87.08</v>
      </c>
      <c r="I31" s="142"/>
      <c r="M31" s="129"/>
    </row>
    <row r="32" spans="1:13" ht="29.25" customHeight="1">
      <c r="A32" s="723">
        <v>42528</v>
      </c>
      <c r="B32" s="606" t="s">
        <v>58</v>
      </c>
      <c r="C32" s="1619" t="s">
        <v>232</v>
      </c>
      <c r="D32" s="1620"/>
      <c r="E32" s="1621"/>
      <c r="F32" s="606" t="s">
        <v>57</v>
      </c>
      <c r="G32" s="627">
        <f>14.4*0.4</f>
        <v>5.7600000000000007</v>
      </c>
      <c r="H32" s="628">
        <v>4.6500000000000004</v>
      </c>
      <c r="I32" s="220">
        <f>G32*H32</f>
        <v>26.784000000000006</v>
      </c>
    </row>
    <row r="33" spans="1:13" ht="31.5" customHeight="1">
      <c r="A33" s="724">
        <v>42529</v>
      </c>
      <c r="B33" s="476" t="s">
        <v>58</v>
      </c>
      <c r="C33" s="1619" t="s">
        <v>934</v>
      </c>
      <c r="D33" s="1620"/>
      <c r="E33" s="1621"/>
      <c r="F33" s="606" t="s">
        <v>105</v>
      </c>
      <c r="G33" s="627">
        <f>14.4*4</f>
        <v>57.6</v>
      </c>
      <c r="H33" s="628">
        <v>0.69</v>
      </c>
      <c r="I33" s="220">
        <f>G33*H33</f>
        <v>39.744</v>
      </c>
    </row>
    <row r="34" spans="1:13" ht="30.75" customHeight="1">
      <c r="A34" s="719">
        <v>20204</v>
      </c>
      <c r="B34" s="140" t="s">
        <v>58</v>
      </c>
      <c r="C34" s="1551" t="s">
        <v>226</v>
      </c>
      <c r="D34" s="1499"/>
      <c r="E34" s="1500"/>
      <c r="F34" s="140" t="s">
        <v>105</v>
      </c>
      <c r="G34" s="138">
        <v>23.4</v>
      </c>
      <c r="H34" s="206">
        <v>60.14</v>
      </c>
      <c r="I34" s="134">
        <f>ROUND(G34*H34,2)</f>
        <v>1407.28</v>
      </c>
    </row>
    <row r="35" spans="1:13">
      <c r="A35" s="719">
        <v>79466</v>
      </c>
      <c r="B35" s="140" t="s">
        <v>58</v>
      </c>
      <c r="C35" s="1551" t="s">
        <v>404</v>
      </c>
      <c r="D35" s="1499"/>
      <c r="E35" s="1500"/>
      <c r="F35" s="140" t="s">
        <v>1054</v>
      </c>
      <c r="G35" s="138">
        <f>G34*(0.23*2+0.075*2+0.075*0.23*2)</f>
        <v>15.081299999999999</v>
      </c>
      <c r="H35" s="206">
        <v>15.74</v>
      </c>
      <c r="I35" s="134">
        <f>G35*H35</f>
        <v>237.379662</v>
      </c>
    </row>
    <row r="36" spans="1:13" ht="124.5" customHeight="1">
      <c r="A36" s="719" t="s">
        <v>161</v>
      </c>
      <c r="B36" s="140" t="s">
        <v>162</v>
      </c>
      <c r="C36" s="1551" t="s">
        <v>1044</v>
      </c>
      <c r="D36" s="1499"/>
      <c r="E36" s="1500"/>
      <c r="F36" s="140" t="s">
        <v>104</v>
      </c>
      <c r="G36" s="218">
        <v>1</v>
      </c>
      <c r="H36" s="206">
        <v>20249.206666666665</v>
      </c>
      <c r="I36" s="134">
        <f>G36*H36</f>
        <v>20249.206666666665</v>
      </c>
      <c r="M36" s="716"/>
    </row>
    <row r="37" spans="1:13" ht="29.25" customHeight="1">
      <c r="A37" s="719"/>
      <c r="B37" s="140"/>
      <c r="C37" s="1576" t="s">
        <v>1077</v>
      </c>
      <c r="D37" s="1577"/>
      <c r="E37" s="1578"/>
      <c r="F37" s="140"/>
      <c r="G37" s="138"/>
      <c r="H37" s="206"/>
      <c r="I37" s="134"/>
    </row>
    <row r="38" spans="1:13">
      <c r="A38" s="1376" t="s">
        <v>137</v>
      </c>
      <c r="B38" s="1377"/>
      <c r="C38" s="1377"/>
      <c r="D38" s="1377"/>
      <c r="E38" s="1377"/>
      <c r="F38" s="1377"/>
      <c r="G38" s="1377"/>
      <c r="H38" s="1378"/>
      <c r="I38" s="188">
        <f>SUM(I23:I36)</f>
        <v>30373.684328666663</v>
      </c>
    </row>
    <row r="39" spans="1:13">
      <c r="A39" s="1379"/>
      <c r="B39" s="1380"/>
      <c r="C39" s="1380"/>
      <c r="D39" s="1380"/>
      <c r="E39" s="1380"/>
      <c r="F39" s="1380"/>
      <c r="G39" s="1380"/>
      <c r="H39" s="1380"/>
      <c r="I39" s="1381"/>
    </row>
    <row r="40" spans="1:13">
      <c r="A40" s="1382" t="s">
        <v>140</v>
      </c>
      <c r="B40" s="1383"/>
      <c r="C40" s="1383"/>
      <c r="D40" s="1383"/>
      <c r="E40" s="1383"/>
      <c r="F40" s="1383"/>
      <c r="G40" s="1383"/>
      <c r="H40" s="1383"/>
      <c r="I40" s="1384"/>
    </row>
    <row r="41" spans="1:13">
      <c r="A41" s="82" t="s">
        <v>130</v>
      </c>
      <c r="B41" s="654" t="s">
        <v>131</v>
      </c>
      <c r="C41" s="1427" t="s">
        <v>132</v>
      </c>
      <c r="D41" s="1428"/>
      <c r="E41" s="1429"/>
      <c r="F41" s="654" t="s">
        <v>104</v>
      </c>
      <c r="G41" s="654" t="s">
        <v>133</v>
      </c>
      <c r="H41" s="654" t="s">
        <v>134</v>
      </c>
      <c r="I41" s="83" t="s">
        <v>135</v>
      </c>
    </row>
    <row r="42" spans="1:13">
      <c r="A42" s="79"/>
      <c r="B42" s="4"/>
      <c r="C42" s="1553"/>
      <c r="D42" s="1374"/>
      <c r="E42" s="1375"/>
      <c r="F42" s="4"/>
      <c r="G42" s="4"/>
      <c r="H42" s="4"/>
      <c r="I42" s="80"/>
    </row>
    <row r="43" spans="1:13">
      <c r="A43" s="81"/>
      <c r="B43" s="3"/>
      <c r="C43" s="1553"/>
      <c r="D43" s="1374"/>
      <c r="E43" s="1375"/>
      <c r="F43" s="3"/>
      <c r="G43" s="3"/>
      <c r="H43" s="3"/>
      <c r="I43" s="80"/>
    </row>
    <row r="44" spans="1:13">
      <c r="A44" s="1376" t="s">
        <v>196</v>
      </c>
      <c r="B44" s="1377"/>
      <c r="C44" s="1377"/>
      <c r="D44" s="1377"/>
      <c r="E44" s="1377"/>
      <c r="F44" s="1377"/>
      <c r="G44" s="1377"/>
      <c r="H44" s="1378"/>
      <c r="I44" s="80"/>
    </row>
    <row r="45" spans="1:13">
      <c r="A45" s="1379"/>
      <c r="B45" s="1380"/>
      <c r="C45" s="1380"/>
      <c r="D45" s="1380"/>
      <c r="E45" s="1380"/>
      <c r="F45" s="1380"/>
      <c r="G45" s="1380"/>
      <c r="H45" s="1380"/>
      <c r="I45" s="1381"/>
    </row>
    <row r="46" spans="1:13">
      <c r="A46" s="1382" t="s">
        <v>141</v>
      </c>
      <c r="B46" s="1383"/>
      <c r="C46" s="1383"/>
      <c r="D46" s="1383"/>
      <c r="E46" s="1383"/>
      <c r="F46" s="1383"/>
      <c r="G46" s="1383"/>
      <c r="H46" s="1383"/>
      <c r="I46" s="1384"/>
    </row>
    <row r="47" spans="1:13">
      <c r="A47" s="1413" t="s">
        <v>142</v>
      </c>
      <c r="B47" s="1414"/>
      <c r="C47" s="1414"/>
      <c r="D47" s="1414"/>
      <c r="E47" s="1414"/>
      <c r="F47" s="1414"/>
      <c r="G47" s="1414"/>
      <c r="H47" s="1415"/>
      <c r="I47" s="188">
        <f>I19</f>
        <v>337.14203999999995</v>
      </c>
    </row>
    <row r="48" spans="1:13">
      <c r="A48" s="1413" t="s">
        <v>163</v>
      </c>
      <c r="B48" s="1414"/>
      <c r="C48" s="1414"/>
      <c r="D48" s="1414"/>
      <c r="E48" s="1414"/>
      <c r="F48" s="1414"/>
      <c r="G48" s="1414"/>
      <c r="H48" s="1415"/>
      <c r="I48" s="188">
        <f>I38</f>
        <v>30373.684328666663</v>
      </c>
    </row>
    <row r="49" spans="1:9">
      <c r="A49" s="1413" t="s">
        <v>196</v>
      </c>
      <c r="B49" s="1414"/>
      <c r="C49" s="1414"/>
      <c r="D49" s="1414"/>
      <c r="E49" s="1414"/>
      <c r="F49" s="1414"/>
      <c r="G49" s="1414"/>
      <c r="H49" s="1415"/>
      <c r="I49" s="188"/>
    </row>
    <row r="50" spans="1:9">
      <c r="A50" s="1413" t="s">
        <v>391</v>
      </c>
      <c r="B50" s="1414"/>
      <c r="C50" s="1414"/>
      <c r="D50" s="1414"/>
      <c r="E50" s="1414"/>
      <c r="F50" s="1414"/>
      <c r="G50" s="1414"/>
      <c r="H50" s="1415"/>
      <c r="I50" s="80"/>
    </row>
    <row r="51" spans="1:9">
      <c r="A51" s="1413" t="s">
        <v>392</v>
      </c>
      <c r="B51" s="1414"/>
      <c r="C51" s="1414"/>
      <c r="D51" s="1414"/>
      <c r="E51" s="1414"/>
      <c r="F51" s="1414"/>
      <c r="G51" s="1414"/>
      <c r="H51" s="1415"/>
      <c r="I51" s="188">
        <f>SUM(I47:I48)</f>
        <v>30710.826368666661</v>
      </c>
    </row>
    <row r="52" spans="1:9">
      <c r="A52" s="1413" t="s">
        <v>393</v>
      </c>
      <c r="B52" s="1414"/>
      <c r="C52" s="1414"/>
      <c r="D52" s="1414"/>
      <c r="E52" s="1414"/>
      <c r="F52" s="1414"/>
      <c r="G52" s="1414"/>
      <c r="H52" s="1415"/>
      <c r="I52" s="188">
        <f>I51*26.54%</f>
        <v>8150.6533182441308</v>
      </c>
    </row>
    <row r="53" spans="1:9">
      <c r="A53" s="1408" t="s">
        <v>144</v>
      </c>
      <c r="B53" s="1409"/>
      <c r="C53" s="1409"/>
      <c r="D53" s="1409"/>
      <c r="E53" s="1409"/>
      <c r="F53" s="1409"/>
      <c r="G53" s="1409"/>
      <c r="H53" s="1409"/>
      <c r="I53" s="189">
        <f>I51+I52</f>
        <v>38861.479686910796</v>
      </c>
    </row>
    <row r="54" spans="1:9" ht="15.75" thickBot="1">
      <c r="A54" s="1410"/>
      <c r="B54" s="1411"/>
      <c r="C54" s="1411"/>
      <c r="D54" s="1411"/>
      <c r="E54" s="1411"/>
      <c r="F54" s="1411"/>
      <c r="G54" s="1411"/>
      <c r="H54" s="1411"/>
      <c r="I54" s="1412"/>
    </row>
  </sheetData>
  <mergeCells count="52">
    <mergeCell ref="I4:I5"/>
    <mergeCell ref="C5:F5"/>
    <mergeCell ref="A6:H7"/>
    <mergeCell ref="B8:I8"/>
    <mergeCell ref="B9:I9"/>
    <mergeCell ref="C4:F4"/>
    <mergeCell ref="A45:I45"/>
    <mergeCell ref="A46:I46"/>
    <mergeCell ref="A39:I39"/>
    <mergeCell ref="C18:E18"/>
    <mergeCell ref="A19:H19"/>
    <mergeCell ref="A20:I20"/>
    <mergeCell ref="A21:I21"/>
    <mergeCell ref="C22:E22"/>
    <mergeCell ref="C32:E32"/>
    <mergeCell ref="C30:E30"/>
    <mergeCell ref="C31:E31"/>
    <mergeCell ref="C33:E33"/>
    <mergeCell ref="C34:E34"/>
    <mergeCell ref="C36:E36"/>
    <mergeCell ref="C35:E35"/>
    <mergeCell ref="A40:I40"/>
    <mergeCell ref="C41:E41"/>
    <mergeCell ref="C12:E12"/>
    <mergeCell ref="C14:E14"/>
    <mergeCell ref="C25:E25"/>
    <mergeCell ref="C13:E13"/>
    <mergeCell ref="C17:E17"/>
    <mergeCell ref="C16:E16"/>
    <mergeCell ref="C15:E15"/>
    <mergeCell ref="C42:E42"/>
    <mergeCell ref="C43:E43"/>
    <mergeCell ref="A44:H44"/>
    <mergeCell ref="A54:I54"/>
    <mergeCell ref="B1:I3"/>
    <mergeCell ref="C28:E28"/>
    <mergeCell ref="C29:E29"/>
    <mergeCell ref="A48:H48"/>
    <mergeCell ref="A50:H50"/>
    <mergeCell ref="A51:H51"/>
    <mergeCell ref="A49:H49"/>
    <mergeCell ref="A52:H52"/>
    <mergeCell ref="A53:H53"/>
    <mergeCell ref="A47:H47"/>
    <mergeCell ref="C37:E37"/>
    <mergeCell ref="A38:H38"/>
    <mergeCell ref="L8:U8"/>
    <mergeCell ref="C23:E23"/>
    <mergeCell ref="C24:E24"/>
    <mergeCell ref="C26:E26"/>
    <mergeCell ref="C27:E27"/>
    <mergeCell ref="A11:I11"/>
  </mergeCells>
  <pageMargins left="1.1023622047244095" right="0.31496062992125984" top="0.59055118110236227" bottom="0.39370078740157483" header="0.31496062992125984" footer="0.31496062992125984"/>
  <pageSetup paperSize="9" scale="57" fitToWidth="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Y368"/>
  <sheetViews>
    <sheetView view="pageBreakPreview" topLeftCell="A338" zoomScaleNormal="100" zoomScaleSheetLayoutView="100" workbookViewId="0">
      <selection activeCell="C352" sqref="C352:E352"/>
    </sheetView>
  </sheetViews>
  <sheetFormatPr defaultColWidth="9.140625" defaultRowHeight="15"/>
  <cols>
    <col min="1" max="1" width="9.85546875" style="224" bestFit="1" customWidth="1"/>
    <col min="2" max="2" width="11.85546875" style="224" bestFit="1" customWidth="1"/>
    <col min="3" max="3" width="9.140625" style="729"/>
    <col min="4" max="4" width="23.5703125" style="729" customWidth="1"/>
    <col min="5" max="5" width="17" style="729" customWidth="1"/>
    <col min="6" max="6" width="5" style="224" bestFit="1" customWidth="1"/>
    <col min="7" max="7" width="7.5703125" style="224" bestFit="1" customWidth="1"/>
    <col min="8" max="8" width="8.42578125" style="224" bestFit="1" customWidth="1"/>
    <col min="9" max="9" width="11.140625" style="224" bestFit="1" customWidth="1"/>
    <col min="10" max="18" width="0" hidden="1" customWidth="1"/>
    <col min="20" max="20" width="9.5703125" hidden="1" customWidth="1"/>
    <col min="21" max="25" width="0" hidden="1" customWidth="1"/>
  </cols>
  <sheetData>
    <row r="1" spans="1:17" ht="14.25" customHeight="1">
      <c r="A1" s="598"/>
      <c r="B1" s="1665" t="s">
        <v>43</v>
      </c>
      <c r="C1" s="1665"/>
      <c r="D1" s="1666"/>
      <c r="E1" s="1663" t="s">
        <v>126</v>
      </c>
      <c r="F1" s="1663"/>
      <c r="G1" s="1663"/>
      <c r="H1" s="1663"/>
      <c r="I1" s="1658" t="s">
        <v>127</v>
      </c>
    </row>
    <row r="2" spans="1:17" ht="34.5" customHeight="1">
      <c r="A2" s="599"/>
      <c r="B2" s="1667"/>
      <c r="C2" s="1667"/>
      <c r="D2" s="1668"/>
      <c r="E2" s="1664"/>
      <c r="F2" s="1664"/>
      <c r="G2" s="1664"/>
      <c r="H2" s="1664"/>
      <c r="I2" s="1659"/>
    </row>
    <row r="3" spans="1:17">
      <c r="A3" s="599"/>
      <c r="B3" s="1669" t="s">
        <v>122</v>
      </c>
      <c r="C3" s="1669"/>
      <c r="D3" s="1670"/>
      <c r="E3" s="1664"/>
      <c r="F3" s="1664"/>
      <c r="G3" s="1664"/>
      <c r="H3" s="1664"/>
      <c r="I3" s="225">
        <v>43313</v>
      </c>
    </row>
    <row r="4" spans="1:17" ht="18.75" customHeight="1">
      <c r="A4" s="600"/>
      <c r="B4" s="1671" t="s">
        <v>125</v>
      </c>
      <c r="C4" s="1671"/>
      <c r="D4" s="1672"/>
      <c r="E4" s="1664"/>
      <c r="F4" s="1664"/>
      <c r="G4" s="1664"/>
      <c r="H4" s="1664"/>
      <c r="I4" s="649" t="s">
        <v>168</v>
      </c>
    </row>
    <row r="5" spans="1:17" ht="15" customHeight="1">
      <c r="A5" s="226" t="s">
        <v>128</v>
      </c>
      <c r="B5" s="1660" t="s">
        <v>199</v>
      </c>
      <c r="C5" s="1660"/>
      <c r="D5" s="1660"/>
      <c r="E5" s="1660"/>
      <c r="F5" s="1660"/>
      <c r="G5" s="650"/>
      <c r="H5" s="650"/>
      <c r="I5" s="227" t="s">
        <v>408</v>
      </c>
    </row>
    <row r="6" spans="1:17" ht="15" customHeight="1">
      <c r="A6" s="228" t="s">
        <v>200</v>
      </c>
      <c r="B6" s="229"/>
      <c r="C6" s="726"/>
      <c r="D6" s="726"/>
      <c r="E6" s="726"/>
      <c r="F6" s="229"/>
      <c r="G6" s="229"/>
      <c r="H6" s="229"/>
      <c r="I6" s="230" t="s">
        <v>409</v>
      </c>
    </row>
    <row r="7" spans="1:17" ht="15" hidden="1" customHeight="1">
      <c r="A7" s="1661" t="s">
        <v>159</v>
      </c>
      <c r="B7" s="1662"/>
      <c r="C7" s="1662"/>
      <c r="D7" s="1662"/>
      <c r="E7" s="727"/>
      <c r="F7" s="231"/>
      <c r="G7" s="232"/>
      <c r="H7" s="233"/>
      <c r="I7" s="234"/>
      <c r="J7" s="235"/>
    </row>
    <row r="8" spans="1:17">
      <c r="A8" s="1633" t="s">
        <v>138</v>
      </c>
      <c r="B8" s="1634"/>
      <c r="C8" s="1634"/>
      <c r="D8" s="1634"/>
      <c r="E8" s="1634"/>
      <c r="F8" s="1634"/>
      <c r="G8" s="1634"/>
      <c r="H8" s="1634"/>
      <c r="I8" s="1635"/>
    </row>
    <row r="9" spans="1:17">
      <c r="A9" s="236" t="s">
        <v>130</v>
      </c>
      <c r="B9" s="652" t="s">
        <v>131</v>
      </c>
      <c r="C9" s="1681" t="s">
        <v>132</v>
      </c>
      <c r="D9" s="1681"/>
      <c r="E9" s="1681"/>
      <c r="F9" s="652" t="s">
        <v>104</v>
      </c>
      <c r="G9" s="237" t="s">
        <v>133</v>
      </c>
      <c r="H9" s="238" t="s">
        <v>134</v>
      </c>
      <c r="I9" s="239" t="s">
        <v>135</v>
      </c>
      <c r="J9" s="240"/>
    </row>
    <row r="10" spans="1:17">
      <c r="A10" s="241">
        <v>88441</v>
      </c>
      <c r="B10" s="242" t="s">
        <v>58</v>
      </c>
      <c r="C10" s="1678" t="s">
        <v>201</v>
      </c>
      <c r="D10" s="1679"/>
      <c r="E10" s="1680"/>
      <c r="F10" s="242" t="s">
        <v>186</v>
      </c>
      <c r="G10" s="243">
        <v>0.26</v>
      </c>
      <c r="H10" s="244">
        <v>18.48</v>
      </c>
      <c r="I10" s="245">
        <f>G10*H10</f>
        <v>4.8048000000000002</v>
      </c>
      <c r="J10" s="240"/>
    </row>
    <row r="11" spans="1:17">
      <c r="A11" s="241">
        <v>88316</v>
      </c>
      <c r="B11" s="242" t="s">
        <v>58</v>
      </c>
      <c r="C11" s="1678" t="s">
        <v>202</v>
      </c>
      <c r="D11" s="1679" t="s">
        <v>202</v>
      </c>
      <c r="E11" s="1680" t="s">
        <v>202</v>
      </c>
      <c r="F11" s="242" t="s">
        <v>186</v>
      </c>
      <c r="G11" s="243">
        <v>1.04</v>
      </c>
      <c r="H11" s="244">
        <v>13.65</v>
      </c>
      <c r="I11" s="245">
        <f>G11*H11</f>
        <v>14.196000000000002</v>
      </c>
      <c r="J11" s="240"/>
    </row>
    <row r="12" spans="1:17">
      <c r="A12" s="246"/>
      <c r="B12" s="247"/>
      <c r="C12" s="1646"/>
      <c r="D12" s="1647"/>
      <c r="E12" s="1648"/>
      <c r="F12" s="247"/>
      <c r="G12" s="248"/>
      <c r="H12" s="244"/>
      <c r="I12" s="249"/>
      <c r="J12" s="250"/>
    </row>
    <row r="13" spans="1:17" ht="60" customHeight="1">
      <c r="A13" s="246"/>
      <c r="B13" s="247"/>
      <c r="C13" s="1655" t="s">
        <v>872</v>
      </c>
      <c r="D13" s="1656"/>
      <c r="E13" s="1657"/>
      <c r="F13" s="247"/>
      <c r="G13" s="251"/>
      <c r="H13" s="244"/>
      <c r="I13" s="249"/>
      <c r="J13" s="250"/>
    </row>
    <row r="14" spans="1:17">
      <c r="A14" s="1642" t="s">
        <v>139</v>
      </c>
      <c r="B14" s="1643"/>
      <c r="C14" s="1643"/>
      <c r="D14" s="1643"/>
      <c r="E14" s="1643"/>
      <c r="F14" s="1643"/>
      <c r="G14" s="1643"/>
      <c r="H14" s="1643"/>
      <c r="I14" s="252">
        <f>I10+I11</f>
        <v>19.000800000000002</v>
      </c>
    </row>
    <row r="15" spans="1:17">
      <c r="A15" s="253"/>
      <c r="B15" s="254"/>
      <c r="C15" s="728"/>
      <c r="D15" s="728"/>
      <c r="E15" s="728"/>
      <c r="F15" s="254"/>
      <c r="G15" s="255"/>
      <c r="H15" s="256"/>
      <c r="I15" s="257"/>
      <c r="J15" s="258"/>
      <c r="K15" s="259" t="s">
        <v>410</v>
      </c>
      <c r="L15" s="258"/>
      <c r="M15" s="258"/>
      <c r="N15" s="258"/>
      <c r="O15" s="258"/>
      <c r="P15" s="258"/>
      <c r="Q15" s="258"/>
    </row>
    <row r="16" spans="1:17">
      <c r="A16" s="1633" t="s">
        <v>160</v>
      </c>
      <c r="B16" s="1634"/>
      <c r="C16" s="1634"/>
      <c r="D16" s="1634"/>
      <c r="E16" s="1634"/>
      <c r="F16" s="1634"/>
      <c r="G16" s="1634"/>
      <c r="H16" s="1634"/>
      <c r="I16" s="1635"/>
      <c r="J16" s="260" t="s">
        <v>411</v>
      </c>
      <c r="K16" s="259"/>
      <c r="M16" s="260" t="s">
        <v>412</v>
      </c>
      <c r="O16" s="260" t="s">
        <v>413</v>
      </c>
    </row>
    <row r="17" spans="1:25">
      <c r="A17" s="261" t="s">
        <v>130</v>
      </c>
      <c r="B17" s="651" t="s">
        <v>131</v>
      </c>
      <c r="C17" s="1645" t="s">
        <v>132</v>
      </c>
      <c r="D17" s="1645"/>
      <c r="E17" s="1645"/>
      <c r="F17" s="262" t="s">
        <v>104</v>
      </c>
      <c r="G17" s="263" t="s">
        <v>133</v>
      </c>
      <c r="H17" s="264" t="s">
        <v>134</v>
      </c>
      <c r="I17" s="265" t="s">
        <v>135</v>
      </c>
      <c r="J17" s="260" t="s">
        <v>414</v>
      </c>
      <c r="M17" s="260" t="s">
        <v>415</v>
      </c>
      <c r="O17" s="260" t="s">
        <v>416</v>
      </c>
    </row>
    <row r="18" spans="1:25">
      <c r="A18" s="266" t="s">
        <v>161</v>
      </c>
      <c r="B18" s="267" t="s">
        <v>162</v>
      </c>
      <c r="C18" s="1649" t="s">
        <v>203</v>
      </c>
      <c r="D18" s="1650"/>
      <c r="E18" s="1651"/>
      <c r="F18" s="268" t="s">
        <v>149</v>
      </c>
      <c r="G18" s="269">
        <v>1</v>
      </c>
      <c r="H18" s="270">
        <v>159.15</v>
      </c>
      <c r="I18" s="245">
        <f>H18*G18</f>
        <v>159.15</v>
      </c>
      <c r="J18" s="271">
        <v>30</v>
      </c>
      <c r="K18" s="240"/>
      <c r="L18" s="240"/>
      <c r="M18" s="271">
        <f>140</f>
        <v>140</v>
      </c>
      <c r="N18" s="240"/>
      <c r="O18" s="271">
        <v>68</v>
      </c>
      <c r="P18" s="240"/>
      <c r="Q18" s="272">
        <f>AVERAGE(J18,M18,O18)</f>
        <v>79.333333333333329</v>
      </c>
      <c r="T18" s="258"/>
      <c r="U18" s="259" t="s">
        <v>410</v>
      </c>
      <c r="V18" s="258"/>
      <c r="W18" s="258"/>
      <c r="X18" s="258"/>
      <c r="Y18" s="258"/>
    </row>
    <row r="19" spans="1:25">
      <c r="A19" s="266">
        <v>7253</v>
      </c>
      <c r="B19" s="267" t="s">
        <v>58</v>
      </c>
      <c r="C19" s="1649" t="s">
        <v>204</v>
      </c>
      <c r="D19" s="1650" t="s">
        <v>205</v>
      </c>
      <c r="E19" s="1651" t="s">
        <v>205</v>
      </c>
      <c r="F19" s="268" t="s">
        <v>206</v>
      </c>
      <c r="G19" s="269">
        <v>0.20499999999999999</v>
      </c>
      <c r="H19" s="270">
        <v>137.13999999999999</v>
      </c>
      <c r="I19" s="245">
        <f t="shared" ref="I19:I22" si="0">H19*G19</f>
        <v>28.113699999999994</v>
      </c>
      <c r="J19" s="240"/>
      <c r="K19" s="240"/>
      <c r="L19" s="240"/>
      <c r="M19" s="240"/>
      <c r="N19" s="240"/>
      <c r="O19" s="240"/>
      <c r="P19" s="240"/>
      <c r="Q19" s="240"/>
      <c r="T19" s="260" t="s">
        <v>411</v>
      </c>
      <c r="U19" s="259"/>
      <c r="V19" s="260" t="s">
        <v>412</v>
      </c>
      <c r="X19" s="260" t="s">
        <v>413</v>
      </c>
    </row>
    <row r="20" spans="1:25">
      <c r="A20" s="582">
        <v>3123</v>
      </c>
      <c r="B20" s="583" t="s">
        <v>58</v>
      </c>
      <c r="C20" s="1652" t="s">
        <v>871</v>
      </c>
      <c r="D20" s="1653"/>
      <c r="E20" s="1654"/>
      <c r="F20" s="242" t="s">
        <v>207</v>
      </c>
      <c r="G20" s="584">
        <v>0.8</v>
      </c>
      <c r="H20" s="277">
        <v>1.52</v>
      </c>
      <c r="I20" s="245">
        <f t="shared" si="0"/>
        <v>1.2160000000000002</v>
      </c>
      <c r="J20" s="240"/>
      <c r="K20" s="240"/>
      <c r="L20" s="240"/>
      <c r="M20" s="240"/>
      <c r="N20" s="240"/>
      <c r="O20" s="240"/>
      <c r="P20" s="240"/>
      <c r="Q20" s="240"/>
      <c r="T20" s="260" t="s">
        <v>414</v>
      </c>
      <c r="V20" s="260" t="s">
        <v>415</v>
      </c>
      <c r="X20" s="260" t="s">
        <v>416</v>
      </c>
    </row>
    <row r="21" spans="1:25">
      <c r="A21" s="274">
        <v>370</v>
      </c>
      <c r="B21" s="275" t="s">
        <v>58</v>
      </c>
      <c r="C21" s="1639" t="s">
        <v>208</v>
      </c>
      <c r="D21" s="1640"/>
      <c r="E21" s="1641"/>
      <c r="F21" s="268" t="s">
        <v>206</v>
      </c>
      <c r="G21" s="276">
        <v>6.4000000000000003E-3</v>
      </c>
      <c r="H21" s="277">
        <v>31.08</v>
      </c>
      <c r="I21" s="245">
        <f t="shared" si="0"/>
        <v>0.19891200000000001</v>
      </c>
      <c r="J21" s="240"/>
      <c r="K21" s="278"/>
      <c r="L21" s="240"/>
      <c r="M21" s="240"/>
      <c r="N21" s="240"/>
      <c r="O21" s="240"/>
      <c r="P21" s="240"/>
      <c r="Q21" s="240"/>
      <c r="T21" s="279">
        <v>145</v>
      </c>
      <c r="U21" s="250"/>
      <c r="V21" s="280">
        <v>160</v>
      </c>
      <c r="W21" s="250"/>
      <c r="X21" s="281">
        <v>165</v>
      </c>
      <c r="Y21" s="250"/>
    </row>
    <row r="22" spans="1:25">
      <c r="A22" s="282">
        <v>25963</v>
      </c>
      <c r="B22" s="275" t="s">
        <v>58</v>
      </c>
      <c r="C22" s="1639" t="s">
        <v>209</v>
      </c>
      <c r="D22" s="1640"/>
      <c r="E22" s="1641"/>
      <c r="F22" s="283" t="s">
        <v>207</v>
      </c>
      <c r="G22" s="276">
        <v>0.8</v>
      </c>
      <c r="H22" s="277">
        <v>0.08</v>
      </c>
      <c r="I22" s="245">
        <f t="shared" si="0"/>
        <v>6.4000000000000001E-2</v>
      </c>
      <c r="J22" s="240"/>
      <c r="K22" s="240"/>
      <c r="L22" s="240"/>
      <c r="M22" s="240"/>
      <c r="N22" s="240"/>
      <c r="O22" s="240"/>
      <c r="P22" s="240"/>
      <c r="Q22" s="240"/>
    </row>
    <row r="23" spans="1:25">
      <c r="A23" s="284">
        <v>38125</v>
      </c>
      <c r="B23" s="275" t="s">
        <v>873</v>
      </c>
      <c r="C23" s="1639" t="s">
        <v>876</v>
      </c>
      <c r="D23" s="1640"/>
      <c r="E23" s="1641"/>
      <c r="F23" s="283" t="s">
        <v>207</v>
      </c>
      <c r="G23" s="276">
        <v>0.08</v>
      </c>
      <c r="H23" s="277">
        <v>1.0900000000000001</v>
      </c>
      <c r="I23" s="245">
        <f>H23*G23</f>
        <v>8.7200000000000014E-2</v>
      </c>
      <c r="J23" s="240"/>
      <c r="K23" s="240"/>
      <c r="L23" s="240"/>
      <c r="M23" s="240"/>
      <c r="N23" s="240"/>
      <c r="O23" s="240"/>
      <c r="P23" s="240"/>
      <c r="Q23" s="240"/>
    </row>
    <row r="24" spans="1:25">
      <c r="A24" s="282"/>
      <c r="B24" s="275"/>
      <c r="C24" s="1639"/>
      <c r="D24" s="1640"/>
      <c r="E24" s="1641"/>
      <c r="F24" s="283"/>
      <c r="G24" s="285"/>
      <c r="H24" s="286"/>
      <c r="I24" s="287"/>
      <c r="J24" s="240"/>
      <c r="K24" s="240"/>
      <c r="L24" s="240"/>
      <c r="M24" s="240"/>
      <c r="N24" s="240"/>
      <c r="O24" s="240"/>
      <c r="P24" s="240"/>
      <c r="Q24" s="240"/>
    </row>
    <row r="25" spans="1:25">
      <c r="A25" s="288"/>
      <c r="B25" s="275"/>
      <c r="C25" s="1639"/>
      <c r="D25" s="1640"/>
      <c r="E25" s="1641"/>
      <c r="F25" s="283"/>
      <c r="G25" s="285"/>
      <c r="H25" s="277"/>
      <c r="I25" s="287"/>
      <c r="J25" s="289"/>
      <c r="K25" s="278"/>
      <c r="L25" s="289"/>
      <c r="M25" s="289"/>
      <c r="N25" s="289"/>
      <c r="O25" s="289"/>
      <c r="P25" s="289"/>
      <c r="Q25" s="289"/>
    </row>
    <row r="26" spans="1:25">
      <c r="A26" s="1642" t="s">
        <v>137</v>
      </c>
      <c r="B26" s="1643"/>
      <c r="C26" s="1643"/>
      <c r="D26" s="1643"/>
      <c r="E26" s="1643"/>
      <c r="F26" s="1643"/>
      <c r="G26" s="1643"/>
      <c r="H26" s="1644"/>
      <c r="I26" s="290">
        <f>I18+I19+I20+I21+I22+I23</f>
        <v>188.829812</v>
      </c>
    </row>
    <row r="27" spans="1:25">
      <c r="A27" s="1630"/>
      <c r="B27" s="1631"/>
      <c r="C27" s="1631"/>
      <c r="D27" s="1631"/>
      <c r="E27" s="1631"/>
      <c r="F27" s="1631"/>
      <c r="G27" s="1631"/>
      <c r="H27" s="1631"/>
      <c r="I27" s="1632"/>
    </row>
    <row r="28" spans="1:25">
      <c r="A28" s="1633" t="s">
        <v>141</v>
      </c>
      <c r="B28" s="1634"/>
      <c r="C28" s="1634"/>
      <c r="D28" s="1634"/>
      <c r="E28" s="1634"/>
      <c r="F28" s="1634"/>
      <c r="G28" s="1634"/>
      <c r="H28" s="1634"/>
      <c r="I28" s="1635"/>
    </row>
    <row r="29" spans="1:25">
      <c r="A29" s="1636" t="s">
        <v>142</v>
      </c>
      <c r="B29" s="1637"/>
      <c r="C29" s="1637"/>
      <c r="D29" s="1637"/>
      <c r="E29" s="1637"/>
      <c r="F29" s="1637"/>
      <c r="G29" s="1637"/>
      <c r="H29" s="1638"/>
      <c r="I29" s="291">
        <f>I14</f>
        <v>19.000800000000002</v>
      </c>
    </row>
    <row r="30" spans="1:25">
      <c r="A30" s="1625" t="s">
        <v>163</v>
      </c>
      <c r="B30" s="1626"/>
      <c r="C30" s="1626"/>
      <c r="D30" s="1626"/>
      <c r="E30" s="1626"/>
      <c r="F30" s="1626"/>
      <c r="G30" s="1626"/>
      <c r="H30" s="1627"/>
      <c r="I30" s="292">
        <f>I26</f>
        <v>188.829812</v>
      </c>
    </row>
    <row r="31" spans="1:25">
      <c r="A31" s="1625" t="s">
        <v>164</v>
      </c>
      <c r="B31" s="1626"/>
      <c r="C31" s="1626"/>
      <c r="D31" s="1626"/>
      <c r="E31" s="1626"/>
      <c r="F31" s="1626"/>
      <c r="G31" s="1626"/>
      <c r="H31" s="1627"/>
      <c r="I31" s="292"/>
    </row>
    <row r="32" spans="1:25">
      <c r="A32" s="1625" t="s">
        <v>165</v>
      </c>
      <c r="B32" s="1626"/>
      <c r="C32" s="1626"/>
      <c r="D32" s="1626"/>
      <c r="E32" s="1626"/>
      <c r="F32" s="1626"/>
      <c r="G32" s="1626"/>
      <c r="H32" s="1627"/>
      <c r="I32" s="292">
        <f>I29+I30+I31</f>
        <v>207.830612</v>
      </c>
    </row>
    <row r="33" spans="1:10">
      <c r="A33" s="1625" t="s">
        <v>143</v>
      </c>
      <c r="B33" s="1626"/>
      <c r="C33" s="1626"/>
      <c r="D33" s="1626"/>
      <c r="E33" s="1626"/>
      <c r="F33" s="1626"/>
      <c r="G33" s="1626"/>
      <c r="H33" s="1627"/>
      <c r="I33" s="292">
        <f>I32*26.54%</f>
        <v>55.158244424799996</v>
      </c>
    </row>
    <row r="34" spans="1:10" ht="15.75" thickBot="1">
      <c r="A34" s="1628" t="s">
        <v>144</v>
      </c>
      <c r="B34" s="1629"/>
      <c r="C34" s="1629"/>
      <c r="D34" s="1629"/>
      <c r="E34" s="1629"/>
      <c r="F34" s="1629"/>
      <c r="G34" s="1629"/>
      <c r="H34" s="1629"/>
      <c r="I34" s="293">
        <f>I32+I33</f>
        <v>262.98885642480002</v>
      </c>
      <c r="J34" s="294"/>
    </row>
    <row r="36" spans="1:10" ht="15.75" thickBot="1"/>
    <row r="37" spans="1:10" ht="15" customHeight="1">
      <c r="A37" s="598"/>
      <c r="B37" s="1665" t="s">
        <v>43</v>
      </c>
      <c r="C37" s="1665"/>
      <c r="D37" s="1666"/>
      <c r="E37" s="1663" t="s">
        <v>126</v>
      </c>
      <c r="F37" s="1663"/>
      <c r="G37" s="1663"/>
      <c r="H37" s="1663"/>
      <c r="I37" s="1658" t="s">
        <v>127</v>
      </c>
    </row>
    <row r="38" spans="1:10" ht="36" customHeight="1">
      <c r="A38" s="599"/>
      <c r="B38" s="1667"/>
      <c r="C38" s="1667"/>
      <c r="D38" s="1668"/>
      <c r="E38" s="1664"/>
      <c r="F38" s="1664"/>
      <c r="G38" s="1664"/>
      <c r="H38" s="1664"/>
      <c r="I38" s="1659"/>
    </row>
    <row r="39" spans="1:10">
      <c r="A39" s="599"/>
      <c r="B39" s="1669" t="s">
        <v>122</v>
      </c>
      <c r="C39" s="1669"/>
      <c r="D39" s="1670"/>
      <c r="E39" s="1664"/>
      <c r="F39" s="1664"/>
      <c r="G39" s="1664"/>
      <c r="H39" s="1664"/>
      <c r="I39" s="295">
        <v>43313</v>
      </c>
    </row>
    <row r="40" spans="1:10">
      <c r="A40" s="600"/>
      <c r="B40" s="1671" t="s">
        <v>125</v>
      </c>
      <c r="C40" s="1671"/>
      <c r="D40" s="1672"/>
      <c r="E40" s="1664"/>
      <c r="F40" s="1664"/>
      <c r="G40" s="1664"/>
      <c r="H40" s="1664"/>
      <c r="I40" s="649" t="s">
        <v>169</v>
      </c>
    </row>
    <row r="41" spans="1:10">
      <c r="A41" s="226" t="s">
        <v>128</v>
      </c>
      <c r="B41" s="1660" t="s">
        <v>210</v>
      </c>
      <c r="C41" s="1660"/>
      <c r="D41" s="1660"/>
      <c r="E41" s="1660"/>
      <c r="F41" s="1660"/>
      <c r="G41" s="1660"/>
      <c r="H41" s="1660"/>
      <c r="I41" s="227" t="s">
        <v>408</v>
      </c>
    </row>
    <row r="42" spans="1:10">
      <c r="A42" s="228" t="s">
        <v>129</v>
      </c>
      <c r="B42" s="229" t="s">
        <v>149</v>
      </c>
      <c r="C42" s="726"/>
      <c r="D42" s="726"/>
      <c r="E42" s="726"/>
      <c r="F42" s="229"/>
      <c r="G42" s="229"/>
      <c r="H42" s="229"/>
      <c r="I42" s="230" t="s">
        <v>409</v>
      </c>
    </row>
    <row r="43" spans="1:10" hidden="1">
      <c r="A43" s="1661" t="s">
        <v>159</v>
      </c>
      <c r="B43" s="1662"/>
      <c r="C43" s="1662"/>
      <c r="D43" s="1662"/>
      <c r="E43" s="727"/>
      <c r="F43" s="296"/>
      <c r="G43" s="297"/>
      <c r="H43" s="233"/>
      <c r="I43" s="234"/>
      <c r="J43" s="235"/>
    </row>
    <row r="44" spans="1:10">
      <c r="A44" s="1633" t="s">
        <v>138</v>
      </c>
      <c r="B44" s="1634"/>
      <c r="C44" s="1634"/>
      <c r="D44" s="1634"/>
      <c r="E44" s="1634"/>
      <c r="F44" s="1634"/>
      <c r="G44" s="1634"/>
      <c r="H44" s="1634"/>
      <c r="I44" s="1635"/>
    </row>
    <row r="45" spans="1:10">
      <c r="A45" s="261" t="s">
        <v>130</v>
      </c>
      <c r="B45" s="651" t="s">
        <v>131</v>
      </c>
      <c r="C45" s="1645" t="s">
        <v>132</v>
      </c>
      <c r="D45" s="1645"/>
      <c r="E45" s="1645"/>
      <c r="F45" s="651" t="s">
        <v>104</v>
      </c>
      <c r="G45" s="298" t="s">
        <v>133</v>
      </c>
      <c r="H45" s="299" t="s">
        <v>134</v>
      </c>
      <c r="I45" s="265" t="s">
        <v>135</v>
      </c>
    </row>
    <row r="46" spans="1:10">
      <c r="A46" s="241">
        <v>88441</v>
      </c>
      <c r="B46" s="242" t="s">
        <v>58</v>
      </c>
      <c r="C46" s="1646" t="s">
        <v>201</v>
      </c>
      <c r="D46" s="1647"/>
      <c r="E46" s="1648"/>
      <c r="F46" s="247" t="s">
        <v>186</v>
      </c>
      <c r="G46" s="585">
        <v>2.5499999999999998E-2</v>
      </c>
      <c r="H46" s="244">
        <v>18.48</v>
      </c>
      <c r="I46" s="249">
        <f>H46*G46</f>
        <v>0.47123999999999999</v>
      </c>
      <c r="J46" s="300">
        <v>0.05</v>
      </c>
    </row>
    <row r="47" spans="1:10">
      <c r="A47" s="241">
        <v>88316</v>
      </c>
      <c r="B47" s="242" t="s">
        <v>58</v>
      </c>
      <c r="C47" s="1646" t="s">
        <v>202</v>
      </c>
      <c r="D47" s="1647" t="s">
        <v>202</v>
      </c>
      <c r="E47" s="1648" t="s">
        <v>202</v>
      </c>
      <c r="F47" s="247" t="s">
        <v>186</v>
      </c>
      <c r="G47" s="585">
        <v>0.1018</v>
      </c>
      <c r="H47" s="244">
        <v>13.65</v>
      </c>
      <c r="I47" s="249">
        <f>H47*G47</f>
        <v>1.38957</v>
      </c>
      <c r="J47" s="250">
        <v>0.02</v>
      </c>
    </row>
    <row r="48" spans="1:10">
      <c r="A48" s="246"/>
      <c r="B48" s="247"/>
      <c r="C48" s="1646"/>
      <c r="D48" s="1647"/>
      <c r="E48" s="1648"/>
      <c r="F48" s="247"/>
      <c r="G48" s="244"/>
      <c r="H48" s="244"/>
      <c r="I48" s="249"/>
      <c r="J48" s="250"/>
    </row>
    <row r="49" spans="1:25" ht="30.75" customHeight="1">
      <c r="A49" s="246"/>
      <c r="B49" s="247"/>
      <c r="C49" s="1655" t="s">
        <v>875</v>
      </c>
      <c r="D49" s="1656"/>
      <c r="E49" s="1657"/>
      <c r="F49" s="247"/>
      <c r="G49" s="301"/>
      <c r="H49" s="244"/>
      <c r="I49" s="249"/>
      <c r="J49" s="250"/>
    </row>
    <row r="50" spans="1:25">
      <c r="A50" s="246"/>
      <c r="B50" s="247"/>
      <c r="C50" s="1646"/>
      <c r="D50" s="1647"/>
      <c r="E50" s="1648"/>
      <c r="F50" s="247"/>
      <c r="G50" s="301"/>
      <c r="H50" s="244"/>
      <c r="I50" s="249"/>
      <c r="J50" s="250"/>
    </row>
    <row r="51" spans="1:25">
      <c r="A51" s="1642" t="s">
        <v>139</v>
      </c>
      <c r="B51" s="1643"/>
      <c r="C51" s="1643"/>
      <c r="D51" s="1643"/>
      <c r="E51" s="1643"/>
      <c r="F51" s="1643"/>
      <c r="G51" s="1643"/>
      <c r="H51" s="1643"/>
      <c r="I51" s="252">
        <f>I46+I47</f>
        <v>1.8608099999999999</v>
      </c>
    </row>
    <row r="52" spans="1:25">
      <c r="A52" s="253"/>
      <c r="B52" s="254"/>
      <c r="C52" s="728"/>
      <c r="D52" s="728"/>
      <c r="E52" s="728"/>
      <c r="F52" s="254"/>
      <c r="G52" s="302"/>
      <c r="H52" s="256"/>
      <c r="I52" s="257"/>
      <c r="J52" s="258"/>
      <c r="K52" s="259" t="s">
        <v>410</v>
      </c>
      <c r="L52" s="258"/>
      <c r="M52" s="258"/>
      <c r="N52" s="258"/>
      <c r="O52" s="258"/>
      <c r="P52" s="258"/>
      <c r="Q52" s="258"/>
    </row>
    <row r="53" spans="1:25">
      <c r="A53" s="1633" t="s">
        <v>160</v>
      </c>
      <c r="B53" s="1634"/>
      <c r="C53" s="1634"/>
      <c r="D53" s="1634"/>
      <c r="E53" s="1634"/>
      <c r="F53" s="1634"/>
      <c r="G53" s="1634"/>
      <c r="H53" s="1634"/>
      <c r="I53" s="1635"/>
      <c r="J53" s="260" t="s">
        <v>411</v>
      </c>
      <c r="K53" s="259"/>
      <c r="M53" s="260" t="s">
        <v>412</v>
      </c>
      <c r="O53" s="260" t="s">
        <v>413</v>
      </c>
    </row>
    <row r="54" spans="1:25">
      <c r="A54" s="261" t="s">
        <v>130</v>
      </c>
      <c r="B54" s="651" t="s">
        <v>131</v>
      </c>
      <c r="C54" s="1645" t="s">
        <v>132</v>
      </c>
      <c r="D54" s="1645"/>
      <c r="E54" s="1645"/>
      <c r="F54" s="262" t="s">
        <v>104</v>
      </c>
      <c r="G54" s="298" t="s">
        <v>133</v>
      </c>
      <c r="H54" s="264" t="s">
        <v>134</v>
      </c>
      <c r="I54" s="265" t="s">
        <v>135</v>
      </c>
      <c r="J54" s="260" t="s">
        <v>414</v>
      </c>
      <c r="M54" s="260" t="s">
        <v>415</v>
      </c>
      <c r="O54" s="260" t="s">
        <v>416</v>
      </c>
      <c r="T54" s="258"/>
      <c r="U54" s="259" t="s">
        <v>410</v>
      </c>
      <c r="V54" s="258"/>
      <c r="W54" s="258"/>
      <c r="X54" s="258"/>
      <c r="Y54" s="258"/>
    </row>
    <row r="55" spans="1:25">
      <c r="A55" s="246" t="s">
        <v>161</v>
      </c>
      <c r="B55" s="247" t="s">
        <v>162</v>
      </c>
      <c r="C55" s="1646" t="s">
        <v>211</v>
      </c>
      <c r="D55" s="1647"/>
      <c r="E55" s="1648"/>
      <c r="F55" s="247" t="s">
        <v>149</v>
      </c>
      <c r="G55" s="303">
        <v>1</v>
      </c>
      <c r="H55" s="244">
        <v>1.93</v>
      </c>
      <c r="I55" s="249">
        <f>H55*G55</f>
        <v>1.93</v>
      </c>
      <c r="J55" s="304">
        <v>2.5</v>
      </c>
      <c r="K55" s="250"/>
      <c r="L55" s="250"/>
      <c r="M55" s="304">
        <v>1.9</v>
      </c>
      <c r="N55" s="250"/>
      <c r="O55" s="304">
        <v>1</v>
      </c>
      <c r="P55" s="250"/>
      <c r="Q55" s="305">
        <v>1.8</v>
      </c>
      <c r="T55" s="260" t="s">
        <v>411</v>
      </c>
      <c r="U55" s="259"/>
      <c r="V55" s="260" t="s">
        <v>412</v>
      </c>
      <c r="X55" s="260" t="s">
        <v>413</v>
      </c>
    </row>
    <row r="56" spans="1:25" ht="15" customHeight="1">
      <c r="A56" s="582">
        <v>3123</v>
      </c>
      <c r="B56" s="583" t="s">
        <v>58</v>
      </c>
      <c r="C56" s="1652" t="s">
        <v>871</v>
      </c>
      <c r="D56" s="1653"/>
      <c r="E56" s="1654"/>
      <c r="F56" s="273" t="s">
        <v>207</v>
      </c>
      <c r="G56" s="269">
        <v>4.1666666666666666E-3</v>
      </c>
      <c r="H56" s="270">
        <v>1.52</v>
      </c>
      <c r="I56" s="306">
        <f>H56*G56</f>
        <v>6.3333333333333332E-3</v>
      </c>
      <c r="T56" s="260" t="s">
        <v>414</v>
      </c>
      <c r="V56" s="260" t="s">
        <v>415</v>
      </c>
      <c r="X56" s="260" t="s">
        <v>416</v>
      </c>
    </row>
    <row r="57" spans="1:25">
      <c r="A57" s="274">
        <v>370</v>
      </c>
      <c r="B57" s="275" t="s">
        <v>58</v>
      </c>
      <c r="C57" s="1639" t="s">
        <v>208</v>
      </c>
      <c r="D57" s="1640"/>
      <c r="E57" s="1641"/>
      <c r="F57" s="268" t="s">
        <v>206</v>
      </c>
      <c r="G57" s="276">
        <v>8.3333333333333339E-4</v>
      </c>
      <c r="H57" s="277">
        <v>31.08</v>
      </c>
      <c r="I57" s="306">
        <f>H57*G57</f>
        <v>2.5899999999999999E-2</v>
      </c>
      <c r="T57" s="307">
        <v>1.8</v>
      </c>
      <c r="U57" s="250"/>
      <c r="V57" s="280">
        <v>1.9</v>
      </c>
      <c r="W57" s="250"/>
      <c r="X57" s="281">
        <v>2</v>
      </c>
      <c r="Y57" s="250"/>
    </row>
    <row r="58" spans="1:25">
      <c r="A58" s="282">
        <v>25963</v>
      </c>
      <c r="B58" s="275" t="s">
        <v>58</v>
      </c>
      <c r="C58" s="1639" t="s">
        <v>209</v>
      </c>
      <c r="D58" s="1640"/>
      <c r="E58" s="1641"/>
      <c r="F58" s="283" t="s">
        <v>207</v>
      </c>
      <c r="G58" s="276">
        <v>2.0833333333333332E-2</v>
      </c>
      <c r="H58" s="277">
        <v>0.08</v>
      </c>
      <c r="I58" s="586">
        <f>H58*G58</f>
        <v>1.6666666666666666E-3</v>
      </c>
      <c r="J58" s="240"/>
      <c r="K58" s="278"/>
      <c r="L58" s="240"/>
      <c r="M58" s="240"/>
      <c r="N58" s="240"/>
      <c r="O58" s="240"/>
      <c r="P58" s="240"/>
      <c r="Q58" s="240"/>
    </row>
    <row r="59" spans="1:25" ht="15" customHeight="1">
      <c r="A59" s="284">
        <v>38125</v>
      </c>
      <c r="B59" s="275" t="s">
        <v>873</v>
      </c>
      <c r="C59" s="1639" t="s">
        <v>876</v>
      </c>
      <c r="D59" s="1640"/>
      <c r="E59" s="1641"/>
      <c r="F59" s="283" t="s">
        <v>207</v>
      </c>
      <c r="G59" s="276">
        <f>0.00125*1.6</f>
        <v>2E-3</v>
      </c>
      <c r="H59" s="277">
        <v>1.0900000000000001</v>
      </c>
      <c r="I59" s="586">
        <f>H59*G59</f>
        <v>2.1800000000000001E-3</v>
      </c>
      <c r="J59" s="240"/>
      <c r="K59" s="240"/>
      <c r="L59" s="240"/>
      <c r="M59" s="240"/>
      <c r="N59" s="240"/>
      <c r="O59" s="240"/>
      <c r="P59" s="240"/>
      <c r="Q59" s="240"/>
    </row>
    <row r="60" spans="1:25">
      <c r="A60" s="274"/>
      <c r="B60" s="275"/>
      <c r="C60" s="1639"/>
      <c r="D60" s="1640"/>
      <c r="E60" s="1641"/>
      <c r="F60" s="283"/>
      <c r="G60" s="308"/>
      <c r="H60" s="277"/>
      <c r="I60" s="287"/>
      <c r="J60" s="240"/>
      <c r="K60" s="240"/>
      <c r="L60" s="240"/>
      <c r="M60" s="240"/>
      <c r="N60" s="240"/>
      <c r="O60" s="240"/>
      <c r="P60" s="240"/>
      <c r="Q60" s="240"/>
    </row>
    <row r="61" spans="1:25">
      <c r="A61" s="282"/>
      <c r="B61" s="275"/>
      <c r="C61" s="1639"/>
      <c r="D61" s="1640"/>
      <c r="E61" s="1641"/>
      <c r="F61" s="283"/>
      <c r="G61" s="308"/>
      <c r="H61" s="286"/>
      <c r="I61" s="287"/>
      <c r="J61" s="240"/>
      <c r="K61" s="240"/>
      <c r="L61" s="240"/>
      <c r="M61" s="240"/>
      <c r="N61" s="240"/>
      <c r="O61" s="240"/>
      <c r="P61" s="240"/>
      <c r="Q61" s="240"/>
    </row>
    <row r="62" spans="1:25">
      <c r="A62" s="274"/>
      <c r="B62" s="275"/>
      <c r="C62" s="1639"/>
      <c r="D62" s="1640"/>
      <c r="E62" s="1641"/>
      <c r="F62" s="283"/>
      <c r="G62" s="308"/>
      <c r="H62" s="277"/>
      <c r="I62" s="287"/>
      <c r="J62" s="289"/>
      <c r="K62" s="278"/>
      <c r="L62" s="289"/>
      <c r="M62" s="289"/>
      <c r="N62" s="289"/>
      <c r="O62" s="289"/>
      <c r="P62" s="289"/>
      <c r="Q62" s="289"/>
    </row>
    <row r="63" spans="1:25">
      <c r="A63" s="288"/>
      <c r="B63" s="275"/>
      <c r="C63" s="1639"/>
      <c r="D63" s="1640"/>
      <c r="E63" s="1641"/>
      <c r="F63" s="283"/>
      <c r="G63" s="308"/>
      <c r="H63" s="277"/>
      <c r="I63" s="287"/>
      <c r="J63" s="289"/>
      <c r="K63" s="278"/>
      <c r="L63" s="289"/>
      <c r="M63" s="289"/>
      <c r="N63" s="289"/>
      <c r="O63" s="289"/>
      <c r="P63" s="289"/>
      <c r="Q63" s="289"/>
    </row>
    <row r="64" spans="1:25">
      <c r="A64" s="1642" t="s">
        <v>137</v>
      </c>
      <c r="B64" s="1643"/>
      <c r="C64" s="1643"/>
      <c r="D64" s="1643"/>
      <c r="E64" s="1643"/>
      <c r="F64" s="1643"/>
      <c r="G64" s="1643"/>
      <c r="H64" s="1644"/>
      <c r="I64" s="290">
        <f>I55+I56+I57+I58+I59</f>
        <v>1.96608</v>
      </c>
    </row>
    <row r="65" spans="1:11">
      <c r="A65" s="1630"/>
      <c r="B65" s="1631"/>
      <c r="C65" s="1631"/>
      <c r="D65" s="1631"/>
      <c r="E65" s="1631"/>
      <c r="F65" s="1631"/>
      <c r="G65" s="1631"/>
      <c r="H65" s="1631"/>
      <c r="I65" s="1632"/>
    </row>
    <row r="66" spans="1:11">
      <c r="A66" s="1633" t="s">
        <v>141</v>
      </c>
      <c r="B66" s="1634"/>
      <c r="C66" s="1634"/>
      <c r="D66" s="1634"/>
      <c r="E66" s="1634"/>
      <c r="F66" s="1634"/>
      <c r="G66" s="1634"/>
      <c r="H66" s="1634"/>
      <c r="I66" s="1635"/>
    </row>
    <row r="67" spans="1:11">
      <c r="A67" s="1636" t="s">
        <v>142</v>
      </c>
      <c r="B67" s="1637"/>
      <c r="C67" s="1637"/>
      <c r="D67" s="1637"/>
      <c r="E67" s="1637"/>
      <c r="F67" s="1637"/>
      <c r="G67" s="1637"/>
      <c r="H67" s="1638"/>
      <c r="I67" s="291">
        <f>I51</f>
        <v>1.8608099999999999</v>
      </c>
    </row>
    <row r="68" spans="1:11">
      <c r="A68" s="1625" t="s">
        <v>163</v>
      </c>
      <c r="B68" s="1626"/>
      <c r="C68" s="1626"/>
      <c r="D68" s="1626"/>
      <c r="E68" s="1626"/>
      <c r="F68" s="1626"/>
      <c r="G68" s="1626"/>
      <c r="H68" s="1627"/>
      <c r="I68" s="292">
        <f>I64</f>
        <v>1.96608</v>
      </c>
    </row>
    <row r="69" spans="1:11">
      <c r="A69" s="1625" t="s">
        <v>164</v>
      </c>
      <c r="B69" s="1626"/>
      <c r="C69" s="1626"/>
      <c r="D69" s="1626"/>
      <c r="E69" s="1626"/>
      <c r="F69" s="1626"/>
      <c r="G69" s="1626"/>
      <c r="H69" s="1627"/>
      <c r="I69" s="292"/>
    </row>
    <row r="70" spans="1:11">
      <c r="A70" s="1625" t="s">
        <v>165</v>
      </c>
      <c r="B70" s="1626"/>
      <c r="C70" s="1626"/>
      <c r="D70" s="1626"/>
      <c r="E70" s="1626"/>
      <c r="F70" s="1626"/>
      <c r="G70" s="1626"/>
      <c r="H70" s="1627"/>
      <c r="I70" s="292">
        <f>I67+I68+I69</f>
        <v>3.8268899999999997</v>
      </c>
    </row>
    <row r="71" spans="1:11">
      <c r="A71" s="1625" t="s">
        <v>143</v>
      </c>
      <c r="B71" s="1626"/>
      <c r="C71" s="1626"/>
      <c r="D71" s="1626"/>
      <c r="E71" s="1626"/>
      <c r="F71" s="1626"/>
      <c r="G71" s="1626"/>
      <c r="H71" s="1627"/>
      <c r="I71" s="292">
        <f>I70*26.54%</f>
        <v>1.0156566059999999</v>
      </c>
    </row>
    <row r="72" spans="1:11" ht="15.75" thickBot="1">
      <c r="A72" s="1628" t="s">
        <v>144</v>
      </c>
      <c r="B72" s="1629"/>
      <c r="C72" s="1629"/>
      <c r="D72" s="1629"/>
      <c r="E72" s="1629"/>
      <c r="F72" s="1629"/>
      <c r="G72" s="1629"/>
      <c r="H72" s="1629"/>
      <c r="I72" s="293">
        <f>I70+I71</f>
        <v>4.8425466059999991</v>
      </c>
      <c r="J72" s="294"/>
    </row>
    <row r="73" spans="1:11">
      <c r="A73" s="725"/>
      <c r="B73" s="725"/>
      <c r="C73" s="730"/>
      <c r="D73" s="730"/>
      <c r="E73" s="730"/>
      <c r="F73" s="725"/>
      <c r="G73" s="725"/>
      <c r="H73" s="725"/>
      <c r="I73" s="725"/>
    </row>
    <row r="74" spans="1:11" ht="15.75" thickBot="1">
      <c r="A74" s="725"/>
      <c r="B74" s="725"/>
      <c r="C74" s="730"/>
      <c r="D74" s="730"/>
      <c r="E74" s="730"/>
      <c r="F74" s="725"/>
      <c r="G74" s="725"/>
      <c r="H74" s="725"/>
      <c r="I74" s="725"/>
    </row>
    <row r="75" spans="1:11" ht="15" customHeight="1">
      <c r="A75" s="598"/>
      <c r="B75" s="1665" t="s">
        <v>43</v>
      </c>
      <c r="C75" s="1665"/>
      <c r="D75" s="1666"/>
      <c r="E75" s="1663" t="s">
        <v>126</v>
      </c>
      <c r="F75" s="1663"/>
      <c r="G75" s="1663"/>
      <c r="H75" s="1663"/>
      <c r="I75" s="1658" t="s">
        <v>127</v>
      </c>
    </row>
    <row r="76" spans="1:11" ht="36.75" customHeight="1">
      <c r="A76" s="599"/>
      <c r="B76" s="1667"/>
      <c r="C76" s="1667"/>
      <c r="D76" s="1668"/>
      <c r="E76" s="1664"/>
      <c r="F76" s="1664"/>
      <c r="G76" s="1664"/>
      <c r="H76" s="1664"/>
      <c r="I76" s="1659"/>
      <c r="K76" s="309"/>
    </row>
    <row r="77" spans="1:11">
      <c r="A77" s="599"/>
      <c r="B77" s="1669" t="s">
        <v>122</v>
      </c>
      <c r="C77" s="1669"/>
      <c r="D77" s="1670"/>
      <c r="E77" s="1664"/>
      <c r="F77" s="1664"/>
      <c r="G77" s="1664"/>
      <c r="H77" s="1664"/>
      <c r="I77" s="295">
        <v>43313</v>
      </c>
    </row>
    <row r="78" spans="1:11">
      <c r="A78" s="600"/>
      <c r="B78" s="1671" t="s">
        <v>125</v>
      </c>
      <c r="C78" s="1671"/>
      <c r="D78" s="1672"/>
      <c r="E78" s="1664"/>
      <c r="F78" s="1664"/>
      <c r="G78" s="1664"/>
      <c r="H78" s="1664"/>
      <c r="I78" s="649" t="s">
        <v>170</v>
      </c>
    </row>
    <row r="79" spans="1:11">
      <c r="A79" s="226" t="s">
        <v>128</v>
      </c>
      <c r="B79" s="1676" t="s">
        <v>212</v>
      </c>
      <c r="C79" s="1676"/>
      <c r="D79" s="1676"/>
      <c r="E79" s="1677"/>
      <c r="F79" s="1677"/>
      <c r="G79" s="1677"/>
      <c r="H79" s="653"/>
      <c r="I79" s="227" t="s">
        <v>408</v>
      </c>
      <c r="J79" s="310"/>
    </row>
    <row r="80" spans="1:11">
      <c r="A80" s="228" t="s">
        <v>129</v>
      </c>
      <c r="B80" s="229" t="s">
        <v>149</v>
      </c>
      <c r="C80" s="726"/>
      <c r="D80" s="726"/>
      <c r="E80" s="726"/>
      <c r="F80" s="229"/>
      <c r="G80" s="229"/>
      <c r="H80" s="229"/>
      <c r="I80" s="230" t="s">
        <v>409</v>
      </c>
    </row>
    <row r="81" spans="1:25" hidden="1">
      <c r="A81" s="1661" t="s">
        <v>159</v>
      </c>
      <c r="B81" s="1662"/>
      <c r="C81" s="1662"/>
      <c r="D81" s="1662"/>
      <c r="E81" s="727"/>
      <c r="F81" s="296"/>
      <c r="G81" s="297"/>
      <c r="H81" s="233"/>
      <c r="I81" s="234"/>
      <c r="J81" s="235"/>
      <c r="K81" s="235"/>
      <c r="L81" s="235"/>
    </row>
    <row r="82" spans="1:25">
      <c r="A82" s="1633" t="s">
        <v>138</v>
      </c>
      <c r="B82" s="1634"/>
      <c r="C82" s="1634"/>
      <c r="D82" s="1634"/>
      <c r="E82" s="1634"/>
      <c r="F82" s="1634"/>
      <c r="G82" s="1634"/>
      <c r="H82" s="1634"/>
      <c r="I82" s="1635"/>
    </row>
    <row r="83" spans="1:25">
      <c r="A83" s="261" t="s">
        <v>130</v>
      </c>
      <c r="B83" s="651" t="s">
        <v>131</v>
      </c>
      <c r="C83" s="1645" t="s">
        <v>132</v>
      </c>
      <c r="D83" s="1645"/>
      <c r="E83" s="1645"/>
      <c r="F83" s="651" t="s">
        <v>104</v>
      </c>
      <c r="G83" s="298" t="s">
        <v>133</v>
      </c>
      <c r="H83" s="299" t="s">
        <v>134</v>
      </c>
      <c r="I83" s="265" t="s">
        <v>135</v>
      </c>
    </row>
    <row r="84" spans="1:25">
      <c r="A84" s="241">
        <v>88441</v>
      </c>
      <c r="B84" s="242" t="s">
        <v>58</v>
      </c>
      <c r="C84" s="1646" t="s">
        <v>201</v>
      </c>
      <c r="D84" s="1647"/>
      <c r="E84" s="1648"/>
      <c r="F84" s="247" t="s">
        <v>186</v>
      </c>
      <c r="G84" s="585">
        <v>2.5499999999999998E-2</v>
      </c>
      <c r="H84" s="244">
        <v>18.48</v>
      </c>
      <c r="I84" s="249">
        <f>H84*G84</f>
        <v>0.47123999999999999</v>
      </c>
      <c r="J84" s="300"/>
      <c r="K84" s="300"/>
      <c r="L84" s="300">
        <v>0.06</v>
      </c>
    </row>
    <row r="85" spans="1:25">
      <c r="A85" s="241">
        <v>88316</v>
      </c>
      <c r="B85" s="242" t="s">
        <v>58</v>
      </c>
      <c r="C85" s="1646" t="s">
        <v>202</v>
      </c>
      <c r="D85" s="1647" t="s">
        <v>202</v>
      </c>
      <c r="E85" s="1648" t="s">
        <v>202</v>
      </c>
      <c r="F85" s="247" t="s">
        <v>186</v>
      </c>
      <c r="G85" s="585">
        <v>0.1018</v>
      </c>
      <c r="H85" s="244">
        <v>13.65</v>
      </c>
      <c r="I85" s="249">
        <f>H85*G85</f>
        <v>1.38957</v>
      </c>
      <c r="J85" s="250"/>
      <c r="K85" s="250"/>
      <c r="L85" s="250">
        <v>0.03</v>
      </c>
    </row>
    <row r="86" spans="1:25">
      <c r="A86" s="246"/>
      <c r="B86" s="247"/>
      <c r="C86" s="1646"/>
      <c r="D86" s="1647"/>
      <c r="E86" s="1648"/>
      <c r="F86" s="247"/>
      <c r="G86" s="244"/>
      <c r="H86" s="244"/>
      <c r="I86" s="249"/>
      <c r="J86" s="250"/>
      <c r="K86" s="250"/>
      <c r="L86" s="250"/>
    </row>
    <row r="87" spans="1:25" ht="30" customHeight="1">
      <c r="A87" s="246"/>
      <c r="B87" s="247"/>
      <c r="C87" s="1655" t="s">
        <v>875</v>
      </c>
      <c r="D87" s="1656"/>
      <c r="E87" s="1657"/>
      <c r="F87" s="247"/>
      <c r="G87" s="301"/>
      <c r="H87" s="244"/>
      <c r="I87" s="249"/>
      <c r="J87" s="250"/>
      <c r="K87" s="250"/>
      <c r="L87" s="250"/>
    </row>
    <row r="88" spans="1:25">
      <c r="A88" s="246"/>
      <c r="B88" s="247"/>
      <c r="C88" s="1646"/>
      <c r="D88" s="1647"/>
      <c r="E88" s="1648"/>
      <c r="F88" s="247"/>
      <c r="G88" s="301"/>
      <c r="H88" s="244"/>
      <c r="I88" s="249"/>
      <c r="J88" s="250"/>
      <c r="K88" s="250"/>
      <c r="L88" s="250"/>
    </row>
    <row r="89" spans="1:25">
      <c r="A89" s="246"/>
      <c r="B89" s="247"/>
      <c r="C89" s="1646"/>
      <c r="D89" s="1647"/>
      <c r="E89" s="1648"/>
      <c r="F89" s="247"/>
      <c r="G89" s="301"/>
      <c r="H89" s="244"/>
      <c r="I89" s="249"/>
      <c r="J89" s="250"/>
      <c r="K89" s="250"/>
      <c r="L89" s="250"/>
    </row>
    <row r="90" spans="1:25">
      <c r="A90" s="1642" t="s">
        <v>139</v>
      </c>
      <c r="B90" s="1643"/>
      <c r="C90" s="1643"/>
      <c r="D90" s="1643"/>
      <c r="E90" s="1643"/>
      <c r="F90" s="1643"/>
      <c r="G90" s="1643"/>
      <c r="H90" s="1643"/>
      <c r="I90" s="252">
        <f>I84+I85</f>
        <v>1.8608099999999999</v>
      </c>
    </row>
    <row r="91" spans="1:25">
      <c r="A91" s="253"/>
      <c r="B91" s="254"/>
      <c r="C91" s="728"/>
      <c r="D91" s="728"/>
      <c r="E91" s="728"/>
      <c r="F91" s="254"/>
      <c r="G91" s="302"/>
      <c r="H91" s="256"/>
      <c r="I91" s="257"/>
      <c r="J91" s="258"/>
      <c r="K91" s="258"/>
      <c r="L91" s="258"/>
      <c r="M91" s="259" t="s">
        <v>410</v>
      </c>
      <c r="N91" s="258"/>
      <c r="O91" s="258"/>
      <c r="P91" s="258"/>
      <c r="Q91" s="258"/>
      <c r="R91" s="258"/>
      <c r="S91" s="258"/>
    </row>
    <row r="92" spans="1:25">
      <c r="A92" s="1633" t="s">
        <v>160</v>
      </c>
      <c r="B92" s="1634"/>
      <c r="C92" s="1634"/>
      <c r="D92" s="1634"/>
      <c r="E92" s="1634"/>
      <c r="F92" s="1634"/>
      <c r="G92" s="1634"/>
      <c r="H92" s="1634"/>
      <c r="I92" s="1635"/>
      <c r="L92" s="260" t="s">
        <v>411</v>
      </c>
      <c r="M92" s="259"/>
      <c r="O92" s="260" t="s">
        <v>412</v>
      </c>
      <c r="Q92" s="260" t="s">
        <v>413</v>
      </c>
    </row>
    <row r="93" spans="1:25">
      <c r="A93" s="261" t="s">
        <v>130</v>
      </c>
      <c r="B93" s="651" t="s">
        <v>131</v>
      </c>
      <c r="C93" s="1645" t="s">
        <v>132</v>
      </c>
      <c r="D93" s="1645"/>
      <c r="E93" s="1645"/>
      <c r="F93" s="262" t="s">
        <v>104</v>
      </c>
      <c r="G93" s="298" t="s">
        <v>133</v>
      </c>
      <c r="H93" s="264" t="s">
        <v>134</v>
      </c>
      <c r="I93" s="265" t="s">
        <v>135</v>
      </c>
      <c r="L93" s="260" t="s">
        <v>414</v>
      </c>
      <c r="O93" s="260" t="s">
        <v>415</v>
      </c>
      <c r="Q93" s="260" t="s">
        <v>416</v>
      </c>
    </row>
    <row r="94" spans="1:25">
      <c r="A94" s="246" t="s">
        <v>161</v>
      </c>
      <c r="B94" s="247" t="s">
        <v>162</v>
      </c>
      <c r="C94" s="1646" t="s">
        <v>213</v>
      </c>
      <c r="D94" s="1647"/>
      <c r="E94" s="1648"/>
      <c r="F94" s="247" t="s">
        <v>149</v>
      </c>
      <c r="G94" s="303">
        <v>1</v>
      </c>
      <c r="H94" s="244">
        <v>33.35</v>
      </c>
      <c r="I94" s="249">
        <f t="shared" ref="I94:I98" si="1">H94*G94</f>
        <v>33.35</v>
      </c>
      <c r="J94" s="250"/>
      <c r="K94" s="250"/>
      <c r="L94" s="304">
        <v>25</v>
      </c>
      <c r="M94" s="250"/>
      <c r="N94" s="250"/>
      <c r="O94" s="304">
        <v>18</v>
      </c>
      <c r="P94" s="250"/>
      <c r="Q94" s="304">
        <v>48</v>
      </c>
      <c r="R94" s="250"/>
      <c r="S94" s="305"/>
      <c r="T94" s="258"/>
      <c r="U94" s="259" t="s">
        <v>410</v>
      </c>
      <c r="V94" s="258"/>
      <c r="W94" s="258"/>
      <c r="X94" s="258"/>
      <c r="Y94" s="258"/>
    </row>
    <row r="95" spans="1:25">
      <c r="A95" s="266">
        <v>7253</v>
      </c>
      <c r="B95" s="267" t="s">
        <v>58</v>
      </c>
      <c r="C95" s="1649" t="s">
        <v>204</v>
      </c>
      <c r="D95" s="1650" t="s">
        <v>205</v>
      </c>
      <c r="E95" s="1651" t="s">
        <v>205</v>
      </c>
      <c r="F95" s="268" t="s">
        <v>206</v>
      </c>
      <c r="G95" s="269">
        <v>1.8499999999999999E-2</v>
      </c>
      <c r="H95" s="270">
        <f>H19</f>
        <v>137.13999999999999</v>
      </c>
      <c r="I95" s="306">
        <f t="shared" si="1"/>
        <v>2.5370899999999996</v>
      </c>
      <c r="T95" s="260" t="s">
        <v>411</v>
      </c>
      <c r="U95" s="259"/>
      <c r="V95" s="260" t="s">
        <v>412</v>
      </c>
      <c r="X95" s="260" t="s">
        <v>413</v>
      </c>
    </row>
    <row r="96" spans="1:25" ht="15" customHeight="1">
      <c r="A96" s="582">
        <v>3123</v>
      </c>
      <c r="B96" s="583" t="s">
        <v>58</v>
      </c>
      <c r="C96" s="1652" t="s">
        <v>871</v>
      </c>
      <c r="D96" s="1653"/>
      <c r="E96" s="1654"/>
      <c r="F96" s="273" t="s">
        <v>207</v>
      </c>
      <c r="G96" s="269">
        <v>1.8499999999999999E-2</v>
      </c>
      <c r="H96" s="270">
        <v>1.52</v>
      </c>
      <c r="I96" s="306">
        <f>H96*G96</f>
        <v>2.8119999999999999E-2</v>
      </c>
      <c r="T96" s="260" t="s">
        <v>414</v>
      </c>
      <c r="V96" s="260" t="s">
        <v>415</v>
      </c>
      <c r="X96" s="260" t="s">
        <v>416</v>
      </c>
    </row>
    <row r="97" spans="1:25">
      <c r="A97" s="274">
        <v>370</v>
      </c>
      <c r="B97" s="275" t="s">
        <v>58</v>
      </c>
      <c r="C97" s="1639" t="s">
        <v>208</v>
      </c>
      <c r="D97" s="1640"/>
      <c r="E97" s="1641"/>
      <c r="F97" s="268" t="s">
        <v>206</v>
      </c>
      <c r="G97" s="276">
        <v>2.5000000000000001E-3</v>
      </c>
      <c r="H97" s="277">
        <v>31.08</v>
      </c>
      <c r="I97" s="306">
        <f t="shared" si="1"/>
        <v>7.7699999999999991E-2</v>
      </c>
      <c r="J97" s="240"/>
      <c r="K97" s="240"/>
      <c r="L97" s="240"/>
      <c r="M97" s="278"/>
      <c r="N97" s="240"/>
      <c r="O97" s="240"/>
      <c r="P97" s="240"/>
      <c r="Q97" s="240"/>
      <c r="R97" s="240"/>
      <c r="S97" s="240"/>
      <c r="T97" s="307">
        <v>30</v>
      </c>
      <c r="U97" s="250"/>
      <c r="V97" s="280">
        <v>33</v>
      </c>
      <c r="W97" s="250"/>
      <c r="X97" s="281">
        <v>35.5</v>
      </c>
      <c r="Y97" s="250"/>
    </row>
    <row r="98" spans="1:25">
      <c r="A98" s="282">
        <v>25963</v>
      </c>
      <c r="B98" s="275" t="s">
        <v>58</v>
      </c>
      <c r="C98" s="1639" t="s">
        <v>209</v>
      </c>
      <c r="D98" s="1640"/>
      <c r="E98" s="1641"/>
      <c r="F98" s="283" t="s">
        <v>207</v>
      </c>
      <c r="G98" s="276">
        <v>1.8499999999999999E-2</v>
      </c>
      <c r="H98" s="277">
        <v>0.08</v>
      </c>
      <c r="I98" s="587">
        <f t="shared" si="1"/>
        <v>1.48E-3</v>
      </c>
      <c r="J98" s="240"/>
      <c r="K98" s="240"/>
      <c r="L98" s="240"/>
      <c r="M98" s="240"/>
      <c r="N98" s="240"/>
      <c r="O98" s="240"/>
      <c r="P98" s="240"/>
      <c r="Q98" s="240"/>
      <c r="R98" s="240"/>
      <c r="S98" s="240"/>
    </row>
    <row r="99" spans="1:25">
      <c r="A99" s="284">
        <v>38125</v>
      </c>
      <c r="B99" s="275" t="s">
        <v>873</v>
      </c>
      <c r="C99" s="1639" t="s">
        <v>876</v>
      </c>
      <c r="D99" s="1640"/>
      <c r="E99" s="1641"/>
      <c r="F99" s="283" t="s">
        <v>207</v>
      </c>
      <c r="G99" s="276">
        <f>0.00125*1.6</f>
        <v>2E-3</v>
      </c>
      <c r="H99" s="277">
        <v>1.0900000000000001</v>
      </c>
      <c r="I99" s="587">
        <f>H99*G99</f>
        <v>2.1800000000000001E-3</v>
      </c>
      <c r="J99" s="240"/>
      <c r="K99" s="240"/>
      <c r="L99" s="240"/>
      <c r="M99" s="240"/>
      <c r="N99" s="240"/>
      <c r="O99" s="240"/>
      <c r="P99" s="240"/>
      <c r="Q99" s="240"/>
      <c r="R99" s="240"/>
      <c r="S99" s="240"/>
    </row>
    <row r="100" spans="1:25">
      <c r="A100" s="282"/>
      <c r="B100" s="275"/>
      <c r="C100" s="1639"/>
      <c r="D100" s="1640"/>
      <c r="E100" s="1641"/>
      <c r="F100" s="283"/>
      <c r="G100" s="308"/>
      <c r="H100" s="286" t="s">
        <v>214</v>
      </c>
      <c r="I100" s="287"/>
      <c r="J100" s="240"/>
      <c r="K100" s="240"/>
      <c r="L100" s="240"/>
      <c r="M100" s="240"/>
      <c r="N100" s="240"/>
      <c r="O100" s="240"/>
      <c r="P100" s="240"/>
      <c r="Q100" s="240"/>
      <c r="R100" s="240"/>
      <c r="S100" s="240"/>
    </row>
    <row r="101" spans="1:25">
      <c r="A101" s="274"/>
      <c r="B101" s="275"/>
      <c r="C101" s="1639"/>
      <c r="D101" s="1640"/>
      <c r="E101" s="1641"/>
      <c r="F101" s="283"/>
      <c r="G101" s="308"/>
      <c r="H101" s="277"/>
      <c r="I101" s="287"/>
      <c r="J101" s="289"/>
      <c r="K101" s="289"/>
      <c r="L101" s="289"/>
      <c r="M101" s="278"/>
      <c r="N101" s="289"/>
      <c r="O101" s="289"/>
      <c r="P101" s="289"/>
      <c r="Q101" s="289"/>
      <c r="R101" s="289"/>
      <c r="S101" s="289"/>
    </row>
    <row r="102" spans="1:25">
      <c r="A102" s="288"/>
      <c r="B102" s="275"/>
      <c r="C102" s="1639"/>
      <c r="D102" s="1640"/>
      <c r="E102" s="1641"/>
      <c r="F102" s="283"/>
      <c r="G102" s="308"/>
      <c r="H102" s="277"/>
      <c r="I102" s="287"/>
      <c r="J102" s="289"/>
      <c r="K102" s="289"/>
      <c r="L102" s="289"/>
      <c r="M102" s="278"/>
      <c r="N102" s="289"/>
      <c r="O102" s="289"/>
      <c r="P102" s="289"/>
      <c r="Q102" s="289"/>
      <c r="R102" s="289"/>
      <c r="S102" s="289"/>
    </row>
    <row r="103" spans="1:25">
      <c r="A103" s="1642" t="s">
        <v>137</v>
      </c>
      <c r="B103" s="1643"/>
      <c r="C103" s="1643"/>
      <c r="D103" s="1643"/>
      <c r="E103" s="1643"/>
      <c r="F103" s="1643"/>
      <c r="G103" s="1643"/>
      <c r="H103" s="1644"/>
      <c r="I103" s="290">
        <f>I94+I95+I96+I97+I98+I99</f>
        <v>35.996570000000006</v>
      </c>
    </row>
    <row r="104" spans="1:25">
      <c r="A104" s="1630"/>
      <c r="B104" s="1631"/>
      <c r="C104" s="1631"/>
      <c r="D104" s="1631"/>
      <c r="E104" s="1631"/>
      <c r="F104" s="1631"/>
      <c r="G104" s="1631"/>
      <c r="H104" s="1631"/>
      <c r="I104" s="1632"/>
    </row>
    <row r="105" spans="1:25">
      <c r="A105" s="1633" t="s">
        <v>141</v>
      </c>
      <c r="B105" s="1634"/>
      <c r="C105" s="1634"/>
      <c r="D105" s="1634"/>
      <c r="E105" s="1634"/>
      <c r="F105" s="1634"/>
      <c r="G105" s="1634"/>
      <c r="H105" s="1634"/>
      <c r="I105" s="1635"/>
    </row>
    <row r="106" spans="1:25">
      <c r="A106" s="1636" t="s">
        <v>142</v>
      </c>
      <c r="B106" s="1637"/>
      <c r="C106" s="1637"/>
      <c r="D106" s="1637"/>
      <c r="E106" s="1637"/>
      <c r="F106" s="1637"/>
      <c r="G106" s="1637"/>
      <c r="H106" s="1638"/>
      <c r="I106" s="291">
        <f>I90</f>
        <v>1.8608099999999999</v>
      </c>
    </row>
    <row r="107" spans="1:25">
      <c r="A107" s="1625" t="s">
        <v>163</v>
      </c>
      <c r="B107" s="1626"/>
      <c r="C107" s="1626"/>
      <c r="D107" s="1626"/>
      <c r="E107" s="1626"/>
      <c r="F107" s="1626"/>
      <c r="G107" s="1626"/>
      <c r="H107" s="1627"/>
      <c r="I107" s="292">
        <f>I103</f>
        <v>35.996570000000006</v>
      </c>
    </row>
    <row r="108" spans="1:25">
      <c r="A108" s="1625" t="s">
        <v>164</v>
      </c>
      <c r="B108" s="1626"/>
      <c r="C108" s="1626"/>
      <c r="D108" s="1626"/>
      <c r="E108" s="1626"/>
      <c r="F108" s="1626"/>
      <c r="G108" s="1626"/>
      <c r="H108" s="1627"/>
      <c r="I108" s="292"/>
    </row>
    <row r="109" spans="1:25">
      <c r="A109" s="1625" t="s">
        <v>165</v>
      </c>
      <c r="B109" s="1626"/>
      <c r="C109" s="1626"/>
      <c r="D109" s="1626"/>
      <c r="E109" s="1626"/>
      <c r="F109" s="1626"/>
      <c r="G109" s="1626"/>
      <c r="H109" s="1627"/>
      <c r="I109" s="292">
        <f>I106+I107+I108</f>
        <v>37.857380000000006</v>
      </c>
    </row>
    <row r="110" spans="1:25">
      <c r="A110" s="1625" t="s">
        <v>143</v>
      </c>
      <c r="B110" s="1626"/>
      <c r="C110" s="1626"/>
      <c r="D110" s="1626"/>
      <c r="E110" s="1626"/>
      <c r="F110" s="1626"/>
      <c r="G110" s="1626"/>
      <c r="H110" s="1627"/>
      <c r="I110" s="292">
        <f>I109*26.54%</f>
        <v>10.047348652</v>
      </c>
    </row>
    <row r="111" spans="1:25" ht="15.75" thickBot="1">
      <c r="A111" s="1628" t="s">
        <v>144</v>
      </c>
      <c r="B111" s="1629"/>
      <c r="C111" s="1629"/>
      <c r="D111" s="1629"/>
      <c r="E111" s="1629"/>
      <c r="F111" s="1629"/>
      <c r="G111" s="1629"/>
      <c r="H111" s="1629"/>
      <c r="I111" s="293">
        <f>I109+I110</f>
        <v>47.904728652000003</v>
      </c>
      <c r="J111" s="311"/>
      <c r="L111" s="260"/>
    </row>
    <row r="118" spans="1:10" ht="15.75" thickBot="1"/>
    <row r="119" spans="1:10" ht="15" customHeight="1">
      <c r="A119" s="598"/>
      <c r="B119" s="1665" t="s">
        <v>43</v>
      </c>
      <c r="C119" s="1665"/>
      <c r="D119" s="1666"/>
      <c r="E119" s="1663" t="s">
        <v>126</v>
      </c>
      <c r="F119" s="1663"/>
      <c r="G119" s="1663"/>
      <c r="H119" s="1663"/>
      <c r="I119" s="1674" t="s">
        <v>215</v>
      </c>
    </row>
    <row r="120" spans="1:10" ht="39" customHeight="1">
      <c r="A120" s="599"/>
      <c r="B120" s="1667"/>
      <c r="C120" s="1667"/>
      <c r="D120" s="1668"/>
      <c r="E120" s="1664"/>
      <c r="F120" s="1664"/>
      <c r="G120" s="1664"/>
      <c r="H120" s="1664"/>
      <c r="I120" s="1675"/>
    </row>
    <row r="121" spans="1:10">
      <c r="A121" s="599"/>
      <c r="B121" s="1669" t="s">
        <v>122</v>
      </c>
      <c r="C121" s="1669"/>
      <c r="D121" s="1670"/>
      <c r="E121" s="1664"/>
      <c r="F121" s="1664"/>
      <c r="G121" s="1664"/>
      <c r="H121" s="1664"/>
      <c r="I121" s="295">
        <v>43313</v>
      </c>
    </row>
    <row r="122" spans="1:10">
      <c r="A122" s="600"/>
      <c r="B122" s="1671" t="s">
        <v>125</v>
      </c>
      <c r="C122" s="1671"/>
      <c r="D122" s="1672"/>
      <c r="E122" s="1664"/>
      <c r="F122" s="1664"/>
      <c r="G122" s="1664"/>
      <c r="H122" s="1664"/>
      <c r="I122" s="649" t="s">
        <v>171</v>
      </c>
    </row>
    <row r="123" spans="1:10">
      <c r="A123" s="226" t="s">
        <v>128</v>
      </c>
      <c r="B123" s="1660" t="s">
        <v>216</v>
      </c>
      <c r="C123" s="1660"/>
      <c r="D123" s="1660"/>
      <c r="E123" s="1673"/>
      <c r="F123" s="1673"/>
      <c r="G123" s="1673"/>
      <c r="H123" s="653"/>
      <c r="I123" s="227" t="s">
        <v>408</v>
      </c>
    </row>
    <row r="124" spans="1:10">
      <c r="A124" s="228" t="s">
        <v>129</v>
      </c>
      <c r="B124" s="229" t="s">
        <v>149</v>
      </c>
      <c r="C124" s="726"/>
      <c r="D124" s="726"/>
      <c r="E124" s="726"/>
      <c r="F124" s="229"/>
      <c r="G124" s="229"/>
      <c r="H124" s="229"/>
      <c r="I124" s="230" t="s">
        <v>409</v>
      </c>
    </row>
    <row r="125" spans="1:10" hidden="1">
      <c r="A125" s="1661" t="s">
        <v>159</v>
      </c>
      <c r="B125" s="1662"/>
      <c r="C125" s="1662"/>
      <c r="D125" s="1662"/>
      <c r="E125" s="727"/>
      <c r="F125" s="296"/>
      <c r="G125" s="297"/>
      <c r="H125" s="233"/>
      <c r="I125" s="234"/>
      <c r="J125" s="235"/>
    </row>
    <row r="126" spans="1:10">
      <c r="A126" s="1633" t="s">
        <v>138</v>
      </c>
      <c r="B126" s="1634"/>
      <c r="C126" s="1634"/>
      <c r="D126" s="1634"/>
      <c r="E126" s="1634"/>
      <c r="F126" s="1634"/>
      <c r="G126" s="1634"/>
      <c r="H126" s="1634"/>
      <c r="I126" s="1635"/>
    </row>
    <row r="127" spans="1:10">
      <c r="A127" s="261" t="s">
        <v>130</v>
      </c>
      <c r="B127" s="651" t="s">
        <v>131</v>
      </c>
      <c r="C127" s="1645" t="s">
        <v>132</v>
      </c>
      <c r="D127" s="1645"/>
      <c r="E127" s="1645"/>
      <c r="F127" s="651" t="s">
        <v>104</v>
      </c>
      <c r="G127" s="298" t="s">
        <v>133</v>
      </c>
      <c r="H127" s="299" t="s">
        <v>134</v>
      </c>
      <c r="I127" s="265" t="s">
        <v>135</v>
      </c>
    </row>
    <row r="128" spans="1:10">
      <c r="A128" s="241">
        <v>88441</v>
      </c>
      <c r="B128" s="242" t="s">
        <v>58</v>
      </c>
      <c r="C128" s="1646" t="s">
        <v>201</v>
      </c>
      <c r="D128" s="1647"/>
      <c r="E128" s="1648"/>
      <c r="F128" s="247" t="s">
        <v>186</v>
      </c>
      <c r="G128" s="244">
        <v>0.26</v>
      </c>
      <c r="H128" s="244">
        <v>18.48</v>
      </c>
      <c r="I128" s="249">
        <f>H128*G128</f>
        <v>4.8048000000000002</v>
      </c>
      <c r="J128" s="300">
        <v>0.06</v>
      </c>
    </row>
    <row r="129" spans="1:25">
      <c r="A129" s="241">
        <v>88316</v>
      </c>
      <c r="B129" s="242" t="s">
        <v>58</v>
      </c>
      <c r="C129" s="1646" t="s">
        <v>202</v>
      </c>
      <c r="D129" s="1647" t="s">
        <v>202</v>
      </c>
      <c r="E129" s="1648" t="s">
        <v>202</v>
      </c>
      <c r="F129" s="247" t="s">
        <v>186</v>
      </c>
      <c r="G129" s="244">
        <v>1.04</v>
      </c>
      <c r="H129" s="244">
        <v>13.65</v>
      </c>
      <c r="I129" s="249">
        <f>H129*G129</f>
        <v>14.196000000000002</v>
      </c>
      <c r="J129" s="250">
        <v>0.03</v>
      </c>
    </row>
    <row r="130" spans="1:25">
      <c r="A130" s="246"/>
      <c r="B130" s="247"/>
      <c r="C130" s="1646"/>
      <c r="D130" s="1647"/>
      <c r="E130" s="1648"/>
      <c r="F130" s="247"/>
      <c r="G130" s="244"/>
      <c r="H130" s="244"/>
      <c r="I130" s="249"/>
      <c r="J130" s="250"/>
    </row>
    <row r="131" spans="1:25" ht="63" customHeight="1">
      <c r="A131" s="246"/>
      <c r="B131" s="247"/>
      <c r="C131" s="1655" t="s">
        <v>872</v>
      </c>
      <c r="D131" s="1656"/>
      <c r="E131" s="1657"/>
      <c r="F131" s="247"/>
      <c r="G131" s="301"/>
      <c r="H131" s="244"/>
      <c r="I131" s="249"/>
      <c r="J131" s="250"/>
    </row>
    <row r="132" spans="1:25">
      <c r="A132" s="246"/>
      <c r="B132" s="247"/>
      <c r="C132" s="1646"/>
      <c r="D132" s="1647"/>
      <c r="E132" s="1648"/>
      <c r="F132" s="247"/>
      <c r="G132" s="301"/>
      <c r="H132" s="244"/>
      <c r="I132" s="249"/>
      <c r="J132" s="250"/>
    </row>
    <row r="133" spans="1:25">
      <c r="A133" s="246"/>
      <c r="B133" s="247"/>
      <c r="C133" s="1646"/>
      <c r="D133" s="1647"/>
      <c r="E133" s="1648"/>
      <c r="F133" s="247"/>
      <c r="G133" s="301"/>
      <c r="H133" s="244"/>
      <c r="I133" s="249"/>
      <c r="J133" s="250"/>
    </row>
    <row r="134" spans="1:25">
      <c r="A134" s="1642" t="s">
        <v>139</v>
      </c>
      <c r="B134" s="1643"/>
      <c r="C134" s="1643"/>
      <c r="D134" s="1643"/>
      <c r="E134" s="1643"/>
      <c r="F134" s="1643"/>
      <c r="G134" s="1643"/>
      <c r="H134" s="1643"/>
      <c r="I134" s="252">
        <f>I128+I129</f>
        <v>19.000800000000002</v>
      </c>
    </row>
    <row r="135" spans="1:25">
      <c r="A135" s="253"/>
      <c r="B135" s="254"/>
      <c r="C135" s="728"/>
      <c r="D135" s="728"/>
      <c r="E135" s="728"/>
      <c r="F135" s="254"/>
      <c r="G135" s="302"/>
      <c r="H135" s="256"/>
      <c r="I135" s="257"/>
      <c r="J135" s="258"/>
      <c r="K135" s="259" t="s">
        <v>410</v>
      </c>
      <c r="L135" s="258"/>
      <c r="M135" s="258"/>
      <c r="N135" s="258"/>
      <c r="O135" s="258"/>
      <c r="P135" s="258"/>
      <c r="Q135" s="258"/>
    </row>
    <row r="136" spans="1:25">
      <c r="A136" s="1633" t="s">
        <v>160</v>
      </c>
      <c r="B136" s="1634"/>
      <c r="C136" s="1634"/>
      <c r="D136" s="1634"/>
      <c r="E136" s="1634"/>
      <c r="F136" s="1634"/>
      <c r="G136" s="1634"/>
      <c r="H136" s="1634"/>
      <c r="I136" s="1635"/>
      <c r="J136" s="260" t="s">
        <v>411</v>
      </c>
      <c r="K136" s="259"/>
      <c r="M136" s="260" t="s">
        <v>412</v>
      </c>
      <c r="O136" s="260" t="s">
        <v>413</v>
      </c>
    </row>
    <row r="137" spans="1:25">
      <c r="A137" s="261" t="s">
        <v>130</v>
      </c>
      <c r="B137" s="651" t="s">
        <v>131</v>
      </c>
      <c r="C137" s="1645" t="s">
        <v>132</v>
      </c>
      <c r="D137" s="1645"/>
      <c r="E137" s="1645"/>
      <c r="F137" s="262" t="s">
        <v>104</v>
      </c>
      <c r="G137" s="298" t="s">
        <v>133</v>
      </c>
      <c r="H137" s="264" t="s">
        <v>134</v>
      </c>
      <c r="I137" s="265" t="s">
        <v>135</v>
      </c>
      <c r="J137" s="260" t="s">
        <v>414</v>
      </c>
      <c r="M137" s="260" t="s">
        <v>415</v>
      </c>
      <c r="O137" s="260" t="s">
        <v>416</v>
      </c>
      <c r="T137" s="258"/>
      <c r="U137" s="259" t="s">
        <v>410</v>
      </c>
      <c r="V137" s="258"/>
      <c r="W137" s="258"/>
      <c r="X137" s="258"/>
      <c r="Y137" s="258"/>
    </row>
    <row r="138" spans="1:25">
      <c r="A138" s="246" t="s">
        <v>161</v>
      </c>
      <c r="B138" s="247" t="s">
        <v>162</v>
      </c>
      <c r="C138" s="1646" t="s">
        <v>217</v>
      </c>
      <c r="D138" s="1647"/>
      <c r="E138" s="1648"/>
      <c r="F138" s="247" t="s">
        <v>149</v>
      </c>
      <c r="G138" s="303">
        <v>1</v>
      </c>
      <c r="H138" s="244">
        <v>108.36</v>
      </c>
      <c r="I138" s="249">
        <f t="shared" ref="I138:I143" si="2">H138*G138</f>
        <v>108.36</v>
      </c>
      <c r="J138" s="304">
        <v>20</v>
      </c>
      <c r="K138" s="250"/>
      <c r="L138" s="250"/>
      <c r="M138" s="304">
        <v>34.9</v>
      </c>
      <c r="N138" s="250"/>
      <c r="O138" s="304" t="s">
        <v>417</v>
      </c>
      <c r="P138" s="250"/>
      <c r="Q138" s="305">
        <f>AVERAGE(M138,J138)</f>
        <v>27.45</v>
      </c>
      <c r="T138" s="260" t="s">
        <v>411</v>
      </c>
      <c r="U138" s="259"/>
      <c r="V138" s="260" t="s">
        <v>412</v>
      </c>
      <c r="X138" s="260" t="s">
        <v>413</v>
      </c>
    </row>
    <row r="139" spans="1:25">
      <c r="A139" s="266">
        <v>7253</v>
      </c>
      <c r="B139" s="267" t="s">
        <v>58</v>
      </c>
      <c r="C139" s="1649" t="s">
        <v>204</v>
      </c>
      <c r="D139" s="1650" t="s">
        <v>205</v>
      </c>
      <c r="E139" s="1651" t="s">
        <v>205</v>
      </c>
      <c r="F139" s="268" t="s">
        <v>206</v>
      </c>
      <c r="G139" s="269">
        <v>0.20499999999999999</v>
      </c>
      <c r="H139" s="270">
        <f>H95</f>
        <v>137.13999999999999</v>
      </c>
      <c r="I139" s="306">
        <f t="shared" si="2"/>
        <v>28.113699999999994</v>
      </c>
      <c r="T139" s="260" t="s">
        <v>414</v>
      </c>
      <c r="V139" s="260" t="s">
        <v>415</v>
      </c>
      <c r="X139" s="260" t="s">
        <v>416</v>
      </c>
    </row>
    <row r="140" spans="1:25" ht="15" customHeight="1">
      <c r="A140" s="582">
        <v>3123</v>
      </c>
      <c r="B140" s="583" t="s">
        <v>58</v>
      </c>
      <c r="C140" s="1652" t="s">
        <v>871</v>
      </c>
      <c r="D140" s="1653"/>
      <c r="E140" s="1654"/>
      <c r="F140" s="273" t="s">
        <v>207</v>
      </c>
      <c r="G140" s="269">
        <v>0.8</v>
      </c>
      <c r="H140" s="270">
        <v>1.52</v>
      </c>
      <c r="I140" s="306">
        <f>H140*G140</f>
        <v>1.2160000000000002</v>
      </c>
      <c r="T140" s="307">
        <v>95</v>
      </c>
      <c r="U140" s="250"/>
      <c r="V140" s="280">
        <v>105</v>
      </c>
      <c r="W140" s="250"/>
      <c r="X140" s="281">
        <v>120</v>
      </c>
      <c r="Y140" s="250"/>
    </row>
    <row r="141" spans="1:25">
      <c r="A141" s="274">
        <v>370</v>
      </c>
      <c r="B141" s="275" t="s">
        <v>58</v>
      </c>
      <c r="C141" s="1639" t="s">
        <v>208</v>
      </c>
      <c r="D141" s="1640"/>
      <c r="E141" s="1641"/>
      <c r="F141" s="268" t="s">
        <v>206</v>
      </c>
      <c r="G141" s="276">
        <v>6.4000000000000003E-3</v>
      </c>
      <c r="H141" s="277">
        <v>31.08</v>
      </c>
      <c r="I141" s="306">
        <f t="shared" si="2"/>
        <v>0.19891200000000001</v>
      </c>
      <c r="J141" s="240"/>
      <c r="K141" s="278"/>
      <c r="L141" s="240"/>
      <c r="M141" s="240"/>
      <c r="N141" s="240"/>
      <c r="O141" s="240"/>
      <c r="P141" s="240"/>
      <c r="Q141" s="240"/>
    </row>
    <row r="142" spans="1:25">
      <c r="A142" s="282">
        <v>25963</v>
      </c>
      <c r="B142" s="275" t="s">
        <v>58</v>
      </c>
      <c r="C142" s="1639" t="s">
        <v>209</v>
      </c>
      <c r="D142" s="1640"/>
      <c r="E142" s="1641"/>
      <c r="F142" s="283" t="s">
        <v>207</v>
      </c>
      <c r="G142" s="276">
        <v>0.8</v>
      </c>
      <c r="H142" s="277">
        <v>0.08</v>
      </c>
      <c r="I142" s="306">
        <f t="shared" si="2"/>
        <v>6.4000000000000001E-2</v>
      </c>
      <c r="J142" s="240"/>
      <c r="K142" s="240"/>
      <c r="L142" s="240"/>
      <c r="M142" s="240"/>
      <c r="N142" s="240"/>
      <c r="O142" s="240"/>
      <c r="P142" s="240"/>
      <c r="Q142" s="240"/>
    </row>
    <row r="143" spans="1:25">
      <c r="A143" s="284">
        <v>38125</v>
      </c>
      <c r="B143" s="275" t="s">
        <v>873</v>
      </c>
      <c r="C143" s="1639" t="s">
        <v>876</v>
      </c>
      <c r="D143" s="1640"/>
      <c r="E143" s="1641"/>
      <c r="F143" s="283" t="s">
        <v>207</v>
      </c>
      <c r="G143" s="276">
        <f>0.05*1.6</f>
        <v>8.0000000000000016E-2</v>
      </c>
      <c r="H143" s="277">
        <v>1.0900000000000001</v>
      </c>
      <c r="I143" s="306">
        <f t="shared" si="2"/>
        <v>8.7200000000000027E-2</v>
      </c>
      <c r="J143" s="240"/>
      <c r="K143" s="240"/>
      <c r="L143" s="240"/>
      <c r="M143" s="240"/>
      <c r="N143" s="240"/>
      <c r="O143" s="240"/>
      <c r="P143" s="240"/>
      <c r="Q143" s="240"/>
    </row>
    <row r="144" spans="1:25">
      <c r="A144" s="282"/>
      <c r="B144" s="275"/>
      <c r="C144" s="1639"/>
      <c r="D144" s="1640"/>
      <c r="E144" s="1641"/>
      <c r="F144" s="283"/>
      <c r="G144" s="308"/>
      <c r="H144" s="286"/>
      <c r="I144" s="287"/>
      <c r="J144" s="240"/>
      <c r="K144" s="240"/>
      <c r="L144" s="240"/>
      <c r="M144" s="240"/>
      <c r="N144" s="240"/>
      <c r="O144" s="240"/>
      <c r="P144" s="240"/>
      <c r="Q144" s="240"/>
    </row>
    <row r="145" spans="1:17">
      <c r="A145" s="274"/>
      <c r="B145" s="275"/>
      <c r="C145" s="1639"/>
      <c r="D145" s="1640"/>
      <c r="E145" s="1641"/>
      <c r="F145" s="283"/>
      <c r="G145" s="308"/>
      <c r="H145" s="277"/>
      <c r="I145" s="287"/>
      <c r="J145" s="289"/>
      <c r="K145" s="278"/>
      <c r="L145" s="289"/>
      <c r="M145" s="289"/>
      <c r="N145" s="289"/>
      <c r="O145" s="289"/>
      <c r="P145" s="289"/>
      <c r="Q145" s="289"/>
    </row>
    <row r="146" spans="1:17">
      <c r="A146" s="288"/>
      <c r="B146" s="275"/>
      <c r="C146" s="1639"/>
      <c r="D146" s="1640"/>
      <c r="E146" s="1641"/>
      <c r="F146" s="283"/>
      <c r="G146" s="308"/>
      <c r="H146" s="277"/>
      <c r="I146" s="287"/>
      <c r="J146" s="289"/>
      <c r="K146" s="278"/>
      <c r="L146" s="289"/>
      <c r="M146" s="289"/>
      <c r="N146" s="289"/>
      <c r="O146" s="289"/>
      <c r="P146" s="289"/>
      <c r="Q146" s="289"/>
    </row>
    <row r="147" spans="1:17">
      <c r="A147" s="1642" t="s">
        <v>137</v>
      </c>
      <c r="B147" s="1643"/>
      <c r="C147" s="1643"/>
      <c r="D147" s="1643"/>
      <c r="E147" s="1643"/>
      <c r="F147" s="1643"/>
      <c r="G147" s="1643"/>
      <c r="H147" s="1644"/>
      <c r="I147" s="290">
        <f>I138+I139+I140+I141+I142+I143</f>
        <v>138.03981200000001</v>
      </c>
    </row>
    <row r="148" spans="1:17">
      <c r="A148" s="1630"/>
      <c r="B148" s="1631"/>
      <c r="C148" s="1631"/>
      <c r="D148" s="1631"/>
      <c r="E148" s="1631"/>
      <c r="F148" s="1631"/>
      <c r="G148" s="1631"/>
      <c r="H148" s="1631"/>
      <c r="I148" s="1632"/>
    </row>
    <row r="149" spans="1:17">
      <c r="A149" s="1633" t="s">
        <v>141</v>
      </c>
      <c r="B149" s="1634"/>
      <c r="C149" s="1634"/>
      <c r="D149" s="1634"/>
      <c r="E149" s="1634"/>
      <c r="F149" s="1634"/>
      <c r="G149" s="1634"/>
      <c r="H149" s="1634"/>
      <c r="I149" s="1635"/>
    </row>
    <row r="150" spans="1:17">
      <c r="A150" s="1636" t="s">
        <v>142</v>
      </c>
      <c r="B150" s="1637"/>
      <c r="C150" s="1637"/>
      <c r="D150" s="1637"/>
      <c r="E150" s="1637"/>
      <c r="F150" s="1637"/>
      <c r="G150" s="1637"/>
      <c r="H150" s="1638"/>
      <c r="I150" s="291">
        <f>I134</f>
        <v>19.000800000000002</v>
      </c>
    </row>
    <row r="151" spans="1:17">
      <c r="A151" s="1625" t="s">
        <v>163</v>
      </c>
      <c r="B151" s="1626"/>
      <c r="C151" s="1626"/>
      <c r="D151" s="1626"/>
      <c r="E151" s="1626"/>
      <c r="F151" s="1626"/>
      <c r="G151" s="1626"/>
      <c r="H151" s="1627"/>
      <c r="I151" s="292">
        <f>I147</f>
        <v>138.03981200000001</v>
      </c>
    </row>
    <row r="152" spans="1:17">
      <c r="A152" s="1625" t="s">
        <v>164</v>
      </c>
      <c r="B152" s="1626"/>
      <c r="C152" s="1626"/>
      <c r="D152" s="1626"/>
      <c r="E152" s="1626"/>
      <c r="F152" s="1626"/>
      <c r="G152" s="1626"/>
      <c r="H152" s="1627"/>
      <c r="I152" s="292"/>
    </row>
    <row r="153" spans="1:17">
      <c r="A153" s="1625" t="s">
        <v>165</v>
      </c>
      <c r="B153" s="1626"/>
      <c r="C153" s="1626"/>
      <c r="D153" s="1626"/>
      <c r="E153" s="1626"/>
      <c r="F153" s="1626"/>
      <c r="G153" s="1626"/>
      <c r="H153" s="1627"/>
      <c r="I153" s="292">
        <f>I150+I151+I152</f>
        <v>157.04061200000001</v>
      </c>
    </row>
    <row r="154" spans="1:17">
      <c r="A154" s="1625" t="s">
        <v>143</v>
      </c>
      <c r="B154" s="1626"/>
      <c r="C154" s="1626"/>
      <c r="D154" s="1626"/>
      <c r="E154" s="1626"/>
      <c r="F154" s="1626"/>
      <c r="G154" s="1626"/>
      <c r="H154" s="1627"/>
      <c r="I154" s="292">
        <f>I153*26.54%</f>
        <v>41.678578424800001</v>
      </c>
    </row>
    <row r="155" spans="1:17" ht="15.75" thickBot="1">
      <c r="A155" s="1628" t="s">
        <v>144</v>
      </c>
      <c r="B155" s="1629"/>
      <c r="C155" s="1629"/>
      <c r="D155" s="1629"/>
      <c r="E155" s="1629"/>
      <c r="F155" s="1629"/>
      <c r="G155" s="1629"/>
      <c r="H155" s="1629"/>
      <c r="I155" s="293">
        <f>I153+I154</f>
        <v>198.71919042480002</v>
      </c>
      <c r="J155" s="294"/>
    </row>
    <row r="161" spans="1:9" ht="15.75" thickBot="1"/>
    <row r="162" spans="1:9" ht="15" customHeight="1">
      <c r="A162" s="598"/>
      <c r="B162" s="1665" t="s">
        <v>43</v>
      </c>
      <c r="C162" s="1665"/>
      <c r="D162" s="1666"/>
      <c r="E162" s="1663" t="s">
        <v>126</v>
      </c>
      <c r="F162" s="1663"/>
      <c r="G162" s="1663"/>
      <c r="H162" s="1663"/>
      <c r="I162" s="1658" t="s">
        <v>127</v>
      </c>
    </row>
    <row r="163" spans="1:9" ht="36.75" customHeight="1">
      <c r="A163" s="599"/>
      <c r="B163" s="1667"/>
      <c r="C163" s="1667"/>
      <c r="D163" s="1668"/>
      <c r="E163" s="1664"/>
      <c r="F163" s="1664"/>
      <c r="G163" s="1664"/>
      <c r="H163" s="1664"/>
      <c r="I163" s="1659"/>
    </row>
    <row r="164" spans="1:9">
      <c r="A164" s="599"/>
      <c r="B164" s="1669" t="s">
        <v>122</v>
      </c>
      <c r="C164" s="1669"/>
      <c r="D164" s="1670"/>
      <c r="E164" s="1664"/>
      <c r="F164" s="1664"/>
      <c r="G164" s="1664"/>
      <c r="H164" s="1664"/>
      <c r="I164" s="295">
        <v>43313</v>
      </c>
    </row>
    <row r="165" spans="1:9">
      <c r="A165" s="600"/>
      <c r="B165" s="1671" t="s">
        <v>125</v>
      </c>
      <c r="C165" s="1671"/>
      <c r="D165" s="1672"/>
      <c r="E165" s="1664"/>
      <c r="F165" s="1664"/>
      <c r="G165" s="1664"/>
      <c r="H165" s="1664"/>
      <c r="I165" s="649" t="s">
        <v>172</v>
      </c>
    </row>
    <row r="166" spans="1:9">
      <c r="A166" s="226" t="s">
        <v>128</v>
      </c>
      <c r="B166" s="1660" t="s">
        <v>218</v>
      </c>
      <c r="C166" s="1660"/>
      <c r="D166" s="1660"/>
      <c r="E166" s="1673"/>
      <c r="F166" s="1673"/>
      <c r="G166" s="1673"/>
      <c r="H166" s="653"/>
      <c r="I166" s="227" t="s">
        <v>408</v>
      </c>
    </row>
    <row r="167" spans="1:9">
      <c r="A167" s="228" t="s">
        <v>129</v>
      </c>
      <c r="B167" s="229" t="s">
        <v>149</v>
      </c>
      <c r="C167" s="726"/>
      <c r="D167" s="726"/>
      <c r="E167" s="726"/>
      <c r="F167" s="229"/>
      <c r="G167" s="229"/>
      <c r="H167" s="229"/>
      <c r="I167" s="230" t="s">
        <v>409</v>
      </c>
    </row>
    <row r="168" spans="1:9" hidden="1">
      <c r="A168" s="1661" t="s">
        <v>159</v>
      </c>
      <c r="B168" s="1662"/>
      <c r="C168" s="1662"/>
      <c r="D168" s="1662"/>
      <c r="E168" s="727"/>
      <c r="F168" s="296"/>
      <c r="G168" s="297"/>
      <c r="H168" s="233"/>
      <c r="I168" s="234"/>
    </row>
    <row r="169" spans="1:9">
      <c r="A169" s="1633" t="s">
        <v>138</v>
      </c>
      <c r="B169" s="1634"/>
      <c r="C169" s="1634"/>
      <c r="D169" s="1634"/>
      <c r="E169" s="1634"/>
      <c r="F169" s="1634"/>
      <c r="G169" s="1634"/>
      <c r="H169" s="1634"/>
      <c r="I169" s="1635"/>
    </row>
    <row r="170" spans="1:9">
      <c r="A170" s="261" t="s">
        <v>130</v>
      </c>
      <c r="B170" s="651" t="s">
        <v>131</v>
      </c>
      <c r="C170" s="1645" t="s">
        <v>132</v>
      </c>
      <c r="D170" s="1645"/>
      <c r="E170" s="1645"/>
      <c r="F170" s="651" t="s">
        <v>104</v>
      </c>
      <c r="G170" s="298" t="s">
        <v>133</v>
      </c>
      <c r="H170" s="299" t="s">
        <v>134</v>
      </c>
      <c r="I170" s="265" t="s">
        <v>135</v>
      </c>
    </row>
    <row r="171" spans="1:9">
      <c r="A171" s="241">
        <v>88441</v>
      </c>
      <c r="B171" s="242" t="s">
        <v>58</v>
      </c>
      <c r="C171" s="1646" t="s">
        <v>201</v>
      </c>
      <c r="D171" s="1647"/>
      <c r="E171" s="1648"/>
      <c r="F171" s="247" t="s">
        <v>186</v>
      </c>
      <c r="G171" s="585">
        <v>0.18179999999999999</v>
      </c>
      <c r="H171" s="244">
        <v>18.48</v>
      </c>
      <c r="I171" s="249">
        <f>H171*G171</f>
        <v>3.359664</v>
      </c>
    </row>
    <row r="172" spans="1:9">
      <c r="A172" s="241">
        <v>88316</v>
      </c>
      <c r="B172" s="242" t="s">
        <v>58</v>
      </c>
      <c r="C172" s="1646" t="s">
        <v>202</v>
      </c>
      <c r="D172" s="1647" t="s">
        <v>202</v>
      </c>
      <c r="E172" s="1648" t="s">
        <v>202</v>
      </c>
      <c r="F172" s="247" t="s">
        <v>186</v>
      </c>
      <c r="G172" s="585">
        <v>0.72719999999999996</v>
      </c>
      <c r="H172" s="244">
        <v>13.65</v>
      </c>
      <c r="I172" s="249">
        <f>H172*G172</f>
        <v>9.9262800000000002</v>
      </c>
    </row>
    <row r="173" spans="1:9">
      <c r="A173" s="246"/>
      <c r="B173" s="247"/>
      <c r="C173" s="1646"/>
      <c r="D173" s="1647"/>
      <c r="E173" s="1648"/>
      <c r="F173" s="247"/>
      <c r="G173" s="244"/>
      <c r="H173" s="244"/>
      <c r="I173" s="249"/>
    </row>
    <row r="174" spans="1:9">
      <c r="A174" s="246"/>
      <c r="B174" s="247"/>
      <c r="C174" s="1646"/>
      <c r="D174" s="1647"/>
      <c r="E174" s="1648"/>
      <c r="F174" s="247"/>
      <c r="G174" s="301"/>
      <c r="H174" s="244"/>
      <c r="I174" s="249"/>
    </row>
    <row r="175" spans="1:9" ht="51" customHeight="1">
      <c r="A175" s="246"/>
      <c r="B175" s="247"/>
      <c r="C175" s="1655" t="s">
        <v>874</v>
      </c>
      <c r="D175" s="1656"/>
      <c r="E175" s="1657"/>
      <c r="F175" s="247"/>
      <c r="G175" s="301"/>
      <c r="H175" s="244"/>
      <c r="I175" s="249"/>
    </row>
    <row r="176" spans="1:9">
      <c r="A176" s="246"/>
      <c r="B176" s="247"/>
      <c r="C176" s="1646"/>
      <c r="D176" s="1647"/>
      <c r="E176" s="1648"/>
      <c r="F176" s="247"/>
      <c r="G176" s="301"/>
      <c r="H176" s="244"/>
      <c r="I176" s="249"/>
    </row>
    <row r="177" spans="1:25">
      <c r="A177" s="1642" t="s">
        <v>139</v>
      </c>
      <c r="B177" s="1643"/>
      <c r="C177" s="1643"/>
      <c r="D177" s="1643"/>
      <c r="E177" s="1643"/>
      <c r="F177" s="1643"/>
      <c r="G177" s="1643"/>
      <c r="H177" s="1643"/>
      <c r="I177" s="252">
        <f>I171+I172</f>
        <v>13.285944000000001</v>
      </c>
    </row>
    <row r="178" spans="1:25">
      <c r="A178" s="253"/>
      <c r="B178" s="254"/>
      <c r="C178" s="728"/>
      <c r="D178" s="728"/>
      <c r="E178" s="728"/>
      <c r="F178" s="254"/>
      <c r="G178" s="302"/>
      <c r="H178" s="256"/>
      <c r="I178" s="257"/>
    </row>
    <row r="179" spans="1:25">
      <c r="A179" s="1633" t="s">
        <v>160</v>
      </c>
      <c r="B179" s="1634"/>
      <c r="C179" s="1634"/>
      <c r="D179" s="1634"/>
      <c r="E179" s="1634"/>
      <c r="F179" s="1634"/>
      <c r="G179" s="1634"/>
      <c r="H179" s="1634"/>
      <c r="I179" s="1635"/>
    </row>
    <row r="180" spans="1:25">
      <c r="A180" s="261" t="s">
        <v>130</v>
      </c>
      <c r="B180" s="651" t="s">
        <v>131</v>
      </c>
      <c r="C180" s="1645" t="s">
        <v>132</v>
      </c>
      <c r="D180" s="1645"/>
      <c r="E180" s="1645"/>
      <c r="F180" s="262" t="s">
        <v>104</v>
      </c>
      <c r="G180" s="298" t="s">
        <v>133</v>
      </c>
      <c r="H180" s="264" t="s">
        <v>134</v>
      </c>
      <c r="I180" s="265" t="s">
        <v>135</v>
      </c>
      <c r="L180" s="259" t="s">
        <v>410</v>
      </c>
    </row>
    <row r="181" spans="1:25">
      <c r="A181" s="246" t="s">
        <v>161</v>
      </c>
      <c r="B181" s="247" t="s">
        <v>162</v>
      </c>
      <c r="C181" s="1646" t="s">
        <v>218</v>
      </c>
      <c r="D181" s="1647"/>
      <c r="E181" s="1648"/>
      <c r="F181" s="247" t="s">
        <v>149</v>
      </c>
      <c r="G181" s="244">
        <v>1</v>
      </c>
      <c r="H181" s="244">
        <v>20.149999999999999</v>
      </c>
      <c r="I181" s="249">
        <f t="shared" ref="I181:I185" si="3">H181*G181</f>
        <v>20.149999999999999</v>
      </c>
      <c r="L181" s="260" t="s">
        <v>412</v>
      </c>
      <c r="T181" s="258"/>
      <c r="U181" s="259" t="s">
        <v>410</v>
      </c>
      <c r="V181" s="258"/>
      <c r="W181" s="258"/>
      <c r="X181" s="258"/>
      <c r="Y181" s="258"/>
    </row>
    <row r="182" spans="1:25">
      <c r="A182" s="266">
        <v>7253</v>
      </c>
      <c r="B182" s="267" t="s">
        <v>58</v>
      </c>
      <c r="C182" s="1649" t="s">
        <v>204</v>
      </c>
      <c r="D182" s="1650" t="s">
        <v>205</v>
      </c>
      <c r="E182" s="1651" t="s">
        <v>205</v>
      </c>
      <c r="F182" s="268" t="s">
        <v>206</v>
      </c>
      <c r="G182" s="269">
        <v>0.20499999999999999</v>
      </c>
      <c r="H182" s="270">
        <f>H139</f>
        <v>137.13999999999999</v>
      </c>
      <c r="I182" s="306">
        <f t="shared" si="3"/>
        <v>28.113699999999994</v>
      </c>
      <c r="L182" s="260" t="s">
        <v>415</v>
      </c>
      <c r="T182" s="260" t="s">
        <v>411</v>
      </c>
      <c r="U182" s="259"/>
      <c r="V182" s="260" t="s">
        <v>412</v>
      </c>
      <c r="X182" s="260" t="s">
        <v>413</v>
      </c>
    </row>
    <row r="183" spans="1:25" ht="15" customHeight="1">
      <c r="A183" s="582">
        <v>3123</v>
      </c>
      <c r="B183" s="583" t="s">
        <v>58</v>
      </c>
      <c r="C183" s="1652" t="s">
        <v>871</v>
      </c>
      <c r="D183" s="1653"/>
      <c r="E183" s="1654"/>
      <c r="F183" s="273" t="s">
        <v>207</v>
      </c>
      <c r="G183" s="312">
        <v>1.8499999999999999E-2</v>
      </c>
      <c r="H183" s="270">
        <v>1.52</v>
      </c>
      <c r="I183" s="306">
        <f t="shared" si="3"/>
        <v>2.8119999999999999E-2</v>
      </c>
      <c r="L183" s="304">
        <f>H181</f>
        <v>20.149999999999999</v>
      </c>
      <c r="M183" s="250"/>
      <c r="T183" s="260" t="s">
        <v>414</v>
      </c>
      <c r="V183" s="260" t="s">
        <v>415</v>
      </c>
      <c r="X183" s="260" t="s">
        <v>416</v>
      </c>
    </row>
    <row r="184" spans="1:25">
      <c r="A184" s="274">
        <v>370</v>
      </c>
      <c r="B184" s="275" t="s">
        <v>58</v>
      </c>
      <c r="C184" s="1639" t="s">
        <v>208</v>
      </c>
      <c r="D184" s="1640"/>
      <c r="E184" s="1641"/>
      <c r="F184" s="268" t="s">
        <v>206</v>
      </c>
      <c r="G184" s="276">
        <v>6.4000000000000003E-3</v>
      </c>
      <c r="H184" s="277">
        <v>31.08</v>
      </c>
      <c r="I184" s="306">
        <f t="shared" si="3"/>
        <v>0.19891200000000001</v>
      </c>
      <c r="T184" s="307">
        <v>18</v>
      </c>
      <c r="U184" s="250"/>
      <c r="V184" s="280">
        <v>20</v>
      </c>
      <c r="W184" s="250"/>
      <c r="X184" s="281">
        <v>21.5</v>
      </c>
      <c r="Y184" s="250"/>
    </row>
    <row r="185" spans="1:25">
      <c r="A185" s="282">
        <v>25963</v>
      </c>
      <c r="B185" s="275" t="s">
        <v>58</v>
      </c>
      <c r="C185" s="1639" t="s">
        <v>209</v>
      </c>
      <c r="D185" s="1640"/>
      <c r="E185" s="1641"/>
      <c r="F185" s="283" t="s">
        <v>207</v>
      </c>
      <c r="G185" s="276">
        <v>0.8</v>
      </c>
      <c r="H185" s="277">
        <v>0.08</v>
      </c>
      <c r="I185" s="306">
        <f t="shared" si="3"/>
        <v>6.4000000000000001E-2</v>
      </c>
    </row>
    <row r="186" spans="1:25">
      <c r="A186" s="284">
        <v>38125</v>
      </c>
      <c r="B186" s="275" t="s">
        <v>873</v>
      </c>
      <c r="C186" s="1639" t="s">
        <v>876</v>
      </c>
      <c r="D186" s="1640"/>
      <c r="E186" s="1641"/>
      <c r="F186" s="283" t="s">
        <v>207</v>
      </c>
      <c r="G186" s="276">
        <f>0.05*1.6</f>
        <v>8.0000000000000016E-2</v>
      </c>
      <c r="H186" s="277">
        <f>H143</f>
        <v>1.0900000000000001</v>
      </c>
      <c r="I186" s="306">
        <f>H186*G186</f>
        <v>8.7200000000000027E-2</v>
      </c>
    </row>
    <row r="187" spans="1:25">
      <c r="A187" s="282"/>
      <c r="B187" s="275"/>
      <c r="C187" s="1639"/>
      <c r="D187" s="1640"/>
      <c r="E187" s="1641"/>
      <c r="F187" s="283"/>
      <c r="G187" s="308"/>
      <c r="H187" s="286"/>
      <c r="I187" s="287"/>
    </row>
    <row r="188" spans="1:25">
      <c r="A188" s="274"/>
      <c r="B188" s="275"/>
      <c r="C188" s="1639"/>
      <c r="D188" s="1640"/>
      <c r="E188" s="1641"/>
      <c r="F188" s="283"/>
      <c r="G188" s="308"/>
      <c r="H188" s="277"/>
      <c r="I188" s="287"/>
    </row>
    <row r="189" spans="1:25">
      <c r="A189" s="288"/>
      <c r="B189" s="275"/>
      <c r="C189" s="1639"/>
      <c r="D189" s="1640"/>
      <c r="E189" s="1641"/>
      <c r="F189" s="283"/>
      <c r="G189" s="308"/>
      <c r="H189" s="277"/>
      <c r="I189" s="287"/>
    </row>
    <row r="190" spans="1:25">
      <c r="A190" s="1642" t="s">
        <v>137</v>
      </c>
      <c r="B190" s="1643"/>
      <c r="C190" s="1643"/>
      <c r="D190" s="1643"/>
      <c r="E190" s="1643"/>
      <c r="F190" s="1643"/>
      <c r="G190" s="1643"/>
      <c r="H190" s="1644"/>
      <c r="I190" s="290">
        <f>I181+I182+I183+I184+I185+I186</f>
        <v>48.641931999999997</v>
      </c>
    </row>
    <row r="191" spans="1:25">
      <c r="A191" s="1630"/>
      <c r="B191" s="1631"/>
      <c r="C191" s="1631"/>
      <c r="D191" s="1631"/>
      <c r="E191" s="1631"/>
      <c r="F191" s="1631"/>
      <c r="G191" s="1631"/>
      <c r="H191" s="1631"/>
      <c r="I191" s="1632"/>
    </row>
    <row r="192" spans="1:25">
      <c r="A192" s="1633" t="s">
        <v>141</v>
      </c>
      <c r="B192" s="1634"/>
      <c r="C192" s="1634"/>
      <c r="D192" s="1634"/>
      <c r="E192" s="1634"/>
      <c r="F192" s="1634"/>
      <c r="G192" s="1634"/>
      <c r="H192" s="1634"/>
      <c r="I192" s="1635"/>
    </row>
    <row r="193" spans="1:10">
      <c r="A193" s="1636" t="s">
        <v>142</v>
      </c>
      <c r="B193" s="1637"/>
      <c r="C193" s="1637"/>
      <c r="D193" s="1637"/>
      <c r="E193" s="1637"/>
      <c r="F193" s="1637"/>
      <c r="G193" s="1637"/>
      <c r="H193" s="1638"/>
      <c r="I193" s="291">
        <f>I177</f>
        <v>13.285944000000001</v>
      </c>
    </row>
    <row r="194" spans="1:10">
      <c r="A194" s="1625" t="s">
        <v>163</v>
      </c>
      <c r="B194" s="1626"/>
      <c r="C194" s="1626"/>
      <c r="D194" s="1626"/>
      <c r="E194" s="1626"/>
      <c r="F194" s="1626"/>
      <c r="G194" s="1626"/>
      <c r="H194" s="1627"/>
      <c r="I194" s="292">
        <f>I190</f>
        <v>48.641931999999997</v>
      </c>
    </row>
    <row r="195" spans="1:10">
      <c r="A195" s="1625" t="s">
        <v>164</v>
      </c>
      <c r="B195" s="1626"/>
      <c r="C195" s="1626"/>
      <c r="D195" s="1626"/>
      <c r="E195" s="1626"/>
      <c r="F195" s="1626"/>
      <c r="G195" s="1626"/>
      <c r="H195" s="1627"/>
      <c r="I195" s="292"/>
    </row>
    <row r="196" spans="1:10">
      <c r="A196" s="1625" t="s">
        <v>165</v>
      </c>
      <c r="B196" s="1626"/>
      <c r="C196" s="1626"/>
      <c r="D196" s="1626"/>
      <c r="E196" s="1626"/>
      <c r="F196" s="1626"/>
      <c r="G196" s="1626"/>
      <c r="H196" s="1627"/>
      <c r="I196" s="292">
        <f>I193+I194+I195</f>
        <v>61.927875999999998</v>
      </c>
    </row>
    <row r="197" spans="1:10">
      <c r="A197" s="1625" t="s">
        <v>143</v>
      </c>
      <c r="B197" s="1626"/>
      <c r="C197" s="1626"/>
      <c r="D197" s="1626"/>
      <c r="E197" s="1626"/>
      <c r="F197" s="1626"/>
      <c r="G197" s="1626"/>
      <c r="H197" s="1627"/>
      <c r="I197" s="292">
        <f>I196*26.54%</f>
        <v>16.435658290399999</v>
      </c>
    </row>
    <row r="198" spans="1:10" ht="15.75" thickBot="1">
      <c r="A198" s="1628" t="s">
        <v>144</v>
      </c>
      <c r="B198" s="1629"/>
      <c r="C198" s="1629"/>
      <c r="D198" s="1629"/>
      <c r="E198" s="1629"/>
      <c r="F198" s="1629"/>
      <c r="G198" s="1629"/>
      <c r="H198" s="1629"/>
      <c r="I198" s="293">
        <f>I196+I197</f>
        <v>78.363534290399997</v>
      </c>
      <c r="J198" s="311"/>
    </row>
    <row r="204" spans="1:10" ht="15.75" thickBot="1"/>
    <row r="205" spans="1:10" ht="15" customHeight="1">
      <c r="A205" s="598"/>
      <c r="B205" s="1665" t="s">
        <v>43</v>
      </c>
      <c r="C205" s="1665"/>
      <c r="D205" s="1666"/>
      <c r="E205" s="1663" t="s">
        <v>126</v>
      </c>
      <c r="F205" s="1663"/>
      <c r="G205" s="1663"/>
      <c r="H205" s="1663"/>
      <c r="I205" s="1658" t="s">
        <v>127</v>
      </c>
    </row>
    <row r="206" spans="1:10" ht="41.25" customHeight="1">
      <c r="A206" s="599"/>
      <c r="B206" s="1667"/>
      <c r="C206" s="1667"/>
      <c r="D206" s="1668"/>
      <c r="E206" s="1664"/>
      <c r="F206" s="1664"/>
      <c r="G206" s="1664"/>
      <c r="H206" s="1664"/>
      <c r="I206" s="1659"/>
    </row>
    <row r="207" spans="1:10">
      <c r="A207" s="599"/>
      <c r="B207" s="1669" t="s">
        <v>122</v>
      </c>
      <c r="C207" s="1669"/>
      <c r="D207" s="1670"/>
      <c r="E207" s="1664"/>
      <c r="F207" s="1664"/>
      <c r="G207" s="1664"/>
      <c r="H207" s="1664"/>
      <c r="I207" s="295">
        <v>43313</v>
      </c>
    </row>
    <row r="208" spans="1:10">
      <c r="A208" s="600"/>
      <c r="B208" s="1671" t="s">
        <v>125</v>
      </c>
      <c r="C208" s="1671"/>
      <c r="D208" s="1672"/>
      <c r="E208" s="1664"/>
      <c r="F208" s="1664"/>
      <c r="G208" s="1664"/>
      <c r="H208" s="1664"/>
      <c r="I208" s="649" t="s">
        <v>173</v>
      </c>
    </row>
    <row r="209" spans="1:25">
      <c r="A209" s="226" t="s">
        <v>128</v>
      </c>
      <c r="B209" s="1660" t="s">
        <v>219</v>
      </c>
      <c r="C209" s="1660"/>
      <c r="D209" s="1660"/>
      <c r="E209" s="1673"/>
      <c r="F209" s="1673"/>
      <c r="G209" s="1673"/>
      <c r="H209" s="653"/>
      <c r="I209" s="227" t="s">
        <v>408</v>
      </c>
    </row>
    <row r="210" spans="1:25">
      <c r="A210" s="228" t="s">
        <v>129</v>
      </c>
      <c r="B210" s="229" t="s">
        <v>149</v>
      </c>
      <c r="C210" s="726"/>
      <c r="D210" s="726"/>
      <c r="E210" s="726"/>
      <c r="F210" s="229"/>
      <c r="G210" s="229"/>
      <c r="H210" s="229"/>
      <c r="I210" s="230" t="s">
        <v>409</v>
      </c>
    </row>
    <row r="211" spans="1:25" hidden="1">
      <c r="A211" s="1661" t="s">
        <v>159</v>
      </c>
      <c r="B211" s="1662"/>
      <c r="C211" s="1662"/>
      <c r="D211" s="1662"/>
      <c r="E211" s="727"/>
      <c r="F211" s="296"/>
      <c r="G211" s="297"/>
      <c r="H211" s="233"/>
      <c r="I211" s="234"/>
    </row>
    <row r="212" spans="1:25">
      <c r="A212" s="1633" t="s">
        <v>138</v>
      </c>
      <c r="B212" s="1634"/>
      <c r="C212" s="1634"/>
      <c r="D212" s="1634"/>
      <c r="E212" s="1634"/>
      <c r="F212" s="1634"/>
      <c r="G212" s="1634"/>
      <c r="H212" s="1634"/>
      <c r="I212" s="1635"/>
    </row>
    <row r="213" spans="1:25">
      <c r="A213" s="261" t="s">
        <v>130</v>
      </c>
      <c r="B213" s="651" t="s">
        <v>131</v>
      </c>
      <c r="C213" s="1645" t="s">
        <v>132</v>
      </c>
      <c r="D213" s="1645"/>
      <c r="E213" s="1645"/>
      <c r="F213" s="651" t="s">
        <v>104</v>
      </c>
      <c r="G213" s="298" t="s">
        <v>133</v>
      </c>
      <c r="H213" s="299" t="s">
        <v>134</v>
      </c>
      <c r="I213" s="265" t="s">
        <v>135</v>
      </c>
    </row>
    <row r="214" spans="1:25">
      <c r="A214" s="241">
        <v>88441</v>
      </c>
      <c r="B214" s="242" t="s">
        <v>58</v>
      </c>
      <c r="C214" s="1646" t="s">
        <v>201</v>
      </c>
      <c r="D214" s="1647"/>
      <c r="E214" s="1648"/>
      <c r="F214" s="247" t="s">
        <v>186</v>
      </c>
      <c r="G214" s="585">
        <v>2.5499999999999998E-2</v>
      </c>
      <c r="H214" s="244">
        <v>18.48</v>
      </c>
      <c r="I214" s="249">
        <f>H214*G214</f>
        <v>0.47123999999999999</v>
      </c>
    </row>
    <row r="215" spans="1:25">
      <c r="A215" s="241">
        <v>88316</v>
      </c>
      <c r="B215" s="242" t="s">
        <v>58</v>
      </c>
      <c r="C215" s="1646" t="s">
        <v>202</v>
      </c>
      <c r="D215" s="1647" t="s">
        <v>202</v>
      </c>
      <c r="E215" s="1648" t="s">
        <v>202</v>
      </c>
      <c r="F215" s="247" t="s">
        <v>186</v>
      </c>
      <c r="G215" s="585">
        <v>0.1018</v>
      </c>
      <c r="H215" s="244">
        <v>13.65</v>
      </c>
      <c r="I215" s="249">
        <f>H215*G215</f>
        <v>1.38957</v>
      </c>
    </row>
    <row r="216" spans="1:25">
      <c r="A216" s="246"/>
      <c r="B216" s="247"/>
      <c r="C216" s="1646"/>
      <c r="D216" s="1647"/>
      <c r="E216" s="1648"/>
      <c r="F216" s="247"/>
      <c r="G216" s="244"/>
      <c r="H216" s="244"/>
      <c r="I216" s="249"/>
    </row>
    <row r="217" spans="1:25" ht="30.75" customHeight="1">
      <c r="A217" s="246"/>
      <c r="B217" s="247"/>
      <c r="C217" s="1655" t="s">
        <v>875</v>
      </c>
      <c r="D217" s="1656"/>
      <c r="E217" s="1657"/>
      <c r="F217" s="247"/>
      <c r="G217" s="301"/>
      <c r="H217" s="244"/>
      <c r="I217" s="249"/>
    </row>
    <row r="218" spans="1:25">
      <c r="A218" s="246"/>
      <c r="B218" s="247"/>
      <c r="C218" s="1646"/>
      <c r="D218" s="1647"/>
      <c r="E218" s="1648"/>
      <c r="F218" s="247"/>
      <c r="G218" s="301"/>
      <c r="H218" s="244"/>
      <c r="I218" s="249"/>
    </row>
    <row r="219" spans="1:25">
      <c r="A219" s="1642" t="s">
        <v>139</v>
      </c>
      <c r="B219" s="1643"/>
      <c r="C219" s="1643"/>
      <c r="D219" s="1643"/>
      <c r="E219" s="1643"/>
      <c r="F219" s="1643"/>
      <c r="G219" s="1643"/>
      <c r="H219" s="1643"/>
      <c r="I219" s="252">
        <f>I214+I215</f>
        <v>1.8608099999999999</v>
      </c>
    </row>
    <row r="220" spans="1:25">
      <c r="A220" s="253"/>
      <c r="B220" s="254"/>
      <c r="C220" s="728"/>
      <c r="D220" s="728"/>
      <c r="E220" s="728"/>
      <c r="F220" s="254"/>
      <c r="G220" s="302"/>
      <c r="H220" s="256"/>
      <c r="I220" s="257"/>
    </row>
    <row r="221" spans="1:25">
      <c r="A221" s="1633" t="s">
        <v>160</v>
      </c>
      <c r="B221" s="1634"/>
      <c r="C221" s="1634"/>
      <c r="D221" s="1634"/>
      <c r="E221" s="1634"/>
      <c r="F221" s="1634"/>
      <c r="G221" s="1634"/>
      <c r="H221" s="1634"/>
      <c r="I221" s="1635"/>
    </row>
    <row r="222" spans="1:25">
      <c r="A222" s="261" t="s">
        <v>130</v>
      </c>
      <c r="B222" s="651" t="s">
        <v>131</v>
      </c>
      <c r="C222" s="1645" t="s">
        <v>132</v>
      </c>
      <c r="D222" s="1645"/>
      <c r="E222" s="1645"/>
      <c r="F222" s="262" t="s">
        <v>104</v>
      </c>
      <c r="G222" s="298" t="s">
        <v>133</v>
      </c>
      <c r="H222" s="264" t="s">
        <v>134</v>
      </c>
      <c r="I222" s="265" t="s">
        <v>135</v>
      </c>
      <c r="L222" s="259" t="s">
        <v>410</v>
      </c>
    </row>
    <row r="223" spans="1:25">
      <c r="A223" s="246" t="s">
        <v>161</v>
      </c>
      <c r="B223" s="247" t="s">
        <v>162</v>
      </c>
      <c r="C223" s="1646" t="s">
        <v>220</v>
      </c>
      <c r="D223" s="1647"/>
      <c r="E223" s="1648"/>
      <c r="F223" s="247" t="s">
        <v>149</v>
      </c>
      <c r="G223" s="303">
        <v>1</v>
      </c>
      <c r="H223" s="244">
        <v>28.62</v>
      </c>
      <c r="I223" s="249">
        <f t="shared" ref="I223:I227" si="4">H223*G223</f>
        <v>28.62</v>
      </c>
      <c r="L223" s="260" t="s">
        <v>412</v>
      </c>
      <c r="T223" s="258"/>
      <c r="U223" s="259" t="s">
        <v>410</v>
      </c>
      <c r="V223" s="258"/>
      <c r="W223" s="258"/>
      <c r="X223" s="258"/>
      <c r="Y223" s="258"/>
    </row>
    <row r="224" spans="1:25">
      <c r="A224" s="266">
        <v>7253</v>
      </c>
      <c r="B224" s="267" t="s">
        <v>58</v>
      </c>
      <c r="C224" s="1649" t="s">
        <v>204</v>
      </c>
      <c r="D224" s="1650" t="s">
        <v>205</v>
      </c>
      <c r="E224" s="1651" t="s">
        <v>205</v>
      </c>
      <c r="F224" s="268" t="s">
        <v>206</v>
      </c>
      <c r="G224" s="269">
        <v>0.20499999999999999</v>
      </c>
      <c r="H224" s="270">
        <f>H182</f>
        <v>137.13999999999999</v>
      </c>
      <c r="I224" s="306">
        <f t="shared" si="4"/>
        <v>28.113699999999994</v>
      </c>
      <c r="L224" s="260" t="s">
        <v>415</v>
      </c>
      <c r="T224" s="260" t="s">
        <v>411</v>
      </c>
      <c r="U224" s="259"/>
      <c r="V224" s="260" t="s">
        <v>412</v>
      </c>
      <c r="X224" s="260" t="s">
        <v>413</v>
      </c>
    </row>
    <row r="225" spans="1:25" ht="15" customHeight="1">
      <c r="A225" s="582">
        <v>3123</v>
      </c>
      <c r="B225" s="583" t="s">
        <v>58</v>
      </c>
      <c r="C225" s="1652" t="s">
        <v>871</v>
      </c>
      <c r="D225" s="1653"/>
      <c r="E225" s="1654"/>
      <c r="F225" s="273" t="s">
        <v>207</v>
      </c>
      <c r="G225" s="312">
        <v>1.8499999999999999E-2</v>
      </c>
      <c r="H225" s="270">
        <v>1.52</v>
      </c>
      <c r="I225" s="306">
        <f>H225*G225</f>
        <v>2.8119999999999999E-2</v>
      </c>
      <c r="L225" s="304">
        <f>H223</f>
        <v>28.62</v>
      </c>
      <c r="M225" s="250"/>
      <c r="T225" s="260" t="s">
        <v>414</v>
      </c>
      <c r="V225" s="260" t="s">
        <v>415</v>
      </c>
      <c r="X225" s="260" t="s">
        <v>416</v>
      </c>
    </row>
    <row r="226" spans="1:25">
      <c r="A226" s="274">
        <v>370</v>
      </c>
      <c r="B226" s="275" t="s">
        <v>58</v>
      </c>
      <c r="C226" s="1639" t="s">
        <v>208</v>
      </c>
      <c r="D226" s="1640"/>
      <c r="E226" s="1641"/>
      <c r="F226" s="268" t="s">
        <v>206</v>
      </c>
      <c r="G226" s="276">
        <v>6.4000000000000003E-3</v>
      </c>
      <c r="H226" s="277">
        <v>31.08</v>
      </c>
      <c r="I226" s="306">
        <f t="shared" si="4"/>
        <v>0.19891200000000001</v>
      </c>
      <c r="T226" s="307">
        <v>27</v>
      </c>
      <c r="U226" s="250"/>
      <c r="V226" s="280">
        <v>27.5</v>
      </c>
      <c r="W226" s="250"/>
      <c r="X226" s="281">
        <v>30</v>
      </c>
      <c r="Y226" s="250"/>
    </row>
    <row r="227" spans="1:25">
      <c r="A227" s="282">
        <v>25963</v>
      </c>
      <c r="B227" s="275" t="s">
        <v>58</v>
      </c>
      <c r="C227" s="1639" t="s">
        <v>209</v>
      </c>
      <c r="D227" s="1640"/>
      <c r="E227" s="1641"/>
      <c r="F227" s="283" t="s">
        <v>207</v>
      </c>
      <c r="G227" s="276">
        <v>0.8</v>
      </c>
      <c r="H227" s="277">
        <v>0.08</v>
      </c>
      <c r="I227" s="306">
        <f t="shared" si="4"/>
        <v>6.4000000000000001E-2</v>
      </c>
    </row>
    <row r="228" spans="1:25">
      <c r="A228" s="284">
        <v>38125</v>
      </c>
      <c r="B228" s="275" t="s">
        <v>873</v>
      </c>
      <c r="C228" s="1639" t="s">
        <v>876</v>
      </c>
      <c r="D228" s="1640"/>
      <c r="E228" s="1641"/>
      <c r="F228" s="283" t="s">
        <v>207</v>
      </c>
      <c r="G228" s="276">
        <f>0.05*1.6</f>
        <v>8.0000000000000016E-2</v>
      </c>
      <c r="H228" s="277">
        <f>H186</f>
        <v>1.0900000000000001</v>
      </c>
      <c r="I228" s="306">
        <f>H228*G228</f>
        <v>8.7200000000000027E-2</v>
      </c>
    </row>
    <row r="229" spans="1:25">
      <c r="A229" s="282"/>
      <c r="B229" s="275"/>
      <c r="C229" s="1639"/>
      <c r="D229" s="1640"/>
      <c r="E229" s="1641"/>
      <c r="F229" s="283"/>
      <c r="G229" s="308"/>
      <c r="H229" s="286"/>
      <c r="I229" s="287"/>
    </row>
    <row r="230" spans="1:25">
      <c r="A230" s="274"/>
      <c r="B230" s="275"/>
      <c r="C230" s="1639"/>
      <c r="D230" s="1640"/>
      <c r="E230" s="1641"/>
      <c r="F230" s="283"/>
      <c r="G230" s="308"/>
      <c r="H230" s="277"/>
      <c r="I230" s="287"/>
    </row>
    <row r="231" spans="1:25">
      <c r="A231" s="288"/>
      <c r="B231" s="275"/>
      <c r="C231" s="1639"/>
      <c r="D231" s="1640"/>
      <c r="E231" s="1641"/>
      <c r="F231" s="283"/>
      <c r="G231" s="308"/>
      <c r="H231" s="277"/>
      <c r="I231" s="287"/>
    </row>
    <row r="232" spans="1:25">
      <c r="A232" s="1642" t="s">
        <v>137</v>
      </c>
      <c r="B232" s="1643"/>
      <c r="C232" s="1643"/>
      <c r="D232" s="1643"/>
      <c r="E232" s="1643"/>
      <c r="F232" s="1643"/>
      <c r="G232" s="1643"/>
      <c r="H232" s="1644"/>
      <c r="I232" s="290">
        <f>I223+I224+I225+I226+I227+I228</f>
        <v>57.111932000000003</v>
      </c>
    </row>
    <row r="233" spans="1:25">
      <c r="A233" s="1630"/>
      <c r="B233" s="1631"/>
      <c r="C233" s="1631"/>
      <c r="D233" s="1631"/>
      <c r="E233" s="1631"/>
      <c r="F233" s="1631"/>
      <c r="G233" s="1631"/>
      <c r="H233" s="1631"/>
      <c r="I233" s="1632"/>
    </row>
    <row r="234" spans="1:25">
      <c r="A234" s="1633" t="s">
        <v>141</v>
      </c>
      <c r="B234" s="1634"/>
      <c r="C234" s="1634"/>
      <c r="D234" s="1634"/>
      <c r="E234" s="1634"/>
      <c r="F234" s="1634"/>
      <c r="G234" s="1634"/>
      <c r="H234" s="1634"/>
      <c r="I234" s="1635"/>
    </row>
    <row r="235" spans="1:25">
      <c r="A235" s="1636" t="s">
        <v>142</v>
      </c>
      <c r="B235" s="1637"/>
      <c r="C235" s="1637"/>
      <c r="D235" s="1637"/>
      <c r="E235" s="1637"/>
      <c r="F235" s="1637"/>
      <c r="G235" s="1637"/>
      <c r="H235" s="1638"/>
      <c r="I235" s="291">
        <f>I219</f>
        <v>1.8608099999999999</v>
      </c>
    </row>
    <row r="236" spans="1:25">
      <c r="A236" s="1625" t="s">
        <v>163</v>
      </c>
      <c r="B236" s="1626"/>
      <c r="C236" s="1626"/>
      <c r="D236" s="1626"/>
      <c r="E236" s="1626"/>
      <c r="F236" s="1626"/>
      <c r="G236" s="1626"/>
      <c r="H236" s="1627"/>
      <c r="I236" s="292">
        <f>I232</f>
        <v>57.111932000000003</v>
      </c>
    </row>
    <row r="237" spans="1:25">
      <c r="A237" s="1625" t="s">
        <v>164</v>
      </c>
      <c r="B237" s="1626"/>
      <c r="C237" s="1626"/>
      <c r="D237" s="1626"/>
      <c r="E237" s="1626"/>
      <c r="F237" s="1626"/>
      <c r="G237" s="1626"/>
      <c r="H237" s="1627"/>
      <c r="I237" s="292"/>
    </row>
    <row r="238" spans="1:25">
      <c r="A238" s="1625" t="s">
        <v>165</v>
      </c>
      <c r="B238" s="1626"/>
      <c r="C238" s="1626"/>
      <c r="D238" s="1626"/>
      <c r="E238" s="1626"/>
      <c r="F238" s="1626"/>
      <c r="G238" s="1626"/>
      <c r="H238" s="1627"/>
      <c r="I238" s="292">
        <f>I235+I236+I237</f>
        <v>58.972742000000004</v>
      </c>
    </row>
    <row r="239" spans="1:25">
      <c r="A239" s="1625" t="s">
        <v>143</v>
      </c>
      <c r="B239" s="1626"/>
      <c r="C239" s="1626"/>
      <c r="D239" s="1626"/>
      <c r="E239" s="1626"/>
      <c r="F239" s="1626"/>
      <c r="G239" s="1626"/>
      <c r="H239" s="1627"/>
      <c r="I239" s="292">
        <f>I238*26.54%</f>
        <v>15.6513657268</v>
      </c>
    </row>
    <row r="240" spans="1:25" ht="15.75" thickBot="1">
      <c r="A240" s="1628" t="s">
        <v>144</v>
      </c>
      <c r="B240" s="1629"/>
      <c r="C240" s="1629"/>
      <c r="D240" s="1629"/>
      <c r="E240" s="1629"/>
      <c r="F240" s="1629"/>
      <c r="G240" s="1629"/>
      <c r="H240" s="1629"/>
      <c r="I240" s="293">
        <f>I238+I239</f>
        <v>74.624107726800005</v>
      </c>
      <c r="J240" s="311"/>
    </row>
    <row r="247" spans="1:9" ht="15.75" thickBot="1"/>
    <row r="248" spans="1:9" ht="15" customHeight="1">
      <c r="A248" s="598"/>
      <c r="B248" s="1665" t="s">
        <v>43</v>
      </c>
      <c r="C248" s="1665"/>
      <c r="D248" s="1666"/>
      <c r="E248" s="1663" t="s">
        <v>126</v>
      </c>
      <c r="F248" s="1663"/>
      <c r="G248" s="1663"/>
      <c r="H248" s="1663"/>
      <c r="I248" s="1658" t="s">
        <v>127</v>
      </c>
    </row>
    <row r="249" spans="1:9" ht="37.5" customHeight="1">
      <c r="A249" s="599"/>
      <c r="B249" s="1667"/>
      <c r="C249" s="1667"/>
      <c r="D249" s="1668"/>
      <c r="E249" s="1664"/>
      <c r="F249" s="1664"/>
      <c r="G249" s="1664"/>
      <c r="H249" s="1664"/>
      <c r="I249" s="1659"/>
    </row>
    <row r="250" spans="1:9">
      <c r="A250" s="599"/>
      <c r="B250" s="1669" t="s">
        <v>122</v>
      </c>
      <c r="C250" s="1669"/>
      <c r="D250" s="1670"/>
      <c r="E250" s="1664"/>
      <c r="F250" s="1664"/>
      <c r="G250" s="1664"/>
      <c r="H250" s="1664"/>
      <c r="I250" s="295">
        <v>43313</v>
      </c>
    </row>
    <row r="251" spans="1:9">
      <c r="A251" s="600"/>
      <c r="B251" s="1671" t="s">
        <v>125</v>
      </c>
      <c r="C251" s="1671"/>
      <c r="D251" s="1672"/>
      <c r="E251" s="1664"/>
      <c r="F251" s="1664"/>
      <c r="G251" s="1664"/>
      <c r="H251" s="1664"/>
      <c r="I251" s="649" t="s">
        <v>174</v>
      </c>
    </row>
    <row r="252" spans="1:9">
      <c r="A252" s="226" t="s">
        <v>128</v>
      </c>
      <c r="B252" s="1660" t="s">
        <v>221</v>
      </c>
      <c r="C252" s="1660"/>
      <c r="D252" s="1660"/>
      <c r="E252" s="1660"/>
      <c r="F252" s="1660"/>
      <c r="G252" s="1660"/>
      <c r="H252" s="653"/>
      <c r="I252" s="227" t="s">
        <v>408</v>
      </c>
    </row>
    <row r="253" spans="1:9">
      <c r="A253" s="228" t="s">
        <v>129</v>
      </c>
      <c r="B253" s="229" t="s">
        <v>149</v>
      </c>
      <c r="C253" s="726"/>
      <c r="D253" s="726"/>
      <c r="E253" s="726"/>
      <c r="F253" s="229"/>
      <c r="G253" s="229"/>
      <c r="H253" s="229"/>
      <c r="I253" s="230" t="s">
        <v>409</v>
      </c>
    </row>
    <row r="254" spans="1:9" hidden="1">
      <c r="A254" s="1661" t="s">
        <v>159</v>
      </c>
      <c r="B254" s="1662"/>
      <c r="C254" s="1662"/>
      <c r="D254" s="1662"/>
      <c r="E254" s="727"/>
      <c r="F254" s="296"/>
      <c r="G254" s="297"/>
      <c r="H254" s="233"/>
      <c r="I254" s="234"/>
    </row>
    <row r="255" spans="1:9">
      <c r="A255" s="1633" t="s">
        <v>138</v>
      </c>
      <c r="B255" s="1634"/>
      <c r="C255" s="1634"/>
      <c r="D255" s="1634"/>
      <c r="E255" s="1634"/>
      <c r="F255" s="1634"/>
      <c r="G255" s="1634"/>
      <c r="H255" s="1634"/>
      <c r="I255" s="1635"/>
    </row>
    <row r="256" spans="1:9">
      <c r="A256" s="261" t="s">
        <v>130</v>
      </c>
      <c r="B256" s="651" t="s">
        <v>131</v>
      </c>
      <c r="C256" s="1645" t="s">
        <v>132</v>
      </c>
      <c r="D256" s="1645"/>
      <c r="E256" s="1645"/>
      <c r="F256" s="651" t="s">
        <v>104</v>
      </c>
      <c r="G256" s="298" t="s">
        <v>133</v>
      </c>
      <c r="H256" s="299" t="s">
        <v>134</v>
      </c>
      <c r="I256" s="265" t="s">
        <v>135</v>
      </c>
    </row>
    <row r="257" spans="1:25">
      <c r="A257" s="241">
        <v>88441</v>
      </c>
      <c r="B257" s="242" t="s">
        <v>58</v>
      </c>
      <c r="C257" s="1646" t="s">
        <v>201</v>
      </c>
      <c r="D257" s="1647"/>
      <c r="E257" s="1648"/>
      <c r="F257" s="247" t="s">
        <v>186</v>
      </c>
      <c r="G257" s="243">
        <v>0.26</v>
      </c>
      <c r="H257" s="244">
        <v>18.48</v>
      </c>
      <c r="I257" s="249">
        <f>H257*G257</f>
        <v>4.8048000000000002</v>
      </c>
    </row>
    <row r="258" spans="1:25">
      <c r="A258" s="241">
        <v>88316</v>
      </c>
      <c r="B258" s="242" t="s">
        <v>58</v>
      </c>
      <c r="C258" s="1646" t="s">
        <v>202</v>
      </c>
      <c r="D258" s="1647" t="s">
        <v>202</v>
      </c>
      <c r="E258" s="1648" t="s">
        <v>202</v>
      </c>
      <c r="F258" s="247" t="s">
        <v>186</v>
      </c>
      <c r="G258" s="243">
        <v>1.04</v>
      </c>
      <c r="H258" s="244">
        <v>13.65</v>
      </c>
      <c r="I258" s="249">
        <f>H258*G258</f>
        <v>14.196000000000002</v>
      </c>
    </row>
    <row r="259" spans="1:25">
      <c r="A259" s="246"/>
      <c r="B259" s="247"/>
      <c r="C259" s="1646"/>
      <c r="D259" s="1647"/>
      <c r="E259" s="1648"/>
      <c r="F259" s="247"/>
      <c r="G259" s="244"/>
      <c r="H259" s="244"/>
      <c r="I259" s="249"/>
    </row>
    <row r="260" spans="1:25">
      <c r="A260" s="246"/>
      <c r="B260" s="247"/>
      <c r="C260" s="1646"/>
      <c r="D260" s="1647"/>
      <c r="E260" s="1648"/>
      <c r="F260" s="247"/>
      <c r="G260" s="301"/>
      <c r="H260" s="244"/>
      <c r="I260" s="249"/>
    </row>
    <row r="261" spans="1:25" ht="63.75" customHeight="1">
      <c r="A261" s="246"/>
      <c r="B261" s="247"/>
      <c r="C261" s="1655" t="s">
        <v>872</v>
      </c>
      <c r="D261" s="1656"/>
      <c r="E261" s="1657"/>
      <c r="F261" s="247"/>
      <c r="G261" s="301"/>
      <c r="H261" s="244"/>
      <c r="I261" s="249"/>
    </row>
    <row r="262" spans="1:25">
      <c r="A262" s="246"/>
      <c r="B262" s="247"/>
      <c r="C262" s="1646"/>
      <c r="D262" s="1647"/>
      <c r="E262" s="1648"/>
      <c r="F262" s="247"/>
      <c r="G262" s="301"/>
      <c r="H262" s="244"/>
      <c r="I262" s="249"/>
    </row>
    <row r="263" spans="1:25">
      <c r="A263" s="1642" t="s">
        <v>139</v>
      </c>
      <c r="B263" s="1643"/>
      <c r="C263" s="1643"/>
      <c r="D263" s="1643"/>
      <c r="E263" s="1643"/>
      <c r="F263" s="1643"/>
      <c r="G263" s="1643"/>
      <c r="H263" s="1643"/>
      <c r="I263" s="252">
        <f>I257+I258</f>
        <v>19.000800000000002</v>
      </c>
    </row>
    <row r="264" spans="1:25">
      <c r="A264" s="253"/>
      <c r="B264" s="254"/>
      <c r="C264" s="728"/>
      <c r="D264" s="728"/>
      <c r="E264" s="728"/>
      <c r="F264" s="254"/>
      <c r="G264" s="302"/>
      <c r="H264" s="256"/>
      <c r="I264" s="257"/>
    </row>
    <row r="265" spans="1:25">
      <c r="A265" s="1633" t="s">
        <v>160</v>
      </c>
      <c r="B265" s="1634"/>
      <c r="C265" s="1634"/>
      <c r="D265" s="1634"/>
      <c r="E265" s="1634"/>
      <c r="F265" s="1634"/>
      <c r="G265" s="1634"/>
      <c r="H265" s="1634"/>
      <c r="I265" s="1635"/>
    </row>
    <row r="266" spans="1:25">
      <c r="A266" s="261" t="s">
        <v>130</v>
      </c>
      <c r="B266" s="651" t="s">
        <v>131</v>
      </c>
      <c r="C266" s="1645" t="s">
        <v>132</v>
      </c>
      <c r="D266" s="1645"/>
      <c r="E266" s="1645"/>
      <c r="F266" s="262" t="s">
        <v>104</v>
      </c>
      <c r="G266" s="298" t="s">
        <v>133</v>
      </c>
      <c r="H266" s="264" t="s">
        <v>134</v>
      </c>
      <c r="I266" s="265" t="s">
        <v>135</v>
      </c>
      <c r="L266" s="259" t="s">
        <v>410</v>
      </c>
    </row>
    <row r="267" spans="1:25">
      <c r="A267" s="246" t="s">
        <v>161</v>
      </c>
      <c r="B267" s="247" t="s">
        <v>162</v>
      </c>
      <c r="C267" s="1646" t="s">
        <v>221</v>
      </c>
      <c r="D267" s="1647"/>
      <c r="E267" s="1648"/>
      <c r="F267" s="247" t="s">
        <v>149</v>
      </c>
      <c r="G267" s="303">
        <v>1</v>
      </c>
      <c r="H267" s="244">
        <v>118.52</v>
      </c>
      <c r="I267" s="249">
        <f t="shared" ref="I267:I271" si="5">H267*G267</f>
        <v>118.52</v>
      </c>
      <c r="L267" s="260" t="s">
        <v>412</v>
      </c>
      <c r="T267" s="258"/>
      <c r="U267" s="259" t="s">
        <v>410</v>
      </c>
      <c r="V267" s="258"/>
      <c r="W267" s="258"/>
      <c r="X267" s="258"/>
      <c r="Y267" s="258"/>
    </row>
    <row r="268" spans="1:25">
      <c r="A268" s="266">
        <v>7253</v>
      </c>
      <c r="B268" s="267" t="s">
        <v>58</v>
      </c>
      <c r="C268" s="1649" t="s">
        <v>204</v>
      </c>
      <c r="D268" s="1650" t="s">
        <v>205</v>
      </c>
      <c r="E268" s="1651" t="s">
        <v>205</v>
      </c>
      <c r="F268" s="268" t="s">
        <v>206</v>
      </c>
      <c r="G268" s="269">
        <v>0.20499999999999999</v>
      </c>
      <c r="H268" s="270">
        <f>H224</f>
        <v>137.13999999999999</v>
      </c>
      <c r="I268" s="306">
        <f t="shared" si="5"/>
        <v>28.113699999999994</v>
      </c>
      <c r="L268" s="260" t="s">
        <v>415</v>
      </c>
      <c r="T268" s="260" t="s">
        <v>411</v>
      </c>
      <c r="U268" s="259"/>
      <c r="V268" s="260" t="s">
        <v>412</v>
      </c>
      <c r="X268" s="260" t="s">
        <v>413</v>
      </c>
    </row>
    <row r="269" spans="1:25" ht="15" customHeight="1">
      <c r="A269" s="582">
        <v>3123</v>
      </c>
      <c r="B269" s="583" t="s">
        <v>58</v>
      </c>
      <c r="C269" s="1652" t="s">
        <v>871</v>
      </c>
      <c r="D269" s="1653"/>
      <c r="E269" s="1654"/>
      <c r="F269" s="273" t="s">
        <v>207</v>
      </c>
      <c r="G269" s="312">
        <v>1.8499999999999999E-2</v>
      </c>
      <c r="H269" s="270">
        <v>1.52</v>
      </c>
      <c r="I269" s="306">
        <f t="shared" si="5"/>
        <v>2.8119999999999999E-2</v>
      </c>
      <c r="L269" s="304">
        <f>H267</f>
        <v>118.52</v>
      </c>
      <c r="M269" s="250"/>
      <c r="T269" s="260" t="s">
        <v>414</v>
      </c>
      <c r="V269" s="260" t="s">
        <v>415</v>
      </c>
      <c r="X269" s="260" t="s">
        <v>416</v>
      </c>
    </row>
    <row r="270" spans="1:25">
      <c r="A270" s="274">
        <v>370</v>
      </c>
      <c r="B270" s="275" t="s">
        <v>58</v>
      </c>
      <c r="C270" s="1639" t="s">
        <v>208</v>
      </c>
      <c r="D270" s="1640"/>
      <c r="E270" s="1641"/>
      <c r="F270" s="268" t="s">
        <v>206</v>
      </c>
      <c r="G270" s="276">
        <v>6.4000000000000003E-3</v>
      </c>
      <c r="H270" s="277">
        <v>31.08</v>
      </c>
      <c r="I270" s="306">
        <f t="shared" si="5"/>
        <v>0.19891200000000001</v>
      </c>
      <c r="T270" s="307">
        <v>95</v>
      </c>
      <c r="U270" s="250"/>
      <c r="V270" s="280">
        <v>120</v>
      </c>
      <c r="W270" s="250"/>
      <c r="X270" s="281">
        <v>135</v>
      </c>
      <c r="Y270" s="250"/>
    </row>
    <row r="271" spans="1:25">
      <c r="A271" s="282">
        <v>25963</v>
      </c>
      <c r="B271" s="275" t="s">
        <v>58</v>
      </c>
      <c r="C271" s="1639" t="s">
        <v>209</v>
      </c>
      <c r="D271" s="1640"/>
      <c r="E271" s="1641"/>
      <c r="F271" s="283" t="s">
        <v>207</v>
      </c>
      <c r="G271" s="276">
        <v>0.8</v>
      </c>
      <c r="H271" s="277">
        <v>0.08</v>
      </c>
      <c r="I271" s="306">
        <f t="shared" si="5"/>
        <v>6.4000000000000001E-2</v>
      </c>
    </row>
    <row r="272" spans="1:25">
      <c r="A272" s="284">
        <v>38125</v>
      </c>
      <c r="B272" s="275" t="s">
        <v>873</v>
      </c>
      <c r="C272" s="1639" t="s">
        <v>876</v>
      </c>
      <c r="D272" s="1640"/>
      <c r="E272" s="1641"/>
      <c r="F272" s="283" t="s">
        <v>207</v>
      </c>
      <c r="G272" s="276">
        <f>0.05*1.6</f>
        <v>8.0000000000000016E-2</v>
      </c>
      <c r="H272" s="277">
        <f>H228</f>
        <v>1.0900000000000001</v>
      </c>
      <c r="I272" s="306">
        <f>H272*G272</f>
        <v>8.7200000000000027E-2</v>
      </c>
    </row>
    <row r="273" spans="1:10">
      <c r="A273" s="282"/>
      <c r="B273" s="275"/>
      <c r="C273" s="1639"/>
      <c r="D273" s="1640"/>
      <c r="E273" s="1641"/>
      <c r="F273" s="283"/>
      <c r="G273" s="308"/>
      <c r="H273" s="286"/>
      <c r="I273" s="287"/>
    </row>
    <row r="274" spans="1:10">
      <c r="A274" s="274"/>
      <c r="B274" s="275"/>
      <c r="C274" s="1639"/>
      <c r="D274" s="1640"/>
      <c r="E274" s="1641"/>
      <c r="F274" s="283"/>
      <c r="G274" s="308"/>
      <c r="H274" s="277"/>
      <c r="I274" s="287"/>
    </row>
    <row r="275" spans="1:10">
      <c r="A275" s="288"/>
      <c r="B275" s="275"/>
      <c r="C275" s="1639"/>
      <c r="D275" s="1640"/>
      <c r="E275" s="1641"/>
      <c r="F275" s="283"/>
      <c r="G275" s="308"/>
      <c r="H275" s="277"/>
      <c r="I275" s="287"/>
    </row>
    <row r="276" spans="1:10">
      <c r="A276" s="1642" t="s">
        <v>137</v>
      </c>
      <c r="B276" s="1643"/>
      <c r="C276" s="1643"/>
      <c r="D276" s="1643"/>
      <c r="E276" s="1643"/>
      <c r="F276" s="1643"/>
      <c r="G276" s="1643"/>
      <c r="H276" s="1644"/>
      <c r="I276" s="290">
        <f>I267+I268+I269+I270+I271+I272</f>
        <v>147.01193199999997</v>
      </c>
    </row>
    <row r="277" spans="1:10">
      <c r="A277" s="1630"/>
      <c r="B277" s="1631"/>
      <c r="C277" s="1631"/>
      <c r="D277" s="1631"/>
      <c r="E277" s="1631"/>
      <c r="F277" s="1631"/>
      <c r="G277" s="1631"/>
      <c r="H277" s="1631"/>
      <c r="I277" s="1632"/>
    </row>
    <row r="278" spans="1:10">
      <c r="A278" s="1633" t="s">
        <v>141</v>
      </c>
      <c r="B278" s="1634"/>
      <c r="C278" s="1634"/>
      <c r="D278" s="1634"/>
      <c r="E278" s="1634"/>
      <c r="F278" s="1634"/>
      <c r="G278" s="1634"/>
      <c r="H278" s="1634"/>
      <c r="I278" s="1635"/>
    </row>
    <row r="279" spans="1:10">
      <c r="A279" s="1636" t="s">
        <v>142</v>
      </c>
      <c r="B279" s="1637"/>
      <c r="C279" s="1637"/>
      <c r="D279" s="1637"/>
      <c r="E279" s="1637"/>
      <c r="F279" s="1637"/>
      <c r="G279" s="1637"/>
      <c r="H279" s="1638"/>
      <c r="I279" s="291">
        <f>I263</f>
        <v>19.000800000000002</v>
      </c>
    </row>
    <row r="280" spans="1:10">
      <c r="A280" s="1625" t="s">
        <v>163</v>
      </c>
      <c r="B280" s="1626"/>
      <c r="C280" s="1626"/>
      <c r="D280" s="1626"/>
      <c r="E280" s="1626"/>
      <c r="F280" s="1626"/>
      <c r="G280" s="1626"/>
      <c r="H280" s="1627"/>
      <c r="I280" s="292">
        <f>I276</f>
        <v>147.01193199999997</v>
      </c>
    </row>
    <row r="281" spans="1:10">
      <c r="A281" s="1625" t="s">
        <v>164</v>
      </c>
      <c r="B281" s="1626"/>
      <c r="C281" s="1626"/>
      <c r="D281" s="1626"/>
      <c r="E281" s="1626"/>
      <c r="F281" s="1626"/>
      <c r="G281" s="1626"/>
      <c r="H281" s="1627"/>
      <c r="I281" s="292"/>
    </row>
    <row r="282" spans="1:10">
      <c r="A282" s="1625" t="s">
        <v>165</v>
      </c>
      <c r="B282" s="1626"/>
      <c r="C282" s="1626"/>
      <c r="D282" s="1626"/>
      <c r="E282" s="1626"/>
      <c r="F282" s="1626"/>
      <c r="G282" s="1626"/>
      <c r="H282" s="1627"/>
      <c r="I282" s="292">
        <f>I279+I280+I281</f>
        <v>166.01273199999997</v>
      </c>
    </row>
    <row r="283" spans="1:10">
      <c r="A283" s="1625" t="s">
        <v>143</v>
      </c>
      <c r="B283" s="1626"/>
      <c r="C283" s="1626"/>
      <c r="D283" s="1626"/>
      <c r="E283" s="1626"/>
      <c r="F283" s="1626"/>
      <c r="G283" s="1626"/>
      <c r="H283" s="1627"/>
      <c r="I283" s="292">
        <f>I282*26.54%</f>
        <v>44.059779072799991</v>
      </c>
    </row>
    <row r="284" spans="1:10" ht="15.75" thickBot="1">
      <c r="A284" s="1628" t="s">
        <v>144</v>
      </c>
      <c r="B284" s="1629"/>
      <c r="C284" s="1629"/>
      <c r="D284" s="1629"/>
      <c r="E284" s="1629"/>
      <c r="F284" s="1629"/>
      <c r="G284" s="1629"/>
      <c r="H284" s="1629"/>
      <c r="I284" s="293">
        <f>I282+I283</f>
        <v>210.07251107279995</v>
      </c>
      <c r="J284" s="311"/>
    </row>
    <row r="290" spans="1:9" ht="15.75" thickBot="1"/>
    <row r="291" spans="1:9" ht="15" customHeight="1">
      <c r="A291" s="598"/>
      <c r="B291" s="1665" t="s">
        <v>43</v>
      </c>
      <c r="C291" s="1665"/>
      <c r="D291" s="1666"/>
      <c r="E291" s="1663" t="s">
        <v>126</v>
      </c>
      <c r="F291" s="1663"/>
      <c r="G291" s="1663"/>
      <c r="H291" s="1663"/>
      <c r="I291" s="1658" t="s">
        <v>127</v>
      </c>
    </row>
    <row r="292" spans="1:9" ht="43.5" customHeight="1">
      <c r="A292" s="599"/>
      <c r="B292" s="1667"/>
      <c r="C292" s="1667"/>
      <c r="D292" s="1668"/>
      <c r="E292" s="1664"/>
      <c r="F292" s="1664"/>
      <c r="G292" s="1664"/>
      <c r="H292" s="1664"/>
      <c r="I292" s="1659"/>
    </row>
    <row r="293" spans="1:9">
      <c r="A293" s="599"/>
      <c r="B293" s="1669" t="s">
        <v>122</v>
      </c>
      <c r="C293" s="1669"/>
      <c r="D293" s="1670"/>
      <c r="E293" s="1664"/>
      <c r="F293" s="1664"/>
      <c r="G293" s="1664"/>
      <c r="H293" s="1664"/>
      <c r="I293" s="295">
        <v>43313</v>
      </c>
    </row>
    <row r="294" spans="1:9">
      <c r="A294" s="600"/>
      <c r="B294" s="1671" t="s">
        <v>125</v>
      </c>
      <c r="C294" s="1671"/>
      <c r="D294" s="1672"/>
      <c r="E294" s="1664"/>
      <c r="F294" s="1664"/>
      <c r="G294" s="1664"/>
      <c r="H294" s="1664"/>
      <c r="I294" s="649" t="s">
        <v>175</v>
      </c>
    </row>
    <row r="295" spans="1:9">
      <c r="A295" s="226" t="s">
        <v>128</v>
      </c>
      <c r="B295" s="1660" t="s">
        <v>222</v>
      </c>
      <c r="C295" s="1660"/>
      <c r="D295" s="1660"/>
      <c r="E295" s="1660"/>
      <c r="F295" s="1660"/>
      <c r="G295" s="1660"/>
      <c r="H295" s="653"/>
      <c r="I295" s="227" t="s">
        <v>408</v>
      </c>
    </row>
    <row r="296" spans="1:9">
      <c r="A296" s="228" t="s">
        <v>129</v>
      </c>
      <c r="B296" s="229" t="s">
        <v>149</v>
      </c>
      <c r="C296" s="726"/>
      <c r="D296" s="726"/>
      <c r="E296" s="726"/>
      <c r="F296" s="229"/>
      <c r="G296" s="229"/>
      <c r="H296" s="229"/>
      <c r="I296" s="230" t="s">
        <v>409</v>
      </c>
    </row>
    <row r="297" spans="1:9" hidden="1">
      <c r="A297" s="1661" t="s">
        <v>159</v>
      </c>
      <c r="B297" s="1662"/>
      <c r="C297" s="1662"/>
      <c r="D297" s="1662"/>
      <c r="E297" s="727"/>
      <c r="F297" s="296"/>
      <c r="G297" s="297"/>
      <c r="H297" s="233"/>
      <c r="I297" s="234"/>
    </row>
    <row r="298" spans="1:9">
      <c r="A298" s="1633" t="s">
        <v>138</v>
      </c>
      <c r="B298" s="1634"/>
      <c r="C298" s="1634"/>
      <c r="D298" s="1634"/>
      <c r="E298" s="1634"/>
      <c r="F298" s="1634"/>
      <c r="G298" s="1634"/>
      <c r="H298" s="1634"/>
      <c r="I298" s="1635"/>
    </row>
    <row r="299" spans="1:9">
      <c r="A299" s="261" t="s">
        <v>130</v>
      </c>
      <c r="B299" s="651" t="s">
        <v>131</v>
      </c>
      <c r="C299" s="1645" t="s">
        <v>132</v>
      </c>
      <c r="D299" s="1645"/>
      <c r="E299" s="1645"/>
      <c r="F299" s="651" t="s">
        <v>104</v>
      </c>
      <c r="G299" s="298" t="s">
        <v>133</v>
      </c>
      <c r="H299" s="299" t="s">
        <v>134</v>
      </c>
      <c r="I299" s="265" t="s">
        <v>135</v>
      </c>
    </row>
    <row r="300" spans="1:9">
      <c r="A300" s="241">
        <v>88441</v>
      </c>
      <c r="B300" s="242" t="s">
        <v>58</v>
      </c>
      <c r="C300" s="1646" t="s">
        <v>201</v>
      </c>
      <c r="D300" s="1647"/>
      <c r="E300" s="1648"/>
      <c r="F300" s="247" t="s">
        <v>186</v>
      </c>
      <c r="G300" s="585">
        <v>2.5499999999999998E-2</v>
      </c>
      <c r="H300" s="244">
        <v>18.48</v>
      </c>
      <c r="I300" s="249">
        <f>H300*G300</f>
        <v>0.47123999999999999</v>
      </c>
    </row>
    <row r="301" spans="1:9">
      <c r="A301" s="241">
        <v>88316</v>
      </c>
      <c r="B301" s="242" t="s">
        <v>58</v>
      </c>
      <c r="C301" s="1646" t="s">
        <v>202</v>
      </c>
      <c r="D301" s="1647" t="s">
        <v>202</v>
      </c>
      <c r="E301" s="1648" t="s">
        <v>202</v>
      </c>
      <c r="F301" s="247" t="s">
        <v>186</v>
      </c>
      <c r="G301" s="585">
        <v>0.1018</v>
      </c>
      <c r="H301" s="244">
        <v>13.65</v>
      </c>
      <c r="I301" s="249">
        <f>H301*G301</f>
        <v>1.38957</v>
      </c>
    </row>
    <row r="302" spans="1:9">
      <c r="A302" s="246"/>
      <c r="B302" s="247"/>
      <c r="C302" s="1646"/>
      <c r="D302" s="1647"/>
      <c r="E302" s="1648"/>
      <c r="F302" s="247"/>
      <c r="G302" s="244"/>
      <c r="H302" s="244"/>
      <c r="I302" s="249"/>
    </row>
    <row r="303" spans="1:9" ht="30.75" customHeight="1">
      <c r="A303" s="246"/>
      <c r="B303" s="247"/>
      <c r="C303" s="1655" t="s">
        <v>875</v>
      </c>
      <c r="D303" s="1656"/>
      <c r="E303" s="1657"/>
      <c r="F303" s="247"/>
      <c r="G303" s="301"/>
      <c r="H303" s="244"/>
      <c r="I303" s="249"/>
    </row>
    <row r="304" spans="1:9">
      <c r="A304" s="246"/>
      <c r="B304" s="247"/>
      <c r="C304" s="1646"/>
      <c r="D304" s="1647"/>
      <c r="E304" s="1648"/>
      <c r="F304" s="247"/>
      <c r="G304" s="301"/>
      <c r="H304" s="244"/>
      <c r="I304" s="249"/>
    </row>
    <row r="305" spans="1:25">
      <c r="A305" s="1642" t="s">
        <v>139</v>
      </c>
      <c r="B305" s="1643"/>
      <c r="C305" s="1643"/>
      <c r="D305" s="1643"/>
      <c r="E305" s="1643"/>
      <c r="F305" s="1643"/>
      <c r="G305" s="1643"/>
      <c r="H305" s="1643"/>
      <c r="I305" s="252">
        <f>I300+I301</f>
        <v>1.8608099999999999</v>
      </c>
    </row>
    <row r="306" spans="1:25">
      <c r="A306" s="253"/>
      <c r="B306" s="254"/>
      <c r="C306" s="728"/>
      <c r="D306" s="728"/>
      <c r="E306" s="728"/>
      <c r="F306" s="254"/>
      <c r="G306" s="302"/>
      <c r="H306" s="256"/>
      <c r="I306" s="257"/>
    </row>
    <row r="307" spans="1:25">
      <c r="A307" s="1633" t="s">
        <v>160</v>
      </c>
      <c r="B307" s="1634"/>
      <c r="C307" s="1634"/>
      <c r="D307" s="1634"/>
      <c r="E307" s="1634"/>
      <c r="F307" s="1634"/>
      <c r="G307" s="1634"/>
      <c r="H307" s="1634"/>
      <c r="I307" s="1635"/>
    </row>
    <row r="308" spans="1:25">
      <c r="A308" s="261" t="s">
        <v>130</v>
      </c>
      <c r="B308" s="651" t="s">
        <v>131</v>
      </c>
      <c r="C308" s="1645" t="s">
        <v>132</v>
      </c>
      <c r="D308" s="1645"/>
      <c r="E308" s="1645"/>
      <c r="F308" s="262" t="s">
        <v>104</v>
      </c>
      <c r="G308" s="298" t="s">
        <v>133</v>
      </c>
      <c r="H308" s="264" t="s">
        <v>134</v>
      </c>
      <c r="I308" s="265" t="s">
        <v>135</v>
      </c>
      <c r="L308" s="259" t="s">
        <v>410</v>
      </c>
      <c r="T308" s="258"/>
      <c r="U308" s="259" t="s">
        <v>410</v>
      </c>
      <c r="V308" s="258"/>
      <c r="W308" s="258"/>
      <c r="X308" s="258"/>
      <c r="Y308" s="258"/>
    </row>
    <row r="309" spans="1:25">
      <c r="A309" s="246" t="s">
        <v>161</v>
      </c>
      <c r="B309" s="247" t="s">
        <v>162</v>
      </c>
      <c r="C309" s="1646" t="s">
        <v>222</v>
      </c>
      <c r="D309" s="1647"/>
      <c r="E309" s="1648"/>
      <c r="F309" s="247" t="s">
        <v>149</v>
      </c>
      <c r="G309" s="303">
        <v>1</v>
      </c>
      <c r="H309" s="244">
        <v>22.18</v>
      </c>
      <c r="I309" s="249">
        <f t="shared" ref="I309:I313" si="6">H309*G309</f>
        <v>22.18</v>
      </c>
      <c r="L309" s="260" t="s">
        <v>412</v>
      </c>
      <c r="T309" s="260" t="s">
        <v>411</v>
      </c>
      <c r="U309" s="259"/>
      <c r="V309" s="260" t="s">
        <v>412</v>
      </c>
      <c r="X309" s="260" t="s">
        <v>413</v>
      </c>
    </row>
    <row r="310" spans="1:25">
      <c r="A310" s="266">
        <v>7253</v>
      </c>
      <c r="B310" s="267" t="s">
        <v>58</v>
      </c>
      <c r="C310" s="1649" t="s">
        <v>204</v>
      </c>
      <c r="D310" s="1650" t="s">
        <v>205</v>
      </c>
      <c r="E310" s="1651" t="s">
        <v>205</v>
      </c>
      <c r="F310" s="268" t="s">
        <v>206</v>
      </c>
      <c r="G310" s="269">
        <v>1.8499999999999999E-2</v>
      </c>
      <c r="H310" s="270">
        <f>H268</f>
        <v>137.13999999999999</v>
      </c>
      <c r="I310" s="306">
        <f t="shared" si="6"/>
        <v>2.5370899999999996</v>
      </c>
      <c r="L310" s="260" t="s">
        <v>415</v>
      </c>
      <c r="T310" s="260" t="s">
        <v>414</v>
      </c>
      <c r="V310" s="260" t="s">
        <v>415</v>
      </c>
      <c r="X310" s="260" t="s">
        <v>416</v>
      </c>
    </row>
    <row r="311" spans="1:25" ht="15" customHeight="1">
      <c r="A311" s="582">
        <v>3123</v>
      </c>
      <c r="B311" s="583" t="s">
        <v>58</v>
      </c>
      <c r="C311" s="1652" t="s">
        <v>871</v>
      </c>
      <c r="D311" s="1653"/>
      <c r="E311" s="1654"/>
      <c r="F311" s="273" t="s">
        <v>207</v>
      </c>
      <c r="G311" s="269">
        <v>1.8499999999999999E-2</v>
      </c>
      <c r="H311" s="270">
        <v>1.52</v>
      </c>
      <c r="I311" s="306">
        <f t="shared" si="6"/>
        <v>2.8119999999999999E-2</v>
      </c>
      <c r="L311" s="304">
        <f>18</f>
        <v>18</v>
      </c>
      <c r="M311" s="250"/>
      <c r="T311" s="307">
        <v>19</v>
      </c>
      <c r="U311" s="250"/>
      <c r="V311" s="280">
        <v>21.5</v>
      </c>
      <c r="W311" s="250"/>
      <c r="X311" s="281">
        <v>25</v>
      </c>
      <c r="Y311" s="250"/>
    </row>
    <row r="312" spans="1:25">
      <c r="A312" s="274">
        <v>370</v>
      </c>
      <c r="B312" s="275" t="s">
        <v>58</v>
      </c>
      <c r="C312" s="1639" t="s">
        <v>208</v>
      </c>
      <c r="D312" s="1640"/>
      <c r="E312" s="1641"/>
      <c r="F312" s="268" t="s">
        <v>206</v>
      </c>
      <c r="G312" s="276">
        <v>2.5000000000000001E-3</v>
      </c>
      <c r="H312" s="277">
        <v>31.08</v>
      </c>
      <c r="I312" s="306">
        <f t="shared" si="6"/>
        <v>7.7699999999999991E-2</v>
      </c>
    </row>
    <row r="313" spans="1:25">
      <c r="A313" s="282">
        <v>25963</v>
      </c>
      <c r="B313" s="275" t="s">
        <v>58</v>
      </c>
      <c r="C313" s="1639" t="s">
        <v>209</v>
      </c>
      <c r="D313" s="1640"/>
      <c r="E313" s="1641"/>
      <c r="F313" s="283" t="s">
        <v>207</v>
      </c>
      <c r="G313" s="276">
        <v>1.8499999999999999E-2</v>
      </c>
      <c r="H313" s="277">
        <v>0.08</v>
      </c>
      <c r="I313" s="586">
        <f t="shared" si="6"/>
        <v>1.48E-3</v>
      </c>
    </row>
    <row r="314" spans="1:25">
      <c r="A314" s="284">
        <v>38125</v>
      </c>
      <c r="B314" s="275" t="s">
        <v>873</v>
      </c>
      <c r="C314" s="1639" t="s">
        <v>876</v>
      </c>
      <c r="D314" s="1640"/>
      <c r="E314" s="1641"/>
      <c r="F314" s="283" t="s">
        <v>207</v>
      </c>
      <c r="G314" s="276">
        <f>0.00125*1.6</f>
        <v>2E-3</v>
      </c>
      <c r="H314" s="277">
        <f>H272</f>
        <v>1.0900000000000001</v>
      </c>
      <c r="I314" s="586">
        <f>H314*G314</f>
        <v>2.1800000000000001E-3</v>
      </c>
    </row>
    <row r="315" spans="1:25">
      <c r="A315" s="282"/>
      <c r="B315" s="275"/>
      <c r="C315" s="1639"/>
      <c r="D315" s="1640"/>
      <c r="E315" s="1641"/>
      <c r="F315" s="283"/>
      <c r="G315" s="308"/>
      <c r="H315" s="286"/>
      <c r="I315" s="287"/>
    </row>
    <row r="316" spans="1:25">
      <c r="A316" s="274"/>
      <c r="B316" s="275"/>
      <c r="C316" s="1639"/>
      <c r="D316" s="1640"/>
      <c r="E316" s="1641"/>
      <c r="F316" s="283"/>
      <c r="G316" s="308"/>
      <c r="H316" s="277"/>
      <c r="I316" s="287"/>
    </row>
    <row r="317" spans="1:25">
      <c r="A317" s="288"/>
      <c r="B317" s="275"/>
      <c r="C317" s="1639"/>
      <c r="D317" s="1640"/>
      <c r="E317" s="1641"/>
      <c r="F317" s="283"/>
      <c r="G317" s="308"/>
      <c r="H317" s="277"/>
      <c r="I317" s="287"/>
    </row>
    <row r="318" spans="1:25">
      <c r="A318" s="1642" t="s">
        <v>137</v>
      </c>
      <c r="B318" s="1643"/>
      <c r="C318" s="1643"/>
      <c r="D318" s="1643"/>
      <c r="E318" s="1643"/>
      <c r="F318" s="1643"/>
      <c r="G318" s="1643"/>
      <c r="H318" s="1644"/>
      <c r="I318" s="290">
        <f>I309+I310+I311+I312+I313+I314</f>
        <v>24.82657</v>
      </c>
    </row>
    <row r="319" spans="1:25">
      <c r="A319" s="1630"/>
      <c r="B319" s="1631"/>
      <c r="C319" s="1631"/>
      <c r="D319" s="1631"/>
      <c r="E319" s="1631"/>
      <c r="F319" s="1631"/>
      <c r="G319" s="1631"/>
      <c r="H319" s="1631"/>
      <c r="I319" s="1632"/>
    </row>
    <row r="320" spans="1:25">
      <c r="A320" s="1633" t="s">
        <v>141</v>
      </c>
      <c r="B320" s="1634"/>
      <c r="C320" s="1634"/>
      <c r="D320" s="1634"/>
      <c r="E320" s="1634"/>
      <c r="F320" s="1634"/>
      <c r="G320" s="1634"/>
      <c r="H320" s="1634"/>
      <c r="I320" s="1635"/>
    </row>
    <row r="321" spans="1:10">
      <c r="A321" s="1636" t="s">
        <v>142</v>
      </c>
      <c r="B321" s="1637"/>
      <c r="C321" s="1637"/>
      <c r="D321" s="1637"/>
      <c r="E321" s="1637"/>
      <c r="F321" s="1637"/>
      <c r="G321" s="1637"/>
      <c r="H321" s="1638"/>
      <c r="I321" s="291">
        <f>I305</f>
        <v>1.8608099999999999</v>
      </c>
    </row>
    <row r="322" spans="1:10">
      <c r="A322" s="1625" t="s">
        <v>163</v>
      </c>
      <c r="B322" s="1626"/>
      <c r="C322" s="1626"/>
      <c r="D322" s="1626"/>
      <c r="E322" s="1626"/>
      <c r="F322" s="1626"/>
      <c r="G322" s="1626"/>
      <c r="H322" s="1627"/>
      <c r="I322" s="292">
        <f>I318</f>
        <v>24.82657</v>
      </c>
    </row>
    <row r="323" spans="1:10">
      <c r="A323" s="1625" t="s">
        <v>164</v>
      </c>
      <c r="B323" s="1626"/>
      <c r="C323" s="1626"/>
      <c r="D323" s="1626"/>
      <c r="E323" s="1626"/>
      <c r="F323" s="1626"/>
      <c r="G323" s="1626"/>
      <c r="H323" s="1627"/>
      <c r="I323" s="292"/>
    </row>
    <row r="324" spans="1:10">
      <c r="A324" s="1625" t="s">
        <v>165</v>
      </c>
      <c r="B324" s="1626"/>
      <c r="C324" s="1626"/>
      <c r="D324" s="1626"/>
      <c r="E324" s="1626"/>
      <c r="F324" s="1626"/>
      <c r="G324" s="1626"/>
      <c r="H324" s="1627"/>
      <c r="I324" s="292">
        <f>I321+I322+I323</f>
        <v>26.687380000000001</v>
      </c>
    </row>
    <row r="325" spans="1:10">
      <c r="A325" s="1625" t="s">
        <v>143</v>
      </c>
      <c r="B325" s="1626"/>
      <c r="C325" s="1626"/>
      <c r="D325" s="1626"/>
      <c r="E325" s="1626"/>
      <c r="F325" s="1626"/>
      <c r="G325" s="1626"/>
      <c r="H325" s="1627"/>
      <c r="I325" s="292">
        <f>I324*26.54%</f>
        <v>7.0828306519999993</v>
      </c>
    </row>
    <row r="326" spans="1:10" ht="15.75" thickBot="1">
      <c r="A326" s="1628" t="s">
        <v>144</v>
      </c>
      <c r="B326" s="1629"/>
      <c r="C326" s="1629"/>
      <c r="D326" s="1629"/>
      <c r="E326" s="1629"/>
      <c r="F326" s="1629"/>
      <c r="G326" s="1629"/>
      <c r="H326" s="1629"/>
      <c r="I326" s="293">
        <f>I324+I325</f>
        <v>33.770210652000003</v>
      </c>
      <c r="J326" s="311"/>
    </row>
    <row r="333" spans="1:10" ht="15.75" thickBot="1"/>
    <row r="334" spans="1:10" ht="15" customHeight="1">
      <c r="A334" s="598"/>
      <c r="B334" s="1665" t="s">
        <v>43</v>
      </c>
      <c r="C334" s="1665"/>
      <c r="D334" s="1666"/>
      <c r="E334" s="1663" t="s">
        <v>126</v>
      </c>
      <c r="F334" s="1663"/>
      <c r="G334" s="1663"/>
      <c r="H334" s="1663"/>
      <c r="I334" s="1658" t="s">
        <v>127</v>
      </c>
    </row>
    <row r="335" spans="1:10" ht="39" customHeight="1">
      <c r="A335" s="599"/>
      <c r="B335" s="1667"/>
      <c r="C335" s="1667"/>
      <c r="D335" s="1668"/>
      <c r="E335" s="1664"/>
      <c r="F335" s="1664"/>
      <c r="G335" s="1664"/>
      <c r="H335" s="1664"/>
      <c r="I335" s="1659"/>
    </row>
    <row r="336" spans="1:10">
      <c r="A336" s="599"/>
      <c r="B336" s="1669" t="s">
        <v>122</v>
      </c>
      <c r="C336" s="1669"/>
      <c r="D336" s="1670"/>
      <c r="E336" s="1664"/>
      <c r="F336" s="1664"/>
      <c r="G336" s="1664"/>
      <c r="H336" s="1664"/>
      <c r="I336" s="295">
        <v>43313</v>
      </c>
    </row>
    <row r="337" spans="1:25">
      <c r="A337" s="600"/>
      <c r="B337" s="1671" t="s">
        <v>125</v>
      </c>
      <c r="C337" s="1671"/>
      <c r="D337" s="1672"/>
      <c r="E337" s="1664"/>
      <c r="F337" s="1664"/>
      <c r="G337" s="1664"/>
      <c r="H337" s="1664"/>
      <c r="I337" s="649" t="s">
        <v>176</v>
      </c>
    </row>
    <row r="338" spans="1:25">
      <c r="A338" s="226" t="s">
        <v>128</v>
      </c>
      <c r="B338" s="1660" t="s">
        <v>223</v>
      </c>
      <c r="C338" s="1660"/>
      <c r="D338" s="1660"/>
      <c r="E338" s="1660"/>
      <c r="F338" s="1660"/>
      <c r="G338" s="1660"/>
      <c r="H338" s="653"/>
      <c r="I338" s="227" t="s">
        <v>408</v>
      </c>
    </row>
    <row r="339" spans="1:25">
      <c r="A339" s="228" t="s">
        <v>129</v>
      </c>
      <c r="B339" s="229" t="s">
        <v>149</v>
      </c>
      <c r="C339" s="726"/>
      <c r="D339" s="726"/>
      <c r="E339" s="726"/>
      <c r="F339" s="229"/>
      <c r="G339" s="229"/>
      <c r="H339" s="229"/>
      <c r="I339" s="230" t="s">
        <v>409</v>
      </c>
    </row>
    <row r="340" spans="1:25" hidden="1">
      <c r="A340" s="1661" t="s">
        <v>159</v>
      </c>
      <c r="B340" s="1662"/>
      <c r="C340" s="1662"/>
      <c r="D340" s="1662"/>
      <c r="E340" s="727"/>
      <c r="F340" s="296"/>
      <c r="G340" s="297"/>
      <c r="H340" s="233"/>
      <c r="I340" s="234"/>
    </row>
    <row r="341" spans="1:25">
      <c r="A341" s="1633" t="s">
        <v>138</v>
      </c>
      <c r="B341" s="1634"/>
      <c r="C341" s="1634"/>
      <c r="D341" s="1634"/>
      <c r="E341" s="1634"/>
      <c r="F341" s="1634"/>
      <c r="G341" s="1634"/>
      <c r="H341" s="1634"/>
      <c r="I341" s="1635"/>
    </row>
    <row r="342" spans="1:25">
      <c r="A342" s="261" t="s">
        <v>130</v>
      </c>
      <c r="B342" s="651" t="s">
        <v>131</v>
      </c>
      <c r="C342" s="1645" t="s">
        <v>132</v>
      </c>
      <c r="D342" s="1645"/>
      <c r="E342" s="1645"/>
      <c r="F342" s="651" t="s">
        <v>104</v>
      </c>
      <c r="G342" s="298" t="s">
        <v>133</v>
      </c>
      <c r="H342" s="299" t="s">
        <v>134</v>
      </c>
      <c r="I342" s="265" t="s">
        <v>135</v>
      </c>
    </row>
    <row r="343" spans="1:25">
      <c r="A343" s="241">
        <v>88441</v>
      </c>
      <c r="B343" s="242" t="s">
        <v>58</v>
      </c>
      <c r="C343" s="1646" t="s">
        <v>201</v>
      </c>
      <c r="D343" s="1647"/>
      <c r="E343" s="1648"/>
      <c r="F343" s="247" t="s">
        <v>186</v>
      </c>
      <c r="G343" s="243">
        <v>0.26</v>
      </c>
      <c r="H343" s="244">
        <v>18.48</v>
      </c>
      <c r="I343" s="249">
        <f>H343*G343</f>
        <v>4.8048000000000002</v>
      </c>
    </row>
    <row r="344" spans="1:25">
      <c r="A344" s="241">
        <v>88316</v>
      </c>
      <c r="B344" s="242" t="s">
        <v>58</v>
      </c>
      <c r="C344" s="1646" t="s">
        <v>202</v>
      </c>
      <c r="D344" s="1647" t="s">
        <v>202</v>
      </c>
      <c r="E344" s="1648" t="s">
        <v>202</v>
      </c>
      <c r="F344" s="247" t="s">
        <v>186</v>
      </c>
      <c r="G344" s="243">
        <v>1.04</v>
      </c>
      <c r="H344" s="244">
        <v>13.65</v>
      </c>
      <c r="I344" s="249">
        <f>H344*G344</f>
        <v>14.196000000000002</v>
      </c>
    </row>
    <row r="345" spans="1:25">
      <c r="A345" s="246"/>
      <c r="B345" s="247"/>
      <c r="C345" s="1646"/>
      <c r="D345" s="1647"/>
      <c r="E345" s="1648"/>
      <c r="F345" s="247"/>
      <c r="G345" s="244"/>
      <c r="H345" s="244"/>
      <c r="I345" s="249"/>
    </row>
    <row r="346" spans="1:25" ht="64.5" customHeight="1">
      <c r="A346" s="246"/>
      <c r="B346" s="247"/>
      <c r="C346" s="1655" t="s">
        <v>872</v>
      </c>
      <c r="D346" s="1656"/>
      <c r="E346" s="1657"/>
      <c r="F346" s="247"/>
      <c r="G346" s="301"/>
      <c r="H346" s="244"/>
      <c r="I346" s="249"/>
    </row>
    <row r="347" spans="1:25">
      <c r="A347" s="1642" t="s">
        <v>139</v>
      </c>
      <c r="B347" s="1643"/>
      <c r="C347" s="1643"/>
      <c r="D347" s="1643"/>
      <c r="E347" s="1643"/>
      <c r="F347" s="1643"/>
      <c r="G347" s="1643"/>
      <c r="H347" s="1643"/>
      <c r="I347" s="252">
        <f>I343+I344</f>
        <v>19.000800000000002</v>
      </c>
    </row>
    <row r="348" spans="1:25">
      <c r="A348" s="253"/>
      <c r="B348" s="254"/>
      <c r="C348" s="728"/>
      <c r="D348" s="728"/>
      <c r="E348" s="728"/>
      <c r="F348" s="254"/>
      <c r="G348" s="302"/>
      <c r="H348" s="256"/>
      <c r="I348" s="257"/>
    </row>
    <row r="349" spans="1:25">
      <c r="A349" s="1633" t="s">
        <v>160</v>
      </c>
      <c r="B349" s="1634"/>
      <c r="C349" s="1634"/>
      <c r="D349" s="1634"/>
      <c r="E349" s="1634"/>
      <c r="F349" s="1634"/>
      <c r="G349" s="1634"/>
      <c r="H349" s="1634"/>
      <c r="I349" s="1635"/>
    </row>
    <row r="350" spans="1:25">
      <c r="A350" s="261" t="s">
        <v>130</v>
      </c>
      <c r="B350" s="651" t="s">
        <v>131</v>
      </c>
      <c r="C350" s="1645" t="s">
        <v>132</v>
      </c>
      <c r="D350" s="1645"/>
      <c r="E350" s="1645"/>
      <c r="F350" s="262" t="s">
        <v>104</v>
      </c>
      <c r="G350" s="298" t="s">
        <v>133</v>
      </c>
      <c r="H350" s="264" t="s">
        <v>134</v>
      </c>
      <c r="I350" s="265" t="s">
        <v>135</v>
      </c>
      <c r="L350" s="259" t="s">
        <v>410</v>
      </c>
      <c r="T350" s="258"/>
      <c r="U350" s="259" t="s">
        <v>410</v>
      </c>
      <c r="V350" s="258"/>
      <c r="W350" s="258"/>
      <c r="X350" s="258"/>
      <c r="Y350" s="258"/>
    </row>
    <row r="351" spans="1:25">
      <c r="A351" s="246" t="s">
        <v>161</v>
      </c>
      <c r="B351" s="247" t="s">
        <v>162</v>
      </c>
      <c r="C351" s="1646" t="s">
        <v>224</v>
      </c>
      <c r="D351" s="1647"/>
      <c r="E351" s="1648"/>
      <c r="F351" s="247" t="s">
        <v>149</v>
      </c>
      <c r="G351" s="303">
        <v>1</v>
      </c>
      <c r="H351" s="244">
        <v>164.23</v>
      </c>
      <c r="I351" s="249">
        <f t="shared" ref="I351:I356" si="7">H351*G351</f>
        <v>164.23</v>
      </c>
      <c r="L351" s="260" t="s">
        <v>412</v>
      </c>
      <c r="T351" s="260" t="s">
        <v>411</v>
      </c>
      <c r="U351" s="259"/>
      <c r="V351" s="260" t="s">
        <v>412</v>
      </c>
      <c r="X351" s="260" t="s">
        <v>413</v>
      </c>
    </row>
    <row r="352" spans="1:25">
      <c r="A352" s="266">
        <v>7253</v>
      </c>
      <c r="B352" s="267" t="s">
        <v>58</v>
      </c>
      <c r="C352" s="1649" t="s">
        <v>204</v>
      </c>
      <c r="D352" s="1650" t="s">
        <v>205</v>
      </c>
      <c r="E352" s="1651" t="s">
        <v>205</v>
      </c>
      <c r="F352" s="268" t="s">
        <v>206</v>
      </c>
      <c r="G352" s="269">
        <v>0.20499999999999999</v>
      </c>
      <c r="H352" s="270">
        <f>H310</f>
        <v>137.13999999999999</v>
      </c>
      <c r="I352" s="306">
        <f t="shared" si="7"/>
        <v>28.113699999999994</v>
      </c>
      <c r="L352" s="260" t="s">
        <v>415</v>
      </c>
      <c r="T352" s="260" t="s">
        <v>414</v>
      </c>
      <c r="V352" s="260" t="s">
        <v>415</v>
      </c>
      <c r="X352" s="260" t="s">
        <v>416</v>
      </c>
    </row>
    <row r="353" spans="1:25" ht="15" customHeight="1">
      <c r="A353" s="582">
        <v>3123</v>
      </c>
      <c r="B353" s="583" t="s">
        <v>58</v>
      </c>
      <c r="C353" s="1652" t="s">
        <v>871</v>
      </c>
      <c r="D353" s="1653"/>
      <c r="E353" s="1654"/>
      <c r="F353" s="273" t="s">
        <v>207</v>
      </c>
      <c r="G353" s="312">
        <v>1.8499999999999999E-2</v>
      </c>
      <c r="H353" s="270">
        <v>1.52</v>
      </c>
      <c r="I353" s="306">
        <f t="shared" si="7"/>
        <v>2.8119999999999999E-2</v>
      </c>
      <c r="L353" s="304">
        <f>160</f>
        <v>160</v>
      </c>
      <c r="M353" s="250"/>
      <c r="T353" s="307">
        <v>150</v>
      </c>
      <c r="U353" s="250"/>
      <c r="V353" s="280">
        <v>160</v>
      </c>
      <c r="W353" s="250"/>
      <c r="X353" s="281">
        <v>175</v>
      </c>
      <c r="Y353" s="250"/>
    </row>
    <row r="354" spans="1:25">
      <c r="A354" s="274">
        <v>370</v>
      </c>
      <c r="B354" s="275" t="s">
        <v>58</v>
      </c>
      <c r="C354" s="1639" t="s">
        <v>208</v>
      </c>
      <c r="D354" s="1640"/>
      <c r="E354" s="1641"/>
      <c r="F354" s="268" t="s">
        <v>206</v>
      </c>
      <c r="G354" s="276">
        <v>6.4000000000000003E-3</v>
      </c>
      <c r="H354" s="277">
        <v>31.08</v>
      </c>
      <c r="I354" s="306">
        <f t="shared" si="7"/>
        <v>0.19891200000000001</v>
      </c>
    </row>
    <row r="355" spans="1:25">
      <c r="A355" s="282">
        <v>25963</v>
      </c>
      <c r="B355" s="275" t="s">
        <v>58</v>
      </c>
      <c r="C355" s="1639" t="s">
        <v>209</v>
      </c>
      <c r="D355" s="1640"/>
      <c r="E355" s="1641"/>
      <c r="F355" s="283" t="s">
        <v>207</v>
      </c>
      <c r="G355" s="276">
        <v>0.8</v>
      </c>
      <c r="H355" s="277">
        <v>0.08</v>
      </c>
      <c r="I355" s="306">
        <f t="shared" si="7"/>
        <v>6.4000000000000001E-2</v>
      </c>
    </row>
    <row r="356" spans="1:25">
      <c r="A356" s="284">
        <v>38125</v>
      </c>
      <c r="B356" s="275" t="s">
        <v>873</v>
      </c>
      <c r="C356" s="1639" t="s">
        <v>876</v>
      </c>
      <c r="D356" s="1640"/>
      <c r="E356" s="1641"/>
      <c r="F356" s="283" t="s">
        <v>207</v>
      </c>
      <c r="G356" s="276">
        <f>0.05*1.6</f>
        <v>8.0000000000000016E-2</v>
      </c>
      <c r="H356" s="277">
        <f>H314</f>
        <v>1.0900000000000001</v>
      </c>
      <c r="I356" s="306">
        <f t="shared" si="7"/>
        <v>8.7200000000000027E-2</v>
      </c>
    </row>
    <row r="357" spans="1:25">
      <c r="A357" s="282"/>
      <c r="B357" s="275"/>
      <c r="C357" s="1639"/>
      <c r="D357" s="1640"/>
      <c r="E357" s="1641"/>
      <c r="F357" s="283"/>
      <c r="G357" s="308"/>
      <c r="H357" s="286"/>
      <c r="I357" s="287"/>
    </row>
    <row r="358" spans="1:25">
      <c r="A358" s="274"/>
      <c r="B358" s="275"/>
      <c r="C358" s="1639"/>
      <c r="D358" s="1640"/>
      <c r="E358" s="1641"/>
      <c r="F358" s="283"/>
      <c r="G358" s="308"/>
      <c r="H358" s="277"/>
      <c r="I358" s="287"/>
    </row>
    <row r="359" spans="1:25">
      <c r="A359" s="288"/>
      <c r="B359" s="275"/>
      <c r="C359" s="1639"/>
      <c r="D359" s="1640"/>
      <c r="E359" s="1641"/>
      <c r="F359" s="283"/>
      <c r="G359" s="308"/>
      <c r="H359" s="277"/>
      <c r="I359" s="287"/>
    </row>
    <row r="360" spans="1:25">
      <c r="A360" s="1642" t="s">
        <v>137</v>
      </c>
      <c r="B360" s="1643"/>
      <c r="C360" s="1643"/>
      <c r="D360" s="1643"/>
      <c r="E360" s="1643"/>
      <c r="F360" s="1643"/>
      <c r="G360" s="1643"/>
      <c r="H360" s="1644"/>
      <c r="I360" s="290">
        <f>I351+I352+I353+I354+I355+I356</f>
        <v>192.72193199999998</v>
      </c>
    </row>
    <row r="361" spans="1:25">
      <c r="A361" s="1630"/>
      <c r="B361" s="1631"/>
      <c r="C361" s="1631"/>
      <c r="D361" s="1631"/>
      <c r="E361" s="1631"/>
      <c r="F361" s="1631"/>
      <c r="G361" s="1631"/>
      <c r="H361" s="1631"/>
      <c r="I361" s="1632"/>
    </row>
    <row r="362" spans="1:25">
      <c r="A362" s="1633" t="s">
        <v>141</v>
      </c>
      <c r="B362" s="1634"/>
      <c r="C362" s="1634"/>
      <c r="D362" s="1634"/>
      <c r="E362" s="1634"/>
      <c r="F362" s="1634"/>
      <c r="G362" s="1634"/>
      <c r="H362" s="1634"/>
      <c r="I362" s="1635"/>
    </row>
    <row r="363" spans="1:25">
      <c r="A363" s="1636" t="s">
        <v>142</v>
      </c>
      <c r="B363" s="1637"/>
      <c r="C363" s="1637"/>
      <c r="D363" s="1637"/>
      <c r="E363" s="1637"/>
      <c r="F363" s="1637"/>
      <c r="G363" s="1637"/>
      <c r="H363" s="1638"/>
      <c r="I363" s="291">
        <f>I347</f>
        <v>19.000800000000002</v>
      </c>
    </row>
    <row r="364" spans="1:25">
      <c r="A364" s="1625" t="s">
        <v>163</v>
      </c>
      <c r="B364" s="1626"/>
      <c r="C364" s="1626"/>
      <c r="D364" s="1626"/>
      <c r="E364" s="1626"/>
      <c r="F364" s="1626"/>
      <c r="G364" s="1626"/>
      <c r="H364" s="1627"/>
      <c r="I364" s="292">
        <f>I360</f>
        <v>192.72193199999998</v>
      </c>
    </row>
    <row r="365" spans="1:25">
      <c r="A365" s="1625" t="s">
        <v>164</v>
      </c>
      <c r="B365" s="1626"/>
      <c r="C365" s="1626"/>
      <c r="D365" s="1626"/>
      <c r="E365" s="1626"/>
      <c r="F365" s="1626"/>
      <c r="G365" s="1626"/>
      <c r="H365" s="1627"/>
      <c r="I365" s="292"/>
    </row>
    <row r="366" spans="1:25">
      <c r="A366" s="1625" t="s">
        <v>165</v>
      </c>
      <c r="B366" s="1626"/>
      <c r="C366" s="1626"/>
      <c r="D366" s="1626"/>
      <c r="E366" s="1626"/>
      <c r="F366" s="1626"/>
      <c r="G366" s="1626"/>
      <c r="H366" s="1627"/>
      <c r="I366" s="292">
        <f>I363+I364+I365</f>
        <v>211.72273199999998</v>
      </c>
    </row>
    <row r="367" spans="1:25">
      <c r="A367" s="1625" t="s">
        <v>143</v>
      </c>
      <c r="B367" s="1626"/>
      <c r="C367" s="1626"/>
      <c r="D367" s="1626"/>
      <c r="E367" s="1626"/>
      <c r="F367" s="1626"/>
      <c r="G367" s="1626"/>
      <c r="H367" s="1627"/>
      <c r="I367" s="292">
        <f>I366*26.54%</f>
        <v>56.191213072799989</v>
      </c>
    </row>
    <row r="368" spans="1:25" ht="15.75" thickBot="1">
      <c r="A368" s="1628" t="s">
        <v>144</v>
      </c>
      <c r="B368" s="1629"/>
      <c r="C368" s="1629"/>
      <c r="D368" s="1629"/>
      <c r="E368" s="1629"/>
      <c r="F368" s="1629"/>
      <c r="G368" s="1629"/>
      <c r="H368" s="1629"/>
      <c r="I368" s="293">
        <f>I366+I367</f>
        <v>267.91394507279995</v>
      </c>
      <c r="J368" s="311"/>
    </row>
  </sheetData>
  <mergeCells count="316">
    <mergeCell ref="E1:H4"/>
    <mergeCell ref="A27:I27"/>
    <mergeCell ref="A34:H34"/>
    <mergeCell ref="E37:H40"/>
    <mergeCell ref="I37:I38"/>
    <mergeCell ref="I1:I2"/>
    <mergeCell ref="B5:F5"/>
    <mergeCell ref="A7:D7"/>
    <mergeCell ref="A8:I8"/>
    <mergeCell ref="C22:E22"/>
    <mergeCell ref="C23:E23"/>
    <mergeCell ref="C24:E24"/>
    <mergeCell ref="C25:E25"/>
    <mergeCell ref="A26:H26"/>
    <mergeCell ref="A16:I16"/>
    <mergeCell ref="C17:E17"/>
    <mergeCell ref="C18:E18"/>
    <mergeCell ref="C19:E19"/>
    <mergeCell ref="C20:E20"/>
    <mergeCell ref="C21:E21"/>
    <mergeCell ref="B1:D2"/>
    <mergeCell ref="B3:D3"/>
    <mergeCell ref="B4:D4"/>
    <mergeCell ref="C9:E9"/>
    <mergeCell ref="C10:E10"/>
    <mergeCell ref="C11:E11"/>
    <mergeCell ref="C12:E12"/>
    <mergeCell ref="C13:E13"/>
    <mergeCell ref="A14:H14"/>
    <mergeCell ref="B41:H41"/>
    <mergeCell ref="A43:D43"/>
    <mergeCell ref="A28:I28"/>
    <mergeCell ref="A29:H29"/>
    <mergeCell ref="A30:H30"/>
    <mergeCell ref="A31:H31"/>
    <mergeCell ref="A32:H32"/>
    <mergeCell ref="A33:H33"/>
    <mergeCell ref="C50:E50"/>
    <mergeCell ref="B37:D38"/>
    <mergeCell ref="B39:D39"/>
    <mergeCell ref="B40:D40"/>
    <mergeCell ref="A51:H51"/>
    <mergeCell ref="A53:I53"/>
    <mergeCell ref="C54:E54"/>
    <mergeCell ref="C55:E55"/>
    <mergeCell ref="A44:I44"/>
    <mergeCell ref="C45:E45"/>
    <mergeCell ref="C46:E46"/>
    <mergeCell ref="C47:E47"/>
    <mergeCell ref="C48:E48"/>
    <mergeCell ref="C49:E49"/>
    <mergeCell ref="C62:E62"/>
    <mergeCell ref="C63:E63"/>
    <mergeCell ref="A64:H64"/>
    <mergeCell ref="A65:I65"/>
    <mergeCell ref="A66:I66"/>
    <mergeCell ref="A67:H67"/>
    <mergeCell ref="C56:E56"/>
    <mergeCell ref="C57:E57"/>
    <mergeCell ref="C58:E58"/>
    <mergeCell ref="C59:E59"/>
    <mergeCell ref="C60:E60"/>
    <mergeCell ref="C61:E61"/>
    <mergeCell ref="I75:I76"/>
    <mergeCell ref="B79:G79"/>
    <mergeCell ref="A81:D81"/>
    <mergeCell ref="A82:I82"/>
    <mergeCell ref="C83:E83"/>
    <mergeCell ref="C84:E84"/>
    <mergeCell ref="A68:H68"/>
    <mergeCell ref="A69:H69"/>
    <mergeCell ref="A70:H70"/>
    <mergeCell ref="A71:H71"/>
    <mergeCell ref="A72:H72"/>
    <mergeCell ref="E75:H78"/>
    <mergeCell ref="B75:D76"/>
    <mergeCell ref="B77:D77"/>
    <mergeCell ref="B78:D78"/>
    <mergeCell ref="A92:I92"/>
    <mergeCell ref="C93:E93"/>
    <mergeCell ref="C94:E94"/>
    <mergeCell ref="C95:E95"/>
    <mergeCell ref="C96:E96"/>
    <mergeCell ref="C97:E97"/>
    <mergeCell ref="C85:E85"/>
    <mergeCell ref="C86:E86"/>
    <mergeCell ref="C87:E87"/>
    <mergeCell ref="C88:E88"/>
    <mergeCell ref="C89:E89"/>
    <mergeCell ref="A90:H90"/>
    <mergeCell ref="A104:I104"/>
    <mergeCell ref="A105:I105"/>
    <mergeCell ref="A106:H106"/>
    <mergeCell ref="A107:H107"/>
    <mergeCell ref="A108:H108"/>
    <mergeCell ref="A109:H109"/>
    <mergeCell ref="C98:E98"/>
    <mergeCell ref="C99:E99"/>
    <mergeCell ref="C100:E100"/>
    <mergeCell ref="C101:E101"/>
    <mergeCell ref="C102:E102"/>
    <mergeCell ref="A103:H103"/>
    <mergeCell ref="A125:D125"/>
    <mergeCell ref="A126:I126"/>
    <mergeCell ref="C127:E127"/>
    <mergeCell ref="C128:E128"/>
    <mergeCell ref="C129:E129"/>
    <mergeCell ref="C130:E130"/>
    <mergeCell ref="A110:H110"/>
    <mergeCell ref="A111:H111"/>
    <mergeCell ref="E119:H122"/>
    <mergeCell ref="I119:I120"/>
    <mergeCell ref="B123:G123"/>
    <mergeCell ref="B119:D120"/>
    <mergeCell ref="B121:D121"/>
    <mergeCell ref="B122:D122"/>
    <mergeCell ref="C138:E138"/>
    <mergeCell ref="C139:E139"/>
    <mergeCell ref="C140:E140"/>
    <mergeCell ref="C141:E141"/>
    <mergeCell ref="C142:E142"/>
    <mergeCell ref="C143:E143"/>
    <mergeCell ref="C131:E131"/>
    <mergeCell ref="C132:E132"/>
    <mergeCell ref="C133:E133"/>
    <mergeCell ref="A134:H134"/>
    <mergeCell ref="A136:I136"/>
    <mergeCell ref="C137:E137"/>
    <mergeCell ref="A150:H150"/>
    <mergeCell ref="A151:H151"/>
    <mergeCell ref="A152:H152"/>
    <mergeCell ref="A153:H153"/>
    <mergeCell ref="A154:H154"/>
    <mergeCell ref="A155:H155"/>
    <mergeCell ref="C144:E144"/>
    <mergeCell ref="C145:E145"/>
    <mergeCell ref="C146:E146"/>
    <mergeCell ref="A147:H147"/>
    <mergeCell ref="A148:I148"/>
    <mergeCell ref="A149:I149"/>
    <mergeCell ref="C170:E170"/>
    <mergeCell ref="C171:E171"/>
    <mergeCell ref="C172:E172"/>
    <mergeCell ref="C173:E173"/>
    <mergeCell ref="C174:E174"/>
    <mergeCell ref="C175:E175"/>
    <mergeCell ref="E162:H165"/>
    <mergeCell ref="I162:I163"/>
    <mergeCell ref="B166:G166"/>
    <mergeCell ref="A168:D168"/>
    <mergeCell ref="A169:I169"/>
    <mergeCell ref="B162:D163"/>
    <mergeCell ref="B164:D164"/>
    <mergeCell ref="B165:D165"/>
    <mergeCell ref="C183:E183"/>
    <mergeCell ref="C184:E184"/>
    <mergeCell ref="C185:E185"/>
    <mergeCell ref="C186:E186"/>
    <mergeCell ref="C187:E187"/>
    <mergeCell ref="C188:E188"/>
    <mergeCell ref="C176:E176"/>
    <mergeCell ref="A177:H177"/>
    <mergeCell ref="A179:I179"/>
    <mergeCell ref="C180:E180"/>
    <mergeCell ref="C181:E181"/>
    <mergeCell ref="C182:E182"/>
    <mergeCell ref="A195:H195"/>
    <mergeCell ref="A196:H196"/>
    <mergeCell ref="A197:H197"/>
    <mergeCell ref="A198:H198"/>
    <mergeCell ref="E205:H208"/>
    <mergeCell ref="C189:E189"/>
    <mergeCell ref="A190:H190"/>
    <mergeCell ref="A191:I191"/>
    <mergeCell ref="A192:I192"/>
    <mergeCell ref="A193:H193"/>
    <mergeCell ref="A194:H194"/>
    <mergeCell ref="B205:D206"/>
    <mergeCell ref="B207:D207"/>
    <mergeCell ref="B208:D208"/>
    <mergeCell ref="C215:E215"/>
    <mergeCell ref="C216:E216"/>
    <mergeCell ref="C217:E217"/>
    <mergeCell ref="C218:E218"/>
    <mergeCell ref="A219:H219"/>
    <mergeCell ref="I205:I206"/>
    <mergeCell ref="B209:G209"/>
    <mergeCell ref="A211:D211"/>
    <mergeCell ref="A212:I212"/>
    <mergeCell ref="C213:E213"/>
    <mergeCell ref="C214:E214"/>
    <mergeCell ref="C227:E227"/>
    <mergeCell ref="C228:E228"/>
    <mergeCell ref="C229:E229"/>
    <mergeCell ref="C230:E230"/>
    <mergeCell ref="C231:E231"/>
    <mergeCell ref="A232:H232"/>
    <mergeCell ref="A221:I221"/>
    <mergeCell ref="C222:E222"/>
    <mergeCell ref="C223:E223"/>
    <mergeCell ref="C224:E224"/>
    <mergeCell ref="C225:E225"/>
    <mergeCell ref="C226:E226"/>
    <mergeCell ref="A239:H239"/>
    <mergeCell ref="A240:H240"/>
    <mergeCell ref="E248:H251"/>
    <mergeCell ref="I248:I249"/>
    <mergeCell ref="B252:G252"/>
    <mergeCell ref="A233:I233"/>
    <mergeCell ref="A234:I234"/>
    <mergeCell ref="A235:H235"/>
    <mergeCell ref="A236:H236"/>
    <mergeCell ref="A237:H237"/>
    <mergeCell ref="A238:H238"/>
    <mergeCell ref="B248:D249"/>
    <mergeCell ref="B250:D250"/>
    <mergeCell ref="B251:D251"/>
    <mergeCell ref="C260:E260"/>
    <mergeCell ref="C261:E261"/>
    <mergeCell ref="C262:E262"/>
    <mergeCell ref="A263:H263"/>
    <mergeCell ref="A265:I265"/>
    <mergeCell ref="C266:E266"/>
    <mergeCell ref="A254:D254"/>
    <mergeCell ref="A255:I255"/>
    <mergeCell ref="C256:E256"/>
    <mergeCell ref="C257:E257"/>
    <mergeCell ref="C258:E258"/>
    <mergeCell ref="C259:E259"/>
    <mergeCell ref="C273:E273"/>
    <mergeCell ref="C274:E274"/>
    <mergeCell ref="C275:E275"/>
    <mergeCell ref="A276:H276"/>
    <mergeCell ref="A277:I277"/>
    <mergeCell ref="A278:I278"/>
    <mergeCell ref="C267:E267"/>
    <mergeCell ref="C268:E268"/>
    <mergeCell ref="C269:E269"/>
    <mergeCell ref="C270:E270"/>
    <mergeCell ref="C271:E271"/>
    <mergeCell ref="C272:E272"/>
    <mergeCell ref="E291:H294"/>
    <mergeCell ref="I291:I292"/>
    <mergeCell ref="B295:G295"/>
    <mergeCell ref="A297:D297"/>
    <mergeCell ref="A298:I298"/>
    <mergeCell ref="A279:H279"/>
    <mergeCell ref="A280:H280"/>
    <mergeCell ref="A281:H281"/>
    <mergeCell ref="A282:H282"/>
    <mergeCell ref="A283:H283"/>
    <mergeCell ref="A284:H284"/>
    <mergeCell ref="B291:D292"/>
    <mergeCell ref="B293:D293"/>
    <mergeCell ref="B294:D294"/>
    <mergeCell ref="C304:E304"/>
    <mergeCell ref="A305:H305"/>
    <mergeCell ref="A307:I307"/>
    <mergeCell ref="C308:E308"/>
    <mergeCell ref="C309:E309"/>
    <mergeCell ref="C310:E310"/>
    <mergeCell ref="C299:E299"/>
    <mergeCell ref="C300:E300"/>
    <mergeCell ref="C301:E301"/>
    <mergeCell ref="C302:E302"/>
    <mergeCell ref="C303:E303"/>
    <mergeCell ref="C317:E317"/>
    <mergeCell ref="A318:H318"/>
    <mergeCell ref="A319:I319"/>
    <mergeCell ref="A320:I320"/>
    <mergeCell ref="A321:H321"/>
    <mergeCell ref="A322:H322"/>
    <mergeCell ref="C311:E311"/>
    <mergeCell ref="C312:E312"/>
    <mergeCell ref="C313:E313"/>
    <mergeCell ref="C314:E314"/>
    <mergeCell ref="C315:E315"/>
    <mergeCell ref="C316:E316"/>
    <mergeCell ref="I334:I335"/>
    <mergeCell ref="B338:G338"/>
    <mergeCell ref="A340:D340"/>
    <mergeCell ref="A341:I341"/>
    <mergeCell ref="C342:E342"/>
    <mergeCell ref="C343:E343"/>
    <mergeCell ref="A323:H323"/>
    <mergeCell ref="A324:H324"/>
    <mergeCell ref="A325:H325"/>
    <mergeCell ref="A326:H326"/>
    <mergeCell ref="E334:H337"/>
    <mergeCell ref="B334:D335"/>
    <mergeCell ref="B336:D336"/>
    <mergeCell ref="B337:D337"/>
    <mergeCell ref="A349:I349"/>
    <mergeCell ref="C350:E350"/>
    <mergeCell ref="C351:E351"/>
    <mergeCell ref="C352:E352"/>
    <mergeCell ref="C353:E353"/>
    <mergeCell ref="C354:E354"/>
    <mergeCell ref="C344:E344"/>
    <mergeCell ref="C345:E345"/>
    <mergeCell ref="C346:E346"/>
    <mergeCell ref="A347:H347"/>
    <mergeCell ref="A367:H367"/>
    <mergeCell ref="A368:H368"/>
    <mergeCell ref="A361:I361"/>
    <mergeCell ref="A362:I362"/>
    <mergeCell ref="A363:H363"/>
    <mergeCell ref="A364:H364"/>
    <mergeCell ref="A365:H365"/>
    <mergeCell ref="A366:H366"/>
    <mergeCell ref="C355:E355"/>
    <mergeCell ref="C356:E356"/>
    <mergeCell ref="C357:E357"/>
    <mergeCell ref="C358:E358"/>
    <mergeCell ref="C359:E359"/>
    <mergeCell ref="A360:H360"/>
  </mergeCells>
  <printOptions horizontalCentered="1"/>
  <pageMargins left="0.51181102362204722" right="0.51181102362204722" top="0.78740157480314965" bottom="0.78740157480314965" header="0.31496062992125984" footer="0.31496062992125984"/>
  <pageSetup paperSize="9" scale="85" orientation="portrait" horizontalDpi="4294967294" verticalDpi="4294967294" r:id="rId1"/>
  <rowBreaks count="8" manualBreakCount="8">
    <brk id="35" max="17" man="1"/>
    <brk id="73" max="17" man="1"/>
    <brk id="117" max="17" man="1"/>
    <brk id="160" max="17" man="1"/>
    <brk id="203" max="17" man="1"/>
    <brk id="246" max="17" man="1"/>
    <brk id="289" max="17" man="1"/>
    <brk id="332" max="17"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S38"/>
  <sheetViews>
    <sheetView view="pageBreakPreview" zoomScaleNormal="100" zoomScaleSheetLayoutView="100" workbookViewId="0">
      <selection activeCell="A31" sqref="A31:I31"/>
    </sheetView>
  </sheetViews>
  <sheetFormatPr defaultColWidth="9.140625" defaultRowHeight="15"/>
  <cols>
    <col min="1" max="1" width="9.85546875" customWidth="1"/>
    <col min="2" max="2" width="10" bestFit="1" customWidth="1"/>
    <col min="3" max="3" width="6.85546875" customWidth="1"/>
    <col min="4" max="4" width="34.85546875" customWidth="1"/>
    <col min="5" max="5" width="8.5703125" customWidth="1"/>
    <col min="6" max="6" width="8.85546875" customWidth="1"/>
    <col min="7" max="7" width="8.7109375" customWidth="1"/>
    <col min="8" max="8" width="9.7109375" customWidth="1"/>
    <col min="9" max="9" width="12.28515625" customWidth="1"/>
  </cols>
  <sheetData>
    <row r="1" spans="1:9" ht="31.5" customHeight="1">
      <c r="A1" s="598"/>
      <c r="B1" s="1665" t="s">
        <v>43</v>
      </c>
      <c r="C1" s="1665"/>
      <c r="D1" s="1666"/>
      <c r="E1" s="1663" t="s">
        <v>126</v>
      </c>
      <c r="F1" s="1663"/>
      <c r="G1" s="1663"/>
      <c r="H1" s="1663"/>
      <c r="I1" s="1686" t="s">
        <v>127</v>
      </c>
    </row>
    <row r="2" spans="1:9" ht="15" customHeight="1">
      <c r="A2" s="599"/>
      <c r="B2" s="1667"/>
      <c r="C2" s="1667"/>
      <c r="D2" s="1668"/>
      <c r="E2" s="1664"/>
      <c r="F2" s="1664"/>
      <c r="G2" s="1664"/>
      <c r="H2" s="1664"/>
      <c r="I2" s="1687"/>
    </row>
    <row r="3" spans="1:9">
      <c r="A3" s="599"/>
      <c r="B3" s="1669" t="s">
        <v>122</v>
      </c>
      <c r="C3" s="1669"/>
      <c r="D3" s="1670"/>
      <c r="E3" s="1664"/>
      <c r="F3" s="1664"/>
      <c r="G3" s="1664"/>
      <c r="H3" s="1664"/>
      <c r="I3" s="313">
        <v>43313</v>
      </c>
    </row>
    <row r="4" spans="1:9">
      <c r="A4" s="600"/>
      <c r="B4" s="1671" t="s">
        <v>125</v>
      </c>
      <c r="C4" s="1671"/>
      <c r="D4" s="1672"/>
      <c r="E4" s="1664"/>
      <c r="F4" s="1664"/>
      <c r="G4" s="1664"/>
      <c r="H4" s="1664"/>
      <c r="I4" s="638" t="s">
        <v>177</v>
      </c>
    </row>
    <row r="5" spans="1:9" ht="42.75" customHeight="1">
      <c r="A5" s="314" t="s">
        <v>128</v>
      </c>
      <c r="B5" s="1447" t="s">
        <v>1055</v>
      </c>
      <c r="C5" s="1447"/>
      <c r="D5" s="1447"/>
      <c r="E5" s="1447"/>
      <c r="F5" s="1447"/>
      <c r="G5" s="1447"/>
      <c r="H5" s="1688"/>
      <c r="I5" s="315" t="s">
        <v>408</v>
      </c>
    </row>
    <row r="6" spans="1:9">
      <c r="A6" s="316" t="s">
        <v>129</v>
      </c>
      <c r="B6" s="656" t="s">
        <v>104</v>
      </c>
      <c r="C6" s="656"/>
      <c r="D6" s="656"/>
      <c r="E6" s="656"/>
      <c r="F6" s="656"/>
      <c r="G6" s="656"/>
      <c r="H6" s="656"/>
      <c r="I6" s="317" t="s">
        <v>409</v>
      </c>
    </row>
    <row r="7" spans="1:9" hidden="1">
      <c r="A7" s="1445" t="s">
        <v>159</v>
      </c>
      <c r="B7" s="1446"/>
      <c r="C7" s="1446"/>
      <c r="D7" s="1446"/>
      <c r="E7" s="318"/>
      <c r="F7" s="319"/>
      <c r="G7" s="320"/>
      <c r="H7" s="321"/>
      <c r="I7" s="322"/>
    </row>
    <row r="8" spans="1:9">
      <c r="A8" s="323"/>
      <c r="B8" s="324"/>
      <c r="C8" s="325"/>
      <c r="D8" s="325"/>
      <c r="E8" s="325"/>
      <c r="F8" s="324"/>
      <c r="G8" s="326"/>
      <c r="H8" s="327"/>
      <c r="I8" s="328"/>
    </row>
    <row r="9" spans="1:9">
      <c r="A9" s="1456" t="s">
        <v>138</v>
      </c>
      <c r="B9" s="1457"/>
      <c r="C9" s="1457"/>
      <c r="D9" s="1457"/>
      <c r="E9" s="1457"/>
      <c r="F9" s="1457"/>
      <c r="G9" s="1457"/>
      <c r="H9" s="1457"/>
      <c r="I9" s="1458"/>
    </row>
    <row r="10" spans="1:9">
      <c r="A10" s="329" t="s">
        <v>130</v>
      </c>
      <c r="B10" s="648" t="s">
        <v>131</v>
      </c>
      <c r="C10" s="1459" t="s">
        <v>132</v>
      </c>
      <c r="D10" s="1459"/>
      <c r="E10" s="1459"/>
      <c r="F10" s="648" t="s">
        <v>104</v>
      </c>
      <c r="G10" s="330" t="s">
        <v>133</v>
      </c>
      <c r="H10" s="331" t="s">
        <v>134</v>
      </c>
      <c r="I10" s="332" t="s">
        <v>135</v>
      </c>
    </row>
    <row r="11" spans="1:9" ht="15" customHeight="1">
      <c r="A11" s="333">
        <v>88309</v>
      </c>
      <c r="B11" s="334" t="s">
        <v>58</v>
      </c>
      <c r="C11" s="1451" t="s">
        <v>198</v>
      </c>
      <c r="D11" s="1452"/>
      <c r="E11" s="1453"/>
      <c r="F11" s="334" t="s">
        <v>153</v>
      </c>
      <c r="G11" s="335">
        <v>0.3</v>
      </c>
      <c r="H11" s="336">
        <v>19.14</v>
      </c>
      <c r="I11" s="337">
        <f>G11*H11</f>
        <v>5.742</v>
      </c>
    </row>
    <row r="12" spans="1:9">
      <c r="A12" s="333">
        <v>88316</v>
      </c>
      <c r="B12" s="334" t="s">
        <v>58</v>
      </c>
      <c r="C12" s="1451" t="s">
        <v>155</v>
      </c>
      <c r="D12" s="1452"/>
      <c r="E12" s="1453"/>
      <c r="F12" s="334" t="s">
        <v>153</v>
      </c>
      <c r="G12" s="335">
        <v>1</v>
      </c>
      <c r="H12" s="336">
        <v>13.65</v>
      </c>
      <c r="I12" s="337">
        <f>G12*H12</f>
        <v>13.65</v>
      </c>
    </row>
    <row r="13" spans="1:9">
      <c r="A13" s="333">
        <v>88315</v>
      </c>
      <c r="B13" s="334" t="s">
        <v>58</v>
      </c>
      <c r="C13" s="1451" t="s">
        <v>881</v>
      </c>
      <c r="D13" s="1452"/>
      <c r="E13" s="1453"/>
      <c r="F13" s="334" t="s">
        <v>153</v>
      </c>
      <c r="G13" s="335">
        <v>1</v>
      </c>
      <c r="H13" s="336">
        <v>19.03</v>
      </c>
      <c r="I13" s="337">
        <f>G13*H13</f>
        <v>19.03</v>
      </c>
    </row>
    <row r="14" spans="1:9">
      <c r="A14" s="333"/>
      <c r="B14" s="334"/>
      <c r="C14" s="1451"/>
      <c r="D14" s="1452"/>
      <c r="E14" s="1453"/>
      <c r="F14" s="334"/>
      <c r="G14" s="335"/>
      <c r="H14" s="336"/>
      <c r="I14" s="337"/>
    </row>
    <row r="15" spans="1:9" ht="77.25" customHeight="1">
      <c r="A15" s="333"/>
      <c r="B15" s="334"/>
      <c r="C15" s="1683" t="s">
        <v>884</v>
      </c>
      <c r="D15" s="1684"/>
      <c r="E15" s="1685"/>
      <c r="F15" s="334"/>
      <c r="G15" s="335"/>
      <c r="H15" s="336"/>
      <c r="I15" s="337"/>
    </row>
    <row r="16" spans="1:9">
      <c r="A16" s="333"/>
      <c r="B16" s="334"/>
      <c r="C16" s="1451"/>
      <c r="D16" s="1452"/>
      <c r="E16" s="1453"/>
      <c r="F16" s="334"/>
      <c r="G16" s="335"/>
      <c r="H16" s="336"/>
      <c r="I16" s="337"/>
    </row>
    <row r="17" spans="1:19">
      <c r="A17" s="1454" t="s">
        <v>139</v>
      </c>
      <c r="B17" s="1455"/>
      <c r="C17" s="1455"/>
      <c r="D17" s="1455"/>
      <c r="E17" s="1455"/>
      <c r="F17" s="1455"/>
      <c r="G17" s="1455"/>
      <c r="H17" s="1455"/>
      <c r="I17" s="472">
        <f>I11+I12+I13</f>
        <v>38.421999999999997</v>
      </c>
    </row>
    <row r="18" spans="1:19">
      <c r="A18" s="323"/>
      <c r="B18" s="338"/>
      <c r="C18" s="339"/>
      <c r="D18" s="339"/>
      <c r="E18" s="339"/>
      <c r="F18" s="338"/>
      <c r="G18" s="340"/>
      <c r="H18" s="341"/>
      <c r="I18" s="342"/>
    </row>
    <row r="19" spans="1:19">
      <c r="A19" s="1456" t="s">
        <v>160</v>
      </c>
      <c r="B19" s="1457"/>
      <c r="C19" s="1457"/>
      <c r="D19" s="1457"/>
      <c r="E19" s="1457"/>
      <c r="F19" s="1457"/>
      <c r="G19" s="1457"/>
      <c r="H19" s="1457"/>
      <c r="I19" s="1458"/>
    </row>
    <row r="20" spans="1:19">
      <c r="A20" s="329" t="s">
        <v>130</v>
      </c>
      <c r="B20" s="648" t="s">
        <v>131</v>
      </c>
      <c r="C20" s="1459" t="s">
        <v>132</v>
      </c>
      <c r="D20" s="1459"/>
      <c r="E20" s="1459"/>
      <c r="F20" s="343" t="s">
        <v>104</v>
      </c>
      <c r="G20" s="330" t="s">
        <v>133</v>
      </c>
      <c r="H20" s="344" t="s">
        <v>134</v>
      </c>
      <c r="I20" s="332" t="s">
        <v>135</v>
      </c>
      <c r="L20" s="258"/>
      <c r="M20" s="259" t="s">
        <v>410</v>
      </c>
      <c r="N20" s="258"/>
      <c r="O20" s="258"/>
      <c r="P20" s="258"/>
      <c r="Q20" s="258"/>
    </row>
    <row r="21" spans="1:19">
      <c r="A21" s="345" t="s">
        <v>161</v>
      </c>
      <c r="B21" s="334" t="s">
        <v>162</v>
      </c>
      <c r="C21" s="1451" t="s">
        <v>880</v>
      </c>
      <c r="D21" s="1452"/>
      <c r="E21" s="1453"/>
      <c r="F21" s="334" t="s">
        <v>104</v>
      </c>
      <c r="G21" s="335">
        <v>1</v>
      </c>
      <c r="H21" s="595">
        <v>121.04</v>
      </c>
      <c r="I21" s="337">
        <f>H21*G21</f>
        <v>121.04</v>
      </c>
      <c r="L21" s="260" t="s">
        <v>418</v>
      </c>
      <c r="M21" s="259"/>
      <c r="P21" s="260" t="s">
        <v>419</v>
      </c>
    </row>
    <row r="22" spans="1:19" ht="45.75" customHeight="1">
      <c r="A22" s="591" t="s">
        <v>877</v>
      </c>
      <c r="B22" s="471" t="s">
        <v>58</v>
      </c>
      <c r="C22" s="1460" t="s">
        <v>878</v>
      </c>
      <c r="D22" s="1461"/>
      <c r="E22" s="1462"/>
      <c r="F22" s="588" t="s">
        <v>105</v>
      </c>
      <c r="G22" s="589">
        <v>1</v>
      </c>
      <c r="H22" s="205">
        <v>66.040000000000006</v>
      </c>
      <c r="I22" s="590">
        <f>G22*H22</f>
        <v>66.040000000000006</v>
      </c>
      <c r="L22" s="1682" t="s">
        <v>420</v>
      </c>
      <c r="M22" s="1682"/>
      <c r="N22" s="1682"/>
      <c r="P22" s="1682" t="s">
        <v>421</v>
      </c>
      <c r="Q22" s="1682"/>
      <c r="S22" s="348"/>
    </row>
    <row r="23" spans="1:19" ht="48" customHeight="1">
      <c r="A23" s="349">
        <v>94965</v>
      </c>
      <c r="B23" s="592" t="s">
        <v>58</v>
      </c>
      <c r="C23" s="1416" t="s">
        <v>882</v>
      </c>
      <c r="D23" s="1417"/>
      <c r="E23" s="1418"/>
      <c r="F23" s="593" t="s">
        <v>103</v>
      </c>
      <c r="G23" s="594">
        <f>0.3*0.3*0.5</f>
        <v>4.4999999999999998E-2</v>
      </c>
      <c r="H23" s="596">
        <v>262.73</v>
      </c>
      <c r="I23" s="590">
        <f>G23*H23</f>
        <v>11.822850000000001</v>
      </c>
      <c r="L23" s="307">
        <v>125</v>
      </c>
      <c r="M23" s="250"/>
      <c r="P23" s="250">
        <v>107.58</v>
      </c>
      <c r="Q23" s="250"/>
    </row>
    <row r="24" spans="1:19" ht="45" customHeight="1">
      <c r="A24" s="349">
        <v>93358</v>
      </c>
      <c r="B24" s="592" t="s">
        <v>58</v>
      </c>
      <c r="C24" s="1416" t="s">
        <v>883</v>
      </c>
      <c r="D24" s="1417"/>
      <c r="E24" s="1418"/>
      <c r="F24" s="593" t="s">
        <v>103</v>
      </c>
      <c r="G24" s="594">
        <f>G23</f>
        <v>4.4999999999999998E-2</v>
      </c>
      <c r="H24" s="596">
        <v>53.99</v>
      </c>
      <c r="I24" s="590">
        <f>G24*H24</f>
        <v>2.4295499999999999</v>
      </c>
      <c r="O24" s="356"/>
      <c r="P24" s="357" t="s">
        <v>422</v>
      </c>
      <c r="Q24" s="356"/>
    </row>
    <row r="25" spans="1:19">
      <c r="A25" s="349"/>
      <c r="B25" s="350"/>
      <c r="C25" s="1416"/>
      <c r="D25" s="1417"/>
      <c r="E25" s="1418"/>
      <c r="F25" s="351"/>
      <c r="G25" s="352"/>
      <c r="H25" s="353"/>
      <c r="I25" s="354"/>
    </row>
    <row r="26" spans="1:19">
      <c r="A26" s="355"/>
      <c r="B26" s="350"/>
      <c r="C26" s="1416"/>
      <c r="D26" s="1417"/>
      <c r="E26" s="1418"/>
      <c r="F26" s="351"/>
      <c r="G26" s="352"/>
      <c r="H26" s="358"/>
      <c r="I26" s="354"/>
      <c r="N26" s="260" t="s">
        <v>423</v>
      </c>
    </row>
    <row r="27" spans="1:19">
      <c r="A27" s="349"/>
      <c r="B27" s="350"/>
      <c r="C27" s="1416"/>
      <c r="D27" s="1417"/>
      <c r="E27" s="1418"/>
      <c r="F27" s="351"/>
      <c r="G27" s="352"/>
      <c r="H27" s="353"/>
      <c r="I27" s="354"/>
      <c r="N27" s="1682" t="s">
        <v>424</v>
      </c>
      <c r="O27" s="1682"/>
      <c r="P27" s="1682"/>
    </row>
    <row r="28" spans="1:19">
      <c r="A28" s="359"/>
      <c r="B28" s="350"/>
      <c r="C28" s="1416"/>
      <c r="D28" s="1417"/>
      <c r="E28" s="1418"/>
      <c r="F28" s="351"/>
      <c r="G28" s="352"/>
      <c r="H28" s="353"/>
      <c r="I28" s="354"/>
      <c r="N28" s="360">
        <v>128.9</v>
      </c>
      <c r="O28" s="250"/>
    </row>
    <row r="29" spans="1:19">
      <c r="A29" s="1454" t="s">
        <v>137</v>
      </c>
      <c r="B29" s="1455"/>
      <c r="C29" s="1455"/>
      <c r="D29" s="1455"/>
      <c r="E29" s="1455"/>
      <c r="F29" s="1455"/>
      <c r="G29" s="1455"/>
      <c r="H29" s="1468"/>
      <c r="I29" s="361">
        <f>SUM(I21:I24)</f>
        <v>201.33240000000001</v>
      </c>
      <c r="N29" s="357" t="s">
        <v>425</v>
      </c>
    </row>
    <row r="30" spans="1:19">
      <c r="A30" s="1469"/>
      <c r="B30" s="1470"/>
      <c r="C30" s="1470"/>
      <c r="D30" s="1470"/>
      <c r="E30" s="1470"/>
      <c r="F30" s="1470"/>
      <c r="G30" s="1470"/>
      <c r="H30" s="1470"/>
      <c r="I30" s="1471"/>
    </row>
    <row r="31" spans="1:19">
      <c r="A31" s="1456" t="s">
        <v>141</v>
      </c>
      <c r="B31" s="1457"/>
      <c r="C31" s="1457"/>
      <c r="D31" s="1457"/>
      <c r="E31" s="1457"/>
      <c r="F31" s="1457"/>
      <c r="G31" s="1457"/>
      <c r="H31" s="1457"/>
      <c r="I31" s="1458"/>
    </row>
    <row r="32" spans="1:19">
      <c r="A32" s="1472" t="s">
        <v>142</v>
      </c>
      <c r="B32" s="1473"/>
      <c r="C32" s="1473"/>
      <c r="D32" s="1473"/>
      <c r="E32" s="1473"/>
      <c r="F32" s="1473"/>
      <c r="G32" s="1473"/>
      <c r="H32" s="1474"/>
      <c r="I32" s="362">
        <f>I17</f>
        <v>38.421999999999997</v>
      </c>
    </row>
    <row r="33" spans="1:9">
      <c r="A33" s="1463" t="s">
        <v>163</v>
      </c>
      <c r="B33" s="1464"/>
      <c r="C33" s="1464"/>
      <c r="D33" s="1464"/>
      <c r="E33" s="1464"/>
      <c r="F33" s="1464"/>
      <c r="G33" s="1464"/>
      <c r="H33" s="1465"/>
      <c r="I33" s="363">
        <f>I29</f>
        <v>201.33240000000001</v>
      </c>
    </row>
    <row r="34" spans="1:9">
      <c r="A34" s="1463" t="s">
        <v>164</v>
      </c>
      <c r="B34" s="1464"/>
      <c r="C34" s="1464"/>
      <c r="D34" s="1464"/>
      <c r="E34" s="1464"/>
      <c r="F34" s="1464"/>
      <c r="G34" s="1464"/>
      <c r="H34" s="1465"/>
      <c r="I34" s="363"/>
    </row>
    <row r="35" spans="1:9">
      <c r="A35" s="1463" t="s">
        <v>165</v>
      </c>
      <c r="B35" s="1464"/>
      <c r="C35" s="1464"/>
      <c r="D35" s="1464"/>
      <c r="E35" s="1464"/>
      <c r="F35" s="1464"/>
      <c r="G35" s="1464"/>
      <c r="H35" s="1465"/>
      <c r="I35" s="363">
        <f>I32+I33+I34</f>
        <v>239.7544</v>
      </c>
    </row>
    <row r="36" spans="1:9">
      <c r="A36" s="1463" t="s">
        <v>143</v>
      </c>
      <c r="B36" s="1464"/>
      <c r="C36" s="1464"/>
      <c r="D36" s="1464"/>
      <c r="E36" s="1464"/>
      <c r="F36" s="1464"/>
      <c r="G36" s="1464"/>
      <c r="H36" s="1465"/>
      <c r="I36" s="363">
        <f>I35*26.54%</f>
        <v>63.630817759999992</v>
      </c>
    </row>
    <row r="37" spans="1:9" ht="15.75" thickBot="1">
      <c r="A37" s="1466" t="s">
        <v>144</v>
      </c>
      <c r="B37" s="1467"/>
      <c r="C37" s="1467"/>
      <c r="D37" s="1467"/>
      <c r="E37" s="1467"/>
      <c r="F37" s="1467"/>
      <c r="G37" s="1467"/>
      <c r="H37" s="1467"/>
      <c r="I37" s="364">
        <f>I35+I36</f>
        <v>303.38521775999999</v>
      </c>
    </row>
    <row r="38" spans="1:9">
      <c r="A38" s="365"/>
      <c r="B38" s="366"/>
      <c r="C38" s="294"/>
      <c r="D38" s="294"/>
      <c r="E38" s="294"/>
      <c r="F38" s="366"/>
      <c r="G38" s="367"/>
      <c r="H38" s="368"/>
      <c r="I38" s="369"/>
    </row>
  </sheetData>
  <mergeCells count="38">
    <mergeCell ref="B1:D2"/>
    <mergeCell ref="C15:E15"/>
    <mergeCell ref="E1:H4"/>
    <mergeCell ref="I1:I2"/>
    <mergeCell ref="A7:D7"/>
    <mergeCell ref="A9:I9"/>
    <mergeCell ref="C10:E10"/>
    <mergeCell ref="C11:E11"/>
    <mergeCell ref="C12:E12"/>
    <mergeCell ref="C13:E13"/>
    <mergeCell ref="C14:E14"/>
    <mergeCell ref="B4:D4"/>
    <mergeCell ref="B3:D3"/>
    <mergeCell ref="B5:H5"/>
    <mergeCell ref="C26:E26"/>
    <mergeCell ref="C16:E16"/>
    <mergeCell ref="A17:H17"/>
    <mergeCell ref="A19:I19"/>
    <mergeCell ref="C20:E20"/>
    <mergeCell ref="C21:E21"/>
    <mergeCell ref="C22:E22"/>
    <mergeCell ref="L22:N22"/>
    <mergeCell ref="P22:Q22"/>
    <mergeCell ref="C23:E23"/>
    <mergeCell ref="C24:E24"/>
    <mergeCell ref="C25:E25"/>
    <mergeCell ref="A37:H37"/>
    <mergeCell ref="C27:E27"/>
    <mergeCell ref="N27:P27"/>
    <mergeCell ref="C28:E28"/>
    <mergeCell ref="A29:H29"/>
    <mergeCell ref="A30:I30"/>
    <mergeCell ref="A31:I31"/>
    <mergeCell ref="A32:H32"/>
    <mergeCell ref="A33:H33"/>
    <mergeCell ref="A34:H34"/>
    <mergeCell ref="A35:H35"/>
    <mergeCell ref="A36:H36"/>
  </mergeCells>
  <hyperlinks>
    <hyperlink ref="P24" r:id="rId1"/>
    <hyperlink ref="N29" r:id="rId2"/>
  </hyperlinks>
  <printOptions horizontalCentered="1"/>
  <pageMargins left="0.51181102362204722" right="0.51181102362204722" top="0.78740157480314965" bottom="0.78740157480314965" header="0.31496062992125984" footer="0.31496062992125984"/>
  <pageSetup paperSize="9" scale="84" orientation="portrait" horizontalDpi="4294967294" verticalDpi="4294967294" r:id="rId3"/>
  <colBreaks count="1" manualBreakCount="1">
    <brk id="9" max="1048575" man="1"/>
  </colBreaks>
  <drawing r:id="rId4"/>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136"/>
  <sheetViews>
    <sheetView workbookViewId="0">
      <selection activeCell="C140" sqref="C140"/>
    </sheetView>
  </sheetViews>
  <sheetFormatPr defaultRowHeight="15"/>
  <cols>
    <col min="2" max="2" width="13.28515625" customWidth="1"/>
    <col min="3" max="3" width="47.42578125" customWidth="1"/>
    <col min="4" max="4" width="14.28515625" bestFit="1" customWidth="1"/>
    <col min="5" max="10" width="13.28515625" bestFit="1" customWidth="1"/>
    <col min="12" max="12" width="15.28515625" bestFit="1" customWidth="1"/>
  </cols>
  <sheetData>
    <row r="2" spans="2:12">
      <c r="B2" s="153" t="s">
        <v>51</v>
      </c>
      <c r="C2" s="154" t="s">
        <v>45</v>
      </c>
    </row>
    <row r="3" spans="2:12">
      <c r="B3" s="5" t="s">
        <v>54</v>
      </c>
      <c r="C3" s="143" t="s">
        <v>297</v>
      </c>
      <c r="E3" s="902" t="s">
        <v>1141</v>
      </c>
      <c r="F3" s="902" t="s">
        <v>1142</v>
      </c>
      <c r="G3" s="902" t="s">
        <v>1143</v>
      </c>
      <c r="H3" s="902" t="s">
        <v>1144</v>
      </c>
      <c r="I3" s="902" t="s">
        <v>1145</v>
      </c>
      <c r="J3" s="902" t="s">
        <v>1146</v>
      </c>
      <c r="L3" t="s">
        <v>245</v>
      </c>
    </row>
    <row r="4" spans="2:12" ht="26.25" thickBot="1">
      <c r="B4" s="168" t="s">
        <v>999</v>
      </c>
      <c r="C4" s="146" t="s">
        <v>298</v>
      </c>
      <c r="D4" s="880">
        <v>12519.8676</v>
      </c>
      <c r="E4" s="900">
        <f>D4/6</f>
        <v>2086.6446000000001</v>
      </c>
      <c r="F4" s="900">
        <f>E4</f>
        <v>2086.6446000000001</v>
      </c>
      <c r="G4" s="900">
        <f>F4</f>
        <v>2086.6446000000001</v>
      </c>
      <c r="H4" s="900">
        <f>G4</f>
        <v>2086.6446000000001</v>
      </c>
      <c r="I4" s="900">
        <f>H4</f>
        <v>2086.6446000000001</v>
      </c>
      <c r="J4" s="900">
        <f>I4</f>
        <v>2086.6446000000001</v>
      </c>
      <c r="L4" s="716">
        <f>ROUND(SUM(E4:J4),2)</f>
        <v>12519.87</v>
      </c>
    </row>
    <row r="5" spans="2:12" ht="15.75" thickBot="1">
      <c r="B5" s="159"/>
      <c r="C5" s="150" t="s">
        <v>8</v>
      </c>
      <c r="D5" s="881">
        <v>12519.8676</v>
      </c>
      <c r="E5" s="901"/>
      <c r="F5" s="901"/>
      <c r="G5" s="901"/>
      <c r="H5" s="901"/>
      <c r="I5" s="901"/>
      <c r="J5" s="901"/>
      <c r="L5" s="716">
        <f t="shared" ref="L5:L7" si="0">ROUND(SUM(E5:J5),2)</f>
        <v>0</v>
      </c>
    </row>
    <row r="6" spans="2:12">
      <c r="B6" s="5" t="s">
        <v>107</v>
      </c>
      <c r="C6" s="6" t="s">
        <v>21</v>
      </c>
      <c r="D6" s="882"/>
      <c r="E6" s="901"/>
      <c r="F6" s="901"/>
      <c r="G6" s="901"/>
      <c r="H6" s="901"/>
      <c r="I6" s="901"/>
      <c r="J6" s="901"/>
      <c r="L6" s="716">
        <f t="shared" si="0"/>
        <v>0</v>
      </c>
    </row>
    <row r="7" spans="2:12">
      <c r="B7" s="5" t="s">
        <v>106</v>
      </c>
      <c r="C7" s="6" t="s">
        <v>9</v>
      </c>
      <c r="D7" s="882"/>
      <c r="E7" s="901"/>
      <c r="F7" s="901"/>
      <c r="G7" s="901"/>
      <c r="H7" s="901"/>
      <c r="I7" s="901"/>
      <c r="J7" s="901"/>
      <c r="L7" s="716">
        <f t="shared" si="0"/>
        <v>0</v>
      </c>
    </row>
    <row r="8" spans="2:12">
      <c r="B8" s="158" t="s">
        <v>111</v>
      </c>
      <c r="C8" s="146" t="s">
        <v>108</v>
      </c>
      <c r="D8" s="880">
        <v>25342.671199999997</v>
      </c>
      <c r="E8" s="900">
        <f>D8</f>
        <v>25342.671199999997</v>
      </c>
      <c r="F8" s="901"/>
      <c r="G8" s="901"/>
      <c r="H8" s="901"/>
      <c r="I8" s="901"/>
      <c r="J8" s="901"/>
      <c r="L8" s="716">
        <f>ROUND(SUM(E8:J8),2)</f>
        <v>25342.67</v>
      </c>
    </row>
    <row r="9" spans="2:12" ht="25.5">
      <c r="B9" s="158" t="s">
        <v>301</v>
      </c>
      <c r="C9" s="146" t="s">
        <v>110</v>
      </c>
      <c r="D9" s="880">
        <v>2762.32</v>
      </c>
      <c r="E9" s="900">
        <f>D9</f>
        <v>2762.32</v>
      </c>
      <c r="F9" s="901"/>
      <c r="G9" s="901"/>
      <c r="H9" s="901"/>
      <c r="I9" s="901"/>
      <c r="J9" s="901"/>
      <c r="L9" s="716">
        <f t="shared" ref="L9:L72" si="1">ROUND(SUM(E9:J9),2)</f>
        <v>2762.32</v>
      </c>
    </row>
    <row r="10" spans="2:12" ht="76.5">
      <c r="B10" s="158" t="s">
        <v>302</v>
      </c>
      <c r="C10" s="146" t="s">
        <v>805</v>
      </c>
      <c r="D10" s="880">
        <v>2995.4399999999996</v>
      </c>
      <c r="E10" s="900">
        <f>D10</f>
        <v>2995.4399999999996</v>
      </c>
      <c r="F10" s="901"/>
      <c r="G10" s="901"/>
      <c r="H10" s="901"/>
      <c r="I10" s="901"/>
      <c r="J10" s="901"/>
      <c r="L10" s="716">
        <f t="shared" si="1"/>
        <v>2995.44</v>
      </c>
    </row>
    <row r="11" spans="2:12" ht="38.25">
      <c r="B11" s="158" t="s">
        <v>303</v>
      </c>
      <c r="C11" s="574" t="s">
        <v>146</v>
      </c>
      <c r="D11" s="883">
        <v>601.75279999999998</v>
      </c>
      <c r="E11" s="901"/>
      <c r="F11" s="901"/>
      <c r="G11" s="901"/>
      <c r="H11" s="901"/>
      <c r="I11" s="901"/>
      <c r="J11" s="900">
        <f>D11</f>
        <v>601.75279999999998</v>
      </c>
      <c r="L11" s="716">
        <f t="shared" si="1"/>
        <v>601.75</v>
      </c>
    </row>
    <row r="12" spans="2:12">
      <c r="B12" s="161" t="s">
        <v>114</v>
      </c>
      <c r="C12" s="6" t="s">
        <v>7</v>
      </c>
      <c r="D12" s="882"/>
      <c r="E12" s="901"/>
      <c r="F12" s="901"/>
      <c r="G12" s="901"/>
      <c r="H12" s="901"/>
      <c r="I12" s="901"/>
      <c r="J12" s="901"/>
      <c r="L12" s="716">
        <f t="shared" si="1"/>
        <v>0</v>
      </c>
    </row>
    <row r="13" spans="2:12" ht="51">
      <c r="B13" s="158" t="s">
        <v>115</v>
      </c>
      <c r="C13" s="146" t="s">
        <v>300</v>
      </c>
      <c r="D13" s="880">
        <v>7957.7784000000001</v>
      </c>
      <c r="E13" s="901"/>
      <c r="F13" s="900">
        <f>D13</f>
        <v>7957.7784000000001</v>
      </c>
      <c r="G13" s="901"/>
      <c r="H13" s="901"/>
      <c r="I13" s="901"/>
      <c r="J13" s="901"/>
      <c r="L13" s="716">
        <f t="shared" si="1"/>
        <v>7957.78</v>
      </c>
    </row>
    <row r="14" spans="2:12" ht="25.5">
      <c r="B14" s="158" t="s">
        <v>304</v>
      </c>
      <c r="C14" s="146" t="s">
        <v>379</v>
      </c>
      <c r="D14" s="880">
        <v>1999.34</v>
      </c>
      <c r="E14" s="900">
        <f>D14/3</f>
        <v>666.4466666666666</v>
      </c>
      <c r="F14" s="901"/>
      <c r="G14" s="900">
        <f>D14/3</f>
        <v>666.4466666666666</v>
      </c>
      <c r="H14" s="901"/>
      <c r="I14" s="901"/>
      <c r="J14" s="900">
        <f>D14/3</f>
        <v>666.4466666666666</v>
      </c>
      <c r="L14" s="716">
        <f t="shared" si="1"/>
        <v>1999.34</v>
      </c>
    </row>
    <row r="15" spans="2:12">
      <c r="B15" s="5" t="s">
        <v>116</v>
      </c>
      <c r="C15" s="7" t="s">
        <v>55</v>
      </c>
      <c r="D15" s="884"/>
      <c r="E15" s="901"/>
      <c r="F15" s="901"/>
      <c r="G15" s="901"/>
      <c r="H15" s="901"/>
      <c r="I15" s="901"/>
      <c r="J15" s="901"/>
      <c r="L15" s="716">
        <f t="shared" si="1"/>
        <v>0</v>
      </c>
    </row>
    <row r="16" spans="2:12">
      <c r="B16" s="157" t="s">
        <v>117</v>
      </c>
      <c r="C16" s="146" t="s">
        <v>0</v>
      </c>
      <c r="D16" s="880">
        <v>2106.52</v>
      </c>
      <c r="E16" s="900">
        <f>D16</f>
        <v>2106.52</v>
      </c>
      <c r="F16" s="901"/>
      <c r="G16" s="901"/>
      <c r="H16" s="901"/>
      <c r="I16" s="901"/>
      <c r="J16" s="901"/>
      <c r="L16" s="716">
        <f t="shared" si="1"/>
        <v>2106.52</v>
      </c>
    </row>
    <row r="17" spans="2:12" ht="38.25">
      <c r="B17" s="157" t="s">
        <v>306</v>
      </c>
      <c r="C17" s="146" t="s">
        <v>1</v>
      </c>
      <c r="D17" s="880">
        <v>4966.1000000000004</v>
      </c>
      <c r="E17" s="900">
        <f>D17</f>
        <v>4966.1000000000004</v>
      </c>
      <c r="F17" s="901"/>
      <c r="G17" s="901"/>
      <c r="H17" s="901"/>
      <c r="I17" s="901"/>
      <c r="J17" s="901"/>
      <c r="L17" s="716">
        <f t="shared" si="1"/>
        <v>4966.1000000000004</v>
      </c>
    </row>
    <row r="18" spans="2:12" ht="38.25">
      <c r="B18" s="157" t="s">
        <v>307</v>
      </c>
      <c r="C18" s="146" t="s">
        <v>2</v>
      </c>
      <c r="D18" s="880">
        <v>91.67</v>
      </c>
      <c r="E18" s="901"/>
      <c r="F18" s="900">
        <f>D18</f>
        <v>91.67</v>
      </c>
      <c r="G18" s="901"/>
      <c r="H18" s="901"/>
      <c r="I18" s="901"/>
      <c r="J18" s="901"/>
      <c r="L18" s="716">
        <f t="shared" si="1"/>
        <v>91.67</v>
      </c>
    </row>
    <row r="19" spans="2:12" ht="25.5">
      <c r="B19" s="157" t="s">
        <v>1056</v>
      </c>
      <c r="C19" s="146" t="s">
        <v>817</v>
      </c>
      <c r="D19" s="880">
        <v>220.46</v>
      </c>
      <c r="E19" s="900">
        <f>D19</f>
        <v>220.46</v>
      </c>
      <c r="F19" s="901"/>
      <c r="G19" s="901"/>
      <c r="H19" s="901"/>
      <c r="I19" s="901"/>
      <c r="J19" s="901"/>
      <c r="L19" s="716">
        <f t="shared" si="1"/>
        <v>220.46</v>
      </c>
    </row>
    <row r="20" spans="2:12">
      <c r="B20" s="157" t="s">
        <v>308</v>
      </c>
      <c r="C20" s="146" t="s">
        <v>3</v>
      </c>
      <c r="D20" s="880">
        <v>123.96</v>
      </c>
      <c r="E20" s="900">
        <f>D20</f>
        <v>123.96</v>
      </c>
      <c r="F20" s="901"/>
      <c r="G20" s="901"/>
      <c r="H20" s="901"/>
      <c r="I20" s="901"/>
      <c r="J20" s="901"/>
      <c r="L20" s="716">
        <f t="shared" si="1"/>
        <v>123.96</v>
      </c>
    </row>
    <row r="21" spans="2:12" ht="51">
      <c r="B21" s="157" t="s">
        <v>309</v>
      </c>
      <c r="C21" s="146" t="s">
        <v>1033</v>
      </c>
      <c r="D21" s="880">
        <v>423.15</v>
      </c>
      <c r="E21" s="900">
        <f>D21/2</f>
        <v>211.57499999999999</v>
      </c>
      <c r="F21" s="901"/>
      <c r="G21" s="901"/>
      <c r="H21" s="901"/>
      <c r="I21" s="901"/>
      <c r="J21" s="900">
        <f>D21/2</f>
        <v>211.57499999999999</v>
      </c>
      <c r="L21" s="716">
        <f t="shared" si="1"/>
        <v>423.15</v>
      </c>
    </row>
    <row r="22" spans="2:12" ht="25.5">
      <c r="B22" s="157" t="s">
        <v>310</v>
      </c>
      <c r="C22" s="146" t="s">
        <v>4</v>
      </c>
      <c r="D22" s="880">
        <v>1268.52</v>
      </c>
      <c r="E22" s="900">
        <f>D22</f>
        <v>1268.52</v>
      </c>
      <c r="F22" s="901"/>
      <c r="G22" s="901"/>
      <c r="H22" s="901"/>
      <c r="I22" s="901"/>
      <c r="J22" s="901"/>
      <c r="L22" s="716">
        <f t="shared" si="1"/>
        <v>1268.52</v>
      </c>
    </row>
    <row r="23" spans="2:12" ht="25.5">
      <c r="B23" s="157" t="s">
        <v>1057</v>
      </c>
      <c r="C23" s="146" t="s">
        <v>5</v>
      </c>
      <c r="D23" s="880">
        <v>610.55999999999995</v>
      </c>
      <c r="E23" s="900">
        <f>D23</f>
        <v>610.55999999999995</v>
      </c>
      <c r="F23" s="900"/>
      <c r="G23" s="901"/>
      <c r="H23" s="901"/>
      <c r="I23" s="901"/>
      <c r="J23" s="901"/>
      <c r="L23" s="716">
        <f t="shared" si="1"/>
        <v>610.55999999999995</v>
      </c>
    </row>
    <row r="24" spans="2:12" ht="15.75" thickBot="1">
      <c r="B24" s="157" t="s">
        <v>311</v>
      </c>
      <c r="C24" s="637" t="s">
        <v>6</v>
      </c>
      <c r="D24" s="885">
        <v>488.79972432</v>
      </c>
      <c r="E24" s="900">
        <f>D24</f>
        <v>488.79972432</v>
      </c>
      <c r="F24" s="901"/>
      <c r="G24" s="901"/>
      <c r="H24" s="901"/>
      <c r="I24" s="901"/>
      <c r="J24" s="901"/>
      <c r="L24" s="716">
        <f t="shared" si="1"/>
        <v>488.8</v>
      </c>
    </row>
    <row r="25" spans="2:12" ht="15.75" thickBot="1">
      <c r="B25" s="159"/>
      <c r="C25" s="150" t="s">
        <v>10</v>
      </c>
      <c r="D25" s="881">
        <v>51959.042124319982</v>
      </c>
      <c r="E25" s="901"/>
      <c r="F25" s="901"/>
      <c r="G25" s="901"/>
      <c r="H25" s="901"/>
      <c r="I25" s="901"/>
      <c r="J25" s="901"/>
      <c r="L25" s="716">
        <f t="shared" si="1"/>
        <v>0</v>
      </c>
    </row>
    <row r="26" spans="2:12">
      <c r="B26" s="5" t="s">
        <v>312</v>
      </c>
      <c r="C26" s="57" t="s">
        <v>11</v>
      </c>
      <c r="D26" s="882"/>
      <c r="E26" s="901"/>
      <c r="F26" s="901"/>
      <c r="G26" s="901"/>
      <c r="H26" s="901"/>
      <c r="I26" s="901"/>
      <c r="J26" s="901"/>
      <c r="L26" s="716">
        <f t="shared" si="1"/>
        <v>0</v>
      </c>
    </row>
    <row r="27" spans="2:12">
      <c r="B27" s="5" t="s">
        <v>313</v>
      </c>
      <c r="C27" s="57" t="s">
        <v>12</v>
      </c>
      <c r="D27" s="882"/>
      <c r="E27" s="901"/>
      <c r="F27" s="901"/>
      <c r="G27" s="901"/>
      <c r="H27" s="901"/>
      <c r="I27" s="901"/>
      <c r="J27" s="901"/>
      <c r="L27" s="716">
        <f t="shared" si="1"/>
        <v>0</v>
      </c>
    </row>
    <row r="28" spans="2:12" ht="38.25">
      <c r="B28" s="157" t="s">
        <v>314</v>
      </c>
      <c r="C28" s="574" t="s">
        <v>118</v>
      </c>
      <c r="D28" s="883">
        <v>200.18</v>
      </c>
      <c r="E28" s="900">
        <f>D28</f>
        <v>200.18</v>
      </c>
      <c r="F28" s="901"/>
      <c r="G28" s="901"/>
      <c r="H28" s="901"/>
      <c r="I28" s="901"/>
      <c r="J28" s="901"/>
      <c r="L28" s="716">
        <f t="shared" si="1"/>
        <v>200.18</v>
      </c>
    </row>
    <row r="29" spans="2:12" ht="51">
      <c r="B29" s="157" t="s">
        <v>315</v>
      </c>
      <c r="C29" s="574" t="s">
        <v>120</v>
      </c>
      <c r="D29" s="883">
        <v>208.86</v>
      </c>
      <c r="E29" s="901"/>
      <c r="F29" s="900">
        <f>D29</f>
        <v>208.86</v>
      </c>
      <c r="G29" s="901"/>
      <c r="H29" s="901"/>
      <c r="I29" s="901"/>
      <c r="J29" s="901"/>
      <c r="L29" s="716">
        <f t="shared" si="1"/>
        <v>208.86</v>
      </c>
    </row>
    <row r="30" spans="2:12" ht="38.25">
      <c r="B30" s="157" t="s">
        <v>794</v>
      </c>
      <c r="C30" s="574" t="s">
        <v>99</v>
      </c>
      <c r="D30" s="883">
        <v>23.5</v>
      </c>
      <c r="E30" s="901"/>
      <c r="F30" s="900">
        <f>D30</f>
        <v>23.5</v>
      </c>
      <c r="G30" s="901"/>
      <c r="H30" s="901"/>
      <c r="I30" s="901"/>
      <c r="J30" s="901"/>
      <c r="L30" s="716">
        <f t="shared" si="1"/>
        <v>23.5</v>
      </c>
    </row>
    <row r="31" spans="2:12">
      <c r="B31" s="5" t="s">
        <v>316</v>
      </c>
      <c r="C31" s="575" t="s">
        <v>13</v>
      </c>
      <c r="D31" s="886"/>
      <c r="E31" s="901"/>
      <c r="F31" s="901"/>
      <c r="G31" s="901"/>
      <c r="H31" s="901"/>
      <c r="I31" s="901"/>
      <c r="J31" s="901"/>
      <c r="L31" s="716">
        <f t="shared" si="1"/>
        <v>0</v>
      </c>
    </row>
    <row r="32" spans="2:12" ht="63.75">
      <c r="B32" s="157" t="s">
        <v>321</v>
      </c>
      <c r="C32" s="574" t="s">
        <v>100</v>
      </c>
      <c r="D32" s="883">
        <v>485.81</v>
      </c>
      <c r="E32" s="901"/>
      <c r="F32" s="900">
        <f>D32</f>
        <v>485.81</v>
      </c>
      <c r="G32" s="901"/>
      <c r="H32" s="901"/>
      <c r="I32" s="901"/>
      <c r="J32" s="901"/>
      <c r="L32" s="716">
        <f t="shared" si="1"/>
        <v>485.81</v>
      </c>
    </row>
    <row r="33" spans="2:12">
      <c r="B33" s="5" t="s">
        <v>318</v>
      </c>
      <c r="C33" s="575" t="s">
        <v>14</v>
      </c>
      <c r="D33" s="886"/>
      <c r="E33" s="901"/>
      <c r="F33" s="901"/>
      <c r="G33" s="901"/>
      <c r="H33" s="901"/>
      <c r="I33" s="901"/>
      <c r="J33" s="901"/>
      <c r="L33" s="716">
        <f t="shared" si="1"/>
        <v>0</v>
      </c>
    </row>
    <row r="34" spans="2:12" ht="63.75">
      <c r="B34" s="157" t="s">
        <v>322</v>
      </c>
      <c r="C34" s="574" t="s">
        <v>1135</v>
      </c>
      <c r="D34" s="883">
        <v>2798.25</v>
      </c>
      <c r="E34" s="901"/>
      <c r="F34" s="900">
        <f>D34</f>
        <v>2798.25</v>
      </c>
      <c r="G34" s="901"/>
      <c r="H34" s="901"/>
      <c r="I34" s="901"/>
      <c r="J34" s="901"/>
      <c r="L34" s="716">
        <f t="shared" si="1"/>
        <v>2798.25</v>
      </c>
    </row>
    <row r="35" spans="2:12" ht="77.25" thickBot="1">
      <c r="B35" s="157" t="s">
        <v>323</v>
      </c>
      <c r="C35" s="169" t="s">
        <v>305</v>
      </c>
      <c r="D35" s="887">
        <v>8730.1</v>
      </c>
      <c r="E35" s="900">
        <f>D35/3</f>
        <v>2910.0333333333333</v>
      </c>
      <c r="F35" s="901"/>
      <c r="G35" s="900">
        <f>D35/3</f>
        <v>2910.0333333333333</v>
      </c>
      <c r="H35" s="901"/>
      <c r="I35" s="901"/>
      <c r="J35" s="900">
        <f>D35/3</f>
        <v>2910.0333333333333</v>
      </c>
      <c r="L35" s="716">
        <f t="shared" si="1"/>
        <v>8730.1</v>
      </c>
    </row>
    <row r="36" spans="2:12" ht="15.75" thickBot="1">
      <c r="B36" s="159"/>
      <c r="C36" s="150" t="s">
        <v>15</v>
      </c>
      <c r="D36" s="881">
        <v>12446.7</v>
      </c>
      <c r="E36" s="901"/>
      <c r="F36" s="901"/>
      <c r="G36" s="901"/>
      <c r="H36" s="901"/>
      <c r="I36" s="901"/>
      <c r="J36" s="901"/>
      <c r="L36" s="716">
        <f t="shared" si="1"/>
        <v>0</v>
      </c>
    </row>
    <row r="37" spans="2:12" ht="25.5">
      <c r="B37" s="5" t="s">
        <v>317</v>
      </c>
      <c r="C37" s="575" t="s">
        <v>320</v>
      </c>
      <c r="D37" s="886"/>
      <c r="E37" s="901"/>
      <c r="F37" s="901"/>
      <c r="G37" s="901"/>
      <c r="H37" s="901"/>
      <c r="I37" s="901"/>
      <c r="J37" s="901"/>
      <c r="L37" s="716">
        <f t="shared" si="1"/>
        <v>0</v>
      </c>
    </row>
    <row r="38" spans="2:12" ht="63.75">
      <c r="B38" s="157" t="s">
        <v>795</v>
      </c>
      <c r="C38" s="574" t="s">
        <v>378</v>
      </c>
      <c r="D38" s="883">
        <v>3303.95</v>
      </c>
      <c r="E38" s="901"/>
      <c r="F38" s="900">
        <f>D38</f>
        <v>3303.95</v>
      </c>
      <c r="G38" s="901"/>
      <c r="H38" s="901"/>
      <c r="I38" s="901"/>
      <c r="J38" s="901"/>
      <c r="L38" s="716">
        <f t="shared" si="1"/>
        <v>3303.95</v>
      </c>
    </row>
    <row r="39" spans="2:12" ht="15.75" thickBot="1">
      <c r="B39" s="157" t="s">
        <v>797</v>
      </c>
      <c r="C39" s="195" t="s">
        <v>167</v>
      </c>
      <c r="D39" s="888">
        <v>154.88</v>
      </c>
      <c r="E39" s="901"/>
      <c r="F39" s="900">
        <f>D39</f>
        <v>154.88</v>
      </c>
      <c r="G39" s="901"/>
      <c r="H39" s="901"/>
      <c r="I39" s="901"/>
      <c r="J39" s="901"/>
      <c r="L39" s="716">
        <f t="shared" si="1"/>
        <v>154.88</v>
      </c>
    </row>
    <row r="40" spans="2:12" ht="15.75" thickBot="1">
      <c r="B40" s="159"/>
      <c r="C40" s="150" t="s">
        <v>19</v>
      </c>
      <c r="D40" s="881">
        <v>3458.83</v>
      </c>
      <c r="E40" s="901"/>
      <c r="F40" s="901"/>
      <c r="G40" s="901"/>
      <c r="H40" s="901"/>
      <c r="I40" s="901"/>
      <c r="J40" s="901"/>
      <c r="L40" s="716">
        <f t="shared" si="1"/>
        <v>0</v>
      </c>
    </row>
    <row r="41" spans="2:12">
      <c r="B41" s="5" t="s">
        <v>324</v>
      </c>
      <c r="C41" s="57" t="s">
        <v>16</v>
      </c>
      <c r="D41" s="882"/>
      <c r="E41" s="901"/>
      <c r="F41" s="901"/>
      <c r="G41" s="901"/>
      <c r="H41" s="901"/>
      <c r="I41" s="901"/>
      <c r="J41" s="901"/>
      <c r="L41" s="716">
        <f t="shared" si="1"/>
        <v>0</v>
      </c>
    </row>
    <row r="42" spans="2:12">
      <c r="B42" s="5" t="s">
        <v>325</v>
      </c>
      <c r="C42" s="57" t="s">
        <v>17</v>
      </c>
      <c r="D42" s="882"/>
      <c r="E42" s="901"/>
      <c r="F42" s="901"/>
      <c r="G42" s="901"/>
      <c r="H42" s="901"/>
      <c r="I42" s="901"/>
      <c r="J42" s="901"/>
      <c r="L42" s="716">
        <f t="shared" si="1"/>
        <v>0</v>
      </c>
    </row>
    <row r="43" spans="2:12">
      <c r="B43" s="157" t="s">
        <v>326</v>
      </c>
      <c r="C43" s="195" t="s">
        <v>18</v>
      </c>
      <c r="D43" s="888">
        <v>289.95</v>
      </c>
      <c r="E43" s="901"/>
      <c r="F43" s="900">
        <f>D43</f>
        <v>289.95</v>
      </c>
      <c r="G43" s="900"/>
      <c r="H43" s="901"/>
      <c r="I43" s="901"/>
      <c r="J43" s="901"/>
      <c r="L43" s="716">
        <f t="shared" si="1"/>
        <v>289.95</v>
      </c>
    </row>
    <row r="44" spans="2:12" ht="26.25" thickBot="1">
      <c r="B44" s="157" t="s">
        <v>327</v>
      </c>
      <c r="C44" s="169" t="s">
        <v>319</v>
      </c>
      <c r="D44" s="887">
        <v>101.04</v>
      </c>
      <c r="E44" s="901"/>
      <c r="F44" s="901"/>
      <c r="G44" s="901"/>
      <c r="H44" s="901"/>
      <c r="I44" s="901"/>
      <c r="J44" s="900">
        <f>D44</f>
        <v>101.04</v>
      </c>
      <c r="L44" s="716">
        <f t="shared" si="1"/>
        <v>101.04</v>
      </c>
    </row>
    <row r="45" spans="2:12" ht="15.75" thickBot="1">
      <c r="B45" s="159"/>
      <c r="C45" s="150" t="s">
        <v>24</v>
      </c>
      <c r="D45" s="881">
        <v>390.99</v>
      </c>
      <c r="E45" s="901"/>
      <c r="F45" s="901"/>
      <c r="G45" s="901"/>
      <c r="H45" s="901"/>
      <c r="I45" s="901"/>
      <c r="J45" s="901"/>
      <c r="L45" s="716">
        <f t="shared" si="1"/>
        <v>0</v>
      </c>
    </row>
    <row r="46" spans="2:12">
      <c r="B46" s="5" t="s">
        <v>328</v>
      </c>
      <c r="C46" s="576" t="s">
        <v>20</v>
      </c>
      <c r="D46" s="889"/>
      <c r="E46" s="901"/>
      <c r="F46" s="901"/>
      <c r="G46" s="901"/>
      <c r="H46" s="901"/>
      <c r="I46" s="901"/>
      <c r="J46" s="901"/>
      <c r="L46" s="716">
        <f t="shared" si="1"/>
        <v>0</v>
      </c>
    </row>
    <row r="47" spans="2:12" ht="63.75">
      <c r="B47" s="157" t="s">
        <v>333</v>
      </c>
      <c r="C47" s="169" t="s">
        <v>978</v>
      </c>
      <c r="D47" s="887">
        <v>2833.12</v>
      </c>
      <c r="E47" s="901"/>
      <c r="F47" s="901"/>
      <c r="G47" s="900">
        <f>D47</f>
        <v>2833.12</v>
      </c>
      <c r="H47" s="901"/>
      <c r="I47" s="901"/>
      <c r="J47" s="901"/>
      <c r="L47" s="716">
        <f t="shared" si="1"/>
        <v>2833.12</v>
      </c>
    </row>
    <row r="48" spans="2:12" ht="25.5">
      <c r="B48" s="157" t="s">
        <v>902</v>
      </c>
      <c r="C48" s="169" t="s">
        <v>988</v>
      </c>
      <c r="D48" s="887">
        <v>1347.13</v>
      </c>
      <c r="E48" s="901"/>
      <c r="F48" s="901"/>
      <c r="G48" s="900">
        <f>D48</f>
        <v>1347.13</v>
      </c>
      <c r="H48" s="901"/>
      <c r="I48" s="901"/>
      <c r="J48" s="901"/>
      <c r="L48" s="716">
        <f t="shared" si="1"/>
        <v>1347.13</v>
      </c>
    </row>
    <row r="49" spans="2:12" ht="51">
      <c r="B49" s="157" t="s">
        <v>801</v>
      </c>
      <c r="C49" s="169" t="s">
        <v>993</v>
      </c>
      <c r="D49" s="887">
        <v>711.76</v>
      </c>
      <c r="E49" s="901"/>
      <c r="F49" s="901"/>
      <c r="G49" s="900">
        <f>D49</f>
        <v>711.76</v>
      </c>
      <c r="H49" s="901"/>
      <c r="I49" s="901"/>
      <c r="J49" s="901"/>
      <c r="L49" s="716">
        <f t="shared" si="1"/>
        <v>711.76</v>
      </c>
    </row>
    <row r="50" spans="2:12" ht="63.75">
      <c r="B50" s="157" t="s">
        <v>987</v>
      </c>
      <c r="C50" s="169" t="s">
        <v>329</v>
      </c>
      <c r="D50" s="887">
        <v>979.11</v>
      </c>
      <c r="E50" s="901"/>
      <c r="F50" s="901"/>
      <c r="G50" s="900">
        <f>D50</f>
        <v>979.11</v>
      </c>
      <c r="H50" s="901"/>
      <c r="I50" s="901"/>
      <c r="J50" s="901"/>
      <c r="L50" s="716">
        <f t="shared" si="1"/>
        <v>979.11</v>
      </c>
    </row>
    <row r="51" spans="2:12" ht="102">
      <c r="B51" s="157" t="s">
        <v>903</v>
      </c>
      <c r="C51" s="169" t="s">
        <v>1035</v>
      </c>
      <c r="D51" s="887">
        <v>35160.29</v>
      </c>
      <c r="E51" s="901"/>
      <c r="F51" s="901"/>
      <c r="G51" s="901"/>
      <c r="H51" s="901"/>
      <c r="I51" s="900">
        <f>D51</f>
        <v>35160.29</v>
      </c>
      <c r="J51" s="901"/>
      <c r="L51" s="716">
        <f t="shared" si="1"/>
        <v>35160.29</v>
      </c>
    </row>
    <row r="52" spans="2:12" ht="51">
      <c r="B52" s="157" t="s">
        <v>904</v>
      </c>
      <c r="C52" s="169" t="s">
        <v>995</v>
      </c>
      <c r="D52" s="887">
        <v>118.57</v>
      </c>
      <c r="E52" s="901"/>
      <c r="F52" s="901"/>
      <c r="G52" s="900">
        <f>D52</f>
        <v>118.57</v>
      </c>
      <c r="H52" s="901"/>
      <c r="I52" s="901"/>
      <c r="J52" s="901"/>
      <c r="L52" s="716">
        <f t="shared" si="1"/>
        <v>118.57</v>
      </c>
    </row>
    <row r="53" spans="2:12" ht="38.25">
      <c r="B53" s="157" t="s">
        <v>905</v>
      </c>
      <c r="C53" s="169" t="s">
        <v>977</v>
      </c>
      <c r="D53" s="887">
        <v>1165.8699999999999</v>
      </c>
      <c r="E53" s="901"/>
      <c r="F53" s="901"/>
      <c r="G53" s="900">
        <f>D53</f>
        <v>1165.8699999999999</v>
      </c>
      <c r="H53" s="901"/>
      <c r="I53" s="901"/>
      <c r="J53" s="901"/>
      <c r="L53" s="716">
        <f t="shared" si="1"/>
        <v>1165.8699999999999</v>
      </c>
    </row>
    <row r="54" spans="2:12" ht="51">
      <c r="B54" s="157" t="s">
        <v>906</v>
      </c>
      <c r="C54" s="169" t="s">
        <v>930</v>
      </c>
      <c r="D54" s="887">
        <v>293.11</v>
      </c>
      <c r="E54" s="901"/>
      <c r="F54" s="901"/>
      <c r="G54" s="900">
        <f>D54</f>
        <v>293.11</v>
      </c>
      <c r="H54" s="901"/>
      <c r="I54" s="901"/>
      <c r="J54" s="901"/>
      <c r="L54" s="716">
        <f t="shared" si="1"/>
        <v>293.11</v>
      </c>
    </row>
    <row r="55" spans="2:12" ht="63.75">
      <c r="B55" s="157" t="s">
        <v>907</v>
      </c>
      <c r="C55" s="169" t="s">
        <v>968</v>
      </c>
      <c r="D55" s="887">
        <v>683.2</v>
      </c>
      <c r="E55" s="901"/>
      <c r="F55" s="901"/>
      <c r="G55" s="901"/>
      <c r="H55" s="900">
        <f>D55</f>
        <v>683.2</v>
      </c>
      <c r="I55" s="901"/>
      <c r="J55" s="901"/>
      <c r="L55" s="716">
        <f t="shared" si="1"/>
        <v>683.2</v>
      </c>
    </row>
    <row r="56" spans="2:12" ht="63.75">
      <c r="B56" s="157" t="s">
        <v>994</v>
      </c>
      <c r="C56" s="169" t="s">
        <v>973</v>
      </c>
      <c r="D56" s="887">
        <v>133.02000000000001</v>
      </c>
      <c r="E56" s="901"/>
      <c r="F56" s="901"/>
      <c r="G56" s="901"/>
      <c r="H56" s="900">
        <f>D56</f>
        <v>133.02000000000001</v>
      </c>
      <c r="I56" s="901"/>
      <c r="J56" s="901"/>
      <c r="L56" s="716">
        <f t="shared" si="1"/>
        <v>133.02000000000001</v>
      </c>
    </row>
    <row r="57" spans="2:12" ht="64.5" thickBot="1">
      <c r="B57" s="157" t="s">
        <v>997</v>
      </c>
      <c r="C57" s="169" t="s">
        <v>1140</v>
      </c>
      <c r="D57" s="887">
        <v>8194.49</v>
      </c>
      <c r="E57" s="901"/>
      <c r="F57" s="901"/>
      <c r="G57" s="900">
        <f>D57</f>
        <v>8194.49</v>
      </c>
      <c r="H57" s="901"/>
      <c r="I57" s="900"/>
      <c r="J57" s="901"/>
      <c r="L57" s="716">
        <f t="shared" si="1"/>
        <v>8194.49</v>
      </c>
    </row>
    <row r="58" spans="2:12" ht="15.75" thickBot="1">
      <c r="B58" s="159"/>
      <c r="C58" s="150" t="s">
        <v>824</v>
      </c>
      <c r="D58" s="881">
        <v>51619.67</v>
      </c>
      <c r="E58" s="901"/>
      <c r="F58" s="901"/>
      <c r="G58" s="901"/>
      <c r="H58" s="901"/>
      <c r="I58" s="901"/>
      <c r="J58" s="901"/>
      <c r="L58" s="716">
        <f t="shared" si="1"/>
        <v>0</v>
      </c>
    </row>
    <row r="59" spans="2:12">
      <c r="B59" s="5" t="s">
        <v>330</v>
      </c>
      <c r="C59" s="577" t="s">
        <v>25</v>
      </c>
      <c r="D59" s="890"/>
      <c r="E59" s="901"/>
      <c r="F59" s="901"/>
      <c r="G59" s="901"/>
      <c r="H59" s="901"/>
      <c r="I59" s="901"/>
      <c r="J59" s="901"/>
      <c r="L59" s="716">
        <f t="shared" si="1"/>
        <v>0</v>
      </c>
    </row>
    <row r="60" spans="2:12">
      <c r="B60" s="5" t="s">
        <v>332</v>
      </c>
      <c r="C60" s="1" t="s">
        <v>26</v>
      </c>
      <c r="D60" s="891"/>
      <c r="E60" s="901"/>
      <c r="F60" s="901"/>
      <c r="G60" s="901"/>
      <c r="H60" s="901"/>
      <c r="I60" s="901"/>
      <c r="J60" s="901"/>
      <c r="L60" s="716">
        <f t="shared" si="1"/>
        <v>0</v>
      </c>
    </row>
    <row r="61" spans="2:12" ht="38.25">
      <c r="B61" s="157" t="s">
        <v>331</v>
      </c>
      <c r="C61" s="169" t="s">
        <v>780</v>
      </c>
      <c r="D61" s="887">
        <v>1617.79</v>
      </c>
      <c r="E61" s="901"/>
      <c r="F61" s="901"/>
      <c r="G61" s="901"/>
      <c r="H61" s="900">
        <f>D61</f>
        <v>1617.79</v>
      </c>
      <c r="I61" s="901"/>
      <c r="J61" s="901"/>
      <c r="L61" s="716">
        <f t="shared" si="1"/>
        <v>1617.79</v>
      </c>
    </row>
    <row r="62" spans="2:12" ht="51">
      <c r="B62" s="157" t="s">
        <v>336</v>
      </c>
      <c r="C62" s="169" t="s">
        <v>27</v>
      </c>
      <c r="D62" s="887">
        <v>6969.84</v>
      </c>
      <c r="E62" s="901"/>
      <c r="F62" s="901"/>
      <c r="G62" s="901"/>
      <c r="H62" s="900">
        <f>D62</f>
        <v>6969.84</v>
      </c>
      <c r="I62" s="901"/>
      <c r="J62" s="901"/>
      <c r="L62" s="716">
        <f t="shared" si="1"/>
        <v>6969.84</v>
      </c>
    </row>
    <row r="63" spans="2:12" ht="63.75">
      <c r="B63" s="157" t="s">
        <v>337</v>
      </c>
      <c r="C63" s="169" t="s">
        <v>334</v>
      </c>
      <c r="D63" s="887">
        <v>1500.79</v>
      </c>
      <c r="E63" s="901"/>
      <c r="F63" s="901"/>
      <c r="G63" s="901"/>
      <c r="H63" s="900">
        <f>D63</f>
        <v>1500.79</v>
      </c>
      <c r="I63" s="901"/>
      <c r="J63" s="901"/>
      <c r="L63" s="716">
        <f t="shared" si="1"/>
        <v>1500.79</v>
      </c>
    </row>
    <row r="64" spans="2:12" ht="63.75">
      <c r="B64" s="157" t="s">
        <v>338</v>
      </c>
      <c r="C64" s="169" t="s">
        <v>335</v>
      </c>
      <c r="D64" s="887">
        <v>51.19</v>
      </c>
      <c r="E64" s="901"/>
      <c r="F64" s="901"/>
      <c r="G64" s="901"/>
      <c r="H64" s="900">
        <f>D64</f>
        <v>51.19</v>
      </c>
      <c r="I64" s="901"/>
      <c r="J64" s="901"/>
      <c r="L64" s="716">
        <f t="shared" si="1"/>
        <v>51.19</v>
      </c>
    </row>
    <row r="65" spans="2:12" ht="140.25">
      <c r="B65" s="157" t="s">
        <v>339</v>
      </c>
      <c r="C65" s="169" t="s">
        <v>1134</v>
      </c>
      <c r="D65" s="887">
        <v>14698.93</v>
      </c>
      <c r="E65" s="901"/>
      <c r="F65" s="901"/>
      <c r="G65" s="901"/>
      <c r="H65" s="900">
        <f>D65*0.5</f>
        <v>7349.4650000000001</v>
      </c>
      <c r="I65" s="900">
        <f>D65*0.5</f>
        <v>7349.4650000000001</v>
      </c>
      <c r="J65" s="901"/>
      <c r="L65" s="716">
        <f>ROUND(SUM(E65:I65),2)</f>
        <v>14698.93</v>
      </c>
    </row>
    <row r="66" spans="2:12" ht="140.25">
      <c r="B66" s="157" t="s">
        <v>340</v>
      </c>
      <c r="C66" s="169" t="s">
        <v>1013</v>
      </c>
      <c r="D66" s="887">
        <v>3904.46</v>
      </c>
      <c r="E66" s="901"/>
      <c r="F66" s="901"/>
      <c r="G66" s="901"/>
      <c r="H66" s="900">
        <f>D66</f>
        <v>3904.46</v>
      </c>
      <c r="I66" s="901"/>
      <c r="J66" s="901"/>
      <c r="L66" s="716">
        <f t="shared" si="1"/>
        <v>3904.46</v>
      </c>
    </row>
    <row r="67" spans="2:12" ht="76.5">
      <c r="B67" s="157" t="s">
        <v>341</v>
      </c>
      <c r="C67" s="169" t="s">
        <v>29</v>
      </c>
      <c r="D67" s="887">
        <v>4677.3</v>
      </c>
      <c r="E67" s="901"/>
      <c r="F67" s="901"/>
      <c r="G67" s="901"/>
      <c r="H67" s="900">
        <f>D67</f>
        <v>4677.3</v>
      </c>
      <c r="I67" s="901"/>
      <c r="J67" s="901"/>
      <c r="L67" s="716">
        <f t="shared" si="1"/>
        <v>4677.3</v>
      </c>
    </row>
    <row r="68" spans="2:12" ht="76.5">
      <c r="B68" s="157" t="s">
        <v>342</v>
      </c>
      <c r="C68" s="169" t="s">
        <v>30</v>
      </c>
      <c r="D68" s="887">
        <v>425.15</v>
      </c>
      <c r="E68" s="901"/>
      <c r="F68" s="901"/>
      <c r="G68" s="901"/>
      <c r="H68" s="900">
        <f>D68</f>
        <v>425.15</v>
      </c>
      <c r="I68" s="901"/>
      <c r="J68" s="901"/>
      <c r="L68" s="716">
        <f t="shared" si="1"/>
        <v>425.15</v>
      </c>
    </row>
    <row r="69" spans="2:12" ht="51">
      <c r="B69" s="157" t="s">
        <v>343</v>
      </c>
      <c r="C69" s="169" t="s">
        <v>31</v>
      </c>
      <c r="D69" s="887">
        <v>1574.97</v>
      </c>
      <c r="E69" s="901"/>
      <c r="F69" s="901"/>
      <c r="G69" s="901"/>
      <c r="H69" s="900">
        <f>D69</f>
        <v>1574.97</v>
      </c>
      <c r="I69" s="901"/>
      <c r="J69" s="901"/>
      <c r="L69" s="716">
        <f t="shared" si="1"/>
        <v>1574.97</v>
      </c>
    </row>
    <row r="70" spans="2:12">
      <c r="B70" s="155"/>
      <c r="C70" s="169"/>
      <c r="D70" s="887"/>
      <c r="E70" s="901"/>
      <c r="F70" s="901"/>
      <c r="G70" s="901"/>
      <c r="H70" s="901"/>
      <c r="I70" s="901"/>
      <c r="J70" s="901"/>
      <c r="L70" s="716">
        <f t="shared" si="1"/>
        <v>0</v>
      </c>
    </row>
    <row r="71" spans="2:12">
      <c r="B71" s="161" t="s">
        <v>344</v>
      </c>
      <c r="C71" s="1" t="s">
        <v>32</v>
      </c>
      <c r="D71" s="891"/>
      <c r="E71" s="901"/>
      <c r="F71" s="901"/>
      <c r="G71" s="901"/>
      <c r="H71" s="901"/>
      <c r="I71" s="901"/>
      <c r="J71" s="901"/>
      <c r="L71" s="716">
        <f t="shared" si="1"/>
        <v>0</v>
      </c>
    </row>
    <row r="72" spans="2:12" ht="25.5">
      <c r="B72" s="157" t="s">
        <v>345</v>
      </c>
      <c r="C72" s="169" t="s">
        <v>33</v>
      </c>
      <c r="D72" s="887">
        <v>262.99</v>
      </c>
      <c r="E72" s="901"/>
      <c r="F72" s="901"/>
      <c r="G72" s="901"/>
      <c r="H72" s="901"/>
      <c r="I72" s="901"/>
      <c r="J72" s="900">
        <f>D72</f>
        <v>262.99</v>
      </c>
      <c r="L72" s="716">
        <f t="shared" si="1"/>
        <v>262.99</v>
      </c>
    </row>
    <row r="73" spans="2:12" ht="25.5">
      <c r="B73" s="157" t="s">
        <v>346</v>
      </c>
      <c r="C73" s="169" t="s">
        <v>34</v>
      </c>
      <c r="D73" s="887">
        <v>96.85</v>
      </c>
      <c r="E73" s="901"/>
      <c r="F73" s="901"/>
      <c r="G73" s="901"/>
      <c r="H73" s="901"/>
      <c r="I73" s="901"/>
      <c r="J73" s="900">
        <f t="shared" ref="J73:J80" si="2">D73</f>
        <v>96.85</v>
      </c>
      <c r="L73" s="716">
        <f t="shared" ref="L73:L92" si="3">ROUND(SUM(E73:J73),2)</f>
        <v>96.85</v>
      </c>
    </row>
    <row r="74" spans="2:12" ht="25.5">
      <c r="B74" s="157" t="s">
        <v>347</v>
      </c>
      <c r="C74" s="169" t="s">
        <v>885</v>
      </c>
      <c r="D74" s="887">
        <v>1437.14</v>
      </c>
      <c r="E74" s="901"/>
      <c r="F74" s="901"/>
      <c r="G74" s="901"/>
      <c r="H74" s="901"/>
      <c r="I74" s="901"/>
      <c r="J74" s="900">
        <f t="shared" si="2"/>
        <v>1437.14</v>
      </c>
      <c r="L74" s="716">
        <f t="shared" si="3"/>
        <v>1437.14</v>
      </c>
    </row>
    <row r="75" spans="2:12" ht="25.5">
      <c r="B75" s="157" t="s">
        <v>348</v>
      </c>
      <c r="C75" s="169" t="s">
        <v>35</v>
      </c>
      <c r="D75" s="887">
        <v>397.44</v>
      </c>
      <c r="E75" s="901"/>
      <c r="F75" s="901"/>
      <c r="G75" s="901"/>
      <c r="H75" s="901"/>
      <c r="I75" s="901"/>
      <c r="J75" s="900">
        <f t="shared" si="2"/>
        <v>397.44</v>
      </c>
      <c r="L75" s="716">
        <f t="shared" si="3"/>
        <v>397.44</v>
      </c>
    </row>
    <row r="76" spans="2:12" ht="25.5">
      <c r="B76" s="157" t="s">
        <v>349</v>
      </c>
      <c r="C76" s="169" t="s">
        <v>36</v>
      </c>
      <c r="D76" s="887">
        <v>5015.2700000000004</v>
      </c>
      <c r="E76" s="901"/>
      <c r="F76" s="901"/>
      <c r="G76" s="901"/>
      <c r="H76" s="901"/>
      <c r="I76" s="901"/>
      <c r="J76" s="900">
        <f t="shared" si="2"/>
        <v>5015.2700000000004</v>
      </c>
      <c r="L76" s="716">
        <f t="shared" si="3"/>
        <v>5015.2700000000004</v>
      </c>
    </row>
    <row r="77" spans="2:12" ht="25.5">
      <c r="B77" s="157" t="s">
        <v>350</v>
      </c>
      <c r="C77" s="169" t="s">
        <v>37</v>
      </c>
      <c r="D77" s="887">
        <v>1865.6</v>
      </c>
      <c r="E77" s="901"/>
      <c r="F77" s="901"/>
      <c r="G77" s="901"/>
      <c r="H77" s="901"/>
      <c r="I77" s="901"/>
      <c r="J77" s="900">
        <f t="shared" si="2"/>
        <v>1865.6</v>
      </c>
      <c r="L77" s="716">
        <f t="shared" si="3"/>
        <v>1865.6</v>
      </c>
    </row>
    <row r="78" spans="2:12" ht="25.5">
      <c r="B78" s="157" t="s">
        <v>351</v>
      </c>
      <c r="C78" s="169" t="s">
        <v>38</v>
      </c>
      <c r="D78" s="887">
        <v>420.15</v>
      </c>
      <c r="E78" s="901"/>
      <c r="F78" s="901"/>
      <c r="G78" s="901"/>
      <c r="H78" s="901"/>
      <c r="I78" s="901"/>
      <c r="J78" s="900">
        <f t="shared" si="2"/>
        <v>420.15</v>
      </c>
      <c r="L78" s="716">
        <f t="shared" si="3"/>
        <v>420.15</v>
      </c>
    </row>
    <row r="79" spans="2:12" ht="25.5">
      <c r="B79" s="157" t="s">
        <v>352</v>
      </c>
      <c r="C79" s="169" t="s">
        <v>39</v>
      </c>
      <c r="D79" s="887">
        <v>810.49</v>
      </c>
      <c r="E79" s="901"/>
      <c r="F79" s="901"/>
      <c r="G79" s="901"/>
      <c r="H79" s="901"/>
      <c r="I79" s="901"/>
      <c r="J79" s="900">
        <f t="shared" si="2"/>
        <v>810.49</v>
      </c>
      <c r="L79" s="716">
        <f t="shared" si="3"/>
        <v>810.49</v>
      </c>
    </row>
    <row r="80" spans="2:12" ht="25.5">
      <c r="B80" s="157" t="s">
        <v>353</v>
      </c>
      <c r="C80" s="169" t="s">
        <v>918</v>
      </c>
      <c r="D80" s="887">
        <v>535.83000000000004</v>
      </c>
      <c r="E80" s="901"/>
      <c r="F80" s="901"/>
      <c r="G80" s="901"/>
      <c r="H80" s="901"/>
      <c r="I80" s="901"/>
      <c r="J80" s="900">
        <f t="shared" si="2"/>
        <v>535.83000000000004</v>
      </c>
      <c r="L80" s="716">
        <f t="shared" si="3"/>
        <v>535.83000000000004</v>
      </c>
    </row>
    <row r="81" spans="1:12">
      <c r="B81" s="161" t="s">
        <v>355</v>
      </c>
      <c r="C81" s="576" t="s">
        <v>40</v>
      </c>
      <c r="D81" s="889"/>
      <c r="E81" s="901"/>
      <c r="F81" s="901"/>
      <c r="G81" s="901"/>
      <c r="H81" s="901"/>
      <c r="I81" s="901"/>
      <c r="J81" s="901"/>
      <c r="L81" s="716">
        <f t="shared" si="3"/>
        <v>0</v>
      </c>
    </row>
    <row r="82" spans="1:12" ht="63.75">
      <c r="B82" s="157" t="s">
        <v>356</v>
      </c>
      <c r="C82" s="169" t="s">
        <v>1055</v>
      </c>
      <c r="D82" s="887">
        <v>1213.54</v>
      </c>
      <c r="E82" s="901"/>
      <c r="F82" s="901"/>
      <c r="G82" s="901"/>
      <c r="H82" s="901"/>
      <c r="I82" s="901"/>
      <c r="J82" s="900">
        <f>D82</f>
        <v>1213.54</v>
      </c>
      <c r="L82" s="716">
        <f t="shared" si="3"/>
        <v>1213.54</v>
      </c>
    </row>
    <row r="83" spans="1:12" ht="51">
      <c r="B83" s="157" t="s">
        <v>357</v>
      </c>
      <c r="C83" s="169" t="s">
        <v>354</v>
      </c>
      <c r="D83" s="887">
        <v>2688.6</v>
      </c>
      <c r="E83" s="901"/>
      <c r="F83" s="901"/>
      <c r="G83" s="901"/>
      <c r="H83" s="900">
        <f>D83</f>
        <v>2688.6</v>
      </c>
      <c r="I83" s="901"/>
      <c r="J83" s="901"/>
      <c r="L83" s="716">
        <f t="shared" si="3"/>
        <v>2688.6</v>
      </c>
    </row>
    <row r="84" spans="1:12" ht="140.25">
      <c r="B84" s="157" t="s">
        <v>358</v>
      </c>
      <c r="C84" s="169" t="s">
        <v>1078</v>
      </c>
      <c r="D84" s="887">
        <v>10233.66</v>
      </c>
      <c r="E84" s="901"/>
      <c r="F84" s="901"/>
      <c r="G84" s="901"/>
      <c r="H84" s="900">
        <f t="shared" ref="H84:H85" si="4">D84</f>
        <v>10233.66</v>
      </c>
      <c r="I84" s="901"/>
      <c r="J84" s="901"/>
      <c r="L84" s="716">
        <f t="shared" si="3"/>
        <v>10233.66</v>
      </c>
    </row>
    <row r="85" spans="1:12" ht="102">
      <c r="B85" s="157" t="s">
        <v>359</v>
      </c>
      <c r="C85" s="169" t="s">
        <v>1052</v>
      </c>
      <c r="D85" s="887">
        <v>2653.76</v>
      </c>
      <c r="E85" s="901"/>
      <c r="F85" s="901"/>
      <c r="G85" s="901"/>
      <c r="H85" s="900">
        <f t="shared" si="4"/>
        <v>2653.76</v>
      </c>
      <c r="I85" s="901"/>
      <c r="J85" s="901"/>
      <c r="L85" s="716">
        <f t="shared" si="3"/>
        <v>2653.76</v>
      </c>
    </row>
    <row r="86" spans="1:12" ht="165.75">
      <c r="B86" s="157" t="s">
        <v>360</v>
      </c>
      <c r="C86" s="169" t="s">
        <v>1071</v>
      </c>
      <c r="D86" s="887">
        <v>17113.218984000003</v>
      </c>
      <c r="E86" s="901"/>
      <c r="F86" s="901"/>
      <c r="G86" s="901"/>
      <c r="H86" s="900">
        <f>D86</f>
        <v>17113.218984000003</v>
      </c>
      <c r="I86" s="901"/>
      <c r="J86" s="901"/>
      <c r="L86" s="716">
        <f t="shared" si="3"/>
        <v>17113.22</v>
      </c>
    </row>
    <row r="87" spans="1:12" ht="51">
      <c r="B87" s="157" t="s">
        <v>361</v>
      </c>
      <c r="C87" s="169" t="s">
        <v>181</v>
      </c>
      <c r="D87" s="887">
        <v>2201.8602828261601</v>
      </c>
      <c r="E87" s="901"/>
      <c r="F87" s="901"/>
      <c r="G87" s="901"/>
      <c r="H87" s="900">
        <f>D87</f>
        <v>2201.8602828261601</v>
      </c>
      <c r="I87" s="901"/>
      <c r="J87" s="901"/>
      <c r="L87" s="716">
        <f t="shared" si="3"/>
        <v>2201.86</v>
      </c>
    </row>
    <row r="88" spans="1:12" ht="178.5">
      <c r="B88" s="157" t="s">
        <v>362</v>
      </c>
      <c r="C88" s="169" t="s">
        <v>182</v>
      </c>
      <c r="D88" s="887">
        <v>12616.293610800001</v>
      </c>
      <c r="E88" s="901"/>
      <c r="F88" s="901"/>
      <c r="G88" s="901"/>
      <c r="H88" s="901"/>
      <c r="I88" s="901"/>
      <c r="J88" s="900">
        <f>D88</f>
        <v>12616.293610800001</v>
      </c>
      <c r="L88" s="716">
        <f t="shared" si="3"/>
        <v>12616.29</v>
      </c>
    </row>
    <row r="89" spans="1:12" ht="204.75" thickBot="1">
      <c r="B89" s="157" t="s">
        <v>363</v>
      </c>
      <c r="C89" s="574" t="s">
        <v>1069</v>
      </c>
      <c r="D89" s="883">
        <v>38861.479686910796</v>
      </c>
      <c r="E89" s="901"/>
      <c r="F89" s="901"/>
      <c r="G89" s="901"/>
      <c r="H89" s="900">
        <f>D89*0.5</f>
        <v>19430.739843455398</v>
      </c>
      <c r="I89" s="901"/>
      <c r="J89" s="900">
        <f>D89*0.5</f>
        <v>19430.739843455398</v>
      </c>
      <c r="L89" s="716">
        <f t="shared" si="3"/>
        <v>38861.480000000003</v>
      </c>
    </row>
    <row r="90" spans="1:12" ht="15.75" thickBot="1">
      <c r="B90" s="159"/>
      <c r="C90" s="150" t="s">
        <v>825</v>
      </c>
      <c r="D90" s="881">
        <v>133844.59256453696</v>
      </c>
      <c r="E90" s="901"/>
      <c r="F90" s="901"/>
      <c r="G90" s="901"/>
      <c r="H90" s="901"/>
      <c r="I90" s="901"/>
      <c r="J90" s="903">
        <f>SUM(J82:J89)</f>
        <v>33260.573454255398</v>
      </c>
      <c r="K90" s="904">
        <f>J90/L94</f>
        <v>0.11086921752667241</v>
      </c>
      <c r="L90" s="716">
        <f t="shared" si="3"/>
        <v>33260.57</v>
      </c>
    </row>
    <row r="91" spans="1:12">
      <c r="B91" s="5" t="s">
        <v>365</v>
      </c>
      <c r="C91" s="1" t="s">
        <v>41</v>
      </c>
      <c r="D91" s="891"/>
      <c r="E91" s="901"/>
      <c r="F91" s="901"/>
      <c r="G91" s="901"/>
      <c r="H91" s="901"/>
      <c r="I91" s="901"/>
      <c r="J91" s="901"/>
      <c r="L91" s="716">
        <f t="shared" si="3"/>
        <v>0</v>
      </c>
    </row>
    <row r="92" spans="1:12" ht="26.25" thickBot="1">
      <c r="B92" s="699" t="s">
        <v>1059</v>
      </c>
      <c r="C92" s="706" t="s">
        <v>42</v>
      </c>
      <c r="D92" s="892">
        <v>498.01</v>
      </c>
      <c r="E92" s="901"/>
      <c r="F92" s="901"/>
      <c r="G92" s="901"/>
      <c r="H92" s="901"/>
      <c r="I92" s="901"/>
      <c r="J92" s="900">
        <f>D92</f>
        <v>498.01</v>
      </c>
      <c r="L92" s="716">
        <f t="shared" si="3"/>
        <v>498.01</v>
      </c>
    </row>
    <row r="93" spans="1:12">
      <c r="B93" s="893"/>
      <c r="C93" s="894" t="s">
        <v>1029</v>
      </c>
      <c r="D93" s="895">
        <v>498.01</v>
      </c>
      <c r="E93" s="901"/>
      <c r="F93" s="901"/>
      <c r="G93" s="901"/>
      <c r="H93" s="901"/>
      <c r="I93" s="901"/>
      <c r="J93" s="901"/>
    </row>
    <row r="94" spans="1:12">
      <c r="A94" s="3"/>
      <c r="B94" s="3"/>
      <c r="C94" s="3"/>
      <c r="D94" s="3"/>
      <c r="E94" s="897">
        <f>SUM(E4:E93)</f>
        <v>46960.230524319981</v>
      </c>
      <c r="F94" s="897">
        <f t="shared" ref="F94:J94" si="5">SUM(F4:F93)</f>
        <v>17401.293000000001</v>
      </c>
      <c r="G94" s="897">
        <f t="shared" si="5"/>
        <v>21306.284599999999</v>
      </c>
      <c r="H94" s="897">
        <f t="shared" si="5"/>
        <v>85295.658710281568</v>
      </c>
      <c r="I94" s="897">
        <f t="shared" si="5"/>
        <v>44596.399600000004</v>
      </c>
      <c r="J94" s="897">
        <f t="shared" si="5"/>
        <v>84438.409308510789</v>
      </c>
      <c r="K94" s="3"/>
      <c r="L94" s="896">
        <f>SUM(L4:L92)</f>
        <v>299998.26999999996</v>
      </c>
    </row>
    <row r="95" spans="1:12">
      <c r="A95" s="3"/>
      <c r="B95" s="3"/>
      <c r="C95" s="3"/>
      <c r="D95" s="3"/>
      <c r="E95" s="898">
        <f>E94/L94</f>
        <v>0.15653500443292551</v>
      </c>
      <c r="F95" s="898">
        <f>F94/L94</f>
        <v>5.8004644493449928E-2</v>
      </c>
      <c r="G95" s="898">
        <f>G94/L94</f>
        <v>7.1021358223165756E-2</v>
      </c>
      <c r="H95" s="898">
        <f>H94/L94</f>
        <v>0.28432050194916653</v>
      </c>
      <c r="I95" s="898">
        <f>I94/L94</f>
        <v>0.14865552258018025</v>
      </c>
      <c r="J95" s="898">
        <f>J94/L94</f>
        <v>0.28146298746493037</v>
      </c>
      <c r="K95" s="3"/>
      <c r="L95" s="899">
        <f>SUM(E95:J95)</f>
        <v>1.0000000191438183</v>
      </c>
    </row>
    <row r="96" spans="1:12">
      <c r="L96" s="716"/>
    </row>
    <row r="129" spans="2:8">
      <c r="B129" s="905"/>
      <c r="C129" s="906"/>
      <c r="D129" s="906"/>
      <c r="E129" s="906"/>
      <c r="F129" s="907"/>
      <c r="G129" s="908"/>
      <c r="H129" s="909"/>
    </row>
    <row r="130" spans="2:8">
      <c r="B130" s="905"/>
      <c r="C130" s="906"/>
      <c r="D130" s="906"/>
      <c r="E130" s="906"/>
      <c r="F130" s="907"/>
      <c r="G130" s="908"/>
      <c r="H130" s="909"/>
    </row>
    <row r="131" spans="2:8">
      <c r="B131" s="905"/>
      <c r="C131" s="906"/>
      <c r="D131" s="906"/>
      <c r="E131" s="906"/>
      <c r="F131" s="907"/>
      <c r="G131" s="908"/>
      <c r="H131" s="909"/>
    </row>
    <row r="132" spans="2:8">
      <c r="B132" s="905"/>
      <c r="C132" s="906"/>
      <c r="D132" s="906"/>
      <c r="E132" s="906"/>
      <c r="F132" s="907"/>
      <c r="G132" s="908"/>
      <c r="H132" s="909"/>
    </row>
    <row r="133" spans="2:8">
      <c r="B133" s="905"/>
      <c r="C133" s="906"/>
      <c r="D133" s="906"/>
      <c r="E133" s="906"/>
      <c r="F133" s="907"/>
      <c r="G133" s="908"/>
      <c r="H133" s="909"/>
    </row>
    <row r="134" spans="2:8">
      <c r="B134" s="905"/>
      <c r="C134" s="906"/>
      <c r="D134" s="906"/>
      <c r="E134" s="906"/>
      <c r="F134" s="907"/>
      <c r="G134" s="908"/>
      <c r="H134" s="909"/>
    </row>
    <row r="135" spans="2:8">
      <c r="B135" s="905"/>
      <c r="C135" s="906"/>
      <c r="D135" s="906"/>
      <c r="E135" s="906"/>
      <c r="F135" s="907"/>
      <c r="G135" s="908"/>
      <c r="H135" s="909"/>
    </row>
    <row r="136" spans="2:8">
      <c r="B136" s="905"/>
      <c r="C136" s="906"/>
      <c r="D136" s="906"/>
      <c r="E136" s="906"/>
      <c r="F136" s="907"/>
      <c r="G136" s="908"/>
      <c r="H136" s="909"/>
    </row>
  </sheetData>
  <conditionalFormatting sqref="B129:H136">
    <cfRule type="expression" dxfId="308" priority="1" stopIfTrue="1">
      <formula>$B129&gt;mediçao</formula>
    </cfRule>
  </conditionalFormatting>
  <pageMargins left="0.511811024" right="0.511811024" top="0.78740157499999996" bottom="0.78740157499999996" header="0.31496062000000002" footer="0.31496062000000002"/>
  <pageSetup paperSize="9" orientation="portrait" horizontalDpi="0"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
  <sheetViews>
    <sheetView view="pageBreakPreview" zoomScaleNormal="100" zoomScaleSheetLayoutView="100" workbookViewId="0">
      <selection activeCell="M19" sqref="M19"/>
    </sheetView>
  </sheetViews>
  <sheetFormatPr defaultRowHeight="15"/>
  <cols>
    <col min="1" max="1" width="13.7109375" customWidth="1"/>
    <col min="7" max="7" width="9.42578125" customWidth="1"/>
    <col min="8" max="8" width="10.7109375" customWidth="1"/>
    <col min="9" max="9" width="9.5703125" customWidth="1"/>
  </cols>
  <sheetData>
    <row r="1" spans="1:10" ht="49.5" customHeight="1" thickBot="1">
      <c r="A1" s="1689" t="s">
        <v>1073</v>
      </c>
      <c r="B1" s="1689"/>
      <c r="C1" s="1689"/>
      <c r="D1" s="1689"/>
      <c r="E1" s="1689"/>
      <c r="F1" s="1689"/>
      <c r="G1" s="1689"/>
      <c r="H1" s="1689"/>
      <c r="I1" s="1689"/>
      <c r="J1" s="1689"/>
    </row>
    <row r="2" spans="1:10" ht="15.75">
      <c r="A2" s="1694" t="s">
        <v>371</v>
      </c>
      <c r="B2" s="1695"/>
      <c r="C2" s="1695"/>
      <c r="D2" s="1695"/>
      <c r="E2" s="1695"/>
      <c r="F2" s="1695"/>
      <c r="G2" s="1695"/>
      <c r="H2" s="1695"/>
      <c r="I2" s="1695"/>
      <c r="J2" s="1696"/>
    </row>
    <row r="3" spans="1:10">
      <c r="A3" s="1697" t="s">
        <v>238</v>
      </c>
      <c r="B3" s="1698" t="s">
        <v>239</v>
      </c>
      <c r="C3" s="1699" t="s">
        <v>240</v>
      </c>
      <c r="D3" s="1698" t="s">
        <v>241</v>
      </c>
      <c r="E3" s="88" t="s">
        <v>242</v>
      </c>
      <c r="F3" s="1698" t="s">
        <v>243</v>
      </c>
      <c r="G3" s="1698"/>
      <c r="H3" s="1698"/>
      <c r="I3" s="1698" t="s">
        <v>244</v>
      </c>
      <c r="J3" s="1700"/>
    </row>
    <row r="4" spans="1:10">
      <c r="A4" s="1697"/>
      <c r="B4" s="1698"/>
      <c r="C4" s="1699"/>
      <c r="D4" s="1698"/>
      <c r="E4" s="89" t="s">
        <v>245</v>
      </c>
      <c r="F4" s="89" t="s">
        <v>246</v>
      </c>
      <c r="G4" s="89" t="s">
        <v>247</v>
      </c>
      <c r="H4" s="89" t="s">
        <v>248</v>
      </c>
      <c r="I4" s="911" t="s">
        <v>249</v>
      </c>
      <c r="J4" s="992" t="s">
        <v>207</v>
      </c>
    </row>
    <row r="5" spans="1:10">
      <c r="A5" s="993" t="s">
        <v>250</v>
      </c>
      <c r="B5" s="174">
        <v>1</v>
      </c>
      <c r="C5" s="175">
        <v>10</v>
      </c>
      <c r="D5" s="176" t="s">
        <v>262</v>
      </c>
      <c r="E5" s="176" t="s">
        <v>380</v>
      </c>
      <c r="F5" s="177">
        <v>2.09</v>
      </c>
      <c r="G5" s="177">
        <f t="shared" ref="G5:H8" si="0">D5*F5</f>
        <v>16.72</v>
      </c>
      <c r="H5" s="178">
        <f t="shared" si="0"/>
        <v>16.72</v>
      </c>
      <c r="I5" s="179">
        <v>0.61699999999999999</v>
      </c>
      <c r="J5" s="994">
        <f>I5*H5</f>
        <v>10.316239999999999</v>
      </c>
    </row>
    <row r="6" spans="1:10">
      <c r="A6" s="995" t="s">
        <v>253</v>
      </c>
      <c r="B6" s="90">
        <v>2</v>
      </c>
      <c r="C6" s="96">
        <v>5</v>
      </c>
      <c r="D6" s="93" t="s">
        <v>381</v>
      </c>
      <c r="E6" s="93" t="s">
        <v>380</v>
      </c>
      <c r="F6" s="96">
        <v>1.66</v>
      </c>
      <c r="G6" s="94">
        <f t="shared" si="0"/>
        <v>24.9</v>
      </c>
      <c r="H6" s="98">
        <f t="shared" si="0"/>
        <v>24.9</v>
      </c>
      <c r="I6" s="95">
        <v>0.16</v>
      </c>
      <c r="J6" s="996">
        <f>I6*H6</f>
        <v>3.984</v>
      </c>
    </row>
    <row r="7" spans="1:10">
      <c r="A7" s="995" t="s">
        <v>253</v>
      </c>
      <c r="B7" s="90" t="s">
        <v>255</v>
      </c>
      <c r="C7" s="96">
        <v>10</v>
      </c>
      <c r="D7" s="93" t="s">
        <v>264</v>
      </c>
      <c r="E7" s="93" t="s">
        <v>380</v>
      </c>
      <c r="F7" s="96">
        <v>1.74</v>
      </c>
      <c r="G7" s="94">
        <f t="shared" si="0"/>
        <v>15.66</v>
      </c>
      <c r="H7" s="98">
        <f t="shared" si="0"/>
        <v>15.66</v>
      </c>
      <c r="I7" s="95">
        <v>0.61699999999999999</v>
      </c>
      <c r="J7" s="996">
        <f>I7*H7</f>
        <v>9.6622199999999996</v>
      </c>
    </row>
    <row r="8" spans="1:10">
      <c r="A8" s="997" t="s">
        <v>250</v>
      </c>
      <c r="B8" s="118" t="s">
        <v>252</v>
      </c>
      <c r="C8" s="998">
        <v>10</v>
      </c>
      <c r="D8" s="999" t="s">
        <v>254</v>
      </c>
      <c r="E8" s="999" t="s">
        <v>380</v>
      </c>
      <c r="F8" s="998">
        <v>1.44</v>
      </c>
      <c r="G8" s="180">
        <f t="shared" si="0"/>
        <v>15.84</v>
      </c>
      <c r="H8" s="1000">
        <f t="shared" si="0"/>
        <v>15.84</v>
      </c>
      <c r="I8" s="119">
        <v>0.61699999999999999</v>
      </c>
      <c r="J8" s="1001">
        <f>I8*H8</f>
        <v>9.7732799999999997</v>
      </c>
    </row>
    <row r="9" spans="1:10">
      <c r="A9" s="100"/>
      <c r="B9" s="87"/>
      <c r="C9" s="87"/>
      <c r="D9" s="87"/>
      <c r="E9" s="87"/>
      <c r="F9" s="87"/>
      <c r="G9" s="87"/>
      <c r="H9" s="120" t="s">
        <v>265</v>
      </c>
      <c r="I9" s="116"/>
      <c r="J9" s="117">
        <f>SUM(J5:J8)</f>
        <v>33.73574</v>
      </c>
    </row>
    <row r="10" spans="1:10">
      <c r="A10" s="100"/>
      <c r="B10" s="87"/>
      <c r="C10" s="87"/>
      <c r="D10" s="87"/>
      <c r="E10" s="87"/>
      <c r="F10" s="87"/>
      <c r="G10" s="87"/>
      <c r="H10" s="87"/>
      <c r="I10" s="87"/>
      <c r="J10" s="101"/>
    </row>
    <row r="11" spans="1:10">
      <c r="A11" s="100"/>
      <c r="B11" s="87"/>
      <c r="C11" s="87"/>
      <c r="D11" s="87"/>
      <c r="E11" s="87"/>
      <c r="F11" s="87"/>
      <c r="G11" s="87"/>
      <c r="H11" s="121" t="s">
        <v>382</v>
      </c>
      <c r="I11" s="121" t="s">
        <v>283</v>
      </c>
      <c r="J11" s="1002">
        <f>J5+J7+J8</f>
        <v>29.751739999999998</v>
      </c>
    </row>
    <row r="12" spans="1:10">
      <c r="A12" s="100"/>
      <c r="B12" s="87"/>
      <c r="C12" s="87"/>
      <c r="D12" s="87"/>
      <c r="E12" s="87"/>
      <c r="F12" s="87"/>
      <c r="G12" s="122"/>
      <c r="H12" s="121" t="s">
        <v>284</v>
      </c>
      <c r="I12" s="121" t="s">
        <v>283</v>
      </c>
      <c r="J12" s="1002">
        <f>J6</f>
        <v>3.984</v>
      </c>
    </row>
    <row r="13" spans="1:10">
      <c r="A13" s="100"/>
      <c r="B13" s="87"/>
      <c r="C13" s="87"/>
      <c r="D13" s="87"/>
      <c r="E13" s="87"/>
      <c r="F13" s="87"/>
      <c r="G13" s="87"/>
      <c r="H13" s="87"/>
      <c r="I13" s="87"/>
      <c r="J13" s="101"/>
    </row>
    <row r="14" spans="1:10">
      <c r="A14" s="100"/>
      <c r="B14" s="87"/>
      <c r="C14" s="87"/>
      <c r="D14" s="87"/>
      <c r="E14" s="87"/>
      <c r="F14" s="87"/>
      <c r="G14" s="87"/>
      <c r="H14" s="87"/>
      <c r="I14" s="87"/>
      <c r="J14" s="101"/>
    </row>
    <row r="15" spans="1:10">
      <c r="A15" s="102" t="s">
        <v>266</v>
      </c>
      <c r="B15" s="103"/>
      <c r="C15" s="103" t="s">
        <v>267</v>
      </c>
      <c r="D15" s="103" t="s">
        <v>268</v>
      </c>
      <c r="E15" s="103" t="s">
        <v>269</v>
      </c>
      <c r="F15" s="103" t="s">
        <v>289</v>
      </c>
      <c r="G15" s="103" t="s">
        <v>241</v>
      </c>
      <c r="H15" s="103" t="s">
        <v>288</v>
      </c>
      <c r="I15" s="87"/>
      <c r="J15" s="101"/>
    </row>
    <row r="16" spans="1:10">
      <c r="A16" s="104" t="s">
        <v>377</v>
      </c>
      <c r="B16" s="105"/>
      <c r="C16" s="106">
        <v>1.4</v>
      </c>
      <c r="D16" s="106">
        <v>1.1000000000000001</v>
      </c>
      <c r="E16" s="106">
        <v>0.25</v>
      </c>
      <c r="F16" s="173">
        <f>C16*D16*E16</f>
        <v>0.38500000000000001</v>
      </c>
      <c r="G16" s="3">
        <v>1</v>
      </c>
      <c r="H16" s="107">
        <f>F16*G16</f>
        <v>0.38500000000000001</v>
      </c>
      <c r="I16" s="87"/>
      <c r="J16" s="101"/>
    </row>
    <row r="17" spans="1:10">
      <c r="A17" s="104" t="s">
        <v>376</v>
      </c>
      <c r="B17" s="105"/>
      <c r="C17" s="3">
        <v>0.3</v>
      </c>
      <c r="D17" s="106">
        <v>0.6</v>
      </c>
      <c r="E17" s="106">
        <v>1.6</v>
      </c>
      <c r="F17" s="3">
        <f>C17*D17*E17</f>
        <v>0.28799999999999998</v>
      </c>
      <c r="G17" s="3">
        <v>1</v>
      </c>
      <c r="H17" s="3">
        <f>F17*G17</f>
        <v>0.28799999999999998</v>
      </c>
      <c r="I17" s="87"/>
      <c r="J17" s="101"/>
    </row>
    <row r="18" spans="1:10">
      <c r="A18" s="104" t="s">
        <v>372</v>
      </c>
      <c r="B18" s="105"/>
      <c r="C18" s="3">
        <v>0.7</v>
      </c>
      <c r="D18" s="3">
        <v>1</v>
      </c>
      <c r="E18" s="3">
        <v>0.15</v>
      </c>
      <c r="F18" s="3">
        <f>C18*D18*E18</f>
        <v>0.105</v>
      </c>
      <c r="G18" s="3">
        <v>1</v>
      </c>
      <c r="H18" s="3">
        <f>F18*G18</f>
        <v>0.105</v>
      </c>
      <c r="I18" s="87"/>
      <c r="J18" s="101"/>
    </row>
    <row r="19" spans="1:10">
      <c r="A19" s="104" t="s">
        <v>373</v>
      </c>
      <c r="B19" s="105"/>
      <c r="C19" s="3">
        <v>0.5</v>
      </c>
      <c r="D19" s="3">
        <v>0.8</v>
      </c>
      <c r="E19" s="3">
        <v>0.15</v>
      </c>
      <c r="F19" s="3">
        <f>C19*D19*E19</f>
        <v>0.06</v>
      </c>
      <c r="G19" s="3">
        <v>1</v>
      </c>
      <c r="H19" s="3">
        <f>F19*G19</f>
        <v>0.06</v>
      </c>
      <c r="I19" s="87"/>
      <c r="J19" s="101"/>
    </row>
    <row r="20" spans="1:10">
      <c r="A20" s="81"/>
      <c r="B20" s="3"/>
      <c r="C20" s="3"/>
      <c r="D20" s="3"/>
      <c r="E20" s="3"/>
      <c r="F20" s="3"/>
      <c r="G20" s="67" t="s">
        <v>245</v>
      </c>
      <c r="H20" s="109">
        <f>SUM(H16:H19)</f>
        <v>0.83800000000000008</v>
      </c>
      <c r="I20" s="87"/>
      <c r="J20" s="125"/>
    </row>
    <row r="21" spans="1:10">
      <c r="A21" s="100"/>
      <c r="B21" s="87"/>
      <c r="C21" s="87"/>
      <c r="D21" s="87"/>
      <c r="E21" s="87"/>
      <c r="F21" s="87"/>
      <c r="G21" s="87"/>
      <c r="H21" s="87"/>
      <c r="I21" s="87"/>
      <c r="J21" s="101"/>
    </row>
    <row r="22" spans="1:10" ht="30" customHeight="1">
      <c r="A22" s="1690" t="s">
        <v>287</v>
      </c>
      <c r="B22" s="1691"/>
      <c r="C22" s="103" t="s">
        <v>267</v>
      </c>
      <c r="D22" s="103" t="s">
        <v>268</v>
      </c>
      <c r="E22" s="103" t="s">
        <v>269</v>
      </c>
      <c r="F22" s="103" t="s">
        <v>289</v>
      </c>
      <c r="G22" s="103" t="s">
        <v>241</v>
      </c>
      <c r="H22" s="103" t="s">
        <v>288</v>
      </c>
      <c r="I22" s="87"/>
      <c r="J22" s="101"/>
    </row>
    <row r="23" spans="1:10">
      <c r="A23" s="104" t="s">
        <v>270</v>
      </c>
      <c r="B23" s="105"/>
      <c r="C23" s="106"/>
      <c r="D23" s="106"/>
      <c r="E23" s="106"/>
      <c r="F23" s="3">
        <f>C23*D23*E23</f>
        <v>0</v>
      </c>
      <c r="G23" s="3"/>
      <c r="H23" s="107">
        <f>F23*G23</f>
        <v>0</v>
      </c>
      <c r="I23" s="87"/>
      <c r="J23" s="101"/>
    </row>
    <row r="24" spans="1:10">
      <c r="A24" s="81"/>
      <c r="B24" s="3"/>
      <c r="C24" s="3"/>
      <c r="D24" s="3"/>
      <c r="E24" s="3"/>
      <c r="F24" s="3"/>
      <c r="G24" s="67" t="s">
        <v>245</v>
      </c>
      <c r="H24" s="109">
        <f>SUM(H23:H23)</f>
        <v>0</v>
      </c>
      <c r="I24" s="87"/>
      <c r="J24" s="101"/>
    </row>
    <row r="25" spans="1:10">
      <c r="A25" s="100"/>
      <c r="B25" s="87"/>
      <c r="C25" s="87"/>
      <c r="D25" s="87"/>
      <c r="E25" s="87"/>
      <c r="F25" s="87"/>
      <c r="G25" s="87"/>
      <c r="H25" s="87"/>
      <c r="I25" s="87"/>
      <c r="J25" s="101"/>
    </row>
    <row r="26" spans="1:10">
      <c r="A26" s="127" t="s">
        <v>274</v>
      </c>
      <c r="B26" s="123"/>
      <c r="C26" s="103" t="s">
        <v>275</v>
      </c>
      <c r="D26" s="103" t="s">
        <v>268</v>
      </c>
      <c r="E26" s="103" t="s">
        <v>276</v>
      </c>
      <c r="F26" s="103" t="s">
        <v>277</v>
      </c>
      <c r="G26" s="103" t="s">
        <v>278</v>
      </c>
      <c r="H26" s="103" t="s">
        <v>279</v>
      </c>
      <c r="I26" s="103" t="s">
        <v>241</v>
      </c>
      <c r="J26" s="128" t="s">
        <v>280</v>
      </c>
    </row>
    <row r="27" spans="1:10">
      <c r="A27" s="104" t="s">
        <v>271</v>
      </c>
      <c r="B27" s="105"/>
      <c r="C27" s="3">
        <v>0.3</v>
      </c>
      <c r="D27" s="3">
        <v>0.3</v>
      </c>
      <c r="E27" s="3">
        <v>0.6</v>
      </c>
      <c r="F27" s="3">
        <v>0.6</v>
      </c>
      <c r="G27" s="3">
        <v>1.6</v>
      </c>
      <c r="H27" s="3">
        <f>(C27+D27+E27+F27)*G27</f>
        <v>2.88</v>
      </c>
      <c r="I27" s="3">
        <v>1</v>
      </c>
      <c r="J27" s="110">
        <f>I27*H27</f>
        <v>2.88</v>
      </c>
    </row>
    <row r="28" spans="1:10">
      <c r="A28" s="104" t="s">
        <v>372</v>
      </c>
      <c r="B28" s="105"/>
      <c r="C28" s="3">
        <v>0.7</v>
      </c>
      <c r="D28" s="3">
        <v>0.7</v>
      </c>
      <c r="E28" s="3">
        <v>1</v>
      </c>
      <c r="F28" s="3">
        <v>1</v>
      </c>
      <c r="G28" s="106">
        <v>0.15</v>
      </c>
      <c r="H28" s="173">
        <f>(C28+D28+E28+F28)*G28</f>
        <v>0.51</v>
      </c>
      <c r="I28" s="3">
        <v>1</v>
      </c>
      <c r="J28" s="110">
        <f>I28*H28</f>
        <v>0.51</v>
      </c>
    </row>
    <row r="29" spans="1:10">
      <c r="A29" s="104" t="s">
        <v>373</v>
      </c>
      <c r="B29" s="105"/>
      <c r="C29" s="3">
        <v>0.5</v>
      </c>
      <c r="D29" s="3">
        <v>0.5</v>
      </c>
      <c r="E29" s="3">
        <v>0.8</v>
      </c>
      <c r="F29" s="3">
        <v>0.8</v>
      </c>
      <c r="G29" s="106">
        <v>0.15</v>
      </c>
      <c r="H29" s="173">
        <f>(C29+D29+E29+F29)*G29</f>
        <v>0.39</v>
      </c>
      <c r="I29" s="3">
        <v>1</v>
      </c>
      <c r="J29" s="110">
        <f>I29*H29</f>
        <v>0.39</v>
      </c>
    </row>
    <row r="30" spans="1:10" ht="15.75" thickBot="1">
      <c r="A30" s="111"/>
      <c r="B30" s="112"/>
      <c r="C30" s="112"/>
      <c r="D30" s="112"/>
      <c r="E30" s="112"/>
      <c r="F30" s="112"/>
      <c r="G30" s="112"/>
      <c r="H30" s="113" t="s">
        <v>245</v>
      </c>
      <c r="I30" s="112"/>
      <c r="J30" s="114">
        <f>SUM(J27:J29)</f>
        <v>3.78</v>
      </c>
    </row>
    <row r="31" spans="1:10" ht="15.75" thickBot="1"/>
    <row r="32" spans="1:10">
      <c r="A32" s="1692" t="s">
        <v>285</v>
      </c>
      <c r="B32" s="1693"/>
      <c r="C32" s="1003" t="s">
        <v>267</v>
      </c>
      <c r="D32" s="1003" t="s">
        <v>268</v>
      </c>
      <c r="E32" s="1003" t="s">
        <v>269</v>
      </c>
      <c r="F32" s="1003" t="s">
        <v>289</v>
      </c>
      <c r="G32" s="1003" t="s">
        <v>241</v>
      </c>
      <c r="H32" s="1004" t="s">
        <v>288</v>
      </c>
      <c r="J32" s="115"/>
    </row>
    <row r="33" spans="1:8">
      <c r="A33" s="104" t="s">
        <v>286</v>
      </c>
      <c r="B33" s="106"/>
      <c r="C33" s="106">
        <v>1.4</v>
      </c>
      <c r="D33" s="106">
        <v>1.1000000000000001</v>
      </c>
      <c r="E33" s="106">
        <v>0.25</v>
      </c>
      <c r="F33" s="173">
        <f>C33*D33*E33</f>
        <v>0.38500000000000001</v>
      </c>
      <c r="G33" s="3">
        <v>1</v>
      </c>
      <c r="H33" s="1005">
        <f>F33*G33</f>
        <v>0.38500000000000001</v>
      </c>
    </row>
    <row r="34" spans="1:8" ht="15.75" thickBot="1">
      <c r="A34" s="111"/>
      <c r="B34" s="112"/>
      <c r="C34" s="112"/>
      <c r="D34" s="112"/>
      <c r="E34" s="112"/>
      <c r="F34" s="113"/>
      <c r="G34" s="113" t="s">
        <v>245</v>
      </c>
      <c r="H34" s="114">
        <f>SUM(H33:H33)</f>
        <v>0.38500000000000001</v>
      </c>
    </row>
    <row r="35" spans="1:8" ht="15.75" thickBot="1"/>
    <row r="36" spans="1:8">
      <c r="A36" s="1006" t="s">
        <v>389</v>
      </c>
      <c r="B36" s="1007"/>
      <c r="C36" s="1003" t="s">
        <v>241</v>
      </c>
      <c r="D36" s="1003" t="s">
        <v>369</v>
      </c>
      <c r="E36" s="1003" t="s">
        <v>276</v>
      </c>
      <c r="F36" s="1003" t="s">
        <v>269</v>
      </c>
      <c r="G36" s="1003"/>
      <c r="H36" s="1004" t="s">
        <v>370</v>
      </c>
    </row>
    <row r="37" spans="1:8">
      <c r="A37" s="104" t="s">
        <v>368</v>
      </c>
      <c r="B37" s="3"/>
      <c r="C37" s="3">
        <v>1</v>
      </c>
      <c r="D37" s="3">
        <v>0.3</v>
      </c>
      <c r="E37" s="3">
        <v>0.6</v>
      </c>
      <c r="F37" s="3">
        <v>1.6</v>
      </c>
      <c r="G37" s="3"/>
      <c r="H37" s="80">
        <f>(((D37+E37)*2)*F37*C37)</f>
        <v>2.88</v>
      </c>
    </row>
    <row r="38" spans="1:8">
      <c r="A38" s="104" t="s">
        <v>372</v>
      </c>
      <c r="B38" s="3"/>
      <c r="C38" s="3">
        <v>1</v>
      </c>
      <c r="D38" s="3">
        <v>0.7</v>
      </c>
      <c r="E38" s="3">
        <v>1</v>
      </c>
      <c r="F38" s="3">
        <v>0.15</v>
      </c>
      <c r="G38" s="3"/>
      <c r="H38" s="80">
        <f>((D38+E38)*2)*F38</f>
        <v>0.51</v>
      </c>
    </row>
    <row r="39" spans="1:8">
      <c r="A39" s="104" t="s">
        <v>373</v>
      </c>
      <c r="B39" s="3"/>
      <c r="C39" s="3">
        <v>1</v>
      </c>
      <c r="D39" s="3">
        <v>0.5</v>
      </c>
      <c r="E39" s="3">
        <v>0.8</v>
      </c>
      <c r="F39" s="3">
        <v>0.15</v>
      </c>
      <c r="G39" s="3"/>
      <c r="H39" s="80">
        <f>((D39+E39)*2)*F39</f>
        <v>0.39</v>
      </c>
    </row>
    <row r="40" spans="1:8" ht="26.25">
      <c r="A40" s="172" t="s">
        <v>374</v>
      </c>
      <c r="B40" s="3"/>
      <c r="C40" s="3">
        <v>1</v>
      </c>
      <c r="D40" s="3">
        <v>0.3</v>
      </c>
      <c r="E40" s="3">
        <v>0.6</v>
      </c>
      <c r="F40" s="3"/>
      <c r="G40" s="3"/>
      <c r="H40" s="80">
        <f>D40*E40</f>
        <v>0.18</v>
      </c>
    </row>
    <row r="41" spans="1:8" ht="26.25">
      <c r="A41" s="172" t="s">
        <v>375</v>
      </c>
      <c r="B41" s="3"/>
      <c r="C41" s="3">
        <v>1</v>
      </c>
      <c r="D41" s="3">
        <v>0.1</v>
      </c>
      <c r="E41" s="3">
        <v>6</v>
      </c>
      <c r="F41" s="3"/>
      <c r="G41" s="3"/>
      <c r="H41" s="80">
        <f>D41*E41</f>
        <v>0.60000000000000009</v>
      </c>
    </row>
    <row r="42" spans="1:8" ht="15.75" thickBot="1">
      <c r="A42" s="185"/>
      <c r="B42" s="186"/>
      <c r="C42" s="186"/>
      <c r="D42" s="186"/>
      <c r="E42" s="186"/>
      <c r="F42" s="186"/>
      <c r="G42" s="1008" t="s">
        <v>245</v>
      </c>
      <c r="H42" s="1009">
        <f>SUM(H37:H41)</f>
        <v>4.5600000000000005</v>
      </c>
    </row>
  </sheetData>
  <mergeCells count="10">
    <mergeCell ref="A1:J1"/>
    <mergeCell ref="A22:B22"/>
    <mergeCell ref="A32:B32"/>
    <mergeCell ref="A2:J2"/>
    <mergeCell ref="A3:A4"/>
    <mergeCell ref="B3:B4"/>
    <mergeCell ref="C3:C4"/>
    <mergeCell ref="D3:D4"/>
    <mergeCell ref="F3:H3"/>
    <mergeCell ref="I3:J3"/>
  </mergeCells>
  <pageMargins left="0.9055118110236221" right="0.51181102362204722" top="0.78740157480314965" bottom="0.78740157480314965" header="0.31496062992125984" footer="0.31496062992125984"/>
  <pageSetup paperSize="9" scale="7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
  <sheetViews>
    <sheetView view="pageBreakPreview" zoomScaleNormal="100" zoomScaleSheetLayoutView="100" workbookViewId="0">
      <selection sqref="A1:J1"/>
    </sheetView>
  </sheetViews>
  <sheetFormatPr defaultRowHeight="15"/>
  <cols>
    <col min="1" max="1" width="11.5703125" customWidth="1"/>
    <col min="7" max="7" width="9.42578125" customWidth="1"/>
    <col min="8" max="8" width="10.7109375" customWidth="1"/>
    <col min="9" max="9" width="9.5703125" customWidth="1"/>
  </cols>
  <sheetData>
    <row r="1" spans="1:10" ht="65.25" customHeight="1" thickBot="1">
      <c r="A1" s="1701" t="s">
        <v>1075</v>
      </c>
      <c r="B1" s="1701"/>
      <c r="C1" s="1701"/>
      <c r="D1" s="1701"/>
      <c r="E1" s="1701"/>
      <c r="F1" s="1701"/>
      <c r="G1" s="1701"/>
      <c r="H1" s="1701"/>
      <c r="I1" s="1701"/>
      <c r="J1" s="1701"/>
    </row>
    <row r="2" spans="1:10" ht="15.75">
      <c r="A2" s="1694" t="s">
        <v>281</v>
      </c>
      <c r="B2" s="1695"/>
      <c r="C2" s="1695"/>
      <c r="D2" s="1695"/>
      <c r="E2" s="1695"/>
      <c r="F2" s="1695"/>
      <c r="G2" s="1695"/>
      <c r="H2" s="1695"/>
      <c r="I2" s="1695"/>
      <c r="J2" s="1696"/>
    </row>
    <row r="3" spans="1:10">
      <c r="A3" s="1697" t="s">
        <v>238</v>
      </c>
      <c r="B3" s="1698" t="s">
        <v>239</v>
      </c>
      <c r="C3" s="1699" t="s">
        <v>240</v>
      </c>
      <c r="D3" s="1698" t="s">
        <v>241</v>
      </c>
      <c r="E3" s="88" t="s">
        <v>242</v>
      </c>
      <c r="F3" s="1698" t="s">
        <v>243</v>
      </c>
      <c r="G3" s="1698"/>
      <c r="H3" s="1698"/>
      <c r="I3" s="1698" t="s">
        <v>244</v>
      </c>
      <c r="J3" s="1700"/>
    </row>
    <row r="4" spans="1:10">
      <c r="A4" s="1697"/>
      <c r="B4" s="1698"/>
      <c r="C4" s="1699"/>
      <c r="D4" s="1698"/>
      <c r="E4" s="89" t="s">
        <v>245</v>
      </c>
      <c r="F4" s="89" t="s">
        <v>246</v>
      </c>
      <c r="G4" s="89" t="s">
        <v>247</v>
      </c>
      <c r="H4" s="89" t="s">
        <v>248</v>
      </c>
      <c r="I4" s="911" t="s">
        <v>249</v>
      </c>
      <c r="J4" s="992" t="s">
        <v>207</v>
      </c>
    </row>
    <row r="5" spans="1:10">
      <c r="A5" s="995" t="s">
        <v>250</v>
      </c>
      <c r="B5" s="90">
        <v>1</v>
      </c>
      <c r="C5" s="91">
        <v>8</v>
      </c>
      <c r="D5" s="92" t="s">
        <v>251</v>
      </c>
      <c r="E5" s="93" t="s">
        <v>252</v>
      </c>
      <c r="F5" s="94">
        <v>1.1200000000000001</v>
      </c>
      <c r="G5" s="94">
        <f t="shared" ref="G5:H13" si="0">D5*F5</f>
        <v>11.200000000000001</v>
      </c>
      <c r="H5" s="98">
        <f t="shared" si="0"/>
        <v>44.800000000000004</v>
      </c>
      <c r="I5" s="95">
        <v>0.39500000000000002</v>
      </c>
      <c r="J5" s="996">
        <f t="shared" ref="J5:J13" si="1">I5*H5</f>
        <v>17.696000000000002</v>
      </c>
    </row>
    <row r="6" spans="1:10">
      <c r="A6" s="995" t="s">
        <v>253</v>
      </c>
      <c r="B6" s="90">
        <v>2</v>
      </c>
      <c r="C6" s="96">
        <v>5</v>
      </c>
      <c r="D6" s="93" t="s">
        <v>254</v>
      </c>
      <c r="E6" s="93" t="s">
        <v>252</v>
      </c>
      <c r="F6" s="96">
        <v>1.36</v>
      </c>
      <c r="G6" s="94">
        <f>D6*F6</f>
        <v>14.96</v>
      </c>
      <c r="H6" s="98">
        <f t="shared" si="0"/>
        <v>59.84</v>
      </c>
      <c r="I6" s="95">
        <v>0.16</v>
      </c>
      <c r="J6" s="996">
        <f t="shared" si="1"/>
        <v>9.5744000000000007</v>
      </c>
    </row>
    <row r="7" spans="1:10">
      <c r="A7" s="995" t="s">
        <v>253</v>
      </c>
      <c r="B7" s="90" t="s">
        <v>255</v>
      </c>
      <c r="C7" s="96">
        <v>5</v>
      </c>
      <c r="D7" s="93" t="s">
        <v>256</v>
      </c>
      <c r="E7" s="93" t="s">
        <v>252</v>
      </c>
      <c r="F7" s="96">
        <v>1.36</v>
      </c>
      <c r="G7" s="94">
        <f t="shared" si="0"/>
        <v>24.48</v>
      </c>
      <c r="H7" s="98">
        <f t="shared" si="0"/>
        <v>97.92</v>
      </c>
      <c r="I7" s="95">
        <v>0.16</v>
      </c>
      <c r="J7" s="996">
        <f t="shared" si="1"/>
        <v>15.667200000000001</v>
      </c>
    </row>
    <row r="8" spans="1:10">
      <c r="A8" s="1010" t="s">
        <v>250</v>
      </c>
      <c r="B8" s="90" t="s">
        <v>252</v>
      </c>
      <c r="C8" s="96">
        <v>8</v>
      </c>
      <c r="D8" s="93" t="s">
        <v>252</v>
      </c>
      <c r="E8" s="93" t="s">
        <v>252</v>
      </c>
      <c r="F8" s="96">
        <v>2.3199999999999998</v>
      </c>
      <c r="G8" s="94">
        <f t="shared" si="0"/>
        <v>9.2799999999999994</v>
      </c>
      <c r="H8" s="98">
        <f t="shared" si="0"/>
        <v>37.119999999999997</v>
      </c>
      <c r="I8" s="95">
        <v>0.39500000000000002</v>
      </c>
      <c r="J8" s="996">
        <f t="shared" si="1"/>
        <v>14.6624</v>
      </c>
    </row>
    <row r="9" spans="1:10">
      <c r="A9" s="995" t="s">
        <v>250</v>
      </c>
      <c r="B9" s="90" t="s">
        <v>257</v>
      </c>
      <c r="C9" s="96">
        <v>8</v>
      </c>
      <c r="D9" s="93" t="s">
        <v>252</v>
      </c>
      <c r="E9" s="93" t="s">
        <v>252</v>
      </c>
      <c r="F9" s="96">
        <v>3.35</v>
      </c>
      <c r="G9" s="97">
        <f t="shared" si="0"/>
        <v>13.4</v>
      </c>
      <c r="H9" s="98">
        <f t="shared" si="0"/>
        <v>53.6</v>
      </c>
      <c r="I9" s="95">
        <v>0.39500000000000002</v>
      </c>
      <c r="J9" s="996">
        <f t="shared" si="1"/>
        <v>21.172000000000001</v>
      </c>
    </row>
    <row r="10" spans="1:10">
      <c r="A10" s="995" t="s">
        <v>250</v>
      </c>
      <c r="B10" s="90" t="s">
        <v>258</v>
      </c>
      <c r="C10" s="96">
        <v>8</v>
      </c>
      <c r="D10" s="93" t="s">
        <v>252</v>
      </c>
      <c r="E10" s="93" t="s">
        <v>259</v>
      </c>
      <c r="F10" s="96">
        <v>5.94</v>
      </c>
      <c r="G10" s="97">
        <f t="shared" si="0"/>
        <v>23.76</v>
      </c>
      <c r="H10" s="98">
        <f t="shared" si="0"/>
        <v>47.52</v>
      </c>
      <c r="I10" s="95">
        <v>0.39500000000000002</v>
      </c>
      <c r="J10" s="996">
        <f t="shared" si="1"/>
        <v>18.770400000000002</v>
      </c>
    </row>
    <row r="11" spans="1:10">
      <c r="A11" s="995" t="s">
        <v>253</v>
      </c>
      <c r="B11" s="90" t="s">
        <v>260</v>
      </c>
      <c r="C11" s="96">
        <v>5</v>
      </c>
      <c r="D11" s="93" t="s">
        <v>261</v>
      </c>
      <c r="E11" s="93" t="s">
        <v>259</v>
      </c>
      <c r="F11" s="96">
        <v>0.9</v>
      </c>
      <c r="G11" s="97">
        <f t="shared" si="0"/>
        <v>27.900000000000002</v>
      </c>
      <c r="H11" s="98">
        <f t="shared" si="0"/>
        <v>55.800000000000004</v>
      </c>
      <c r="I11" s="99">
        <v>0.16</v>
      </c>
      <c r="J11" s="996">
        <f t="shared" si="1"/>
        <v>8.9280000000000008</v>
      </c>
    </row>
    <row r="12" spans="1:10">
      <c r="A12" s="995" t="s">
        <v>253</v>
      </c>
      <c r="B12" s="90" t="s">
        <v>262</v>
      </c>
      <c r="C12" s="96">
        <v>5</v>
      </c>
      <c r="D12" s="93" t="s">
        <v>263</v>
      </c>
      <c r="E12" s="93" t="s">
        <v>252</v>
      </c>
      <c r="F12" s="96">
        <v>0.9</v>
      </c>
      <c r="G12" s="97">
        <f t="shared" si="0"/>
        <v>19.8</v>
      </c>
      <c r="H12" s="98">
        <f t="shared" si="0"/>
        <v>79.2</v>
      </c>
      <c r="I12" s="99">
        <v>0.16</v>
      </c>
      <c r="J12" s="996">
        <f t="shared" si="1"/>
        <v>12.672000000000001</v>
      </c>
    </row>
    <row r="13" spans="1:10">
      <c r="A13" s="1011" t="s">
        <v>250</v>
      </c>
      <c r="B13" s="118" t="s">
        <v>264</v>
      </c>
      <c r="C13" s="998">
        <v>8</v>
      </c>
      <c r="D13" s="999" t="s">
        <v>252</v>
      </c>
      <c r="E13" s="999" t="s">
        <v>252</v>
      </c>
      <c r="F13" s="998">
        <v>4.24</v>
      </c>
      <c r="G13" s="1012">
        <f t="shared" si="0"/>
        <v>16.96</v>
      </c>
      <c r="H13" s="1000">
        <f t="shared" si="0"/>
        <v>67.84</v>
      </c>
      <c r="I13" s="119">
        <v>0.39500000000000002</v>
      </c>
      <c r="J13" s="1001">
        <f t="shared" si="1"/>
        <v>26.796800000000001</v>
      </c>
    </row>
    <row r="14" spans="1:10">
      <c r="A14" s="100"/>
      <c r="B14" s="87"/>
      <c r="C14" s="87"/>
      <c r="D14" s="87"/>
      <c r="E14" s="87"/>
      <c r="F14" s="87"/>
      <c r="G14" s="87"/>
      <c r="H14" s="120" t="s">
        <v>265</v>
      </c>
      <c r="I14" s="116"/>
      <c r="J14" s="117">
        <f>SUM(J5:J13)</f>
        <v>145.9392</v>
      </c>
    </row>
    <row r="15" spans="1:10">
      <c r="A15" s="100"/>
      <c r="B15" s="87"/>
      <c r="C15" s="87"/>
      <c r="D15" s="87"/>
      <c r="E15" s="87"/>
      <c r="F15" s="87"/>
      <c r="G15" s="87"/>
      <c r="H15" s="87"/>
      <c r="I15" s="87"/>
      <c r="J15" s="101"/>
    </row>
    <row r="16" spans="1:10">
      <c r="A16" s="100"/>
      <c r="B16" s="87"/>
      <c r="C16" s="1702" t="s">
        <v>383</v>
      </c>
      <c r="D16" s="1702"/>
      <c r="E16" s="58">
        <f>J14/H25</f>
        <v>30.531213389121337</v>
      </c>
      <c r="F16" s="87"/>
      <c r="G16" s="87"/>
      <c r="H16" s="121" t="s">
        <v>282</v>
      </c>
      <c r="I16" s="121" t="s">
        <v>283</v>
      </c>
      <c r="J16" s="1002">
        <f>J5+J8+J9+J10+J13</f>
        <v>99.097600000000014</v>
      </c>
    </row>
    <row r="17" spans="1:10">
      <c r="A17" s="100"/>
      <c r="B17" s="87"/>
      <c r="C17" s="87"/>
      <c r="D17" s="87"/>
      <c r="E17" s="87"/>
      <c r="F17" s="87"/>
      <c r="G17" s="122"/>
      <c r="H17" s="121" t="s">
        <v>284</v>
      </c>
      <c r="I17" s="121" t="s">
        <v>283</v>
      </c>
      <c r="J17" s="1002">
        <f>J6+J7+J11+J12</f>
        <v>46.8416</v>
      </c>
    </row>
    <row r="18" spans="1:10">
      <c r="A18" s="100"/>
      <c r="B18" s="87"/>
      <c r="C18" s="87"/>
      <c r="D18" s="87"/>
      <c r="E18" s="87"/>
      <c r="F18" s="87"/>
      <c r="G18" s="87"/>
      <c r="H18" s="87"/>
      <c r="I18" s="87"/>
      <c r="J18" s="101"/>
    </row>
    <row r="19" spans="1:10">
      <c r="A19" s="100"/>
      <c r="B19" s="87"/>
      <c r="C19" s="87"/>
      <c r="D19" s="87"/>
      <c r="E19" s="87"/>
      <c r="F19" s="87"/>
      <c r="G19" s="87"/>
      <c r="H19" s="87"/>
      <c r="I19" s="87"/>
      <c r="J19" s="101"/>
    </row>
    <row r="20" spans="1:10">
      <c r="A20" s="102" t="s">
        <v>266</v>
      </c>
      <c r="B20" s="103"/>
      <c r="C20" s="103" t="s">
        <v>267</v>
      </c>
      <c r="D20" s="103" t="s">
        <v>268</v>
      </c>
      <c r="E20" s="103" t="s">
        <v>269</v>
      </c>
      <c r="F20" s="103" t="s">
        <v>289</v>
      </c>
      <c r="G20" s="103" t="s">
        <v>241</v>
      </c>
      <c r="H20" s="103" t="s">
        <v>288</v>
      </c>
      <c r="I20" s="87"/>
      <c r="J20" s="101"/>
    </row>
    <row r="21" spans="1:10">
      <c r="A21" s="104" t="s">
        <v>270</v>
      </c>
      <c r="B21" s="105"/>
      <c r="C21" s="106">
        <v>0.8</v>
      </c>
      <c r="D21" s="106">
        <v>0.8</v>
      </c>
      <c r="E21" s="106">
        <v>0.25</v>
      </c>
      <c r="F21" s="3">
        <f>C21*D21*E21</f>
        <v>0.16000000000000003</v>
      </c>
      <c r="G21" s="3">
        <v>4</v>
      </c>
      <c r="H21" s="107">
        <f>F21*G21</f>
        <v>0.64000000000000012</v>
      </c>
      <c r="I21" s="87"/>
      <c r="J21" s="101"/>
    </row>
    <row r="22" spans="1:10">
      <c r="A22" s="104" t="s">
        <v>271</v>
      </c>
      <c r="B22" s="105"/>
      <c r="C22" s="3">
        <v>0.25</v>
      </c>
      <c r="D22" s="106">
        <v>0.5</v>
      </c>
      <c r="E22" s="106">
        <f>1.5+3.38</f>
        <v>4.88</v>
      </c>
      <c r="F22" s="3">
        <f>C22*D22*E22</f>
        <v>0.61</v>
      </c>
      <c r="G22" s="3">
        <v>4</v>
      </c>
      <c r="H22" s="3">
        <f>F22*G22</f>
        <v>2.44</v>
      </c>
      <c r="I22" s="87"/>
      <c r="J22" s="101"/>
    </row>
    <row r="23" spans="1:10">
      <c r="A23" s="108" t="s">
        <v>272</v>
      </c>
      <c r="B23" s="105"/>
      <c r="C23" s="3">
        <v>0.25</v>
      </c>
      <c r="D23" s="106">
        <v>0.25</v>
      </c>
      <c r="E23" s="106">
        <v>6</v>
      </c>
      <c r="F23" s="3">
        <f>C23*D23*E23</f>
        <v>0.375</v>
      </c>
      <c r="G23" s="3">
        <v>2</v>
      </c>
      <c r="H23" s="3">
        <f>F23*G23</f>
        <v>0.75</v>
      </c>
      <c r="I23" s="87"/>
      <c r="J23" s="101"/>
    </row>
    <row r="24" spans="1:10">
      <c r="A24" s="108" t="s">
        <v>273</v>
      </c>
      <c r="B24" s="105"/>
      <c r="C24" s="3">
        <v>0.25</v>
      </c>
      <c r="D24" s="106">
        <v>0.25</v>
      </c>
      <c r="E24" s="106">
        <v>3.8</v>
      </c>
      <c r="F24" s="3">
        <f>C24*D24*E24</f>
        <v>0.23749999999999999</v>
      </c>
      <c r="G24" s="3">
        <v>4</v>
      </c>
      <c r="H24" s="3">
        <f>F24*G24</f>
        <v>0.95</v>
      </c>
      <c r="I24" s="87"/>
      <c r="J24" s="101"/>
    </row>
    <row r="25" spans="1:10">
      <c r="A25" s="81"/>
      <c r="B25" s="3"/>
      <c r="C25" s="3"/>
      <c r="D25" s="3"/>
      <c r="E25" s="3"/>
      <c r="F25" s="3"/>
      <c r="G25" s="67" t="s">
        <v>245</v>
      </c>
      <c r="H25" s="109">
        <f>SUM(H21:H24)</f>
        <v>4.78</v>
      </c>
      <c r="I25" s="87"/>
      <c r="J25" s="125"/>
    </row>
    <row r="26" spans="1:10">
      <c r="A26" s="100"/>
      <c r="B26" s="87"/>
      <c r="C26" s="87"/>
      <c r="D26" s="87"/>
      <c r="E26" s="87"/>
      <c r="F26" s="87"/>
      <c r="G26" s="87"/>
      <c r="H26" s="87"/>
      <c r="I26" s="87"/>
      <c r="J26" s="101"/>
    </row>
    <row r="27" spans="1:10" ht="30" customHeight="1">
      <c r="A27" s="1690" t="s">
        <v>287</v>
      </c>
      <c r="B27" s="1691"/>
      <c r="C27" s="103" t="s">
        <v>267</v>
      </c>
      <c r="D27" s="103" t="s">
        <v>268</v>
      </c>
      <c r="E27" s="103" t="s">
        <v>269</v>
      </c>
      <c r="F27" s="103" t="s">
        <v>289</v>
      </c>
      <c r="G27" s="103" t="s">
        <v>241</v>
      </c>
      <c r="H27" s="103" t="s">
        <v>288</v>
      </c>
      <c r="I27" s="87"/>
      <c r="J27" s="101"/>
    </row>
    <row r="28" spans="1:10">
      <c r="A28" s="104" t="s">
        <v>270</v>
      </c>
      <c r="B28" s="105"/>
      <c r="C28" s="106">
        <v>0.8</v>
      </c>
      <c r="D28" s="106">
        <v>0.8</v>
      </c>
      <c r="E28" s="106">
        <v>0.05</v>
      </c>
      <c r="F28" s="3">
        <f>C28*D28*E28</f>
        <v>3.2000000000000008E-2</v>
      </c>
      <c r="G28" s="3">
        <v>4</v>
      </c>
      <c r="H28" s="107">
        <f>F28*G28</f>
        <v>0.12800000000000003</v>
      </c>
      <c r="I28" s="87"/>
      <c r="J28" s="101"/>
    </row>
    <row r="29" spans="1:10">
      <c r="A29" s="81"/>
      <c r="B29" s="3"/>
      <c r="C29" s="3"/>
      <c r="D29" s="3"/>
      <c r="E29" s="3"/>
      <c r="F29" s="3"/>
      <c r="G29" s="67" t="s">
        <v>245</v>
      </c>
      <c r="H29" s="109">
        <f>SUM(H28:H28)</f>
        <v>0.12800000000000003</v>
      </c>
      <c r="I29" s="87"/>
      <c r="J29" s="101"/>
    </row>
    <row r="30" spans="1:10">
      <c r="A30" s="100"/>
      <c r="B30" s="87"/>
      <c r="C30" s="87"/>
      <c r="D30" s="87"/>
      <c r="E30" s="87"/>
      <c r="F30" s="87"/>
      <c r="G30" s="87"/>
      <c r="H30" s="87"/>
      <c r="I30" s="87"/>
      <c r="J30" s="101"/>
    </row>
    <row r="31" spans="1:10">
      <c r="A31" s="127" t="s">
        <v>274</v>
      </c>
      <c r="B31" s="123"/>
      <c r="C31" s="103" t="s">
        <v>275</v>
      </c>
      <c r="D31" s="103" t="s">
        <v>268</v>
      </c>
      <c r="E31" s="103" t="s">
        <v>276</v>
      </c>
      <c r="F31" s="103" t="s">
        <v>277</v>
      </c>
      <c r="G31" s="103" t="s">
        <v>278</v>
      </c>
      <c r="H31" s="103" t="s">
        <v>279</v>
      </c>
      <c r="I31" s="103" t="s">
        <v>241</v>
      </c>
      <c r="J31" s="128" t="s">
        <v>280</v>
      </c>
    </row>
    <row r="32" spans="1:10">
      <c r="A32" s="104" t="s">
        <v>271</v>
      </c>
      <c r="B32" s="105"/>
      <c r="C32" s="3">
        <v>0.25</v>
      </c>
      <c r="D32" s="3">
        <v>0.25</v>
      </c>
      <c r="E32" s="3">
        <v>0.5</v>
      </c>
      <c r="F32" s="3">
        <v>0.5</v>
      </c>
      <c r="G32" s="3">
        <f>4.88-0.25</f>
        <v>4.63</v>
      </c>
      <c r="H32" s="3">
        <f>(C32+D32+E32+F32)*G32</f>
        <v>6.9450000000000003</v>
      </c>
      <c r="I32" s="3">
        <v>4</v>
      </c>
      <c r="J32" s="110">
        <f>I32*H32</f>
        <v>27.78</v>
      </c>
    </row>
    <row r="33" spans="1:10">
      <c r="A33" s="104" t="s">
        <v>272</v>
      </c>
      <c r="B33" s="105"/>
      <c r="C33" s="3">
        <v>0.25</v>
      </c>
      <c r="D33" s="3">
        <v>0.25</v>
      </c>
      <c r="E33" s="3"/>
      <c r="F33" s="3"/>
      <c r="G33" s="106">
        <v>6</v>
      </c>
      <c r="H33" s="3">
        <f>(C33+D33+E33+F33)*G33</f>
        <v>3</v>
      </c>
      <c r="I33" s="3">
        <v>2</v>
      </c>
      <c r="J33" s="110">
        <f>I33*H33</f>
        <v>6</v>
      </c>
    </row>
    <row r="34" spans="1:10">
      <c r="A34" s="104" t="s">
        <v>273</v>
      </c>
      <c r="B34" s="105"/>
      <c r="C34" s="3">
        <v>0.25</v>
      </c>
      <c r="D34" s="3">
        <v>0.25</v>
      </c>
      <c r="E34" s="3"/>
      <c r="F34" s="3"/>
      <c r="G34" s="106">
        <v>4.3</v>
      </c>
      <c r="H34" s="3">
        <f>(C34+D34+E34+F34)*G34</f>
        <v>2.15</v>
      </c>
      <c r="I34" s="3">
        <v>4</v>
      </c>
      <c r="J34" s="110">
        <f>I34*H34</f>
        <v>8.6</v>
      </c>
    </row>
    <row r="35" spans="1:10" ht="15.75" thickBot="1">
      <c r="A35" s="111"/>
      <c r="B35" s="112"/>
      <c r="C35" s="112"/>
      <c r="D35" s="112"/>
      <c r="E35" s="112"/>
      <c r="F35" s="112"/>
      <c r="G35" s="112"/>
      <c r="H35" s="113" t="s">
        <v>245</v>
      </c>
      <c r="I35" s="112"/>
      <c r="J35" s="114">
        <f>SUM(J32:J34)</f>
        <v>42.38</v>
      </c>
    </row>
    <row r="36" spans="1:10" ht="15.75" thickBot="1"/>
    <row r="37" spans="1:10">
      <c r="A37" s="1692" t="s">
        <v>285</v>
      </c>
      <c r="B37" s="1693"/>
      <c r="C37" s="1003" t="s">
        <v>267</v>
      </c>
      <c r="D37" s="1003" t="s">
        <v>268</v>
      </c>
      <c r="E37" s="1003" t="s">
        <v>269</v>
      </c>
      <c r="F37" s="1003" t="s">
        <v>289</v>
      </c>
      <c r="G37" s="1003" t="s">
        <v>241</v>
      </c>
      <c r="H37" s="1004" t="s">
        <v>288</v>
      </c>
      <c r="J37" s="115"/>
    </row>
    <row r="38" spans="1:10">
      <c r="A38" s="104" t="s">
        <v>286</v>
      </c>
      <c r="B38" s="106"/>
      <c r="C38" s="106">
        <v>0.8</v>
      </c>
      <c r="D38" s="106">
        <v>0.8</v>
      </c>
      <c r="E38" s="106">
        <v>1.55</v>
      </c>
      <c r="F38" s="3">
        <f>C38*D38*E38</f>
        <v>0.99200000000000021</v>
      </c>
      <c r="G38" s="3">
        <v>4</v>
      </c>
      <c r="H38" s="1005">
        <f>F38*G38</f>
        <v>3.9680000000000009</v>
      </c>
    </row>
    <row r="39" spans="1:10">
      <c r="A39" s="104" t="s">
        <v>291</v>
      </c>
      <c r="B39" s="3"/>
      <c r="C39" s="3">
        <v>0.25</v>
      </c>
      <c r="D39" s="106">
        <v>6</v>
      </c>
      <c r="E39" s="3">
        <v>0.25</v>
      </c>
      <c r="F39" s="741">
        <f>C39*D39*E39</f>
        <v>0.375</v>
      </c>
      <c r="G39" s="3">
        <v>2</v>
      </c>
      <c r="H39" s="1005">
        <f>F39*G39</f>
        <v>0.75</v>
      </c>
    </row>
    <row r="40" spans="1:10">
      <c r="A40" s="104" t="s">
        <v>292</v>
      </c>
      <c r="B40" s="105"/>
      <c r="C40" s="3">
        <v>0.25</v>
      </c>
      <c r="D40" s="106">
        <f>4.3-(0.25*2)</f>
        <v>3.8</v>
      </c>
      <c r="E40" s="3">
        <v>0.25</v>
      </c>
      <c r="F40" s="124">
        <f>C40*D40*E40</f>
        <v>0.23749999999999999</v>
      </c>
      <c r="G40" s="3">
        <v>4</v>
      </c>
      <c r="H40" s="1005">
        <f>F40*G40</f>
        <v>0.95</v>
      </c>
      <c r="I40" s="115"/>
    </row>
    <row r="41" spans="1:10" ht="15.75" thickBot="1">
      <c r="A41" s="111"/>
      <c r="B41" s="112"/>
      <c r="C41" s="112"/>
      <c r="D41" s="112"/>
      <c r="E41" s="112"/>
      <c r="F41" s="113"/>
      <c r="G41" s="113" t="s">
        <v>245</v>
      </c>
      <c r="H41" s="114">
        <f>SUM(H38:H40)</f>
        <v>5.668000000000001</v>
      </c>
    </row>
    <row r="42" spans="1:10" ht="15.75" thickBot="1"/>
    <row r="43" spans="1:10">
      <c r="A43" s="1013" t="s">
        <v>293</v>
      </c>
      <c r="B43" s="182">
        <v>0.25</v>
      </c>
      <c r="C43" s="182">
        <v>0.5</v>
      </c>
      <c r="D43" s="182">
        <v>1.25</v>
      </c>
      <c r="E43" s="1014">
        <f>B43*C43*D43</f>
        <v>0.15625</v>
      </c>
      <c r="F43" s="182"/>
      <c r="G43" s="182"/>
      <c r="H43" s="1015"/>
    </row>
    <row r="44" spans="1:10" ht="15.75" thickBot="1">
      <c r="A44" s="111"/>
      <c r="B44" s="112"/>
      <c r="C44" s="112"/>
      <c r="D44" s="112"/>
      <c r="E44" s="113" t="s">
        <v>294</v>
      </c>
      <c r="F44" s="112"/>
      <c r="G44" s="112"/>
      <c r="H44" s="1016">
        <f>H41-(E43+H29+H21+H23+H24)</f>
        <v>3.0437500000000011</v>
      </c>
    </row>
  </sheetData>
  <mergeCells count="11">
    <mergeCell ref="A1:J1"/>
    <mergeCell ref="C16:D16"/>
    <mergeCell ref="A27:B27"/>
    <mergeCell ref="A37:B37"/>
    <mergeCell ref="A2:J2"/>
    <mergeCell ref="A3:A4"/>
    <mergeCell ref="B3:B4"/>
    <mergeCell ref="C3:C4"/>
    <mergeCell ref="D3:D4"/>
    <mergeCell ref="F3:H3"/>
    <mergeCell ref="I3:J3"/>
  </mergeCells>
  <pageMargins left="0.9055118110236221" right="0.51181102362204722" top="0.78740157480314965" bottom="0.78740157480314965" header="0.31496062992125984" footer="0.31496062992125984"/>
  <pageSetup paperSize="9" scale="7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621"/>
  <sheetViews>
    <sheetView view="pageBreakPreview" topLeftCell="A16" zoomScale="85" zoomScaleNormal="55" zoomScaleSheetLayoutView="85" workbookViewId="0">
      <selection activeCell="A43" sqref="A43:P112"/>
    </sheetView>
  </sheetViews>
  <sheetFormatPr defaultColWidth="9.140625" defaultRowHeight="15"/>
  <cols>
    <col min="1" max="1" width="15.42578125" style="465" customWidth="1"/>
    <col min="2" max="2" width="43.28515625" style="371" customWidth="1"/>
    <col min="3" max="3" width="14.42578125" style="371" customWidth="1"/>
    <col min="4" max="4" width="14.5703125" style="465" customWidth="1"/>
    <col min="5" max="5" width="18.7109375" style="465" customWidth="1"/>
    <col min="6" max="6" width="10.85546875" style="465" bestFit="1" customWidth="1"/>
    <col min="7" max="7" width="15.85546875" style="465" customWidth="1"/>
    <col min="8" max="8" width="18.7109375" style="465" customWidth="1"/>
    <col min="9" max="9" width="10.7109375" style="465" customWidth="1"/>
    <col min="10" max="10" width="15.85546875" style="465" customWidth="1"/>
    <col min="11" max="11" width="18.7109375" style="465" customWidth="1"/>
    <col min="12" max="12" width="9.7109375" style="465" bestFit="1" customWidth="1"/>
    <col min="13" max="13" width="16.42578125" style="465" customWidth="1"/>
    <col min="14" max="14" width="16.42578125" style="465" hidden="1" customWidth="1"/>
    <col min="15" max="15" width="15" style="465" customWidth="1"/>
    <col min="16" max="16" width="22" style="371" customWidth="1"/>
    <col min="17" max="17" width="9.140625" style="371"/>
    <col min="18" max="20" width="10.85546875" style="371" customWidth="1"/>
    <col min="21" max="21" width="10.42578125" style="371" customWidth="1"/>
    <col min="22" max="22" width="11.7109375" style="371" customWidth="1"/>
    <col min="23" max="25" width="10.85546875" style="371" customWidth="1"/>
    <col min="26" max="26" width="11.7109375" style="371" customWidth="1"/>
    <col min="27" max="27" width="12.7109375" style="371" customWidth="1"/>
    <col min="28" max="28" width="11.7109375" style="371" customWidth="1"/>
    <col min="29" max="16384" width="9.140625" style="371"/>
  </cols>
  <sheetData>
    <row r="1" spans="1:28" ht="30.75" customHeight="1">
      <c r="A1" s="1705" t="e">
        <f>#REF!</f>
        <v>#REF!</v>
      </c>
      <c r="B1" s="1706"/>
      <c r="C1" s="1706"/>
      <c r="D1" s="1706"/>
      <c r="E1" s="1706"/>
      <c r="F1" s="1706"/>
      <c r="G1" s="1706"/>
      <c r="H1" s="1706"/>
      <c r="I1" s="1706"/>
      <c r="J1" s="1706"/>
      <c r="K1" s="1706"/>
      <c r="L1" s="1706"/>
      <c r="M1" s="1706"/>
      <c r="N1" s="1706"/>
      <c r="O1" s="1706"/>
      <c r="P1" s="1707"/>
      <c r="Q1" s="370"/>
    </row>
    <row r="2" spans="1:28" ht="20.25" customHeight="1">
      <c r="A2" s="1708"/>
      <c r="B2" s="1709"/>
      <c r="C2" s="1709"/>
      <c r="D2" s="1709"/>
      <c r="E2" s="1709"/>
      <c r="F2" s="1709"/>
      <c r="G2" s="1709"/>
      <c r="H2" s="1709"/>
      <c r="I2" s="1709"/>
      <c r="J2" s="1709"/>
      <c r="K2" s="1709"/>
      <c r="L2" s="1709"/>
      <c r="M2" s="1709"/>
      <c r="N2" s="1709"/>
      <c r="O2" s="1709"/>
      <c r="P2" s="1710"/>
      <c r="Q2" s="370"/>
    </row>
    <row r="3" spans="1:28" ht="19.5" customHeight="1">
      <c r="A3" s="1324" t="e">
        <f>#REF!</f>
        <v>#REF!</v>
      </c>
      <c r="B3" s="1325"/>
      <c r="C3" s="1325"/>
      <c r="D3" s="1325"/>
      <c r="E3" s="1325"/>
      <c r="F3" s="1325"/>
      <c r="G3" s="1325"/>
      <c r="H3" s="1325"/>
      <c r="I3" s="1325"/>
      <c r="J3" s="1325"/>
      <c r="K3" s="1325"/>
      <c r="L3" s="1325"/>
      <c r="M3" s="1325"/>
      <c r="N3" s="1325"/>
      <c r="O3" s="1325"/>
      <c r="P3" s="1326"/>
      <c r="Q3" s="370"/>
    </row>
    <row r="4" spans="1:28" ht="19.5" customHeight="1">
      <c r="A4" s="1324" t="e">
        <f>#REF!</f>
        <v>#REF!</v>
      </c>
      <c r="B4" s="1325"/>
      <c r="C4" s="1325"/>
      <c r="D4" s="1325"/>
      <c r="E4" s="1325"/>
      <c r="F4" s="1325"/>
      <c r="G4" s="1325"/>
      <c r="H4" s="1325"/>
      <c r="I4" s="1325"/>
      <c r="J4" s="1325"/>
      <c r="K4" s="1325"/>
      <c r="L4" s="1325"/>
      <c r="M4" s="1325"/>
      <c r="N4" s="1325"/>
      <c r="O4" s="1325"/>
      <c r="P4" s="1326"/>
      <c r="Q4" s="370"/>
    </row>
    <row r="5" spans="1:28" ht="9.9499999999999993" customHeight="1">
      <c r="A5" s="372"/>
      <c r="B5" s="373"/>
      <c r="C5" s="373"/>
      <c r="D5" s="373"/>
      <c r="E5" s="373"/>
      <c r="F5" s="373"/>
      <c r="G5" s="373"/>
      <c r="H5" s="373"/>
      <c r="I5" s="373"/>
      <c r="J5" s="373"/>
      <c r="K5" s="373"/>
      <c r="L5" s="373"/>
      <c r="M5" s="373"/>
      <c r="N5" s="373"/>
      <c r="O5" s="373"/>
      <c r="P5" s="374"/>
      <c r="Q5" s="370"/>
    </row>
    <row r="6" spans="1:28" ht="9.9499999999999993" customHeight="1">
      <c r="A6" s="372"/>
      <c r="B6" s="373"/>
      <c r="C6" s="373"/>
      <c r="D6" s="373"/>
      <c r="E6" s="373"/>
      <c r="F6" s="373"/>
      <c r="G6" s="373"/>
      <c r="H6" s="373"/>
      <c r="I6" s="373"/>
      <c r="J6" s="373"/>
      <c r="K6" s="373"/>
      <c r="L6" s="373"/>
      <c r="M6" s="373"/>
      <c r="N6" s="373"/>
      <c r="O6" s="373"/>
      <c r="P6" s="374"/>
      <c r="Q6" s="370"/>
    </row>
    <row r="7" spans="1:28" customFormat="1" ht="24.75" customHeight="1">
      <c r="A7" s="1327" t="s">
        <v>166</v>
      </c>
      <c r="B7" s="1328"/>
      <c r="C7" s="1328"/>
      <c r="D7" s="1328"/>
      <c r="E7" s="1328"/>
      <c r="F7" s="1328"/>
      <c r="G7" s="1328"/>
      <c r="H7" s="1328"/>
      <c r="I7" s="1328"/>
      <c r="J7" s="1328"/>
      <c r="K7" s="1328"/>
      <c r="L7" s="1328"/>
      <c r="M7" s="1328"/>
      <c r="N7" s="1328"/>
      <c r="O7" s="1328"/>
      <c r="P7" s="1329"/>
    </row>
    <row r="8" spans="1:28" s="375" customFormat="1" ht="15" customHeight="1" thickBot="1">
      <c r="A8" s="1711" t="s">
        <v>51</v>
      </c>
      <c r="B8" s="1712" t="s">
        <v>132</v>
      </c>
      <c r="C8" s="1712" t="s">
        <v>151</v>
      </c>
      <c r="D8" s="1712" t="s">
        <v>426</v>
      </c>
      <c r="E8" s="1714" t="s">
        <v>427</v>
      </c>
      <c r="F8" s="1714"/>
      <c r="G8" s="1714"/>
      <c r="H8" s="1714"/>
      <c r="I8" s="1714"/>
      <c r="J8" s="1714"/>
      <c r="K8" s="1714"/>
      <c r="L8" s="1714"/>
      <c r="M8" s="1714"/>
      <c r="N8" s="1703" t="s">
        <v>428</v>
      </c>
      <c r="O8" s="1703" t="s">
        <v>429</v>
      </c>
      <c r="P8" s="1704" t="s">
        <v>430</v>
      </c>
    </row>
    <row r="9" spans="1:28" s="375" customFormat="1" ht="39" customHeight="1" thickBot="1">
      <c r="A9" s="1711"/>
      <c r="B9" s="1712"/>
      <c r="C9" s="1712"/>
      <c r="D9" s="1713"/>
      <c r="E9" s="376" t="s">
        <v>431</v>
      </c>
      <c r="F9" s="377" t="s">
        <v>432</v>
      </c>
      <c r="G9" s="378" t="s">
        <v>433</v>
      </c>
      <c r="H9" s="376" t="s">
        <v>434</v>
      </c>
      <c r="I9" s="377" t="s">
        <v>435</v>
      </c>
      <c r="J9" s="378" t="s">
        <v>436</v>
      </c>
      <c r="K9" s="376" t="s">
        <v>437</v>
      </c>
      <c r="L9" s="377" t="s">
        <v>438</v>
      </c>
      <c r="M9" s="378" t="s">
        <v>439</v>
      </c>
      <c r="N9" s="1715"/>
      <c r="O9" s="1703"/>
      <c r="P9" s="1704"/>
    </row>
    <row r="10" spans="1:28" s="375" customFormat="1" ht="37.5" customHeight="1" thickBot="1">
      <c r="A10" s="379" t="s">
        <v>168</v>
      </c>
      <c r="B10" s="380" t="s">
        <v>440</v>
      </c>
      <c r="C10" s="381" t="s">
        <v>104</v>
      </c>
      <c r="D10" s="382">
        <v>1</v>
      </c>
      <c r="E10" s="383" t="s">
        <v>441</v>
      </c>
      <c r="F10" s="384">
        <v>145</v>
      </c>
      <c r="G10" s="385">
        <v>43252</v>
      </c>
      <c r="H10" s="383" t="s">
        <v>442</v>
      </c>
      <c r="I10" s="384" t="e">
        <f>#REF!</f>
        <v>#REF!</v>
      </c>
      <c r="J10" s="385">
        <v>43252</v>
      </c>
      <c r="K10" s="383" t="s">
        <v>443</v>
      </c>
      <c r="L10" s="384" t="e">
        <f>#REF!</f>
        <v>#REF!</v>
      </c>
      <c r="M10" s="385">
        <v>43252</v>
      </c>
      <c r="N10" s="386" t="e">
        <f t="shared" ref="N10:N61" si="0">(IF(F10&gt;0,F10,0)+IF(I10&gt;0,I10,0)+IF(L10&gt;0,L10,0))*1.2/(IF(F10&gt;0,1,0)+IF(I10&gt;0,1,0)+IF(L10&gt;0,1,0))</f>
        <v>#REF!</v>
      </c>
      <c r="O10" s="387" t="e">
        <f>AVERAGE(F10,I10,L10)</f>
        <v>#REF!</v>
      </c>
      <c r="P10" s="388"/>
      <c r="R10" s="389"/>
      <c r="S10" s="389"/>
      <c r="T10" s="389"/>
      <c r="U10" s="389"/>
      <c r="V10" s="389"/>
      <c r="W10" s="390"/>
      <c r="X10" s="390"/>
      <c r="Y10" s="390"/>
      <c r="Z10" s="390"/>
      <c r="AA10" s="390"/>
      <c r="AB10" s="390"/>
    </row>
    <row r="11" spans="1:28" s="375" customFormat="1" ht="34.5" customHeight="1" thickBot="1">
      <c r="A11" s="391" t="s">
        <v>169</v>
      </c>
      <c r="B11" s="392" t="s">
        <v>444</v>
      </c>
      <c r="C11" s="393" t="s">
        <v>104</v>
      </c>
      <c r="D11" s="394">
        <v>1</v>
      </c>
      <c r="E11" s="383" t="s">
        <v>445</v>
      </c>
      <c r="F11" s="395" t="e">
        <f>#REF!</f>
        <v>#REF!</v>
      </c>
      <c r="G11" s="385">
        <v>43253</v>
      </c>
      <c r="H11" s="383" t="s">
        <v>446</v>
      </c>
      <c r="I11" s="395" t="e">
        <f>#REF!</f>
        <v>#REF!</v>
      </c>
      <c r="J11" s="385">
        <v>43253</v>
      </c>
      <c r="K11" s="383" t="s">
        <v>447</v>
      </c>
      <c r="L11" s="395" t="e">
        <f>#REF!</f>
        <v>#REF!</v>
      </c>
      <c r="M11" s="385">
        <v>43253</v>
      </c>
      <c r="N11" s="396" t="e">
        <f t="shared" si="0"/>
        <v>#REF!</v>
      </c>
      <c r="O11" s="387" t="e">
        <f t="shared" ref="O11:O19" si="1">AVERAGE(F11,I11,L11)</f>
        <v>#REF!</v>
      </c>
      <c r="P11" s="397"/>
      <c r="R11" s="389"/>
      <c r="S11" s="389"/>
      <c r="T11" s="389"/>
      <c r="U11" s="389"/>
      <c r="V11" s="389"/>
      <c r="W11" s="390"/>
      <c r="X11" s="390"/>
      <c r="Y11" s="390"/>
      <c r="Z11" s="390"/>
      <c r="AA11" s="390"/>
      <c r="AB11" s="390"/>
    </row>
    <row r="12" spans="1:28" s="375" customFormat="1" ht="33.75" customHeight="1" thickBot="1">
      <c r="A12" s="391" t="s">
        <v>170</v>
      </c>
      <c r="B12" s="392" t="s">
        <v>448</v>
      </c>
      <c r="C12" s="393" t="s">
        <v>104</v>
      </c>
      <c r="D12" s="394">
        <v>1</v>
      </c>
      <c r="E12" s="383" t="s">
        <v>449</v>
      </c>
      <c r="F12" s="395" t="e">
        <f>#REF!</f>
        <v>#REF!</v>
      </c>
      <c r="G12" s="385">
        <v>43254</v>
      </c>
      <c r="H12" s="383" t="s">
        <v>450</v>
      </c>
      <c r="I12" s="395" t="e">
        <f>#REF!</f>
        <v>#REF!</v>
      </c>
      <c r="J12" s="385">
        <v>43254</v>
      </c>
      <c r="K12" s="383" t="s">
        <v>451</v>
      </c>
      <c r="L12" s="395" t="e">
        <f>#REF!</f>
        <v>#REF!</v>
      </c>
      <c r="M12" s="385">
        <v>43254</v>
      </c>
      <c r="N12" s="396" t="e">
        <f t="shared" si="0"/>
        <v>#REF!</v>
      </c>
      <c r="O12" s="387" t="e">
        <f t="shared" si="1"/>
        <v>#REF!</v>
      </c>
      <c r="P12" s="397"/>
      <c r="R12" s="389"/>
      <c r="S12" s="389"/>
      <c r="T12" s="389"/>
      <c r="U12" s="389"/>
      <c r="V12" s="389"/>
      <c r="W12" s="390"/>
      <c r="X12" s="390"/>
      <c r="Y12" s="390"/>
      <c r="Z12" s="390"/>
      <c r="AA12" s="390"/>
      <c r="AB12" s="390"/>
    </row>
    <row r="13" spans="1:28" s="375" customFormat="1" ht="36.75" customHeight="1" thickBot="1">
      <c r="A13" s="391" t="s">
        <v>171</v>
      </c>
      <c r="B13" s="392" t="s">
        <v>452</v>
      </c>
      <c r="C13" s="393" t="s">
        <v>104</v>
      </c>
      <c r="D13" s="394">
        <v>1</v>
      </c>
      <c r="E13" s="383" t="s">
        <v>453</v>
      </c>
      <c r="F13" s="395" t="e">
        <f>#REF!</f>
        <v>#REF!</v>
      </c>
      <c r="G13" s="385">
        <v>43255</v>
      </c>
      <c r="H13" s="383" t="s">
        <v>454</v>
      </c>
      <c r="I13" s="395" t="e">
        <f>#REF!</f>
        <v>#REF!</v>
      </c>
      <c r="J13" s="385">
        <v>43255</v>
      </c>
      <c r="K13" s="383" t="s">
        <v>455</v>
      </c>
      <c r="L13" s="395" t="e">
        <f>#REF!</f>
        <v>#REF!</v>
      </c>
      <c r="M13" s="385">
        <v>43255</v>
      </c>
      <c r="N13" s="396" t="e">
        <f t="shared" si="0"/>
        <v>#REF!</v>
      </c>
      <c r="O13" s="387" t="e">
        <f t="shared" si="1"/>
        <v>#REF!</v>
      </c>
      <c r="P13" s="397"/>
      <c r="R13" s="389"/>
      <c r="S13" s="389"/>
      <c r="T13" s="389"/>
      <c r="U13" s="389"/>
      <c r="V13" s="389"/>
      <c r="W13" s="390"/>
      <c r="X13" s="390"/>
      <c r="Y13" s="390"/>
      <c r="Z13" s="390"/>
      <c r="AA13" s="390"/>
      <c r="AB13" s="390"/>
    </row>
    <row r="14" spans="1:28" s="375" customFormat="1" ht="39" thickBot="1">
      <c r="A14" s="391" t="s">
        <v>172</v>
      </c>
      <c r="B14" s="392" t="s">
        <v>456</v>
      </c>
      <c r="C14" s="393" t="s">
        <v>104</v>
      </c>
      <c r="D14" s="394">
        <v>1</v>
      </c>
      <c r="E14" s="383" t="s">
        <v>457</v>
      </c>
      <c r="F14" s="395" t="e">
        <f>#REF!</f>
        <v>#REF!</v>
      </c>
      <c r="G14" s="385">
        <v>43256</v>
      </c>
      <c r="H14" s="383" t="s">
        <v>458</v>
      </c>
      <c r="I14" s="395" t="e">
        <f>#REF!</f>
        <v>#REF!</v>
      </c>
      <c r="J14" s="385">
        <v>43256</v>
      </c>
      <c r="K14" s="383" t="s">
        <v>459</v>
      </c>
      <c r="L14" s="395" t="e">
        <f>#REF!</f>
        <v>#REF!</v>
      </c>
      <c r="M14" s="385">
        <v>43256</v>
      </c>
      <c r="N14" s="396" t="e">
        <f t="shared" si="0"/>
        <v>#REF!</v>
      </c>
      <c r="O14" s="387" t="e">
        <f t="shared" si="1"/>
        <v>#REF!</v>
      </c>
      <c r="P14" s="397"/>
      <c r="R14" s="389"/>
      <c r="S14" s="389"/>
      <c r="T14" s="389"/>
      <c r="U14" s="389"/>
      <c r="V14" s="389"/>
      <c r="W14" s="390"/>
      <c r="X14" s="390"/>
      <c r="Y14" s="390"/>
      <c r="Z14" s="390"/>
      <c r="AA14" s="390"/>
      <c r="AB14" s="390"/>
    </row>
    <row r="15" spans="1:28" s="375" customFormat="1" ht="36.75" customHeight="1" thickBot="1">
      <c r="A15" s="398" t="s">
        <v>173</v>
      </c>
      <c r="B15" s="399" t="s">
        <v>460</v>
      </c>
      <c r="C15" s="400" t="s">
        <v>104</v>
      </c>
      <c r="D15" s="401">
        <v>1</v>
      </c>
      <c r="E15" s="383" t="s">
        <v>461</v>
      </c>
      <c r="F15" s="402" t="e">
        <f>#REF!</f>
        <v>#REF!</v>
      </c>
      <c r="G15" s="385">
        <v>43257</v>
      </c>
      <c r="H15" s="383" t="s">
        <v>462</v>
      </c>
      <c r="I15" s="402" t="e">
        <f>#REF!</f>
        <v>#REF!</v>
      </c>
      <c r="J15" s="385">
        <v>43257</v>
      </c>
      <c r="K15" s="383" t="s">
        <v>463</v>
      </c>
      <c r="L15" s="402" t="e">
        <f>#REF!</f>
        <v>#REF!</v>
      </c>
      <c r="M15" s="385">
        <v>43257</v>
      </c>
      <c r="N15" s="386" t="e">
        <f t="shared" si="0"/>
        <v>#REF!</v>
      </c>
      <c r="O15" s="387" t="e">
        <f t="shared" si="1"/>
        <v>#REF!</v>
      </c>
      <c r="P15" s="397"/>
      <c r="R15" s="389"/>
      <c r="S15" s="389"/>
      <c r="T15" s="389"/>
      <c r="U15" s="389"/>
      <c r="V15" s="389"/>
      <c r="W15" s="390"/>
      <c r="X15" s="390"/>
      <c r="Y15" s="390"/>
      <c r="Z15" s="390"/>
      <c r="AA15" s="390"/>
      <c r="AB15" s="390"/>
    </row>
    <row r="16" spans="1:28" s="375" customFormat="1" ht="40.5" customHeight="1" thickBot="1">
      <c r="A16" s="391" t="s">
        <v>174</v>
      </c>
      <c r="B16" s="392" t="s">
        <v>464</v>
      </c>
      <c r="C16" s="393" t="s">
        <v>104</v>
      </c>
      <c r="D16" s="394">
        <v>1</v>
      </c>
      <c r="E16" s="383" t="s">
        <v>465</v>
      </c>
      <c r="F16" s="395" t="e">
        <f>#REF!</f>
        <v>#REF!</v>
      </c>
      <c r="G16" s="385">
        <v>43258</v>
      </c>
      <c r="H16" s="383" t="s">
        <v>466</v>
      </c>
      <c r="I16" s="395" t="e">
        <f>#REF!</f>
        <v>#REF!</v>
      </c>
      <c r="J16" s="385">
        <v>43258</v>
      </c>
      <c r="K16" s="383" t="s">
        <v>467</v>
      </c>
      <c r="L16" s="395" t="e">
        <f>#REF!</f>
        <v>#REF!</v>
      </c>
      <c r="M16" s="385">
        <v>43258</v>
      </c>
      <c r="N16" s="396" t="e">
        <f t="shared" si="0"/>
        <v>#REF!</v>
      </c>
      <c r="O16" s="387" t="e">
        <f t="shared" si="1"/>
        <v>#REF!</v>
      </c>
      <c r="P16" s="397"/>
      <c r="R16" s="389"/>
      <c r="S16" s="389"/>
      <c r="T16" s="389"/>
      <c r="U16" s="389"/>
      <c r="V16" s="389"/>
      <c r="W16" s="390"/>
      <c r="X16" s="390"/>
      <c r="Y16" s="390"/>
      <c r="Z16" s="390"/>
      <c r="AA16" s="390"/>
      <c r="AB16" s="390"/>
    </row>
    <row r="17" spans="1:32" s="375" customFormat="1" ht="33.75" customHeight="1" thickBot="1">
      <c r="A17" s="391" t="s">
        <v>175</v>
      </c>
      <c r="B17" s="392" t="s">
        <v>468</v>
      </c>
      <c r="C17" s="393" t="s">
        <v>104</v>
      </c>
      <c r="D17" s="394">
        <v>1</v>
      </c>
      <c r="E17" s="383" t="s">
        <v>469</v>
      </c>
      <c r="F17" s="395" t="e">
        <f>#REF!</f>
        <v>#REF!</v>
      </c>
      <c r="G17" s="385">
        <v>43259</v>
      </c>
      <c r="H17" s="383" t="s">
        <v>470</v>
      </c>
      <c r="I17" s="395" t="e">
        <f>#REF!</f>
        <v>#REF!</v>
      </c>
      <c r="J17" s="385">
        <v>43259</v>
      </c>
      <c r="K17" s="383" t="s">
        <v>471</v>
      </c>
      <c r="L17" s="395" t="e">
        <f>#REF!</f>
        <v>#REF!</v>
      </c>
      <c r="M17" s="385">
        <v>43259</v>
      </c>
      <c r="N17" s="396" t="e">
        <f t="shared" si="0"/>
        <v>#REF!</v>
      </c>
      <c r="O17" s="387" t="e">
        <f t="shared" si="1"/>
        <v>#REF!</v>
      </c>
      <c r="P17" s="397"/>
      <c r="R17" s="389"/>
      <c r="S17" s="389"/>
      <c r="T17" s="389"/>
      <c r="U17" s="389"/>
      <c r="V17" s="389"/>
      <c r="W17" s="390"/>
      <c r="X17" s="390"/>
      <c r="Y17" s="390"/>
      <c r="Z17" s="390"/>
      <c r="AA17" s="390"/>
      <c r="AB17" s="390"/>
    </row>
    <row r="18" spans="1:32" s="375" customFormat="1" ht="41.25" customHeight="1" thickBot="1">
      <c r="A18" s="391" t="s">
        <v>176</v>
      </c>
      <c r="B18" s="392" t="s">
        <v>472</v>
      </c>
      <c r="C18" s="393" t="s">
        <v>104</v>
      </c>
      <c r="D18" s="394">
        <v>1</v>
      </c>
      <c r="E18" s="383" t="s">
        <v>473</v>
      </c>
      <c r="F18" s="395" t="e">
        <f>#REF!</f>
        <v>#REF!</v>
      </c>
      <c r="G18" s="385">
        <v>43260</v>
      </c>
      <c r="H18" s="383" t="s">
        <v>474</v>
      </c>
      <c r="I18" s="395" t="e">
        <f>#REF!</f>
        <v>#REF!</v>
      </c>
      <c r="J18" s="385">
        <v>43260</v>
      </c>
      <c r="K18" s="383" t="s">
        <v>475</v>
      </c>
      <c r="L18" s="395" t="e">
        <f>#REF!</f>
        <v>#REF!</v>
      </c>
      <c r="M18" s="385">
        <v>43260</v>
      </c>
      <c r="N18" s="396" t="e">
        <f t="shared" si="0"/>
        <v>#REF!</v>
      </c>
      <c r="O18" s="387" t="e">
        <f t="shared" si="1"/>
        <v>#REF!</v>
      </c>
      <c r="P18" s="397"/>
      <c r="R18" s="389"/>
      <c r="S18" s="389"/>
      <c r="T18" s="389"/>
      <c r="U18" s="389"/>
      <c r="V18" s="389"/>
      <c r="W18" s="390"/>
      <c r="X18" s="390"/>
      <c r="Y18" s="390"/>
      <c r="Z18" s="390"/>
      <c r="AA18" s="390"/>
      <c r="AB18" s="390"/>
    </row>
    <row r="19" spans="1:32" s="375" customFormat="1" ht="78.75" customHeight="1" thickBot="1">
      <c r="A19" s="391" t="s">
        <v>476</v>
      </c>
      <c r="B19" s="392" t="s">
        <v>477</v>
      </c>
      <c r="C19" s="393" t="s">
        <v>104</v>
      </c>
      <c r="D19" s="394">
        <v>1</v>
      </c>
      <c r="E19" s="403" t="s">
        <v>478</v>
      </c>
      <c r="F19" s="395" t="e">
        <f>#REF!</f>
        <v>#REF!</v>
      </c>
      <c r="G19" s="385">
        <v>43261</v>
      </c>
      <c r="H19" s="403" t="s">
        <v>479</v>
      </c>
      <c r="I19" s="395" t="e">
        <f>#REF!</f>
        <v>#REF!</v>
      </c>
      <c r="J19" s="385">
        <v>43353</v>
      </c>
      <c r="K19" s="403" t="s">
        <v>480</v>
      </c>
      <c r="L19" s="395" t="e">
        <f>#REF!</f>
        <v>#REF!</v>
      </c>
      <c r="M19" s="385">
        <v>43352</v>
      </c>
      <c r="N19" s="396"/>
      <c r="O19" s="387" t="e">
        <f t="shared" si="1"/>
        <v>#REF!</v>
      </c>
      <c r="P19" s="397"/>
      <c r="R19" s="389"/>
      <c r="S19" s="389"/>
      <c r="T19" s="389"/>
      <c r="U19" s="389"/>
      <c r="V19" s="389"/>
      <c r="W19" s="390"/>
      <c r="X19" s="390"/>
      <c r="Y19" s="390"/>
      <c r="Z19" s="390"/>
      <c r="AA19" s="390"/>
      <c r="AB19" s="390"/>
    </row>
    <row r="20" spans="1:32" s="375" customFormat="1" ht="117.75" customHeight="1" thickBot="1">
      <c r="A20" s="391" t="s">
        <v>183</v>
      </c>
      <c r="B20" s="392" t="s">
        <v>187</v>
      </c>
      <c r="C20" s="393" t="s">
        <v>57</v>
      </c>
      <c r="D20" s="394">
        <v>1</v>
      </c>
      <c r="E20" s="403" t="s">
        <v>481</v>
      </c>
      <c r="F20" s="395" t="e">
        <f>#REF!</f>
        <v>#REF!</v>
      </c>
      <c r="G20" s="385">
        <v>43262</v>
      </c>
      <c r="H20" s="403"/>
      <c r="I20" s="395"/>
      <c r="J20" s="404"/>
      <c r="K20" s="403"/>
      <c r="L20" s="395"/>
      <c r="M20" s="404"/>
      <c r="N20" s="396"/>
      <c r="O20" s="405"/>
      <c r="P20" s="406" t="s">
        <v>482</v>
      </c>
      <c r="R20" s="389"/>
      <c r="S20" s="389"/>
      <c r="T20" s="389"/>
      <c r="U20" s="389"/>
      <c r="V20" s="389"/>
      <c r="W20" s="390"/>
      <c r="X20" s="390"/>
      <c r="Y20" s="390"/>
      <c r="Z20" s="390"/>
      <c r="AA20" s="390"/>
      <c r="AB20" s="390"/>
    </row>
    <row r="21" spans="1:32" s="375" customFormat="1" ht="113.25" customHeight="1" thickBot="1">
      <c r="A21" s="391" t="s">
        <v>184</v>
      </c>
      <c r="B21" s="392" t="s">
        <v>197</v>
      </c>
      <c r="C21" s="393" t="s">
        <v>103</v>
      </c>
      <c r="D21" s="394">
        <v>1</v>
      </c>
      <c r="E21" s="403" t="s">
        <v>483</v>
      </c>
      <c r="F21" s="395" t="e">
        <f>#REF!</f>
        <v>#REF!</v>
      </c>
      <c r="G21" s="385">
        <v>43263</v>
      </c>
      <c r="H21" s="403"/>
      <c r="I21" s="395"/>
      <c r="J21" s="404"/>
      <c r="K21" s="403"/>
      <c r="L21" s="395"/>
      <c r="M21" s="404"/>
      <c r="N21" s="396"/>
      <c r="O21" s="405"/>
      <c r="P21" s="406" t="s">
        <v>482</v>
      </c>
      <c r="R21" s="389"/>
      <c r="S21" s="389"/>
      <c r="T21" s="389"/>
      <c r="U21" s="389"/>
      <c r="V21" s="389"/>
      <c r="W21" s="390"/>
      <c r="X21" s="390"/>
      <c r="Y21" s="390"/>
      <c r="Z21" s="390"/>
      <c r="AA21" s="390"/>
      <c r="AB21" s="390"/>
    </row>
    <row r="22" spans="1:32" s="375" customFormat="1" ht="79.5" customHeight="1">
      <c r="A22" s="391" t="s">
        <v>484</v>
      </c>
      <c r="B22" s="392" t="s">
        <v>485</v>
      </c>
      <c r="C22" s="393" t="s">
        <v>486</v>
      </c>
      <c r="D22" s="394">
        <v>1</v>
      </c>
      <c r="E22" s="403" t="s">
        <v>487</v>
      </c>
      <c r="F22" s="395" t="e">
        <f>#REF!</f>
        <v>#REF!</v>
      </c>
      <c r="G22" s="385">
        <v>43264</v>
      </c>
      <c r="H22" s="403"/>
      <c r="I22" s="395"/>
      <c r="J22" s="404"/>
      <c r="K22" s="403"/>
      <c r="L22" s="395"/>
      <c r="M22" s="404"/>
      <c r="N22" s="396"/>
      <c r="O22" s="405"/>
      <c r="P22" s="406"/>
      <c r="R22" s="389"/>
      <c r="S22" s="389"/>
      <c r="T22" s="389"/>
      <c r="U22" s="389"/>
      <c r="V22" s="389"/>
      <c r="W22" s="390"/>
      <c r="X22" s="390"/>
      <c r="Y22" s="390"/>
      <c r="Z22" s="390"/>
      <c r="AA22" s="390"/>
      <c r="AB22" s="390"/>
    </row>
    <row r="23" spans="1:32" s="375" customFormat="1" ht="93.75" hidden="1" customHeight="1">
      <c r="A23" s="391"/>
      <c r="B23" s="392"/>
      <c r="C23" s="393"/>
      <c r="D23" s="394"/>
      <c r="E23" s="403"/>
      <c r="F23" s="395"/>
      <c r="G23" s="404"/>
      <c r="H23" s="403"/>
      <c r="I23" s="395"/>
      <c r="J23" s="404"/>
      <c r="K23" s="403"/>
      <c r="L23" s="395"/>
      <c r="M23" s="404"/>
      <c r="N23" s="396"/>
      <c r="O23" s="405"/>
      <c r="P23" s="406"/>
      <c r="R23" s="389"/>
      <c r="S23" s="389"/>
      <c r="T23" s="389"/>
      <c r="U23" s="389"/>
      <c r="V23" s="389"/>
      <c r="W23" s="390"/>
      <c r="X23" s="390"/>
      <c r="Y23" s="390"/>
      <c r="Z23" s="390"/>
      <c r="AA23" s="390"/>
      <c r="AB23" s="390"/>
    </row>
    <row r="24" spans="1:32" s="375" customFormat="1" ht="93.75" hidden="1" customHeight="1">
      <c r="A24" s="391"/>
      <c r="B24" s="392"/>
      <c r="C24" s="393"/>
      <c r="D24" s="394"/>
      <c r="E24" s="403"/>
      <c r="F24" s="395"/>
      <c r="G24" s="404"/>
      <c r="H24" s="403"/>
      <c r="I24" s="395"/>
      <c r="J24" s="404"/>
      <c r="K24" s="403"/>
      <c r="L24" s="395"/>
      <c r="M24" s="404"/>
      <c r="N24" s="396"/>
      <c r="O24" s="405"/>
      <c r="P24" s="406"/>
      <c r="R24" s="389"/>
      <c r="S24" s="389"/>
      <c r="T24" s="389"/>
      <c r="U24" s="389"/>
      <c r="V24" s="389"/>
      <c r="W24" s="390"/>
      <c r="X24" s="390"/>
      <c r="Y24" s="390"/>
      <c r="Z24" s="390"/>
      <c r="AA24" s="390"/>
      <c r="AB24" s="390"/>
    </row>
    <row r="25" spans="1:32" s="375" customFormat="1" ht="78.75" hidden="1" customHeight="1">
      <c r="A25" s="391"/>
      <c r="B25" s="392"/>
      <c r="C25" s="393"/>
      <c r="D25" s="394"/>
      <c r="E25" s="403"/>
      <c r="F25" s="395"/>
      <c r="G25" s="404"/>
      <c r="H25" s="403"/>
      <c r="I25" s="395"/>
      <c r="J25" s="404"/>
      <c r="K25" s="403"/>
      <c r="L25" s="395"/>
      <c r="M25" s="404"/>
      <c r="N25" s="396"/>
      <c r="O25" s="405"/>
      <c r="P25" s="397"/>
      <c r="R25" s="389"/>
      <c r="S25" s="389"/>
      <c r="T25" s="389"/>
      <c r="U25" s="389"/>
      <c r="V25" s="389"/>
      <c r="W25" s="390"/>
      <c r="X25" s="390"/>
      <c r="Y25" s="390"/>
      <c r="Z25" s="390"/>
      <c r="AA25" s="390"/>
      <c r="AB25" s="390"/>
    </row>
    <row r="26" spans="1:32" ht="60" hidden="1" customHeight="1">
      <c r="A26" s="391" t="s">
        <v>488</v>
      </c>
      <c r="B26" s="392" t="s">
        <v>489</v>
      </c>
      <c r="C26" s="393" t="s">
        <v>57</v>
      </c>
      <c r="D26" s="394">
        <v>1</v>
      </c>
      <c r="E26" s="407" t="s">
        <v>490</v>
      </c>
      <c r="F26" s="395">
        <v>38</v>
      </c>
      <c r="G26" s="408"/>
      <c r="H26" s="407" t="s">
        <v>491</v>
      </c>
      <c r="I26" s="395">
        <v>39</v>
      </c>
      <c r="J26" s="408"/>
      <c r="K26" s="407"/>
      <c r="L26" s="395"/>
      <c r="M26" s="408"/>
      <c r="N26" s="396">
        <f t="shared" si="0"/>
        <v>46.199999999999996</v>
      </c>
      <c r="O26" s="409">
        <f t="shared" ref="O26:O35" si="2">(IF(F26&lt;=N26,F26,0)+IF(I26&lt;=N26,I26,0)+IF(L26&lt;=N26,L26,0))/(3-(IF(F26&gt;N26,1,IF(F26=0,1,0))+IF(I26&gt;N26,1,IF(I26=0,1,0))+IF(L26&gt;N26,1,IF(L26=0,1,0))))</f>
        <v>38.5</v>
      </c>
      <c r="P26" s="397"/>
      <c r="R26" s="389"/>
      <c r="S26" s="389"/>
      <c r="T26" s="389"/>
      <c r="U26" s="389"/>
      <c r="V26" s="389"/>
      <c r="W26" s="390"/>
      <c r="X26" s="390"/>
      <c r="Y26" s="390"/>
      <c r="Z26" s="390"/>
      <c r="AA26" s="390"/>
      <c r="AB26" s="390"/>
      <c r="AC26" s="375"/>
      <c r="AD26" s="375"/>
      <c r="AE26" s="375"/>
      <c r="AF26" s="375"/>
    </row>
    <row r="27" spans="1:32" ht="60" hidden="1" customHeight="1">
      <c r="A27" s="391" t="s">
        <v>492</v>
      </c>
      <c r="B27" s="392" t="s">
        <v>493</v>
      </c>
      <c r="C27" s="393" t="s">
        <v>57</v>
      </c>
      <c r="D27" s="394">
        <v>1</v>
      </c>
      <c r="E27" s="407" t="s">
        <v>490</v>
      </c>
      <c r="F27" s="395">
        <v>43</v>
      </c>
      <c r="G27" s="408"/>
      <c r="H27" s="407" t="s">
        <v>491</v>
      </c>
      <c r="I27" s="395">
        <v>39</v>
      </c>
      <c r="J27" s="408"/>
      <c r="K27" s="407"/>
      <c r="L27" s="395"/>
      <c r="M27" s="408"/>
      <c r="N27" s="396">
        <f t="shared" si="0"/>
        <v>49.199999999999996</v>
      </c>
      <c r="O27" s="409">
        <f t="shared" si="2"/>
        <v>41</v>
      </c>
      <c r="P27" s="397"/>
      <c r="R27" s="389"/>
      <c r="S27" s="389"/>
      <c r="T27" s="389"/>
      <c r="U27" s="389"/>
      <c r="V27" s="389"/>
      <c r="W27" s="390"/>
      <c r="X27" s="390"/>
      <c r="Y27" s="390"/>
      <c r="Z27" s="390"/>
      <c r="AA27" s="390"/>
      <c r="AB27" s="390"/>
      <c r="AC27" s="375"/>
      <c r="AD27" s="375"/>
      <c r="AE27" s="375"/>
      <c r="AF27" s="375"/>
    </row>
    <row r="28" spans="1:32" ht="25.5" hidden="1">
      <c r="A28" s="391" t="s">
        <v>494</v>
      </c>
      <c r="B28" s="392" t="s">
        <v>495</v>
      </c>
      <c r="C28" s="393" t="s">
        <v>104</v>
      </c>
      <c r="D28" s="394">
        <v>1</v>
      </c>
      <c r="E28" s="407" t="s">
        <v>496</v>
      </c>
      <c r="F28" s="395">
        <v>230</v>
      </c>
      <c r="G28" s="408"/>
      <c r="H28" s="407" t="s">
        <v>497</v>
      </c>
      <c r="I28" s="395">
        <v>445</v>
      </c>
      <c r="J28" s="408"/>
      <c r="K28" s="407" t="s">
        <v>498</v>
      </c>
      <c r="L28" s="395">
        <v>230.02</v>
      </c>
      <c r="M28" s="408"/>
      <c r="N28" s="396">
        <f t="shared" si="0"/>
        <v>362.00799999999998</v>
      </c>
      <c r="O28" s="409">
        <f t="shared" si="2"/>
        <v>230.01</v>
      </c>
      <c r="P28" s="397"/>
      <c r="R28" s="389"/>
      <c r="S28" s="389"/>
      <c r="T28" s="389"/>
      <c r="U28" s="389"/>
      <c r="V28" s="389"/>
      <c r="W28" s="390"/>
      <c r="X28" s="390"/>
      <c r="Y28" s="390"/>
      <c r="Z28" s="390"/>
      <c r="AA28" s="390"/>
      <c r="AB28" s="390"/>
      <c r="AC28" s="375"/>
      <c r="AD28" s="375"/>
      <c r="AE28" s="375"/>
      <c r="AF28" s="375"/>
    </row>
    <row r="29" spans="1:32" ht="25.5" hidden="1">
      <c r="A29" s="391" t="s">
        <v>499</v>
      </c>
      <c r="B29" s="392" t="s">
        <v>500</v>
      </c>
      <c r="C29" s="393" t="s">
        <v>104</v>
      </c>
      <c r="D29" s="394">
        <v>1</v>
      </c>
      <c r="E29" s="407" t="s">
        <v>501</v>
      </c>
      <c r="F29" s="395">
        <v>140</v>
      </c>
      <c r="G29" s="408"/>
      <c r="H29" s="407" t="s">
        <v>502</v>
      </c>
      <c r="I29" s="395">
        <v>110.51</v>
      </c>
      <c r="J29" s="408"/>
      <c r="K29" s="407"/>
      <c r="L29" s="395"/>
      <c r="M29" s="408"/>
      <c r="N29" s="396">
        <f t="shared" si="0"/>
        <v>150.30599999999998</v>
      </c>
      <c r="O29" s="409">
        <f t="shared" si="2"/>
        <v>125.255</v>
      </c>
      <c r="P29" s="397"/>
      <c r="R29" s="389"/>
      <c r="S29" s="389"/>
      <c r="T29" s="389"/>
      <c r="U29" s="389"/>
      <c r="V29" s="389"/>
      <c r="W29" s="390"/>
      <c r="X29" s="390"/>
      <c r="Y29" s="390"/>
      <c r="Z29" s="390"/>
      <c r="AA29" s="390"/>
      <c r="AB29" s="390"/>
      <c r="AC29" s="375"/>
      <c r="AD29" s="375"/>
      <c r="AE29" s="375"/>
      <c r="AF29" s="375"/>
    </row>
    <row r="30" spans="1:32" ht="25.5" hidden="1">
      <c r="A30" s="391" t="s">
        <v>503</v>
      </c>
      <c r="B30" s="392" t="s">
        <v>504</v>
      </c>
      <c r="C30" s="393" t="s">
        <v>136</v>
      </c>
      <c r="D30" s="394">
        <v>1</v>
      </c>
      <c r="E30" s="407" t="s">
        <v>505</v>
      </c>
      <c r="F30" s="395">
        <v>3.88</v>
      </c>
      <c r="G30" s="408">
        <v>42036</v>
      </c>
      <c r="H30" s="407"/>
      <c r="I30" s="395"/>
      <c r="J30" s="408"/>
      <c r="K30" s="407"/>
      <c r="L30" s="395"/>
      <c r="M30" s="408"/>
      <c r="N30" s="396">
        <f t="shared" si="0"/>
        <v>4.6559999999999997</v>
      </c>
      <c r="O30" s="409">
        <f t="shared" si="2"/>
        <v>3.88</v>
      </c>
      <c r="P30" s="397"/>
      <c r="R30" s="389"/>
      <c r="S30" s="389"/>
      <c r="T30" s="389"/>
      <c r="U30" s="389"/>
      <c r="V30" s="389"/>
      <c r="W30" s="390"/>
      <c r="X30" s="390"/>
      <c r="Y30" s="390"/>
      <c r="Z30" s="390"/>
      <c r="AA30" s="390"/>
      <c r="AB30" s="390"/>
      <c r="AC30" s="375"/>
      <c r="AD30" s="375"/>
      <c r="AE30" s="375"/>
      <c r="AF30" s="375"/>
    </row>
    <row r="31" spans="1:32" ht="25.5" hidden="1">
      <c r="A31" s="391" t="s">
        <v>506</v>
      </c>
      <c r="B31" s="392" t="s">
        <v>507</v>
      </c>
      <c r="C31" s="393" t="s">
        <v>105</v>
      </c>
      <c r="D31" s="394">
        <v>1</v>
      </c>
      <c r="E31" s="407" t="s">
        <v>508</v>
      </c>
      <c r="F31" s="395">
        <v>3.58</v>
      </c>
      <c r="G31" s="408">
        <v>42037</v>
      </c>
      <c r="H31" s="407"/>
      <c r="I31" s="395"/>
      <c r="J31" s="408"/>
      <c r="K31" s="407"/>
      <c r="L31" s="395"/>
      <c r="M31" s="408"/>
      <c r="N31" s="396">
        <f>(IF(F31&gt;0,F31,0)+IF(I31&gt;0,I31,0)+IF(L31&gt;0,L31,0))*1.2/(IF(F31&gt;0,1,0)+IF(I31&gt;0,1,0)+IF(L31&gt;0,1,0))</f>
        <v>4.2960000000000003</v>
      </c>
      <c r="O31" s="409">
        <f t="shared" si="2"/>
        <v>3.58</v>
      </c>
      <c r="P31" s="397"/>
      <c r="R31" s="389"/>
      <c r="S31" s="389"/>
      <c r="T31" s="389"/>
      <c r="U31" s="389"/>
      <c r="V31" s="389"/>
      <c r="W31" s="390"/>
      <c r="X31" s="390"/>
      <c r="Y31" s="390"/>
      <c r="Z31" s="390"/>
      <c r="AA31" s="390"/>
      <c r="AB31" s="390"/>
      <c r="AC31" s="375"/>
      <c r="AD31" s="375"/>
      <c r="AE31" s="375"/>
      <c r="AF31" s="375"/>
    </row>
    <row r="32" spans="1:32" ht="25.5" hidden="1">
      <c r="A32" s="391" t="s">
        <v>509</v>
      </c>
      <c r="B32" s="392" t="s">
        <v>510</v>
      </c>
      <c r="C32" s="393" t="s">
        <v>136</v>
      </c>
      <c r="D32" s="394">
        <v>1</v>
      </c>
      <c r="E32" s="407" t="s">
        <v>511</v>
      </c>
      <c r="F32" s="395">
        <v>4.3600000000000003</v>
      </c>
      <c r="G32" s="408">
        <v>42038</v>
      </c>
      <c r="H32" s="407"/>
      <c r="I32" s="395"/>
      <c r="J32" s="408"/>
      <c r="K32" s="407"/>
      <c r="L32" s="395"/>
      <c r="M32" s="408"/>
      <c r="N32" s="396">
        <f>(IF(F32&gt;0,F32,0)+IF(I32&gt;0,I32,0)+IF(L32&gt;0,L32,0))*1.2/(IF(F32&gt;0,1,0)+IF(I32&gt;0,1,0)+IF(L32&gt;0,1,0))</f>
        <v>5.2320000000000002</v>
      </c>
      <c r="O32" s="409">
        <f t="shared" si="2"/>
        <v>4.3600000000000003</v>
      </c>
      <c r="P32" s="397"/>
      <c r="R32" s="389"/>
      <c r="S32" s="389"/>
      <c r="T32" s="389"/>
      <c r="U32" s="389"/>
      <c r="V32" s="389"/>
      <c r="W32" s="390"/>
      <c r="X32" s="390"/>
      <c r="Y32" s="390"/>
      <c r="Z32" s="390"/>
      <c r="AA32" s="390"/>
      <c r="AB32" s="390"/>
      <c r="AC32" s="375"/>
      <c r="AD32" s="375"/>
      <c r="AE32" s="375"/>
      <c r="AF32" s="375"/>
    </row>
    <row r="33" spans="1:32" ht="25.5" hidden="1">
      <c r="A33" s="391" t="s">
        <v>512</v>
      </c>
      <c r="B33" s="392" t="s">
        <v>513</v>
      </c>
      <c r="C33" s="393" t="s">
        <v>514</v>
      </c>
      <c r="D33" s="394">
        <v>1</v>
      </c>
      <c r="E33" s="407" t="s">
        <v>515</v>
      </c>
      <c r="F33" s="395">
        <v>0.3</v>
      </c>
      <c r="G33" s="408">
        <v>42039</v>
      </c>
      <c r="H33" s="407"/>
      <c r="I33" s="395"/>
      <c r="J33" s="408"/>
      <c r="K33" s="407"/>
      <c r="L33" s="395"/>
      <c r="M33" s="408"/>
      <c r="N33" s="396">
        <f t="shared" si="0"/>
        <v>0.36</v>
      </c>
      <c r="O33" s="409">
        <f t="shared" si="2"/>
        <v>0.3</v>
      </c>
      <c r="P33" s="397"/>
      <c r="R33" s="389"/>
      <c r="S33" s="389"/>
      <c r="T33" s="389"/>
      <c r="U33" s="389"/>
      <c r="V33" s="389"/>
      <c r="W33" s="390"/>
      <c r="X33" s="390"/>
      <c r="Y33" s="390"/>
      <c r="Z33" s="390"/>
      <c r="AA33" s="390"/>
      <c r="AB33" s="390"/>
      <c r="AC33" s="375"/>
      <c r="AD33" s="375"/>
      <c r="AE33" s="375"/>
      <c r="AF33" s="375"/>
    </row>
    <row r="34" spans="1:32" ht="25.5" hidden="1">
      <c r="A34" s="391" t="s">
        <v>516</v>
      </c>
      <c r="B34" s="392" t="s">
        <v>517</v>
      </c>
      <c r="C34" s="393" t="s">
        <v>518</v>
      </c>
      <c r="D34" s="394">
        <v>1</v>
      </c>
      <c r="E34" s="407" t="s">
        <v>519</v>
      </c>
      <c r="F34" s="395">
        <v>302.25</v>
      </c>
      <c r="G34" s="408">
        <v>42040</v>
      </c>
      <c r="H34" s="407"/>
      <c r="I34" s="395"/>
      <c r="J34" s="408"/>
      <c r="K34" s="407"/>
      <c r="L34" s="395"/>
      <c r="M34" s="408"/>
      <c r="N34" s="396">
        <f t="shared" si="0"/>
        <v>362.7</v>
      </c>
      <c r="O34" s="409">
        <f t="shared" si="2"/>
        <v>302.25</v>
      </c>
      <c r="P34" s="397"/>
      <c r="R34" s="389"/>
      <c r="S34" s="389"/>
      <c r="T34" s="389"/>
      <c r="U34" s="389"/>
      <c r="V34" s="389"/>
      <c r="W34" s="390"/>
      <c r="X34" s="390"/>
      <c r="Y34" s="390"/>
      <c r="Z34" s="390"/>
      <c r="AA34" s="390"/>
      <c r="AB34" s="390"/>
      <c r="AC34" s="375"/>
      <c r="AD34" s="375"/>
      <c r="AE34" s="375"/>
      <c r="AF34" s="375"/>
    </row>
    <row r="35" spans="1:32" ht="25.5" hidden="1">
      <c r="A35" s="391" t="s">
        <v>520</v>
      </c>
      <c r="B35" s="392" t="s">
        <v>521</v>
      </c>
      <c r="C35" s="393" t="s">
        <v>57</v>
      </c>
      <c r="D35" s="394">
        <v>1</v>
      </c>
      <c r="E35" s="407" t="s">
        <v>522</v>
      </c>
      <c r="F35" s="395">
        <v>65</v>
      </c>
      <c r="G35" s="408">
        <v>42040</v>
      </c>
      <c r="H35" s="407"/>
      <c r="I35" s="395"/>
      <c r="J35" s="408"/>
      <c r="K35" s="407"/>
      <c r="L35" s="395"/>
      <c r="M35" s="408"/>
      <c r="N35" s="396">
        <f t="shared" si="0"/>
        <v>78</v>
      </c>
      <c r="O35" s="409">
        <f t="shared" si="2"/>
        <v>65</v>
      </c>
      <c r="P35" s="397"/>
      <c r="R35" s="389"/>
      <c r="S35" s="389"/>
      <c r="T35" s="389"/>
      <c r="U35" s="389"/>
      <c r="V35" s="389"/>
      <c r="W35" s="390"/>
      <c r="X35" s="390"/>
      <c r="Y35" s="390"/>
      <c r="Z35" s="390"/>
      <c r="AA35" s="390"/>
      <c r="AB35" s="390"/>
      <c r="AC35" s="375"/>
      <c r="AD35" s="375"/>
      <c r="AE35" s="375"/>
      <c r="AF35" s="375"/>
    </row>
    <row r="36" spans="1:32" ht="38.25" hidden="1">
      <c r="A36" s="391" t="s">
        <v>523</v>
      </c>
      <c r="B36" s="392" t="s">
        <v>524</v>
      </c>
      <c r="C36" s="393" t="s">
        <v>57</v>
      </c>
      <c r="D36" s="394">
        <v>1</v>
      </c>
      <c r="E36" s="407" t="s">
        <v>525</v>
      </c>
      <c r="F36" s="395">
        <v>34.25</v>
      </c>
      <c r="G36" s="408">
        <v>42040</v>
      </c>
      <c r="H36" s="407"/>
      <c r="I36" s="395"/>
      <c r="J36" s="408"/>
      <c r="K36" s="407"/>
      <c r="L36" s="395"/>
      <c r="M36" s="408"/>
      <c r="N36" s="396">
        <f t="shared" si="0"/>
        <v>41.1</v>
      </c>
      <c r="O36" s="409">
        <f>(IF(F36&lt;=N36,F36,0)+IF(I36&lt;=N36,I36,0)+IF(L36&lt;=N36,L36,0))/(3-(IF(F36&gt;N36,1,IF(F36=0,1,0))+IF(I36&gt;N36,1,IF(I36=0,1,0))+IF(L36&gt;N36,1,IF(L36=0,1,0))))</f>
        <v>34.25</v>
      </c>
      <c r="P36" s="397"/>
      <c r="R36" s="389"/>
      <c r="S36" s="389"/>
      <c r="T36" s="389"/>
      <c r="U36" s="389"/>
      <c r="V36" s="389"/>
      <c r="W36" s="390"/>
      <c r="X36" s="390"/>
      <c r="Y36" s="390"/>
      <c r="Z36" s="390"/>
      <c r="AA36" s="390"/>
      <c r="AB36" s="390"/>
      <c r="AC36" s="375"/>
      <c r="AD36" s="375"/>
      <c r="AE36" s="375"/>
      <c r="AF36" s="375"/>
    </row>
    <row r="37" spans="1:32" hidden="1">
      <c r="A37" s="391" t="s">
        <v>526</v>
      </c>
      <c r="B37" s="392" t="s">
        <v>527</v>
      </c>
      <c r="C37" s="393"/>
      <c r="D37" s="394"/>
      <c r="E37" s="407" t="s">
        <v>528</v>
      </c>
      <c r="F37" s="395">
        <v>809</v>
      </c>
      <c r="G37" s="408"/>
      <c r="H37" s="407" t="s">
        <v>529</v>
      </c>
      <c r="I37" s="395">
        <v>450</v>
      </c>
      <c r="J37" s="408"/>
      <c r="K37" s="407"/>
      <c r="L37" s="395"/>
      <c r="M37" s="408"/>
      <c r="N37" s="396">
        <f t="shared" si="0"/>
        <v>755.4</v>
      </c>
      <c r="O37" s="409">
        <f>(IF(F37&lt;=N37,F37,0)+IF(I37&lt;=N37,I37,0)+IF(L37&lt;=N37,L37,0))/(3-(IF(F37&gt;N37,1,IF(F37=0,1,0))+IF(I37&gt;N37,1,IF(I37=0,1,0))+IF(L37&gt;N37,1,IF(L37=0,1,0))))</f>
        <v>450</v>
      </c>
      <c r="P37" s="397"/>
      <c r="R37" s="389"/>
      <c r="S37" s="389"/>
      <c r="T37" s="389"/>
      <c r="U37" s="389"/>
      <c r="V37" s="389"/>
      <c r="W37" s="390"/>
      <c r="X37" s="390"/>
      <c r="Y37" s="390"/>
      <c r="Z37" s="390"/>
      <c r="AA37" s="390"/>
      <c r="AB37" s="390"/>
      <c r="AC37" s="375"/>
      <c r="AD37" s="375"/>
      <c r="AE37" s="375"/>
      <c r="AF37" s="375"/>
    </row>
    <row r="38" spans="1:32" ht="25.5" hidden="1">
      <c r="A38" s="391" t="s">
        <v>530</v>
      </c>
      <c r="B38" s="392" t="s">
        <v>531</v>
      </c>
      <c r="C38" s="393"/>
      <c r="D38" s="394"/>
      <c r="E38" s="407" t="s">
        <v>502</v>
      </c>
      <c r="F38" s="395">
        <v>79.05</v>
      </c>
      <c r="G38" s="408"/>
      <c r="H38" s="407" t="s">
        <v>501</v>
      </c>
      <c r="I38" s="395">
        <v>30</v>
      </c>
      <c r="J38" s="408"/>
      <c r="K38" s="407" t="s">
        <v>532</v>
      </c>
      <c r="L38" s="395">
        <v>100.22</v>
      </c>
      <c r="M38" s="408"/>
      <c r="N38" s="396">
        <f t="shared" si="0"/>
        <v>83.707999999999984</v>
      </c>
      <c r="O38" s="409">
        <f>(IF(F38&lt;=N38,F38,0)+IF(I38&lt;=N38,I38,0)+IF(L38&lt;=N38,L38,0))/(3-(IF(F38&gt;N38,1,IF(F38=0,1,0))+IF(I38&gt;N38,1,IF(I38=0,1,0))+IF(L38&gt;N38,1,IF(L38=0,1,0))))</f>
        <v>54.524999999999999</v>
      </c>
      <c r="P38" s="397"/>
      <c r="R38" s="389"/>
      <c r="S38" s="389"/>
      <c r="T38" s="389"/>
      <c r="U38" s="389"/>
      <c r="V38" s="389"/>
      <c r="W38" s="390"/>
      <c r="X38" s="390"/>
      <c r="Y38" s="390"/>
      <c r="Z38" s="390"/>
      <c r="AA38" s="390"/>
      <c r="AB38" s="390"/>
      <c r="AC38" s="375"/>
      <c r="AD38" s="375"/>
      <c r="AE38" s="375"/>
      <c r="AF38" s="375"/>
    </row>
    <row r="39" spans="1:32" ht="38.25" hidden="1">
      <c r="A39" s="391" t="s">
        <v>533</v>
      </c>
      <c r="B39" s="392" t="s">
        <v>534</v>
      </c>
      <c r="C39" s="393" t="s">
        <v>104</v>
      </c>
      <c r="D39" s="394">
        <v>1</v>
      </c>
      <c r="E39" s="407" t="s">
        <v>535</v>
      </c>
      <c r="F39" s="395">
        <v>169.8</v>
      </c>
      <c r="G39" s="408"/>
      <c r="H39" s="407" t="s">
        <v>536</v>
      </c>
      <c r="I39" s="395">
        <v>207</v>
      </c>
      <c r="J39" s="408"/>
      <c r="K39" s="407"/>
      <c r="L39" s="395"/>
      <c r="M39" s="408"/>
      <c r="N39" s="396">
        <f t="shared" si="0"/>
        <v>226.08</v>
      </c>
      <c r="O39" s="409">
        <f t="shared" ref="O39:O99" si="3">(IF(F39&lt;=N39,F39,0)+IF(I39&lt;=N39,I39,0)+IF(L39&lt;=N39,L39,0))/(3-(IF(F39&gt;N39,1,IF(F39=0,1,0))+IF(I39&gt;N39,1,IF(I39=0,1,0))+IF(L39&gt;N39,1,IF(L39=0,1,0))))</f>
        <v>188.4</v>
      </c>
      <c r="P39" s="397"/>
      <c r="R39" s="389"/>
      <c r="S39" s="389"/>
      <c r="T39" s="389"/>
      <c r="U39" s="389"/>
      <c r="V39" s="389"/>
      <c r="W39" s="390"/>
      <c r="X39" s="390"/>
      <c r="Y39" s="390"/>
      <c r="Z39" s="390"/>
      <c r="AA39" s="390"/>
      <c r="AB39" s="390"/>
      <c r="AC39" s="375"/>
      <c r="AD39" s="375"/>
      <c r="AE39" s="375"/>
      <c r="AF39" s="375"/>
    </row>
    <row r="40" spans="1:32" ht="102" hidden="1">
      <c r="A40" s="391" t="s">
        <v>537</v>
      </c>
      <c r="B40" s="392" t="s">
        <v>538</v>
      </c>
      <c r="C40" s="393" t="s">
        <v>104</v>
      </c>
      <c r="D40" s="394">
        <v>1</v>
      </c>
      <c r="E40" s="407" t="s">
        <v>535</v>
      </c>
      <c r="F40" s="395">
        <v>385</v>
      </c>
      <c r="G40" s="408"/>
      <c r="H40" s="407" t="s">
        <v>539</v>
      </c>
      <c r="I40" s="395">
        <v>322.08</v>
      </c>
      <c r="J40" s="408"/>
      <c r="K40" s="407"/>
      <c r="L40" s="395"/>
      <c r="M40" s="408"/>
      <c r="N40" s="396">
        <f t="shared" si="0"/>
        <v>424.24799999999993</v>
      </c>
      <c r="O40" s="409">
        <f t="shared" si="3"/>
        <v>353.53999999999996</v>
      </c>
      <c r="P40" s="397"/>
      <c r="R40" s="389"/>
      <c r="S40" s="389"/>
      <c r="T40" s="389"/>
      <c r="U40" s="389"/>
      <c r="V40" s="389"/>
      <c r="W40" s="390"/>
      <c r="X40" s="390"/>
      <c r="Y40" s="390"/>
      <c r="Z40" s="390"/>
      <c r="AA40" s="390"/>
      <c r="AB40" s="390"/>
      <c r="AC40" s="375"/>
      <c r="AD40" s="375"/>
      <c r="AE40" s="375"/>
      <c r="AF40" s="375"/>
    </row>
    <row r="41" spans="1:32" ht="25.5" hidden="1">
      <c r="A41" s="391" t="s">
        <v>540</v>
      </c>
      <c r="B41" s="392" t="s">
        <v>541</v>
      </c>
      <c r="C41" s="393" t="s">
        <v>104</v>
      </c>
      <c r="D41" s="394">
        <v>1</v>
      </c>
      <c r="E41" s="407" t="s">
        <v>542</v>
      </c>
      <c r="F41" s="395">
        <v>7.06</v>
      </c>
      <c r="G41" s="408"/>
      <c r="H41" s="407" t="s">
        <v>543</v>
      </c>
      <c r="I41" s="395">
        <v>10</v>
      </c>
      <c r="J41" s="408"/>
      <c r="K41" s="407" t="s">
        <v>544</v>
      </c>
      <c r="L41" s="395">
        <v>17.54</v>
      </c>
      <c r="M41" s="408"/>
      <c r="N41" s="396">
        <f t="shared" si="0"/>
        <v>13.839999999999996</v>
      </c>
      <c r="O41" s="409">
        <f t="shared" si="3"/>
        <v>8.5299999999999994</v>
      </c>
      <c r="P41" s="397"/>
      <c r="R41" s="389"/>
      <c r="S41" s="389"/>
      <c r="T41" s="389"/>
      <c r="U41" s="389"/>
      <c r="V41" s="389"/>
      <c r="W41" s="390"/>
      <c r="X41" s="390"/>
      <c r="Y41" s="390"/>
      <c r="Z41" s="390"/>
      <c r="AA41" s="390"/>
      <c r="AB41" s="390"/>
      <c r="AC41" s="375"/>
      <c r="AD41" s="375"/>
      <c r="AE41" s="375"/>
      <c r="AF41" s="375"/>
    </row>
    <row r="42" spans="1:32" ht="25.5" hidden="1">
      <c r="A42" s="391" t="s">
        <v>545</v>
      </c>
      <c r="B42" s="392" t="s">
        <v>546</v>
      </c>
      <c r="C42" s="393" t="s">
        <v>104</v>
      </c>
      <c r="D42" s="394">
        <v>1</v>
      </c>
      <c r="E42" s="407" t="s">
        <v>542</v>
      </c>
      <c r="F42" s="395">
        <v>7.02</v>
      </c>
      <c r="G42" s="408"/>
      <c r="H42" s="407" t="s">
        <v>543</v>
      </c>
      <c r="I42" s="395">
        <v>9.5</v>
      </c>
      <c r="J42" s="408"/>
      <c r="K42" s="407" t="s">
        <v>544</v>
      </c>
      <c r="L42" s="395">
        <v>12.34</v>
      </c>
      <c r="M42" s="408"/>
      <c r="N42" s="396">
        <f t="shared" si="0"/>
        <v>11.543999999999999</v>
      </c>
      <c r="O42" s="409">
        <f t="shared" si="3"/>
        <v>8.26</v>
      </c>
      <c r="P42" s="397"/>
      <c r="R42" s="389"/>
      <c r="S42" s="389"/>
      <c r="T42" s="389"/>
      <c r="U42" s="389"/>
      <c r="V42" s="389"/>
      <c r="W42" s="390"/>
      <c r="X42" s="390"/>
      <c r="Y42" s="390"/>
      <c r="Z42" s="390"/>
      <c r="AA42" s="390"/>
      <c r="AB42" s="390"/>
      <c r="AC42" s="375"/>
      <c r="AD42" s="375"/>
      <c r="AE42" s="375"/>
      <c r="AF42" s="375"/>
    </row>
    <row r="43" spans="1:32" ht="47.25" customHeight="1">
      <c r="A43" s="398" t="s">
        <v>547</v>
      </c>
      <c r="B43" s="399" t="s">
        <v>548</v>
      </c>
      <c r="C43" s="400" t="s">
        <v>104</v>
      </c>
      <c r="D43" s="401">
        <v>1</v>
      </c>
      <c r="E43" s="410" t="s">
        <v>549</v>
      </c>
      <c r="F43" s="402">
        <v>325</v>
      </c>
      <c r="G43" s="411"/>
      <c r="H43" s="410" t="s">
        <v>550</v>
      </c>
      <c r="I43" s="402">
        <v>357</v>
      </c>
      <c r="J43" s="411"/>
      <c r="K43" s="410"/>
      <c r="L43" s="402"/>
      <c r="M43" s="411"/>
      <c r="N43" s="386">
        <f t="shared" si="0"/>
        <v>409.2</v>
      </c>
      <c r="O43" s="412">
        <f t="shared" si="3"/>
        <v>341</v>
      </c>
      <c r="P43" s="397"/>
      <c r="R43" s="389"/>
      <c r="S43" s="389"/>
      <c r="T43" s="389"/>
      <c r="U43" s="389"/>
      <c r="V43" s="389"/>
      <c r="W43" s="390"/>
      <c r="X43" s="390"/>
      <c r="Y43" s="390"/>
      <c r="Z43" s="390"/>
      <c r="AA43" s="390"/>
      <c r="AB43" s="390"/>
      <c r="AC43" s="375"/>
      <c r="AD43" s="375"/>
      <c r="AE43" s="375"/>
      <c r="AF43" s="375"/>
    </row>
    <row r="44" spans="1:32" ht="45">
      <c r="A44" s="398" t="s">
        <v>551</v>
      </c>
      <c r="B44" s="399" t="s">
        <v>552</v>
      </c>
      <c r="C44" s="400" t="s">
        <v>104</v>
      </c>
      <c r="D44" s="401">
        <v>1</v>
      </c>
      <c r="E44" s="413" t="s">
        <v>553</v>
      </c>
      <c r="F44" s="402">
        <v>1.48</v>
      </c>
      <c r="G44" s="411"/>
      <c r="H44" s="413" t="s">
        <v>554</v>
      </c>
      <c r="I44" s="402">
        <v>1.1000000000000001</v>
      </c>
      <c r="J44" s="411"/>
      <c r="K44" s="413"/>
      <c r="L44" s="402"/>
      <c r="M44" s="411"/>
      <c r="N44" s="386">
        <f t="shared" si="0"/>
        <v>1.548</v>
      </c>
      <c r="O44" s="412">
        <f t="shared" si="3"/>
        <v>1.29</v>
      </c>
      <c r="P44" s="397"/>
      <c r="R44" s="389"/>
      <c r="S44" s="389"/>
      <c r="T44" s="389"/>
      <c r="U44" s="389"/>
      <c r="V44" s="389"/>
      <c r="W44" s="390"/>
      <c r="X44" s="390"/>
      <c r="Y44" s="390"/>
      <c r="Z44" s="390"/>
      <c r="AA44" s="390"/>
      <c r="AB44" s="390"/>
      <c r="AC44" s="375"/>
      <c r="AD44" s="375"/>
      <c r="AE44" s="375"/>
      <c r="AF44" s="375"/>
    </row>
    <row r="45" spans="1:32" ht="30">
      <c r="A45" s="398" t="s">
        <v>555</v>
      </c>
      <c r="B45" s="399" t="s">
        <v>556</v>
      </c>
      <c r="C45" s="400" t="s">
        <v>104</v>
      </c>
      <c r="D45" s="401">
        <v>1</v>
      </c>
      <c r="E45" s="413" t="s">
        <v>557</v>
      </c>
      <c r="F45" s="402">
        <v>0.21</v>
      </c>
      <c r="G45" s="411"/>
      <c r="H45" s="413" t="s">
        <v>558</v>
      </c>
      <c r="I45" s="402">
        <v>0.28999999999999998</v>
      </c>
      <c r="J45" s="411"/>
      <c r="K45" s="413" t="s">
        <v>559</v>
      </c>
      <c r="L45" s="402">
        <v>0.31</v>
      </c>
      <c r="M45" s="411"/>
      <c r="N45" s="386">
        <f t="shared" si="0"/>
        <v>0.32400000000000001</v>
      </c>
      <c r="O45" s="412">
        <f t="shared" si="3"/>
        <v>0.27</v>
      </c>
      <c r="P45" s="397"/>
      <c r="R45" s="389"/>
      <c r="S45" s="389"/>
      <c r="T45" s="389"/>
      <c r="U45" s="389"/>
      <c r="V45" s="389"/>
      <c r="W45" s="390"/>
      <c r="X45" s="390"/>
      <c r="Y45" s="390"/>
      <c r="Z45" s="390"/>
      <c r="AA45" s="390"/>
      <c r="AB45" s="390"/>
      <c r="AC45" s="375"/>
      <c r="AD45" s="375"/>
      <c r="AE45" s="375"/>
      <c r="AF45" s="375"/>
    </row>
    <row r="46" spans="1:32" ht="30">
      <c r="A46" s="398" t="s">
        <v>560</v>
      </c>
      <c r="B46" s="399" t="s">
        <v>561</v>
      </c>
      <c r="C46" s="400" t="s">
        <v>104</v>
      </c>
      <c r="D46" s="401">
        <v>1</v>
      </c>
      <c r="E46" s="413" t="s">
        <v>559</v>
      </c>
      <c r="F46" s="402">
        <v>0.28999999999999998</v>
      </c>
      <c r="G46" s="411"/>
      <c r="H46" s="413" t="s">
        <v>562</v>
      </c>
      <c r="I46" s="402">
        <v>0.14000000000000001</v>
      </c>
      <c r="J46" s="411"/>
      <c r="K46" s="413" t="s">
        <v>563</v>
      </c>
      <c r="L46" s="402">
        <v>0.42</v>
      </c>
      <c r="M46" s="411"/>
      <c r="N46" s="386">
        <f t="shared" si="0"/>
        <v>0.34</v>
      </c>
      <c r="O46" s="412">
        <f t="shared" si="3"/>
        <v>0.215</v>
      </c>
      <c r="P46" s="397"/>
      <c r="R46" s="389"/>
      <c r="S46" s="389"/>
      <c r="T46" s="389"/>
      <c r="U46" s="389"/>
      <c r="V46" s="389"/>
      <c r="W46" s="390"/>
      <c r="X46" s="390"/>
      <c r="Y46" s="390"/>
      <c r="Z46" s="390"/>
      <c r="AA46" s="390"/>
      <c r="AB46" s="390"/>
      <c r="AC46" s="375"/>
      <c r="AD46" s="375"/>
      <c r="AE46" s="375"/>
      <c r="AF46" s="375"/>
    </row>
    <row r="47" spans="1:32" ht="51" hidden="1">
      <c r="A47" s="398" t="s">
        <v>564</v>
      </c>
      <c r="B47" s="399" t="s">
        <v>565</v>
      </c>
      <c r="C47" s="400" t="s">
        <v>104</v>
      </c>
      <c r="D47" s="401">
        <v>1</v>
      </c>
      <c r="E47" s="413" t="s">
        <v>566</v>
      </c>
      <c r="F47" s="402">
        <v>96.9</v>
      </c>
      <c r="G47" s="411"/>
      <c r="H47" s="413" t="s">
        <v>567</v>
      </c>
      <c r="I47" s="402">
        <v>110</v>
      </c>
      <c r="J47" s="411"/>
      <c r="K47" s="413"/>
      <c r="L47" s="402"/>
      <c r="M47" s="411"/>
      <c r="N47" s="386">
        <f t="shared" si="0"/>
        <v>124.14</v>
      </c>
      <c r="O47" s="412">
        <f t="shared" si="3"/>
        <v>103.45</v>
      </c>
      <c r="P47" s="397"/>
      <c r="R47" s="389"/>
      <c r="S47" s="389"/>
      <c r="T47" s="389"/>
      <c r="U47" s="389"/>
      <c r="V47" s="389"/>
      <c r="W47" s="390"/>
      <c r="X47" s="390"/>
      <c r="Y47" s="390"/>
      <c r="Z47" s="390"/>
      <c r="AA47" s="390"/>
      <c r="AB47" s="390"/>
      <c r="AC47" s="375"/>
      <c r="AD47" s="375"/>
      <c r="AE47" s="375"/>
      <c r="AF47" s="375"/>
    </row>
    <row r="48" spans="1:32" ht="30" hidden="1">
      <c r="A48" s="398" t="s">
        <v>568</v>
      </c>
      <c r="B48" s="399" t="s">
        <v>569</v>
      </c>
      <c r="C48" s="400" t="s">
        <v>104</v>
      </c>
      <c r="D48" s="401">
        <v>1</v>
      </c>
      <c r="E48" s="413" t="s">
        <v>570</v>
      </c>
      <c r="F48" s="402">
        <v>321.49</v>
      </c>
      <c r="G48" s="411"/>
      <c r="H48" s="413" t="s">
        <v>571</v>
      </c>
      <c r="I48" s="402">
        <v>391.04</v>
      </c>
      <c r="J48" s="411"/>
      <c r="K48" s="413" t="s">
        <v>572</v>
      </c>
      <c r="L48" s="402">
        <v>278.83</v>
      </c>
      <c r="M48" s="411"/>
      <c r="N48" s="386">
        <f t="shared" si="0"/>
        <v>396.54399999999993</v>
      </c>
      <c r="O48" s="412">
        <f t="shared" si="3"/>
        <v>330.45333333333332</v>
      </c>
      <c r="P48" s="397"/>
      <c r="R48" s="389"/>
      <c r="S48" s="389"/>
      <c r="T48" s="389"/>
      <c r="U48" s="389"/>
      <c r="V48" s="389"/>
      <c r="W48" s="390"/>
      <c r="X48" s="390"/>
      <c r="Y48" s="390"/>
      <c r="Z48" s="390"/>
      <c r="AA48" s="390"/>
      <c r="AB48" s="390"/>
      <c r="AC48" s="375"/>
      <c r="AD48" s="375"/>
      <c r="AE48" s="375"/>
      <c r="AF48" s="375"/>
    </row>
    <row r="49" spans="1:32" ht="30" hidden="1">
      <c r="A49" s="398" t="s">
        <v>573</v>
      </c>
      <c r="B49" s="399" t="s">
        <v>574</v>
      </c>
      <c r="C49" s="400" t="s">
        <v>104</v>
      </c>
      <c r="D49" s="401">
        <v>1</v>
      </c>
      <c r="E49" s="414" t="s">
        <v>575</v>
      </c>
      <c r="F49" s="402">
        <v>38.950000000000003</v>
      </c>
      <c r="G49" s="411"/>
      <c r="H49" s="413"/>
      <c r="I49" s="402"/>
      <c r="J49" s="411"/>
      <c r="K49" s="413"/>
      <c r="L49" s="402"/>
      <c r="M49" s="411"/>
      <c r="N49" s="386">
        <f t="shared" si="0"/>
        <v>46.74</v>
      </c>
      <c r="O49" s="412">
        <f t="shared" si="3"/>
        <v>38.950000000000003</v>
      </c>
      <c r="P49" s="397"/>
      <c r="R49" s="389"/>
      <c r="S49" s="389"/>
      <c r="T49" s="389"/>
      <c r="U49" s="389"/>
      <c r="V49" s="389"/>
      <c r="W49" s="390"/>
      <c r="X49" s="390"/>
      <c r="Y49" s="390"/>
      <c r="Z49" s="390"/>
      <c r="AA49" s="390"/>
      <c r="AB49" s="390"/>
      <c r="AC49" s="375"/>
      <c r="AD49" s="375"/>
      <c r="AE49" s="375"/>
      <c r="AF49" s="375"/>
    </row>
    <row r="50" spans="1:32" ht="30" hidden="1">
      <c r="A50" s="398" t="s">
        <v>576</v>
      </c>
      <c r="B50" s="399" t="s">
        <v>577</v>
      </c>
      <c r="C50" s="400" t="s">
        <v>104</v>
      </c>
      <c r="D50" s="401">
        <v>1</v>
      </c>
      <c r="E50" s="413" t="s">
        <v>570</v>
      </c>
      <c r="F50" s="402">
        <v>56.55</v>
      </c>
      <c r="G50" s="411"/>
      <c r="H50" s="413" t="s">
        <v>571</v>
      </c>
      <c r="I50" s="402">
        <v>48</v>
      </c>
      <c r="J50" s="411"/>
      <c r="K50" s="413" t="s">
        <v>578</v>
      </c>
      <c r="L50" s="402">
        <v>93.85</v>
      </c>
      <c r="M50" s="411"/>
      <c r="N50" s="386">
        <f t="shared" si="0"/>
        <v>79.359999999999985</v>
      </c>
      <c r="O50" s="412">
        <f t="shared" si="3"/>
        <v>52.274999999999999</v>
      </c>
      <c r="P50" s="397"/>
      <c r="R50" s="389"/>
      <c r="S50" s="389"/>
      <c r="T50" s="389"/>
      <c r="U50" s="389"/>
      <c r="V50" s="389"/>
      <c r="W50" s="390"/>
      <c r="X50" s="390"/>
      <c r="Y50" s="390"/>
      <c r="Z50" s="390"/>
      <c r="AA50" s="390"/>
      <c r="AB50" s="390"/>
      <c r="AC50" s="375"/>
      <c r="AD50" s="375"/>
      <c r="AE50" s="375"/>
      <c r="AF50" s="375"/>
    </row>
    <row r="51" spans="1:32" ht="51">
      <c r="A51" s="398" t="s">
        <v>579</v>
      </c>
      <c r="B51" s="399" t="s">
        <v>23</v>
      </c>
      <c r="C51" s="400" t="s">
        <v>104</v>
      </c>
      <c r="D51" s="401">
        <v>1</v>
      </c>
      <c r="E51" s="414" t="s">
        <v>580</v>
      </c>
      <c r="F51" s="415">
        <v>57</v>
      </c>
      <c r="G51" s="416"/>
      <c r="H51" s="414" t="s">
        <v>581</v>
      </c>
      <c r="I51" s="415">
        <v>36.799999999999997</v>
      </c>
      <c r="J51" s="416"/>
      <c r="K51" s="414" t="s">
        <v>582</v>
      </c>
      <c r="L51" s="415">
        <v>30.37</v>
      </c>
      <c r="M51" s="416"/>
      <c r="N51" s="386">
        <f t="shared" si="0"/>
        <v>49.667999999999999</v>
      </c>
      <c r="O51" s="412">
        <f t="shared" si="3"/>
        <v>33.585000000000001</v>
      </c>
      <c r="P51" s="397"/>
      <c r="R51" s="389"/>
      <c r="S51" s="389"/>
      <c r="T51" s="389"/>
      <c r="U51" s="389"/>
      <c r="V51" s="389"/>
      <c r="W51" s="390"/>
      <c r="X51" s="390"/>
      <c r="Y51" s="390"/>
      <c r="Z51" s="390"/>
      <c r="AA51" s="390"/>
      <c r="AB51" s="390"/>
      <c r="AC51" s="375"/>
      <c r="AD51" s="375"/>
      <c r="AE51" s="375"/>
      <c r="AF51" s="375"/>
    </row>
    <row r="52" spans="1:32" ht="102" hidden="1">
      <c r="A52" s="398" t="s">
        <v>583</v>
      </c>
      <c r="B52" s="399" t="s">
        <v>584</v>
      </c>
      <c r="C52" s="400" t="s">
        <v>104</v>
      </c>
      <c r="D52" s="401">
        <v>1</v>
      </c>
      <c r="E52" s="414" t="s">
        <v>585</v>
      </c>
      <c r="F52" s="415">
        <v>736.89</v>
      </c>
      <c r="G52" s="416"/>
      <c r="H52" s="414" t="s">
        <v>586</v>
      </c>
      <c r="I52" s="415">
        <v>352.59</v>
      </c>
      <c r="J52" s="416"/>
      <c r="K52" s="414"/>
      <c r="L52" s="415"/>
      <c r="M52" s="416"/>
      <c r="N52" s="386">
        <f t="shared" si="0"/>
        <v>653.68799999999999</v>
      </c>
      <c r="O52" s="412">
        <f t="shared" si="3"/>
        <v>352.59</v>
      </c>
      <c r="P52" s="397"/>
      <c r="R52" s="389"/>
      <c r="S52" s="389"/>
      <c r="T52" s="389"/>
      <c r="U52" s="389"/>
      <c r="V52" s="389"/>
      <c r="W52" s="390"/>
      <c r="X52" s="390"/>
      <c r="Y52" s="390"/>
      <c r="Z52" s="390"/>
      <c r="AA52" s="390"/>
      <c r="AB52" s="390"/>
      <c r="AC52" s="375"/>
      <c r="AD52" s="375"/>
      <c r="AE52" s="375"/>
      <c r="AF52" s="375"/>
    </row>
    <row r="53" spans="1:32" ht="114.75" hidden="1">
      <c r="A53" s="398" t="s">
        <v>587</v>
      </c>
      <c r="B53" s="399" t="s">
        <v>588</v>
      </c>
      <c r="C53" s="400" t="s">
        <v>104</v>
      </c>
      <c r="D53" s="401">
        <v>1</v>
      </c>
      <c r="E53" s="414" t="s">
        <v>589</v>
      </c>
      <c r="F53" s="415">
        <v>1370.32</v>
      </c>
      <c r="G53" s="416"/>
      <c r="H53" s="414" t="s">
        <v>585</v>
      </c>
      <c r="I53" s="415">
        <v>1426.4</v>
      </c>
      <c r="J53" s="416"/>
      <c r="K53" s="414" t="s">
        <v>586</v>
      </c>
      <c r="L53" s="415">
        <v>1061.1199999999999</v>
      </c>
      <c r="M53" s="416"/>
      <c r="N53" s="386">
        <f t="shared" si="0"/>
        <v>1543.1360000000002</v>
      </c>
      <c r="O53" s="412">
        <f t="shared" si="3"/>
        <v>1285.9466666666667</v>
      </c>
      <c r="P53" s="397"/>
      <c r="R53" s="389"/>
      <c r="S53" s="389"/>
      <c r="T53" s="389"/>
      <c r="U53" s="389"/>
      <c r="V53" s="389"/>
      <c r="W53" s="390"/>
      <c r="X53" s="390"/>
      <c r="Y53" s="390"/>
      <c r="Z53" s="390"/>
      <c r="AA53" s="390"/>
      <c r="AB53" s="390"/>
      <c r="AC53" s="375"/>
      <c r="AD53" s="375"/>
      <c r="AE53" s="375"/>
      <c r="AF53" s="375"/>
    </row>
    <row r="54" spans="1:32" ht="30">
      <c r="A54" s="398" t="s">
        <v>590</v>
      </c>
      <c r="B54" s="399" t="s">
        <v>591</v>
      </c>
      <c r="C54" s="400" t="s">
        <v>104</v>
      </c>
      <c r="D54" s="401">
        <v>1</v>
      </c>
      <c r="E54" s="414" t="s">
        <v>592</v>
      </c>
      <c r="F54" s="415">
        <v>5.41</v>
      </c>
      <c r="G54" s="416">
        <v>42036</v>
      </c>
      <c r="H54" s="414"/>
      <c r="I54" s="415"/>
      <c r="J54" s="416"/>
      <c r="K54" s="414"/>
      <c r="L54" s="415"/>
      <c r="M54" s="416"/>
      <c r="N54" s="386">
        <f t="shared" si="0"/>
        <v>6.492</v>
      </c>
      <c r="O54" s="412">
        <f t="shared" si="3"/>
        <v>5.41</v>
      </c>
      <c r="P54" s="397"/>
      <c r="R54" s="389"/>
      <c r="S54" s="389"/>
      <c r="T54" s="389"/>
      <c r="U54" s="389"/>
      <c r="V54" s="389"/>
      <c r="W54" s="390"/>
      <c r="X54" s="390"/>
      <c r="Y54" s="390"/>
      <c r="Z54" s="390"/>
      <c r="AA54" s="390"/>
      <c r="AB54" s="390"/>
      <c r="AC54" s="375"/>
      <c r="AD54" s="375"/>
      <c r="AE54" s="375"/>
      <c r="AF54" s="375"/>
    </row>
    <row r="55" spans="1:32" ht="123" customHeight="1">
      <c r="A55" s="398" t="s">
        <v>593</v>
      </c>
      <c r="B55" s="399" t="s">
        <v>594</v>
      </c>
      <c r="C55" s="400" t="s">
        <v>104</v>
      </c>
      <c r="D55" s="401">
        <v>1</v>
      </c>
      <c r="E55" s="414" t="s">
        <v>582</v>
      </c>
      <c r="F55" s="415">
        <v>1685.19</v>
      </c>
      <c r="G55" s="416"/>
      <c r="H55" s="414" t="s">
        <v>595</v>
      </c>
      <c r="I55" s="415">
        <v>1790</v>
      </c>
      <c r="J55" s="416"/>
      <c r="K55" s="414" t="s">
        <v>581</v>
      </c>
      <c r="L55" s="415">
        <v>2456.1</v>
      </c>
      <c r="M55" s="416"/>
      <c r="N55" s="386">
        <f t="shared" si="0"/>
        <v>2372.5160000000001</v>
      </c>
      <c r="O55" s="412">
        <f t="shared" si="3"/>
        <v>1737.595</v>
      </c>
      <c r="P55" s="397"/>
      <c r="R55" s="389"/>
      <c r="S55" s="389"/>
      <c r="T55" s="389"/>
      <c r="U55" s="389"/>
      <c r="V55" s="389"/>
      <c r="W55" s="390"/>
      <c r="X55" s="390"/>
      <c r="Y55" s="390"/>
      <c r="Z55" s="390"/>
      <c r="AA55" s="390"/>
      <c r="AB55" s="390"/>
      <c r="AC55" s="375"/>
      <c r="AD55" s="375"/>
      <c r="AE55" s="375"/>
      <c r="AF55" s="375"/>
    </row>
    <row r="56" spans="1:32" s="375" customFormat="1" ht="39" hidden="1" thickBot="1">
      <c r="A56" s="425" t="s">
        <v>596</v>
      </c>
      <c r="B56" s="426" t="s">
        <v>597</v>
      </c>
      <c r="C56" s="427" t="s">
        <v>104</v>
      </c>
      <c r="D56" s="428">
        <v>1</v>
      </c>
      <c r="E56" s="429" t="s">
        <v>598</v>
      </c>
      <c r="F56" s="430">
        <v>600</v>
      </c>
      <c r="G56" s="431">
        <v>41833</v>
      </c>
      <c r="H56" s="432"/>
      <c r="I56" s="430"/>
      <c r="J56" s="431"/>
      <c r="K56" s="432"/>
      <c r="L56" s="430"/>
      <c r="M56" s="431"/>
      <c r="N56" s="433">
        <f t="shared" si="0"/>
        <v>720</v>
      </c>
      <c r="O56" s="433">
        <f t="shared" si="3"/>
        <v>600</v>
      </c>
      <c r="P56" s="433"/>
      <c r="R56" s="389"/>
      <c r="S56" s="389"/>
      <c r="T56" s="389"/>
      <c r="U56" s="389"/>
      <c r="V56" s="389"/>
      <c r="W56" s="390"/>
      <c r="X56" s="390"/>
      <c r="Y56" s="390"/>
      <c r="Z56" s="390"/>
      <c r="AA56" s="390"/>
      <c r="AB56" s="390"/>
    </row>
    <row r="57" spans="1:32" s="375" customFormat="1" ht="51.75" hidden="1" thickBot="1">
      <c r="A57" s="434" t="s">
        <v>599</v>
      </c>
      <c r="B57" s="435" t="s">
        <v>600</v>
      </c>
      <c r="C57" s="436" t="s">
        <v>230</v>
      </c>
      <c r="D57" s="437">
        <v>1</v>
      </c>
      <c r="E57" s="438" t="s">
        <v>601</v>
      </c>
      <c r="F57" s="439">
        <v>220</v>
      </c>
      <c r="G57" s="440">
        <v>41803</v>
      </c>
      <c r="H57" s="441" t="s">
        <v>602</v>
      </c>
      <c r="I57" s="439">
        <v>199.9</v>
      </c>
      <c r="J57" s="440">
        <v>41803</v>
      </c>
      <c r="K57" s="441" t="s">
        <v>603</v>
      </c>
      <c r="L57" s="439">
        <v>157</v>
      </c>
      <c r="M57" s="440">
        <v>41831</v>
      </c>
      <c r="N57" s="442">
        <f t="shared" si="0"/>
        <v>230.76</v>
      </c>
      <c r="O57" s="442">
        <f t="shared" si="3"/>
        <v>192.29999999999998</v>
      </c>
      <c r="P57" s="442"/>
      <c r="R57" s="389"/>
      <c r="S57" s="389"/>
      <c r="T57" s="389"/>
      <c r="U57" s="389"/>
      <c r="V57" s="389"/>
      <c r="W57" s="390"/>
      <c r="X57" s="390"/>
      <c r="Y57" s="390"/>
      <c r="Z57" s="390"/>
      <c r="AA57" s="390"/>
      <c r="AB57" s="390"/>
    </row>
    <row r="58" spans="1:32" s="375" customFormat="1" ht="51.75" hidden="1" thickBot="1">
      <c r="A58" s="434" t="s">
        <v>604</v>
      </c>
      <c r="B58" s="435" t="s">
        <v>605</v>
      </c>
      <c r="C58" s="436" t="s">
        <v>230</v>
      </c>
      <c r="D58" s="437">
        <v>1</v>
      </c>
      <c r="E58" s="438" t="s">
        <v>601</v>
      </c>
      <c r="F58" s="439">
        <v>220</v>
      </c>
      <c r="G58" s="440">
        <v>41803</v>
      </c>
      <c r="H58" s="441" t="s">
        <v>602</v>
      </c>
      <c r="I58" s="439">
        <v>199.9</v>
      </c>
      <c r="J58" s="440">
        <v>41803</v>
      </c>
      <c r="K58" s="441" t="s">
        <v>603</v>
      </c>
      <c r="L58" s="439">
        <v>157</v>
      </c>
      <c r="M58" s="440">
        <v>41831</v>
      </c>
      <c r="N58" s="442">
        <f t="shared" si="0"/>
        <v>230.76</v>
      </c>
      <c r="O58" s="442">
        <f t="shared" si="3"/>
        <v>192.29999999999998</v>
      </c>
      <c r="P58" s="442"/>
      <c r="R58" s="389"/>
      <c r="S58" s="389"/>
      <c r="T58" s="389"/>
      <c r="U58" s="389"/>
      <c r="V58" s="389"/>
      <c r="W58" s="390"/>
      <c r="X58" s="390"/>
      <c r="Y58" s="390"/>
      <c r="Z58" s="390"/>
      <c r="AA58" s="390"/>
      <c r="AB58" s="390"/>
    </row>
    <row r="59" spans="1:32" ht="26.25" hidden="1" thickBot="1">
      <c r="A59" s="434" t="s">
        <v>606</v>
      </c>
      <c r="B59" s="435" t="s">
        <v>607</v>
      </c>
      <c r="C59" s="436" t="s">
        <v>158</v>
      </c>
      <c r="D59" s="437">
        <v>1</v>
      </c>
      <c r="E59" s="441" t="s">
        <v>603</v>
      </c>
      <c r="F59" s="395">
        <v>47</v>
      </c>
      <c r="G59" s="408">
        <v>41831</v>
      </c>
      <c r="H59" s="443" t="s">
        <v>608</v>
      </c>
      <c r="I59" s="395">
        <v>44</v>
      </c>
      <c r="J59" s="408">
        <v>41831</v>
      </c>
      <c r="K59" s="443"/>
      <c r="L59" s="444"/>
      <c r="M59" s="408"/>
      <c r="N59" s="442">
        <f t="shared" si="0"/>
        <v>54.6</v>
      </c>
      <c r="O59" s="442">
        <f t="shared" si="3"/>
        <v>45.5</v>
      </c>
      <c r="P59" s="442"/>
      <c r="R59" s="389"/>
      <c r="S59" s="389"/>
      <c r="T59" s="389"/>
      <c r="U59" s="389"/>
      <c r="V59" s="389"/>
      <c r="W59" s="390"/>
      <c r="X59" s="390"/>
      <c r="Y59" s="390"/>
      <c r="Z59" s="390"/>
      <c r="AA59" s="390"/>
      <c r="AB59" s="390"/>
      <c r="AC59" s="375"/>
      <c r="AD59" s="375"/>
      <c r="AE59" s="375"/>
      <c r="AF59" s="375"/>
    </row>
    <row r="60" spans="1:32" ht="51.75" hidden="1" thickBot="1">
      <c r="A60" s="434" t="s">
        <v>609</v>
      </c>
      <c r="B60" s="435" t="s">
        <v>610</v>
      </c>
      <c r="C60" s="436" t="s">
        <v>57</v>
      </c>
      <c r="D60" s="437">
        <v>1</v>
      </c>
      <c r="E60" s="407" t="s">
        <v>611</v>
      </c>
      <c r="F60" s="395">
        <v>91</v>
      </c>
      <c r="G60" s="408">
        <v>41834</v>
      </c>
      <c r="H60" s="443"/>
      <c r="I60" s="395"/>
      <c r="J60" s="408"/>
      <c r="K60" s="443"/>
      <c r="L60" s="395"/>
      <c r="M60" s="408"/>
      <c r="N60" s="442">
        <f t="shared" si="0"/>
        <v>109.2</v>
      </c>
      <c r="O60" s="442">
        <f t="shared" si="3"/>
        <v>91</v>
      </c>
      <c r="P60" s="442"/>
      <c r="R60" s="389"/>
      <c r="S60" s="389"/>
      <c r="T60" s="389"/>
      <c r="U60" s="389"/>
      <c r="V60" s="389"/>
      <c r="W60" s="390"/>
      <c r="X60" s="390"/>
      <c r="Y60" s="390"/>
      <c r="Z60" s="390"/>
      <c r="AA60" s="390"/>
      <c r="AB60" s="390"/>
      <c r="AC60" s="375"/>
      <c r="AD60" s="375"/>
      <c r="AE60" s="375"/>
      <c r="AF60" s="375"/>
    </row>
    <row r="61" spans="1:32" ht="51.75" hidden="1" thickBot="1">
      <c r="A61" s="434" t="s">
        <v>612</v>
      </c>
      <c r="B61" s="435" t="s">
        <v>613</v>
      </c>
      <c r="C61" s="436" t="s">
        <v>57</v>
      </c>
      <c r="D61" s="437">
        <v>1</v>
      </c>
      <c r="E61" s="407" t="s">
        <v>614</v>
      </c>
      <c r="F61" s="395">
        <f>149.61+93.59</f>
        <v>243.20000000000002</v>
      </c>
      <c r="G61" s="408">
        <v>41808</v>
      </c>
      <c r="H61" s="443" t="s">
        <v>615</v>
      </c>
      <c r="I61" s="395">
        <f>157.09+93.59</f>
        <v>250.68</v>
      </c>
      <c r="J61" s="408">
        <v>41829</v>
      </c>
      <c r="K61" s="443" t="s">
        <v>616</v>
      </c>
      <c r="L61" s="395">
        <f>204.19+93.59</f>
        <v>297.77999999999997</v>
      </c>
      <c r="M61" s="408">
        <v>41828</v>
      </c>
      <c r="N61" s="442">
        <f t="shared" si="0"/>
        <v>316.66399999999999</v>
      </c>
      <c r="O61" s="442">
        <f t="shared" si="3"/>
        <v>263.88666666666666</v>
      </c>
      <c r="P61" s="442"/>
      <c r="R61" s="389"/>
      <c r="S61" s="389"/>
      <c r="T61" s="389"/>
      <c r="U61" s="389"/>
      <c r="V61" s="389"/>
      <c r="W61" s="390"/>
      <c r="X61" s="390"/>
      <c r="Y61" s="390"/>
      <c r="Z61" s="390"/>
      <c r="AA61" s="390"/>
      <c r="AB61" s="390"/>
      <c r="AC61" s="375"/>
      <c r="AD61" s="375"/>
      <c r="AE61" s="375"/>
      <c r="AF61" s="375"/>
    </row>
    <row r="62" spans="1:32" ht="81.75" hidden="1" customHeight="1" thickBot="1">
      <c r="A62" s="434" t="s">
        <v>617</v>
      </c>
      <c r="B62" s="435" t="s">
        <v>618</v>
      </c>
      <c r="C62" s="436" t="s">
        <v>57</v>
      </c>
      <c r="D62" s="437">
        <v>1</v>
      </c>
      <c r="E62" s="407" t="s">
        <v>619</v>
      </c>
      <c r="F62" s="395">
        <v>43.38</v>
      </c>
      <c r="G62" s="408">
        <v>41922</v>
      </c>
      <c r="H62" s="443" t="s">
        <v>620</v>
      </c>
      <c r="I62" s="395">
        <v>43</v>
      </c>
      <c r="J62" s="408">
        <v>41921</v>
      </c>
      <c r="K62" s="443"/>
      <c r="L62" s="395"/>
      <c r="M62" s="408"/>
      <c r="N62" s="442">
        <v>54.072000000000003</v>
      </c>
      <c r="O62" s="442">
        <f t="shared" si="3"/>
        <v>43.19</v>
      </c>
      <c r="P62" s="442"/>
      <c r="R62" s="389"/>
      <c r="S62" s="389"/>
      <c r="T62" s="389"/>
      <c r="U62" s="389"/>
      <c r="V62" s="389"/>
      <c r="W62" s="390"/>
      <c r="X62" s="390"/>
      <c r="Y62" s="390"/>
      <c r="Z62" s="390"/>
      <c r="AA62" s="390"/>
      <c r="AB62" s="390"/>
      <c r="AC62" s="375"/>
      <c r="AD62" s="375"/>
      <c r="AE62" s="375"/>
      <c r="AF62" s="375"/>
    </row>
    <row r="63" spans="1:32" ht="84" hidden="1" customHeight="1" thickBot="1">
      <c r="A63" s="434" t="s">
        <v>621</v>
      </c>
      <c r="B63" s="435" t="s">
        <v>622</v>
      </c>
      <c r="C63" s="436" t="s">
        <v>57</v>
      </c>
      <c r="D63" s="437">
        <v>1</v>
      </c>
      <c r="E63" s="407" t="s">
        <v>619</v>
      </c>
      <c r="F63" s="395">
        <v>27.11</v>
      </c>
      <c r="G63" s="408">
        <v>41922</v>
      </c>
      <c r="H63" s="443" t="s">
        <v>623</v>
      </c>
      <c r="I63" s="395">
        <v>26.8</v>
      </c>
      <c r="J63" s="408">
        <v>41921</v>
      </c>
      <c r="K63" s="443" t="s">
        <v>624</v>
      </c>
      <c r="L63" s="395">
        <v>26</v>
      </c>
      <c r="M63" s="408"/>
      <c r="N63" s="442">
        <f t="shared" ref="N63:N110" si="4">(IF(F63&gt;0,F63,0)+IF(I63&gt;0,I63,0)+IF(L63&gt;0,L63,0))*1.2/(IF(F63&gt;0,1,0)+IF(I63&gt;0,1,0)+IF(L63&gt;0,1,0))</f>
        <v>31.963999999999999</v>
      </c>
      <c r="O63" s="442">
        <f t="shared" si="3"/>
        <v>26.636666666666667</v>
      </c>
      <c r="P63" s="442"/>
      <c r="R63" s="389"/>
      <c r="S63" s="389"/>
      <c r="T63" s="389"/>
      <c r="U63" s="389"/>
      <c r="V63" s="389"/>
      <c r="W63" s="390"/>
      <c r="X63" s="390"/>
      <c r="Y63" s="390"/>
      <c r="Z63" s="390"/>
      <c r="AA63" s="390"/>
      <c r="AB63" s="390"/>
      <c r="AC63" s="375"/>
      <c r="AD63" s="375"/>
      <c r="AE63" s="375"/>
      <c r="AF63" s="375"/>
    </row>
    <row r="64" spans="1:32" ht="81" hidden="1" customHeight="1" thickBot="1">
      <c r="A64" s="434" t="s">
        <v>625</v>
      </c>
      <c r="B64" s="435" t="s">
        <v>626</v>
      </c>
      <c r="C64" s="436" t="s">
        <v>57</v>
      </c>
      <c r="D64" s="437">
        <v>1</v>
      </c>
      <c r="E64" s="407" t="s">
        <v>619</v>
      </c>
      <c r="F64" s="395">
        <v>55.24</v>
      </c>
      <c r="G64" s="408">
        <v>41922</v>
      </c>
      <c r="H64" s="443" t="s">
        <v>627</v>
      </c>
      <c r="I64" s="395">
        <v>46.9</v>
      </c>
      <c r="J64" s="408">
        <v>41921</v>
      </c>
      <c r="K64" s="443"/>
      <c r="L64" s="395"/>
      <c r="M64" s="408"/>
      <c r="N64" s="442">
        <f t="shared" si="4"/>
        <v>61.283999999999999</v>
      </c>
      <c r="O64" s="442">
        <f t="shared" si="3"/>
        <v>51.07</v>
      </c>
      <c r="P64" s="442"/>
      <c r="R64" s="389"/>
      <c r="S64" s="389"/>
      <c r="T64" s="389"/>
      <c r="U64" s="389"/>
      <c r="V64" s="389"/>
      <c r="W64" s="390"/>
      <c r="X64" s="390"/>
      <c r="Y64" s="390"/>
      <c r="Z64" s="390"/>
      <c r="AA64" s="390"/>
      <c r="AB64" s="390"/>
      <c r="AC64" s="375"/>
      <c r="AD64" s="375"/>
      <c r="AE64" s="375"/>
      <c r="AF64" s="375"/>
    </row>
    <row r="65" spans="1:32" ht="39" hidden="1" thickBot="1">
      <c r="A65" s="434" t="s">
        <v>628</v>
      </c>
      <c r="B65" s="435" t="s">
        <v>629</v>
      </c>
      <c r="C65" s="436" t="s">
        <v>104</v>
      </c>
      <c r="D65" s="437">
        <v>1</v>
      </c>
      <c r="E65" s="407" t="s">
        <v>630</v>
      </c>
      <c r="F65" s="395">
        <v>59.9</v>
      </c>
      <c r="G65" s="408">
        <v>41929</v>
      </c>
      <c r="H65" s="407" t="s">
        <v>631</v>
      </c>
      <c r="I65" s="395">
        <v>45</v>
      </c>
      <c r="J65" s="408">
        <v>41929</v>
      </c>
      <c r="K65" s="443" t="s">
        <v>632</v>
      </c>
      <c r="L65" s="395">
        <v>35</v>
      </c>
      <c r="M65" s="408">
        <v>41932</v>
      </c>
      <c r="N65" s="445">
        <f t="shared" si="4"/>
        <v>55.96</v>
      </c>
      <c r="O65" s="442">
        <f t="shared" si="3"/>
        <v>40</v>
      </c>
      <c r="P65" s="442"/>
      <c r="R65" s="389"/>
      <c r="S65" s="389"/>
      <c r="T65" s="389"/>
      <c r="U65" s="389"/>
      <c r="V65" s="389"/>
      <c r="W65" s="390"/>
      <c r="X65" s="390"/>
      <c r="Y65" s="390"/>
      <c r="Z65" s="390"/>
      <c r="AA65" s="390"/>
      <c r="AB65" s="390"/>
      <c r="AC65" s="375"/>
      <c r="AD65" s="375"/>
      <c r="AE65" s="375"/>
      <c r="AF65" s="375"/>
    </row>
    <row r="66" spans="1:32" ht="39" hidden="1" thickBot="1">
      <c r="A66" s="434" t="s">
        <v>633</v>
      </c>
      <c r="B66" s="435" t="s">
        <v>634</v>
      </c>
      <c r="C66" s="436" t="s">
        <v>104</v>
      </c>
      <c r="D66" s="437">
        <v>1</v>
      </c>
      <c r="E66" s="407" t="s">
        <v>630</v>
      </c>
      <c r="F66" s="395">
        <v>40</v>
      </c>
      <c r="G66" s="408">
        <v>41929</v>
      </c>
      <c r="H66" s="407" t="s">
        <v>631</v>
      </c>
      <c r="I66" s="395">
        <v>35</v>
      </c>
      <c r="J66" s="408">
        <v>41929</v>
      </c>
      <c r="K66" s="443"/>
      <c r="L66" s="395"/>
      <c r="M66" s="408"/>
      <c r="N66" s="445">
        <f t="shared" si="4"/>
        <v>45</v>
      </c>
      <c r="O66" s="442">
        <f t="shared" si="3"/>
        <v>37.5</v>
      </c>
      <c r="P66" s="442"/>
      <c r="R66" s="389"/>
      <c r="S66" s="389"/>
      <c r="T66" s="389"/>
      <c r="U66" s="389"/>
      <c r="V66" s="389"/>
      <c r="W66" s="390"/>
      <c r="X66" s="390"/>
      <c r="Y66" s="390"/>
      <c r="Z66" s="390"/>
      <c r="AA66" s="390"/>
      <c r="AB66" s="390"/>
      <c r="AC66" s="375"/>
      <c r="AD66" s="375"/>
      <c r="AE66" s="375"/>
      <c r="AF66" s="375"/>
    </row>
    <row r="67" spans="1:32" ht="39" hidden="1" thickBot="1">
      <c r="A67" s="434" t="s">
        <v>635</v>
      </c>
      <c r="B67" s="435" t="s">
        <v>636</v>
      </c>
      <c r="C67" s="436" t="s">
        <v>104</v>
      </c>
      <c r="D67" s="437">
        <v>1</v>
      </c>
      <c r="E67" s="407" t="s">
        <v>630</v>
      </c>
      <c r="F67" s="395">
        <v>0.8</v>
      </c>
      <c r="G67" s="408">
        <v>41929</v>
      </c>
      <c r="H67" s="407" t="s">
        <v>631</v>
      </c>
      <c r="I67" s="395">
        <f>13/15</f>
        <v>0.8666666666666667</v>
      </c>
      <c r="J67" s="408">
        <v>41929</v>
      </c>
      <c r="K67" s="443" t="s">
        <v>632</v>
      </c>
      <c r="L67" s="395">
        <v>1.2</v>
      </c>
      <c r="M67" s="408">
        <v>41932</v>
      </c>
      <c r="N67" s="445">
        <f t="shared" si="4"/>
        <v>1.1466666666666667</v>
      </c>
      <c r="O67" s="442">
        <f t="shared" si="3"/>
        <v>0.83333333333333337</v>
      </c>
      <c r="P67" s="442"/>
      <c r="R67" s="389"/>
      <c r="S67" s="389"/>
      <c r="T67" s="389"/>
      <c r="U67" s="389"/>
      <c r="V67" s="389"/>
      <c r="W67" s="390"/>
      <c r="X67" s="390"/>
      <c r="Y67" s="390"/>
      <c r="Z67" s="390"/>
      <c r="AA67" s="390"/>
      <c r="AB67" s="390"/>
      <c r="AC67" s="375"/>
      <c r="AD67" s="375"/>
      <c r="AE67" s="375"/>
      <c r="AF67" s="375"/>
    </row>
    <row r="68" spans="1:32" ht="39" hidden="1" thickBot="1">
      <c r="A68" s="434" t="s">
        <v>637</v>
      </c>
      <c r="B68" s="435" t="s">
        <v>638</v>
      </c>
      <c r="C68" s="436" t="s">
        <v>104</v>
      </c>
      <c r="D68" s="437">
        <v>1</v>
      </c>
      <c r="E68" s="407" t="s">
        <v>630</v>
      </c>
      <c r="F68" s="395">
        <v>13.8</v>
      </c>
      <c r="G68" s="408">
        <v>41929</v>
      </c>
      <c r="H68" s="407" t="s">
        <v>631</v>
      </c>
      <c r="I68" s="395">
        <v>9.9</v>
      </c>
      <c r="J68" s="408">
        <v>41929</v>
      </c>
      <c r="K68" s="443"/>
      <c r="L68" s="395"/>
      <c r="M68" s="408"/>
      <c r="N68" s="445">
        <f t="shared" si="4"/>
        <v>14.22</v>
      </c>
      <c r="O68" s="442">
        <f t="shared" si="3"/>
        <v>11.850000000000001</v>
      </c>
      <c r="P68" s="442"/>
      <c r="R68" s="389"/>
      <c r="S68" s="389"/>
      <c r="T68" s="389"/>
      <c r="U68" s="389"/>
      <c r="V68" s="389"/>
      <c r="W68" s="390"/>
      <c r="X68" s="390"/>
      <c r="Y68" s="390"/>
      <c r="Z68" s="390"/>
      <c r="AA68" s="390"/>
      <c r="AB68" s="390"/>
      <c r="AC68" s="375"/>
      <c r="AD68" s="375"/>
      <c r="AE68" s="375"/>
      <c r="AF68" s="375"/>
    </row>
    <row r="69" spans="1:32" ht="39" hidden="1" thickBot="1">
      <c r="A69" s="434" t="s">
        <v>639</v>
      </c>
      <c r="B69" s="435" t="s">
        <v>640</v>
      </c>
      <c r="C69" s="436" t="s">
        <v>104</v>
      </c>
      <c r="D69" s="437">
        <v>1</v>
      </c>
      <c r="E69" s="407" t="s">
        <v>641</v>
      </c>
      <c r="F69" s="395">
        <v>1.4</v>
      </c>
      <c r="G69" s="408">
        <v>41831</v>
      </c>
      <c r="H69" s="443" t="s">
        <v>642</v>
      </c>
      <c r="I69" s="395">
        <v>3</v>
      </c>
      <c r="J69" s="408">
        <v>41830</v>
      </c>
      <c r="K69" s="443" t="s">
        <v>632</v>
      </c>
      <c r="L69" s="395">
        <v>2.5</v>
      </c>
      <c r="M69" s="408">
        <v>41830</v>
      </c>
      <c r="N69" s="442">
        <f t="shared" si="4"/>
        <v>2.76</v>
      </c>
      <c r="O69" s="442">
        <f t="shared" si="3"/>
        <v>1.95</v>
      </c>
      <c r="P69" s="442"/>
      <c r="R69" s="389"/>
      <c r="S69" s="389"/>
      <c r="T69" s="389"/>
      <c r="U69" s="389"/>
      <c r="V69" s="389"/>
      <c r="W69" s="390"/>
      <c r="X69" s="390"/>
      <c r="Y69" s="390"/>
      <c r="Z69" s="390"/>
      <c r="AA69" s="390"/>
      <c r="AB69" s="390"/>
      <c r="AC69" s="375"/>
      <c r="AD69" s="375"/>
      <c r="AE69" s="375"/>
      <c r="AF69" s="375"/>
    </row>
    <row r="70" spans="1:32" ht="39" hidden="1" thickBot="1">
      <c r="A70" s="434" t="s">
        <v>643</v>
      </c>
      <c r="B70" s="435" t="s">
        <v>644</v>
      </c>
      <c r="C70" s="436" t="s">
        <v>104</v>
      </c>
      <c r="D70" s="437">
        <v>1</v>
      </c>
      <c r="E70" s="407" t="s">
        <v>641</v>
      </c>
      <c r="F70" s="395">
        <v>1.4</v>
      </c>
      <c r="G70" s="408">
        <v>41831</v>
      </c>
      <c r="H70" s="443" t="s">
        <v>642</v>
      </c>
      <c r="I70" s="395">
        <v>3</v>
      </c>
      <c r="J70" s="408">
        <v>41830</v>
      </c>
      <c r="K70" s="443" t="s">
        <v>632</v>
      </c>
      <c r="L70" s="395">
        <v>2.5</v>
      </c>
      <c r="M70" s="408">
        <v>41830</v>
      </c>
      <c r="N70" s="442">
        <f t="shared" si="4"/>
        <v>2.76</v>
      </c>
      <c r="O70" s="442">
        <f t="shared" si="3"/>
        <v>1.95</v>
      </c>
      <c r="P70" s="442"/>
      <c r="R70" s="389"/>
      <c r="S70" s="389"/>
      <c r="T70" s="389"/>
      <c r="U70" s="389"/>
      <c r="V70" s="389"/>
      <c r="W70" s="390"/>
      <c r="X70" s="390"/>
      <c r="Y70" s="390"/>
      <c r="Z70" s="390"/>
      <c r="AA70" s="390"/>
      <c r="AB70" s="390"/>
      <c r="AC70" s="375"/>
      <c r="AD70" s="375"/>
      <c r="AE70" s="375"/>
      <c r="AF70" s="375"/>
    </row>
    <row r="71" spans="1:32" ht="51.75" hidden="1" thickBot="1">
      <c r="A71" s="434" t="s">
        <v>645</v>
      </c>
      <c r="B71" s="435" t="s">
        <v>646</v>
      </c>
      <c r="C71" s="436" t="s">
        <v>104</v>
      </c>
      <c r="D71" s="437">
        <v>1</v>
      </c>
      <c r="E71" s="407" t="s">
        <v>641</v>
      </c>
      <c r="F71" s="395">
        <v>115</v>
      </c>
      <c r="G71" s="408">
        <v>41984</v>
      </c>
      <c r="H71" s="443" t="s">
        <v>632</v>
      </c>
      <c r="I71" s="395">
        <v>100</v>
      </c>
      <c r="J71" s="408">
        <v>41984</v>
      </c>
      <c r="K71" s="443" t="s">
        <v>631</v>
      </c>
      <c r="L71" s="395">
        <v>180</v>
      </c>
      <c r="M71" s="408">
        <v>41984</v>
      </c>
      <c r="N71" s="442">
        <f t="shared" si="4"/>
        <v>158</v>
      </c>
      <c r="O71" s="442">
        <f t="shared" si="3"/>
        <v>107.5</v>
      </c>
      <c r="P71" s="442"/>
      <c r="R71" s="389"/>
      <c r="S71" s="389"/>
      <c r="T71" s="389"/>
      <c r="U71" s="389"/>
      <c r="V71" s="389"/>
      <c r="W71" s="390"/>
      <c r="X71" s="390"/>
      <c r="Y71" s="390"/>
      <c r="Z71" s="390"/>
      <c r="AA71" s="390"/>
      <c r="AB71" s="390"/>
      <c r="AC71" s="375"/>
      <c r="AD71" s="375"/>
      <c r="AE71" s="375"/>
      <c r="AF71" s="375"/>
    </row>
    <row r="72" spans="1:32" ht="26.25" hidden="1" thickBot="1">
      <c r="A72" s="434" t="s">
        <v>647</v>
      </c>
      <c r="B72" s="435" t="s">
        <v>648</v>
      </c>
      <c r="C72" s="436" t="s">
        <v>136</v>
      </c>
      <c r="D72" s="437">
        <v>1</v>
      </c>
      <c r="E72" s="407" t="s">
        <v>649</v>
      </c>
      <c r="F72" s="395">
        <v>8.42</v>
      </c>
      <c r="G72" s="408">
        <v>41852</v>
      </c>
      <c r="H72" s="443"/>
      <c r="I72" s="395"/>
      <c r="J72" s="408"/>
      <c r="K72" s="443"/>
      <c r="L72" s="395"/>
      <c r="M72" s="408"/>
      <c r="N72" s="442">
        <f t="shared" si="4"/>
        <v>10.103999999999999</v>
      </c>
      <c r="O72" s="442">
        <f t="shared" si="3"/>
        <v>8.42</v>
      </c>
      <c r="P72" s="442"/>
      <c r="R72" s="389"/>
      <c r="S72" s="389"/>
      <c r="T72" s="389"/>
      <c r="U72" s="389"/>
      <c r="V72" s="389"/>
      <c r="W72" s="390"/>
      <c r="X72" s="390"/>
      <c r="Y72" s="390"/>
      <c r="Z72" s="390"/>
      <c r="AA72" s="390"/>
      <c r="AB72" s="390"/>
      <c r="AC72" s="375"/>
      <c r="AD72" s="375"/>
      <c r="AE72" s="375"/>
      <c r="AF72" s="375"/>
    </row>
    <row r="73" spans="1:32" ht="51.75" hidden="1" thickBot="1">
      <c r="A73" s="434" t="s">
        <v>650</v>
      </c>
      <c r="B73" s="435" t="s">
        <v>651</v>
      </c>
      <c r="C73" s="436" t="s">
        <v>104</v>
      </c>
      <c r="D73" s="437">
        <v>1</v>
      </c>
      <c r="E73" s="407" t="s">
        <v>630</v>
      </c>
      <c r="F73" s="395">
        <v>68</v>
      </c>
      <c r="G73" s="408">
        <v>41929</v>
      </c>
      <c r="H73" s="443" t="s">
        <v>632</v>
      </c>
      <c r="I73" s="395">
        <v>60</v>
      </c>
      <c r="J73" s="408">
        <v>41932</v>
      </c>
      <c r="K73" s="443"/>
      <c r="L73" s="395"/>
      <c r="M73" s="408"/>
      <c r="N73" s="445">
        <f t="shared" si="4"/>
        <v>76.8</v>
      </c>
      <c r="O73" s="442">
        <f t="shared" si="3"/>
        <v>64</v>
      </c>
      <c r="P73" s="442"/>
      <c r="R73" s="389"/>
      <c r="S73" s="389"/>
      <c r="T73" s="389"/>
      <c r="U73" s="389"/>
      <c r="V73" s="389"/>
      <c r="W73" s="390"/>
      <c r="X73" s="390"/>
      <c r="Y73" s="390"/>
      <c r="Z73" s="390"/>
      <c r="AA73" s="390"/>
      <c r="AB73" s="390"/>
      <c r="AC73" s="375"/>
      <c r="AD73" s="375"/>
      <c r="AE73" s="375"/>
      <c r="AF73" s="375"/>
    </row>
    <row r="74" spans="1:32" ht="51.75" hidden="1" thickBot="1">
      <c r="A74" s="434" t="s">
        <v>652</v>
      </c>
      <c r="B74" s="435" t="s">
        <v>653</v>
      </c>
      <c r="C74" s="436" t="s">
        <v>104</v>
      </c>
      <c r="D74" s="437">
        <v>1</v>
      </c>
      <c r="E74" s="407" t="s">
        <v>630</v>
      </c>
      <c r="F74" s="395">
        <v>68</v>
      </c>
      <c r="G74" s="408">
        <v>41929</v>
      </c>
      <c r="H74" s="407" t="s">
        <v>631</v>
      </c>
      <c r="I74" s="395">
        <v>80</v>
      </c>
      <c r="J74" s="408">
        <v>41929</v>
      </c>
      <c r="K74" s="443" t="s">
        <v>632</v>
      </c>
      <c r="L74" s="395">
        <v>60</v>
      </c>
      <c r="M74" s="408">
        <v>41932</v>
      </c>
      <c r="N74" s="445">
        <f t="shared" si="4"/>
        <v>83.2</v>
      </c>
      <c r="O74" s="442">
        <f t="shared" si="3"/>
        <v>69.333333333333329</v>
      </c>
      <c r="P74" s="442"/>
      <c r="R74" s="389"/>
      <c r="S74" s="389"/>
      <c r="T74" s="389"/>
      <c r="U74" s="389"/>
      <c r="V74" s="389"/>
      <c r="W74" s="390"/>
      <c r="X74" s="390"/>
      <c r="Y74" s="390"/>
      <c r="Z74" s="390"/>
      <c r="AA74" s="390"/>
      <c r="AB74" s="390"/>
      <c r="AC74" s="375"/>
      <c r="AD74" s="375"/>
      <c r="AE74" s="375"/>
      <c r="AF74" s="375"/>
    </row>
    <row r="75" spans="1:32" ht="39" hidden="1" thickBot="1">
      <c r="A75" s="434" t="s">
        <v>654</v>
      </c>
      <c r="B75" s="435" t="s">
        <v>655</v>
      </c>
      <c r="C75" s="436" t="s">
        <v>104</v>
      </c>
      <c r="D75" s="437" t="s">
        <v>656</v>
      </c>
      <c r="E75" s="407" t="s">
        <v>657</v>
      </c>
      <c r="F75" s="395">
        <v>350</v>
      </c>
      <c r="G75" s="408">
        <v>41984</v>
      </c>
      <c r="H75" s="443" t="s">
        <v>631</v>
      </c>
      <c r="I75" s="395">
        <v>450</v>
      </c>
      <c r="J75" s="408">
        <v>41984</v>
      </c>
      <c r="K75" s="443"/>
      <c r="L75" s="395"/>
      <c r="M75" s="408"/>
      <c r="N75" s="442">
        <f t="shared" si="4"/>
        <v>480</v>
      </c>
      <c r="O75" s="442">
        <f t="shared" si="3"/>
        <v>400</v>
      </c>
      <c r="P75" s="442"/>
      <c r="R75" s="389"/>
      <c r="S75" s="389"/>
      <c r="T75" s="389"/>
      <c r="U75" s="389"/>
      <c r="V75" s="389"/>
      <c r="W75" s="390"/>
      <c r="X75" s="390"/>
      <c r="Y75" s="390"/>
      <c r="Z75" s="390"/>
      <c r="AA75" s="390"/>
      <c r="AB75" s="390"/>
      <c r="AC75" s="375"/>
      <c r="AD75" s="375"/>
      <c r="AE75" s="375"/>
      <c r="AF75" s="375"/>
    </row>
    <row r="76" spans="1:32" ht="26.25" hidden="1" thickBot="1">
      <c r="A76" s="434" t="s">
        <v>658</v>
      </c>
      <c r="B76" s="435" t="s">
        <v>659</v>
      </c>
      <c r="C76" s="436" t="s">
        <v>136</v>
      </c>
      <c r="D76" s="437">
        <v>1</v>
      </c>
      <c r="E76" s="407" t="s">
        <v>660</v>
      </c>
      <c r="F76" s="395">
        <v>3.22</v>
      </c>
      <c r="G76" s="408">
        <v>41852</v>
      </c>
      <c r="H76" s="443"/>
      <c r="I76" s="395"/>
      <c r="J76" s="408"/>
      <c r="K76" s="443"/>
      <c r="L76" s="395"/>
      <c r="M76" s="408"/>
      <c r="N76" s="442">
        <f t="shared" si="4"/>
        <v>3.8639999999999999</v>
      </c>
      <c r="O76" s="442">
        <f t="shared" si="3"/>
        <v>3.22</v>
      </c>
      <c r="P76" s="442"/>
      <c r="R76" s="389"/>
      <c r="S76" s="389"/>
      <c r="T76" s="389"/>
      <c r="U76" s="389"/>
      <c r="V76" s="389"/>
      <c r="W76" s="390"/>
      <c r="X76" s="390"/>
      <c r="Y76" s="390"/>
      <c r="Z76" s="390"/>
      <c r="AA76" s="390"/>
      <c r="AB76" s="390"/>
      <c r="AC76" s="375"/>
      <c r="AD76" s="375"/>
      <c r="AE76" s="375"/>
      <c r="AF76" s="375"/>
    </row>
    <row r="77" spans="1:32" ht="26.25" hidden="1" thickBot="1">
      <c r="A77" s="434" t="s">
        <v>661</v>
      </c>
      <c r="B77" s="435" t="s">
        <v>662</v>
      </c>
      <c r="C77" s="436" t="s">
        <v>57</v>
      </c>
      <c r="D77" s="437">
        <v>1</v>
      </c>
      <c r="E77" s="407" t="s">
        <v>663</v>
      </c>
      <c r="F77" s="395">
        <v>75</v>
      </c>
      <c r="G77" s="408">
        <v>41831</v>
      </c>
      <c r="H77" s="443" t="s">
        <v>664</v>
      </c>
      <c r="I77" s="395">
        <v>55</v>
      </c>
      <c r="J77" s="408">
        <v>41831</v>
      </c>
      <c r="K77" s="443" t="s">
        <v>665</v>
      </c>
      <c r="L77" s="395">
        <v>80</v>
      </c>
      <c r="M77" s="408">
        <v>41831</v>
      </c>
      <c r="N77" s="442">
        <f t="shared" si="4"/>
        <v>84</v>
      </c>
      <c r="O77" s="442">
        <f t="shared" si="3"/>
        <v>70</v>
      </c>
      <c r="P77" s="442"/>
      <c r="R77" s="389"/>
      <c r="S77" s="389"/>
      <c r="T77" s="389"/>
      <c r="U77" s="389"/>
      <c r="V77" s="389"/>
      <c r="W77" s="390"/>
      <c r="X77" s="390"/>
      <c r="Y77" s="390"/>
      <c r="Z77" s="390"/>
      <c r="AA77" s="390"/>
      <c r="AB77" s="390"/>
      <c r="AC77" s="375"/>
      <c r="AD77" s="375"/>
      <c r="AE77" s="375"/>
      <c r="AF77" s="375"/>
    </row>
    <row r="78" spans="1:32" ht="26.25" hidden="1" thickBot="1">
      <c r="A78" s="434" t="s">
        <v>666</v>
      </c>
      <c r="B78" s="435" t="s">
        <v>667</v>
      </c>
      <c r="C78" s="436" t="s">
        <v>104</v>
      </c>
      <c r="D78" s="437">
        <v>1</v>
      </c>
      <c r="E78" s="407" t="s">
        <v>668</v>
      </c>
      <c r="F78" s="395">
        <v>230.88</v>
      </c>
      <c r="G78" s="408">
        <v>41967</v>
      </c>
      <c r="H78" s="443" t="s">
        <v>669</v>
      </c>
      <c r="I78" s="395">
        <v>225</v>
      </c>
      <c r="J78" s="408">
        <v>41967</v>
      </c>
      <c r="K78" s="443"/>
      <c r="L78" s="395"/>
      <c r="M78" s="408"/>
      <c r="N78" s="445">
        <f t="shared" si="4"/>
        <v>273.52799999999996</v>
      </c>
      <c r="O78" s="442">
        <f t="shared" si="3"/>
        <v>227.94</v>
      </c>
      <c r="P78" s="442"/>
      <c r="R78" s="389"/>
      <c r="S78" s="389"/>
      <c r="T78" s="389"/>
      <c r="U78" s="389"/>
      <c r="V78" s="389"/>
      <c r="W78" s="390"/>
      <c r="X78" s="390"/>
      <c r="Y78" s="390"/>
      <c r="Z78" s="390"/>
      <c r="AA78" s="390"/>
      <c r="AB78" s="390"/>
      <c r="AC78" s="375"/>
      <c r="AD78" s="375"/>
      <c r="AE78" s="375"/>
      <c r="AF78" s="375"/>
    </row>
    <row r="79" spans="1:32" ht="26.25" hidden="1" thickBot="1">
      <c r="A79" s="434" t="s">
        <v>670</v>
      </c>
      <c r="B79" s="435" t="s">
        <v>671</v>
      </c>
      <c r="C79" s="436" t="s">
        <v>104</v>
      </c>
      <c r="D79" s="437">
        <v>1</v>
      </c>
      <c r="E79" s="407" t="s">
        <v>672</v>
      </c>
      <c r="F79" s="395">
        <v>6.5</v>
      </c>
      <c r="G79" s="408">
        <v>41984</v>
      </c>
      <c r="H79" s="443" t="s">
        <v>673</v>
      </c>
      <c r="I79" s="395">
        <v>9.1</v>
      </c>
      <c r="J79" s="408">
        <v>41984</v>
      </c>
      <c r="K79" s="443"/>
      <c r="L79" s="395"/>
      <c r="M79" s="408"/>
      <c r="N79" s="445">
        <f t="shared" si="4"/>
        <v>9.36</v>
      </c>
      <c r="O79" s="442">
        <f t="shared" si="3"/>
        <v>7.8</v>
      </c>
      <c r="P79" s="442"/>
      <c r="R79" s="389"/>
      <c r="S79" s="389"/>
      <c r="T79" s="389"/>
      <c r="U79" s="389"/>
      <c r="V79" s="389"/>
      <c r="W79" s="390"/>
      <c r="X79" s="390"/>
      <c r="Y79" s="390"/>
      <c r="Z79" s="390"/>
      <c r="AA79" s="390"/>
      <c r="AB79" s="390"/>
      <c r="AC79" s="375"/>
      <c r="AD79" s="375"/>
      <c r="AE79" s="375"/>
      <c r="AF79" s="375"/>
    </row>
    <row r="80" spans="1:32" ht="29.25" hidden="1" customHeight="1" thickBot="1">
      <c r="A80" s="434" t="s">
        <v>674</v>
      </c>
      <c r="B80" s="435" t="s">
        <v>675</v>
      </c>
      <c r="C80" s="436" t="s">
        <v>104</v>
      </c>
      <c r="D80" s="437">
        <v>1</v>
      </c>
      <c r="E80" s="407" t="s">
        <v>676</v>
      </c>
      <c r="F80" s="395">
        <f>291.98+16.36</f>
        <v>308.34000000000003</v>
      </c>
      <c r="G80" s="408">
        <v>41984</v>
      </c>
      <c r="H80" s="443" t="s">
        <v>677</v>
      </c>
      <c r="I80" s="395">
        <f>222.11+19.4</f>
        <v>241.51000000000002</v>
      </c>
      <c r="J80" s="408">
        <v>41984</v>
      </c>
      <c r="K80" s="443" t="s">
        <v>678</v>
      </c>
      <c r="L80" s="395">
        <f>255.11+40.37</f>
        <v>295.48</v>
      </c>
      <c r="M80" s="408">
        <v>41984</v>
      </c>
      <c r="N80" s="445">
        <f t="shared" si="4"/>
        <v>338.13200000000001</v>
      </c>
      <c r="O80" s="442">
        <f t="shared" si="3"/>
        <v>281.7766666666667</v>
      </c>
      <c r="P80" s="442"/>
      <c r="Q80" s="371" t="s">
        <v>679</v>
      </c>
      <c r="R80" s="389"/>
      <c r="S80" s="389"/>
      <c r="T80" s="389"/>
      <c r="U80" s="389"/>
      <c r="V80" s="389"/>
      <c r="W80" s="390"/>
      <c r="X80" s="390"/>
      <c r="Y80" s="390"/>
      <c r="Z80" s="390"/>
      <c r="AA80" s="390"/>
      <c r="AB80" s="390"/>
      <c r="AC80" s="375"/>
      <c r="AD80" s="375"/>
      <c r="AE80" s="375"/>
      <c r="AF80" s="375"/>
    </row>
    <row r="81" spans="1:32" ht="77.25" hidden="1" thickBot="1">
      <c r="A81" s="434" t="s">
        <v>680</v>
      </c>
      <c r="B81" s="435" t="s">
        <v>681</v>
      </c>
      <c r="C81" s="436" t="s">
        <v>57</v>
      </c>
      <c r="D81" s="437">
        <v>1</v>
      </c>
      <c r="E81" s="407" t="s">
        <v>682</v>
      </c>
      <c r="F81" s="395">
        <v>338.78</v>
      </c>
      <c r="G81" s="408">
        <v>41831</v>
      </c>
      <c r="H81" s="443"/>
      <c r="I81" s="395"/>
      <c r="J81" s="408"/>
      <c r="K81" s="443"/>
      <c r="L81" s="395"/>
      <c r="M81" s="408"/>
      <c r="N81" s="445">
        <f t="shared" si="4"/>
        <v>406.53599999999994</v>
      </c>
      <c r="O81" s="442">
        <f t="shared" si="3"/>
        <v>338.78</v>
      </c>
      <c r="P81" s="442"/>
      <c r="R81" s="389"/>
      <c r="S81" s="389"/>
      <c r="T81" s="389"/>
      <c r="U81" s="389"/>
      <c r="V81" s="389"/>
      <c r="W81" s="390"/>
      <c r="X81" s="390"/>
      <c r="Y81" s="390"/>
      <c r="Z81" s="390"/>
      <c r="AA81" s="390"/>
      <c r="AB81" s="390"/>
      <c r="AC81" s="375"/>
      <c r="AD81" s="375"/>
      <c r="AE81" s="375"/>
      <c r="AF81" s="375"/>
    </row>
    <row r="82" spans="1:32" ht="51.75" hidden="1" thickBot="1">
      <c r="A82" s="434" t="s">
        <v>683</v>
      </c>
      <c r="B82" s="435" t="s">
        <v>679</v>
      </c>
      <c r="C82" s="436" t="s">
        <v>57</v>
      </c>
      <c r="D82" s="437">
        <v>1</v>
      </c>
      <c r="E82" s="407" t="s">
        <v>684</v>
      </c>
      <c r="F82" s="395">
        <v>144.63999999999999</v>
      </c>
      <c r="G82" s="408">
        <v>41984</v>
      </c>
      <c r="H82" s="443" t="s">
        <v>685</v>
      </c>
      <c r="I82" s="395">
        <v>150</v>
      </c>
      <c r="J82" s="408">
        <v>41984</v>
      </c>
      <c r="K82" s="443" t="s">
        <v>686</v>
      </c>
      <c r="L82" s="395">
        <v>128.91999999999999</v>
      </c>
      <c r="M82" s="408">
        <v>41984</v>
      </c>
      <c r="N82" s="445">
        <f t="shared" si="4"/>
        <v>169.42399999999998</v>
      </c>
      <c r="O82" s="442">
        <f t="shared" si="3"/>
        <v>141.18666666666664</v>
      </c>
      <c r="P82" s="442"/>
      <c r="R82" s="389"/>
      <c r="S82" s="389"/>
      <c r="T82" s="389"/>
      <c r="U82" s="389"/>
      <c r="V82" s="389"/>
      <c r="W82" s="390"/>
      <c r="X82" s="390"/>
      <c r="Y82" s="390"/>
      <c r="Z82" s="390"/>
      <c r="AA82" s="390"/>
      <c r="AB82" s="390"/>
      <c r="AC82" s="375"/>
      <c r="AD82" s="375"/>
      <c r="AE82" s="375"/>
      <c r="AF82" s="375"/>
    </row>
    <row r="83" spans="1:32" ht="90" hidden="1" thickBot="1">
      <c r="A83" s="434" t="s">
        <v>687</v>
      </c>
      <c r="B83" s="435" t="s">
        <v>688</v>
      </c>
      <c r="C83" s="436" t="s">
        <v>136</v>
      </c>
      <c r="D83" s="437">
        <v>2</v>
      </c>
      <c r="E83" s="407" t="s">
        <v>689</v>
      </c>
      <c r="F83" s="395">
        <v>12.72</v>
      </c>
      <c r="G83" s="408">
        <v>41831</v>
      </c>
      <c r="H83" s="443" t="s">
        <v>690</v>
      </c>
      <c r="I83" s="395">
        <v>13</v>
      </c>
      <c r="J83" s="408">
        <v>41831</v>
      </c>
      <c r="K83" s="443" t="s">
        <v>691</v>
      </c>
      <c r="L83" s="395">
        <v>10.57</v>
      </c>
      <c r="M83" s="408">
        <v>41831</v>
      </c>
      <c r="N83" s="445">
        <f t="shared" si="4"/>
        <v>14.515999999999998</v>
      </c>
      <c r="O83" s="442">
        <f t="shared" si="3"/>
        <v>12.096666666666666</v>
      </c>
      <c r="P83" s="442"/>
      <c r="R83" s="389"/>
      <c r="S83" s="389"/>
      <c r="T83" s="389"/>
      <c r="U83" s="389"/>
      <c r="V83" s="389"/>
      <c r="W83" s="390"/>
      <c r="X83" s="390"/>
      <c r="Y83" s="390"/>
      <c r="Z83" s="390"/>
      <c r="AA83" s="390"/>
      <c r="AB83" s="390"/>
      <c r="AC83" s="375"/>
      <c r="AD83" s="375"/>
      <c r="AE83" s="375"/>
      <c r="AF83" s="375"/>
    </row>
    <row r="84" spans="1:32" ht="39" hidden="1" thickBot="1">
      <c r="A84" s="434" t="s">
        <v>692</v>
      </c>
      <c r="B84" s="435" t="s">
        <v>693</v>
      </c>
      <c r="C84" s="436" t="s">
        <v>104</v>
      </c>
      <c r="D84" s="437" t="s">
        <v>694</v>
      </c>
      <c r="E84" s="407" t="s">
        <v>657</v>
      </c>
      <c r="F84" s="395">
        <v>100</v>
      </c>
      <c r="G84" s="408">
        <v>41984</v>
      </c>
      <c r="H84" s="443" t="s">
        <v>631</v>
      </c>
      <c r="I84" s="395">
        <v>180</v>
      </c>
      <c r="J84" s="408">
        <v>41984</v>
      </c>
      <c r="K84" s="443"/>
      <c r="L84" s="395"/>
      <c r="M84" s="408"/>
      <c r="N84" s="442">
        <f t="shared" si="4"/>
        <v>168</v>
      </c>
      <c r="O84" s="442">
        <f t="shared" si="3"/>
        <v>100</v>
      </c>
      <c r="P84" s="442"/>
      <c r="R84" s="389"/>
      <c r="S84" s="389"/>
      <c r="T84" s="389"/>
      <c r="U84" s="389"/>
      <c r="V84" s="389"/>
      <c r="W84" s="390"/>
      <c r="X84" s="390"/>
      <c r="Y84" s="390"/>
      <c r="Z84" s="390"/>
      <c r="AA84" s="390"/>
      <c r="AB84" s="390"/>
      <c r="AC84" s="375"/>
      <c r="AD84" s="375"/>
      <c r="AE84" s="375"/>
      <c r="AF84" s="375"/>
    </row>
    <row r="85" spans="1:32" ht="51.75" hidden="1" thickBot="1">
      <c r="A85" s="434" t="s">
        <v>695</v>
      </c>
      <c r="B85" s="435" t="s">
        <v>696</v>
      </c>
      <c r="C85" s="436" t="s">
        <v>57</v>
      </c>
      <c r="D85" s="437">
        <v>1</v>
      </c>
      <c r="E85" s="407" t="s">
        <v>611</v>
      </c>
      <c r="F85" s="395">
        <v>34</v>
      </c>
      <c r="G85" s="408">
        <v>41984</v>
      </c>
      <c r="H85" s="443" t="s">
        <v>697</v>
      </c>
      <c r="I85" s="395">
        <v>39</v>
      </c>
      <c r="J85" s="408">
        <v>41984</v>
      </c>
      <c r="K85" s="443"/>
      <c r="L85" s="395"/>
      <c r="M85" s="408"/>
      <c r="N85" s="442">
        <f t="shared" si="4"/>
        <v>43.8</v>
      </c>
      <c r="O85" s="442">
        <f t="shared" si="3"/>
        <v>36.5</v>
      </c>
      <c r="P85" s="442"/>
      <c r="R85" s="389"/>
      <c r="S85" s="389"/>
      <c r="T85" s="389"/>
      <c r="U85" s="389"/>
      <c r="V85" s="389"/>
      <c r="W85" s="390"/>
      <c r="X85" s="390"/>
      <c r="Y85" s="390"/>
      <c r="Z85" s="390"/>
      <c r="AA85" s="390"/>
      <c r="AB85" s="390"/>
      <c r="AC85" s="375"/>
      <c r="AD85" s="375"/>
      <c r="AE85" s="375"/>
      <c r="AF85" s="375"/>
    </row>
    <row r="86" spans="1:32" ht="26.25" hidden="1" thickBot="1">
      <c r="A86" s="434" t="s">
        <v>698</v>
      </c>
      <c r="B86" s="435" t="s">
        <v>699</v>
      </c>
      <c r="C86" s="436" t="s">
        <v>136</v>
      </c>
      <c r="D86" s="437">
        <v>1</v>
      </c>
      <c r="E86" s="407" t="s">
        <v>700</v>
      </c>
      <c r="F86" s="395">
        <v>15.04</v>
      </c>
      <c r="G86" s="408">
        <v>41913</v>
      </c>
      <c r="H86" s="443"/>
      <c r="I86" s="395"/>
      <c r="J86" s="408"/>
      <c r="K86" s="443"/>
      <c r="L86" s="395"/>
      <c r="M86" s="408"/>
      <c r="N86" s="442">
        <f t="shared" si="4"/>
        <v>18.047999999999998</v>
      </c>
      <c r="O86" s="442">
        <f t="shared" si="3"/>
        <v>15.04</v>
      </c>
      <c r="P86" s="442"/>
      <c r="R86" s="389"/>
      <c r="S86" s="389"/>
      <c r="T86" s="389"/>
      <c r="U86" s="389"/>
      <c r="V86" s="389"/>
      <c r="W86" s="390"/>
      <c r="X86" s="390"/>
      <c r="Y86" s="390"/>
      <c r="Z86" s="390"/>
      <c r="AA86" s="390"/>
      <c r="AB86" s="390"/>
      <c r="AC86" s="375"/>
      <c r="AD86" s="375"/>
      <c r="AE86" s="375"/>
      <c r="AF86" s="375"/>
    </row>
    <row r="87" spans="1:32" ht="26.25" hidden="1" thickBot="1">
      <c r="A87" s="434" t="s">
        <v>701</v>
      </c>
      <c r="B87" s="435" t="s">
        <v>702</v>
      </c>
      <c r="C87" s="436" t="s">
        <v>136</v>
      </c>
      <c r="D87" s="437">
        <v>1</v>
      </c>
      <c r="E87" s="407" t="s">
        <v>703</v>
      </c>
      <c r="F87" s="395">
        <v>13.59</v>
      </c>
      <c r="G87" s="408">
        <v>41913</v>
      </c>
      <c r="H87" s="443"/>
      <c r="I87" s="395"/>
      <c r="J87" s="408"/>
      <c r="K87" s="443"/>
      <c r="L87" s="395"/>
      <c r="M87" s="408"/>
      <c r="N87" s="442">
        <f t="shared" si="4"/>
        <v>16.308</v>
      </c>
      <c r="O87" s="442">
        <f t="shared" si="3"/>
        <v>13.59</v>
      </c>
      <c r="P87" s="442"/>
      <c r="R87" s="389"/>
      <c r="S87" s="389"/>
      <c r="T87" s="389"/>
      <c r="U87" s="389"/>
      <c r="V87" s="389"/>
      <c r="W87" s="390"/>
      <c r="X87" s="390"/>
      <c r="Y87" s="390"/>
      <c r="Z87" s="390"/>
      <c r="AA87" s="390"/>
      <c r="AB87" s="390"/>
      <c r="AC87" s="375"/>
      <c r="AD87" s="375"/>
      <c r="AE87" s="375"/>
      <c r="AF87" s="375"/>
    </row>
    <row r="88" spans="1:32" ht="26.25" hidden="1" thickBot="1">
      <c r="A88" s="434" t="s">
        <v>704</v>
      </c>
      <c r="B88" s="435" t="s">
        <v>705</v>
      </c>
      <c r="C88" s="436" t="s">
        <v>105</v>
      </c>
      <c r="D88" s="437">
        <v>1</v>
      </c>
      <c r="E88" s="407" t="s">
        <v>697</v>
      </c>
      <c r="F88" s="395">
        <v>18</v>
      </c>
      <c r="G88" s="408">
        <v>41984</v>
      </c>
      <c r="H88" s="443" t="s">
        <v>706</v>
      </c>
      <c r="I88" s="395">
        <v>16.5</v>
      </c>
      <c r="J88" s="408">
        <v>41984</v>
      </c>
      <c r="K88" s="443"/>
      <c r="L88" s="395"/>
      <c r="M88" s="408"/>
      <c r="N88" s="442">
        <f t="shared" si="4"/>
        <v>20.7</v>
      </c>
      <c r="O88" s="442">
        <f t="shared" si="3"/>
        <v>17.25</v>
      </c>
      <c r="P88" s="442"/>
      <c r="R88" s="389"/>
      <c r="S88" s="389"/>
      <c r="T88" s="389"/>
      <c r="U88" s="389"/>
      <c r="V88" s="389"/>
      <c r="W88" s="390"/>
      <c r="X88" s="390"/>
      <c r="Y88" s="390"/>
      <c r="Z88" s="390"/>
      <c r="AA88" s="390"/>
      <c r="AB88" s="390"/>
      <c r="AC88" s="375"/>
      <c r="AD88" s="375"/>
      <c r="AE88" s="375"/>
      <c r="AF88" s="375"/>
    </row>
    <row r="89" spans="1:32" ht="26.25" hidden="1" thickBot="1">
      <c r="A89" s="434" t="s">
        <v>707</v>
      </c>
      <c r="B89" s="435" t="s">
        <v>708</v>
      </c>
      <c r="C89" s="436" t="s">
        <v>104</v>
      </c>
      <c r="D89" s="437">
        <v>1</v>
      </c>
      <c r="E89" s="407" t="s">
        <v>709</v>
      </c>
      <c r="F89" s="395">
        <f>11250-11250*0.05</f>
        <v>10687.5</v>
      </c>
      <c r="G89" s="408">
        <v>41984</v>
      </c>
      <c r="H89" s="443"/>
      <c r="I89" s="395"/>
      <c r="J89" s="408"/>
      <c r="K89" s="443"/>
      <c r="L89" s="395"/>
      <c r="M89" s="408"/>
      <c r="N89" s="442">
        <f t="shared" si="4"/>
        <v>12825</v>
      </c>
      <c r="O89" s="442">
        <f t="shared" si="3"/>
        <v>10687.5</v>
      </c>
      <c r="P89" s="442"/>
      <c r="R89" s="389"/>
      <c r="S89" s="389"/>
      <c r="T89" s="389"/>
      <c r="U89" s="389"/>
      <c r="V89" s="389"/>
      <c r="W89" s="390"/>
      <c r="X89" s="390"/>
      <c r="Y89" s="390"/>
      <c r="Z89" s="390"/>
      <c r="AA89" s="390"/>
      <c r="AB89" s="390"/>
      <c r="AC89" s="375"/>
      <c r="AD89" s="375"/>
      <c r="AE89" s="375"/>
      <c r="AF89" s="375"/>
    </row>
    <row r="90" spans="1:32" ht="153.75" hidden="1" thickBot="1">
      <c r="A90" s="434" t="s">
        <v>710</v>
      </c>
      <c r="B90" s="435" t="s">
        <v>711</v>
      </c>
      <c r="C90" s="436" t="s">
        <v>712</v>
      </c>
      <c r="D90" s="437">
        <v>1</v>
      </c>
      <c r="E90" s="407" t="s">
        <v>713</v>
      </c>
      <c r="F90" s="395">
        <v>8000</v>
      </c>
      <c r="G90" s="408">
        <v>41817</v>
      </c>
      <c r="H90" s="443" t="s">
        <v>714</v>
      </c>
      <c r="I90" s="395">
        <v>5160</v>
      </c>
      <c r="J90" s="408">
        <v>41817</v>
      </c>
      <c r="K90" s="443"/>
      <c r="L90" s="395"/>
      <c r="M90" s="408"/>
      <c r="N90" s="442">
        <f t="shared" si="4"/>
        <v>7896</v>
      </c>
      <c r="O90" s="442">
        <f t="shared" si="3"/>
        <v>5160</v>
      </c>
      <c r="P90" s="442"/>
      <c r="R90" s="389"/>
      <c r="S90" s="389"/>
      <c r="T90" s="389"/>
      <c r="U90" s="389"/>
      <c r="V90" s="389"/>
      <c r="W90" s="390"/>
      <c r="X90" s="390"/>
      <c r="Y90" s="390"/>
      <c r="Z90" s="390"/>
      <c r="AA90" s="390"/>
      <c r="AB90" s="390"/>
      <c r="AC90" s="375"/>
      <c r="AD90" s="375"/>
      <c r="AE90" s="375"/>
      <c r="AF90" s="375"/>
    </row>
    <row r="91" spans="1:32" ht="90" hidden="1" thickBot="1">
      <c r="A91" s="434" t="s">
        <v>715</v>
      </c>
      <c r="B91" s="435" t="s">
        <v>716</v>
      </c>
      <c r="C91" s="436" t="s">
        <v>712</v>
      </c>
      <c r="D91" s="437">
        <v>1</v>
      </c>
      <c r="E91" s="443" t="s">
        <v>714</v>
      </c>
      <c r="F91" s="395">
        <v>3200</v>
      </c>
      <c r="G91" s="408">
        <v>41817</v>
      </c>
      <c r="H91" s="443" t="s">
        <v>717</v>
      </c>
      <c r="I91" s="395">
        <v>2493.59</v>
      </c>
      <c r="J91" s="408">
        <v>41823</v>
      </c>
      <c r="K91" s="443" t="s">
        <v>718</v>
      </c>
      <c r="L91" s="395">
        <v>2593.59</v>
      </c>
      <c r="M91" s="408">
        <v>41823</v>
      </c>
      <c r="N91" s="442">
        <f t="shared" si="4"/>
        <v>3314.8719999999998</v>
      </c>
      <c r="O91" s="442">
        <f t="shared" si="3"/>
        <v>2762.3933333333334</v>
      </c>
      <c r="P91" s="442"/>
      <c r="R91" s="389"/>
      <c r="S91" s="389"/>
      <c r="T91" s="389"/>
      <c r="U91" s="389"/>
      <c r="V91" s="389"/>
      <c r="W91" s="390"/>
      <c r="X91" s="390"/>
      <c r="Y91" s="390"/>
      <c r="Z91" s="390"/>
      <c r="AA91" s="390"/>
      <c r="AB91" s="390"/>
      <c r="AC91" s="375"/>
      <c r="AD91" s="375"/>
      <c r="AE91" s="375"/>
      <c r="AF91" s="375"/>
    </row>
    <row r="92" spans="1:32" ht="39" hidden="1" thickBot="1">
      <c r="A92" s="434" t="s">
        <v>719</v>
      </c>
      <c r="B92" s="435" t="s">
        <v>720</v>
      </c>
      <c r="C92" s="436" t="s">
        <v>104</v>
      </c>
      <c r="D92" s="437">
        <v>1</v>
      </c>
      <c r="E92" s="407" t="s">
        <v>419</v>
      </c>
      <c r="F92" s="395">
        <v>99.15</v>
      </c>
      <c r="G92" s="408">
        <v>41814</v>
      </c>
      <c r="H92" s="443" t="s">
        <v>721</v>
      </c>
      <c r="I92" s="395">
        <v>120</v>
      </c>
      <c r="J92" s="408">
        <v>41814</v>
      </c>
      <c r="K92" s="443" t="s">
        <v>722</v>
      </c>
      <c r="L92" s="395">
        <v>163.46</v>
      </c>
      <c r="M92" s="408">
        <v>41830</v>
      </c>
      <c r="N92" s="442">
        <f t="shared" si="4"/>
        <v>153.04400000000001</v>
      </c>
      <c r="O92" s="442">
        <f t="shared" si="3"/>
        <v>109.575</v>
      </c>
      <c r="P92" s="442"/>
      <c r="R92" s="389"/>
      <c r="S92" s="389"/>
      <c r="T92" s="389"/>
      <c r="U92" s="389"/>
      <c r="V92" s="389"/>
      <c r="W92" s="390"/>
      <c r="X92" s="390"/>
      <c r="Y92" s="390"/>
      <c r="Z92" s="390"/>
      <c r="AA92" s="390"/>
      <c r="AB92" s="390"/>
      <c r="AC92" s="375"/>
      <c r="AD92" s="375"/>
      <c r="AE92" s="375"/>
      <c r="AF92" s="375"/>
    </row>
    <row r="93" spans="1:32" ht="39" hidden="1" thickBot="1">
      <c r="A93" s="434" t="s">
        <v>723</v>
      </c>
      <c r="B93" s="435" t="s">
        <v>724</v>
      </c>
      <c r="C93" s="436" t="s">
        <v>104</v>
      </c>
      <c r="D93" s="437">
        <v>1</v>
      </c>
      <c r="E93" s="407" t="s">
        <v>725</v>
      </c>
      <c r="F93" s="395">
        <v>517.65</v>
      </c>
      <c r="G93" s="408">
        <v>41806</v>
      </c>
      <c r="H93" s="443" t="s">
        <v>726</v>
      </c>
      <c r="I93" s="395">
        <v>575.66</v>
      </c>
      <c r="J93" s="408">
        <v>41830</v>
      </c>
      <c r="K93" s="443" t="s">
        <v>727</v>
      </c>
      <c r="L93" s="395">
        <v>579.98</v>
      </c>
      <c r="M93" s="408">
        <v>41830</v>
      </c>
      <c r="N93" s="442">
        <f t="shared" si="4"/>
        <v>669.31599999999992</v>
      </c>
      <c r="O93" s="442">
        <f t="shared" si="3"/>
        <v>557.76333333333332</v>
      </c>
      <c r="P93" s="442"/>
      <c r="R93" s="389"/>
      <c r="S93" s="389"/>
      <c r="T93" s="389"/>
      <c r="U93" s="389"/>
      <c r="V93" s="389"/>
      <c r="W93" s="390"/>
      <c r="X93" s="390"/>
      <c r="Y93" s="390"/>
      <c r="Z93" s="390"/>
      <c r="AA93" s="390"/>
      <c r="AB93" s="390"/>
      <c r="AC93" s="375"/>
      <c r="AD93" s="375"/>
      <c r="AE93" s="375"/>
      <c r="AF93" s="375"/>
    </row>
    <row r="94" spans="1:32" ht="39" hidden="1" thickBot="1">
      <c r="A94" s="434" t="s">
        <v>728</v>
      </c>
      <c r="B94" s="435" t="s">
        <v>729</v>
      </c>
      <c r="C94" s="436" t="s">
        <v>712</v>
      </c>
      <c r="D94" s="437">
        <v>1</v>
      </c>
      <c r="E94" s="407" t="s">
        <v>730</v>
      </c>
      <c r="F94" s="395">
        <v>1850</v>
      </c>
      <c r="G94" s="408">
        <v>41984</v>
      </c>
      <c r="H94" s="443"/>
      <c r="I94" s="395"/>
      <c r="J94" s="408"/>
      <c r="K94" s="443"/>
      <c r="L94" s="395"/>
      <c r="M94" s="408"/>
      <c r="N94" s="442">
        <f t="shared" si="4"/>
        <v>2220</v>
      </c>
      <c r="O94" s="442">
        <f t="shared" si="3"/>
        <v>1850</v>
      </c>
      <c r="P94" s="442"/>
      <c r="R94" s="389"/>
      <c r="S94" s="389"/>
      <c r="T94" s="389"/>
      <c r="U94" s="389"/>
      <c r="V94" s="389"/>
      <c r="W94" s="390"/>
      <c r="X94" s="390"/>
      <c r="Y94" s="390"/>
      <c r="Z94" s="390"/>
      <c r="AA94" s="390"/>
      <c r="AB94" s="390"/>
      <c r="AC94" s="375"/>
      <c r="AD94" s="375"/>
      <c r="AE94" s="375"/>
      <c r="AF94" s="375"/>
    </row>
    <row r="95" spans="1:32" ht="39" hidden="1" thickBot="1">
      <c r="A95" s="434" t="s">
        <v>731</v>
      </c>
      <c r="B95" s="435" t="s">
        <v>732</v>
      </c>
      <c r="C95" s="436" t="s">
        <v>733</v>
      </c>
      <c r="D95" s="437">
        <v>1</v>
      </c>
      <c r="E95" s="407" t="s">
        <v>734</v>
      </c>
      <c r="F95" s="395">
        <v>317.7</v>
      </c>
      <c r="G95" s="408">
        <v>41835</v>
      </c>
      <c r="H95" s="443"/>
      <c r="I95" s="395"/>
      <c r="J95" s="408"/>
      <c r="K95" s="443"/>
      <c r="L95" s="395"/>
      <c r="M95" s="408"/>
      <c r="N95" s="442">
        <f t="shared" si="4"/>
        <v>381.23999999999995</v>
      </c>
      <c r="O95" s="442">
        <f t="shared" si="3"/>
        <v>317.7</v>
      </c>
      <c r="P95" s="442"/>
      <c r="R95" s="389"/>
      <c r="S95" s="389"/>
      <c r="T95" s="389"/>
      <c r="U95" s="389"/>
      <c r="V95" s="389"/>
      <c r="W95" s="390"/>
      <c r="X95" s="390"/>
      <c r="Y95" s="390"/>
      <c r="Z95" s="390"/>
      <c r="AA95" s="390"/>
      <c r="AB95" s="390"/>
      <c r="AC95" s="375"/>
      <c r="AD95" s="375"/>
      <c r="AE95" s="375"/>
      <c r="AF95" s="375"/>
    </row>
    <row r="96" spans="1:32" ht="39" hidden="1" thickBot="1">
      <c r="A96" s="434" t="s">
        <v>735</v>
      </c>
      <c r="B96" s="435" t="s">
        <v>736</v>
      </c>
      <c r="C96" s="436" t="s">
        <v>57</v>
      </c>
      <c r="D96" s="437">
        <v>1</v>
      </c>
      <c r="E96" s="407" t="s">
        <v>737</v>
      </c>
      <c r="F96" s="395">
        <v>0.28000000000000003</v>
      </c>
      <c r="G96" s="408">
        <v>41836</v>
      </c>
      <c r="H96" s="443" t="s">
        <v>738</v>
      </c>
      <c r="I96" s="395">
        <v>0.1</v>
      </c>
      <c r="J96" s="408">
        <v>41835</v>
      </c>
      <c r="K96" s="443"/>
      <c r="L96" s="395"/>
      <c r="M96" s="408"/>
      <c r="N96" s="442">
        <f t="shared" si="4"/>
        <v>0.22799999999999998</v>
      </c>
      <c r="O96" s="442">
        <f t="shared" si="3"/>
        <v>0.1</v>
      </c>
      <c r="P96" s="442"/>
      <c r="R96" s="389"/>
      <c r="S96" s="389"/>
      <c r="T96" s="389"/>
      <c r="U96" s="389"/>
      <c r="V96" s="389"/>
      <c r="W96" s="390"/>
      <c r="X96" s="390"/>
      <c r="Y96" s="390"/>
      <c r="Z96" s="390"/>
      <c r="AA96" s="390"/>
      <c r="AB96" s="390"/>
      <c r="AC96" s="375"/>
      <c r="AD96" s="375"/>
      <c r="AE96" s="375"/>
      <c r="AF96" s="375"/>
    </row>
    <row r="97" spans="1:32" ht="26.25" hidden="1" thickBot="1">
      <c r="A97" s="434" t="s">
        <v>739</v>
      </c>
      <c r="B97" s="435" t="s">
        <v>740</v>
      </c>
      <c r="C97" s="436" t="s">
        <v>733</v>
      </c>
      <c r="D97" s="437">
        <v>1</v>
      </c>
      <c r="E97" s="407" t="s">
        <v>741</v>
      </c>
      <c r="F97" s="395">
        <v>317.7</v>
      </c>
      <c r="G97" s="408">
        <v>41837</v>
      </c>
      <c r="H97" s="443"/>
      <c r="I97" s="395"/>
      <c r="J97" s="408"/>
      <c r="K97" s="443"/>
      <c r="L97" s="395"/>
      <c r="M97" s="408"/>
      <c r="N97" s="442">
        <f t="shared" si="4"/>
        <v>381.23999999999995</v>
      </c>
      <c r="O97" s="442">
        <f t="shared" si="3"/>
        <v>317.7</v>
      </c>
      <c r="P97" s="442"/>
      <c r="R97" s="389"/>
      <c r="S97" s="389"/>
      <c r="T97" s="389"/>
      <c r="U97" s="389"/>
      <c r="V97" s="389"/>
      <c r="W97" s="390"/>
      <c r="X97" s="390"/>
      <c r="Y97" s="390"/>
      <c r="Z97" s="390"/>
      <c r="AA97" s="390"/>
      <c r="AB97" s="390"/>
      <c r="AC97" s="375"/>
      <c r="AD97" s="375"/>
      <c r="AE97" s="375"/>
      <c r="AF97" s="375"/>
    </row>
    <row r="98" spans="1:32" ht="26.25" hidden="1" thickBot="1">
      <c r="A98" s="434" t="s">
        <v>742</v>
      </c>
      <c r="B98" s="435" t="s">
        <v>743</v>
      </c>
      <c r="C98" s="436" t="s">
        <v>153</v>
      </c>
      <c r="D98" s="437">
        <v>2</v>
      </c>
      <c r="E98" s="407" t="s">
        <v>682</v>
      </c>
      <c r="F98" s="395">
        <v>139.5</v>
      </c>
      <c r="G98" s="408">
        <v>41837</v>
      </c>
      <c r="H98" s="443"/>
      <c r="I98" s="395"/>
      <c r="J98" s="408"/>
      <c r="K98" s="443"/>
      <c r="L98" s="395"/>
      <c r="M98" s="408"/>
      <c r="N98" s="442">
        <f t="shared" si="4"/>
        <v>167.4</v>
      </c>
      <c r="O98" s="442">
        <f t="shared" si="3"/>
        <v>139.5</v>
      </c>
      <c r="P98" s="442"/>
      <c r="R98" s="389"/>
      <c r="S98" s="389"/>
      <c r="T98" s="389"/>
      <c r="U98" s="389"/>
      <c r="V98" s="389"/>
      <c r="W98" s="390"/>
      <c r="X98" s="390"/>
      <c r="Y98" s="390"/>
      <c r="Z98" s="390"/>
      <c r="AA98" s="390"/>
      <c r="AB98" s="390"/>
      <c r="AC98" s="375"/>
      <c r="AD98" s="375"/>
      <c r="AE98" s="375"/>
      <c r="AF98" s="375"/>
    </row>
    <row r="99" spans="1:32" ht="26.25" hidden="1" thickBot="1">
      <c r="A99" s="434" t="s">
        <v>744</v>
      </c>
      <c r="B99" s="435" t="s">
        <v>745</v>
      </c>
      <c r="C99" s="436" t="s">
        <v>153</v>
      </c>
      <c r="D99" s="437">
        <v>3</v>
      </c>
      <c r="E99" s="407" t="s">
        <v>682</v>
      </c>
      <c r="F99" s="395">
        <v>70.739999999999995</v>
      </c>
      <c r="G99" s="408">
        <v>41838</v>
      </c>
      <c r="H99" s="443"/>
      <c r="I99" s="395"/>
      <c r="J99" s="408"/>
      <c r="K99" s="443"/>
      <c r="L99" s="395"/>
      <c r="M99" s="408"/>
      <c r="N99" s="442">
        <f t="shared" si="4"/>
        <v>84.887999999999991</v>
      </c>
      <c r="O99" s="442">
        <f t="shared" si="3"/>
        <v>70.739999999999995</v>
      </c>
      <c r="P99" s="442"/>
      <c r="R99" s="389"/>
      <c r="S99" s="389"/>
      <c r="T99" s="389"/>
      <c r="U99" s="389"/>
      <c r="V99" s="389"/>
      <c r="W99" s="390"/>
      <c r="X99" s="390"/>
      <c r="Y99" s="390"/>
      <c r="Z99" s="390"/>
      <c r="AA99" s="390"/>
      <c r="AB99" s="390"/>
      <c r="AC99" s="375"/>
      <c r="AD99" s="375"/>
      <c r="AE99" s="375"/>
      <c r="AF99" s="375"/>
    </row>
    <row r="100" spans="1:32" ht="51.75" hidden="1" thickBot="1">
      <c r="A100" s="434" t="s">
        <v>746</v>
      </c>
      <c r="B100" s="435" t="s">
        <v>747</v>
      </c>
      <c r="C100" s="436" t="s">
        <v>748</v>
      </c>
      <c r="D100" s="437" t="s">
        <v>749</v>
      </c>
      <c r="E100" s="407" t="s">
        <v>750</v>
      </c>
      <c r="F100" s="395">
        <v>142.97999999999999</v>
      </c>
      <c r="G100" s="408">
        <v>41967</v>
      </c>
      <c r="H100" s="443"/>
      <c r="I100" s="395"/>
      <c r="J100" s="408"/>
      <c r="K100" s="443"/>
      <c r="L100" s="395"/>
      <c r="M100" s="408"/>
      <c r="N100" s="442">
        <f t="shared" si="4"/>
        <v>171.57599999999999</v>
      </c>
      <c r="O100" s="442">
        <f>(IF(F100&lt;=N100,F100,0)+IF(I100&lt;=N100,I100,0)+IF(L100&lt;=N100,L100,0))/(3-(IF(F100&gt;N100,1,IF(F100=0,1,0))+IF(I100&gt;N100,1,IF(I100=0,1,0))+IF(L100&gt;N100,1,IF(L100=0,1,0))))</f>
        <v>142.97999999999999</v>
      </c>
      <c r="P100" s="442"/>
      <c r="R100" s="389"/>
      <c r="S100" s="389"/>
      <c r="T100" s="389"/>
      <c r="U100" s="389"/>
      <c r="V100" s="389"/>
      <c r="W100" s="390"/>
      <c r="X100" s="390"/>
      <c r="Y100" s="390"/>
      <c r="Z100" s="390"/>
      <c r="AA100" s="390"/>
      <c r="AB100" s="390"/>
      <c r="AC100" s="375"/>
      <c r="AD100" s="375"/>
      <c r="AE100" s="375"/>
      <c r="AF100" s="375"/>
    </row>
    <row r="101" spans="1:32" ht="26.25" hidden="1" thickBot="1">
      <c r="A101" s="434" t="s">
        <v>751</v>
      </c>
      <c r="B101" s="435" t="s">
        <v>752</v>
      </c>
      <c r="C101" s="436" t="s">
        <v>103</v>
      </c>
      <c r="D101" s="437">
        <v>1</v>
      </c>
      <c r="E101" s="407" t="s">
        <v>753</v>
      </c>
      <c r="F101" s="395">
        <v>40</v>
      </c>
      <c r="G101" s="408">
        <v>41984</v>
      </c>
      <c r="H101" s="443" t="s">
        <v>754</v>
      </c>
      <c r="I101" s="395">
        <v>50.5</v>
      </c>
      <c r="J101" s="408">
        <v>41883</v>
      </c>
      <c r="K101" s="443"/>
      <c r="L101" s="395"/>
      <c r="M101" s="408"/>
      <c r="N101" s="442">
        <f t="shared" si="4"/>
        <v>54.3</v>
      </c>
      <c r="O101" s="442">
        <f>(IF(F101&lt;=N101,F101,0)+IF(I101&lt;=N101,I101,0)+IF(L101&lt;=N101,L101,0))/(3-(IF(F101&gt;N101,1,IF(F101=0,1,0))+IF(I101&gt;N101,1,IF(I101=0,1,0))+IF(L101&gt;N101,1,IF(L101=0,1,0))))</f>
        <v>45.25</v>
      </c>
      <c r="P101" s="442"/>
      <c r="R101" s="389"/>
      <c r="S101" s="389"/>
      <c r="T101" s="389"/>
      <c r="U101" s="389"/>
      <c r="V101" s="389"/>
      <c r="W101" s="390"/>
      <c r="X101" s="390"/>
      <c r="Y101" s="390"/>
      <c r="Z101" s="390"/>
      <c r="AA101" s="390"/>
      <c r="AB101" s="390"/>
      <c r="AC101" s="375"/>
      <c r="AD101" s="375"/>
      <c r="AE101" s="375"/>
      <c r="AF101" s="375"/>
    </row>
    <row r="102" spans="1:32" ht="26.25" hidden="1" thickBot="1">
      <c r="A102" s="434" t="s">
        <v>755</v>
      </c>
      <c r="B102" s="435" t="s">
        <v>756</v>
      </c>
      <c r="C102" s="436" t="s">
        <v>104</v>
      </c>
      <c r="D102" s="437"/>
      <c r="E102" s="407" t="s">
        <v>757</v>
      </c>
      <c r="F102" s="395">
        <v>309.55</v>
      </c>
      <c r="G102" s="408"/>
      <c r="H102" s="443" t="s">
        <v>758</v>
      </c>
      <c r="I102" s="395">
        <v>316.10000000000002</v>
      </c>
      <c r="J102" s="408"/>
      <c r="K102" s="443"/>
      <c r="L102" s="395"/>
      <c r="M102" s="408"/>
      <c r="N102" s="442">
        <f t="shared" si="4"/>
        <v>375.39000000000004</v>
      </c>
      <c r="O102" s="442">
        <f>(F102+I102)/2</f>
        <v>312.82500000000005</v>
      </c>
      <c r="P102" s="442"/>
      <c r="R102" s="389"/>
      <c r="S102" s="389"/>
      <c r="T102" s="389"/>
      <c r="U102" s="389"/>
      <c r="V102" s="389"/>
      <c r="W102" s="390"/>
      <c r="X102" s="390"/>
      <c r="Y102" s="390"/>
      <c r="Z102" s="390"/>
      <c r="AA102" s="390"/>
      <c r="AB102" s="390"/>
      <c r="AC102" s="375"/>
      <c r="AD102" s="375"/>
      <c r="AE102" s="375"/>
      <c r="AF102" s="375"/>
    </row>
    <row r="103" spans="1:32" ht="77.25" hidden="1" thickBot="1">
      <c r="A103" s="434" t="s">
        <v>759</v>
      </c>
      <c r="B103" s="435" t="s">
        <v>760</v>
      </c>
      <c r="C103" s="436" t="s">
        <v>104</v>
      </c>
      <c r="D103" s="437"/>
      <c r="E103" s="407" t="s">
        <v>582</v>
      </c>
      <c r="F103" s="395">
        <v>1532</v>
      </c>
      <c r="G103" s="408"/>
      <c r="H103" s="443" t="s">
        <v>761</v>
      </c>
      <c r="I103" s="395">
        <v>3207</v>
      </c>
      <c r="J103" s="408"/>
      <c r="K103" s="443"/>
      <c r="L103" s="395"/>
      <c r="M103" s="408"/>
      <c r="N103" s="442">
        <f t="shared" si="4"/>
        <v>2843.4</v>
      </c>
      <c r="O103" s="442">
        <f>F103</f>
        <v>1532</v>
      </c>
      <c r="P103" s="446" t="s">
        <v>762</v>
      </c>
      <c r="R103" s="389"/>
      <c r="S103" s="389"/>
      <c r="T103" s="389"/>
      <c r="U103" s="389"/>
      <c r="V103" s="389"/>
      <c r="W103" s="390"/>
      <c r="X103" s="390"/>
      <c r="Y103" s="390"/>
      <c r="Z103" s="390"/>
      <c r="AA103" s="390"/>
      <c r="AB103" s="390"/>
      <c r="AC103" s="375"/>
      <c r="AD103" s="375"/>
      <c r="AE103" s="375"/>
      <c r="AF103" s="375"/>
    </row>
    <row r="104" spans="1:32" ht="64.5" hidden="1" thickBot="1">
      <c r="A104" s="434" t="s">
        <v>763</v>
      </c>
      <c r="B104" s="435" t="s">
        <v>764</v>
      </c>
      <c r="C104" s="436" t="s">
        <v>104</v>
      </c>
      <c r="D104" s="437"/>
      <c r="E104" s="407" t="s">
        <v>595</v>
      </c>
      <c r="F104" s="395">
        <v>1595</v>
      </c>
      <c r="G104" s="408"/>
      <c r="H104" s="443" t="s">
        <v>765</v>
      </c>
      <c r="I104" s="395">
        <v>1898.62</v>
      </c>
      <c r="J104" s="408"/>
      <c r="K104" s="443"/>
      <c r="L104" s="395"/>
      <c r="M104" s="408"/>
      <c r="N104" s="442">
        <f t="shared" si="4"/>
        <v>2096.172</v>
      </c>
      <c r="O104" s="442">
        <f>(F104+I104)/2</f>
        <v>1746.81</v>
      </c>
      <c r="P104" s="442"/>
      <c r="R104" s="389"/>
      <c r="S104" s="389"/>
      <c r="T104" s="389"/>
      <c r="U104" s="389"/>
      <c r="V104" s="389"/>
      <c r="W104" s="390"/>
      <c r="X104" s="390"/>
      <c r="Y104" s="390"/>
      <c r="Z104" s="390"/>
      <c r="AA104" s="390"/>
      <c r="AB104" s="390"/>
      <c r="AC104" s="375"/>
      <c r="AD104" s="375"/>
      <c r="AE104" s="375"/>
      <c r="AF104" s="375"/>
    </row>
    <row r="105" spans="1:32" ht="39" hidden="1" thickBot="1">
      <c r="A105" s="434" t="s">
        <v>766</v>
      </c>
      <c r="B105" s="435" t="s">
        <v>767</v>
      </c>
      <c r="C105" s="436" t="s">
        <v>104</v>
      </c>
      <c r="D105" s="437"/>
      <c r="E105" s="447" t="s">
        <v>768</v>
      </c>
      <c r="F105" s="448">
        <v>10.84</v>
      </c>
      <c r="G105" s="449"/>
      <c r="H105" s="450" t="s">
        <v>769</v>
      </c>
      <c r="I105" s="448">
        <v>11.98</v>
      </c>
      <c r="J105" s="449"/>
      <c r="K105" s="450"/>
      <c r="L105" s="448"/>
      <c r="M105" s="449"/>
      <c r="N105" s="442">
        <f t="shared" si="4"/>
        <v>13.692</v>
      </c>
      <c r="O105" s="442">
        <f>(F105+I105)/2</f>
        <v>11.41</v>
      </c>
      <c r="P105" s="442"/>
      <c r="R105" s="389"/>
      <c r="S105" s="389"/>
      <c r="T105" s="389"/>
      <c r="U105" s="389"/>
      <c r="V105" s="389"/>
      <c r="W105" s="390"/>
      <c r="X105" s="390"/>
      <c r="Y105" s="390"/>
      <c r="Z105" s="390"/>
      <c r="AA105" s="390"/>
      <c r="AB105" s="390"/>
      <c r="AC105" s="375"/>
      <c r="AD105" s="375"/>
      <c r="AE105" s="375"/>
      <c r="AF105" s="375"/>
    </row>
    <row r="106" spans="1:32" ht="38.25" hidden="1" customHeight="1" thickBot="1">
      <c r="A106" s="434" t="s">
        <v>770</v>
      </c>
      <c r="B106" s="435" t="s">
        <v>771</v>
      </c>
      <c r="C106" s="436" t="s">
        <v>104</v>
      </c>
      <c r="D106" s="437"/>
      <c r="E106" s="451" t="s">
        <v>772</v>
      </c>
      <c r="F106" s="452">
        <v>53.98</v>
      </c>
      <c r="G106" s="453"/>
      <c r="H106" s="454" t="s">
        <v>773</v>
      </c>
      <c r="I106" s="452">
        <v>53.5</v>
      </c>
      <c r="J106" s="453"/>
      <c r="K106" s="454"/>
      <c r="L106" s="452"/>
      <c r="M106" s="453"/>
      <c r="N106" s="442">
        <f t="shared" si="4"/>
        <v>64.487999999999985</v>
      </c>
      <c r="O106" s="442">
        <f>(F106+I106)/2</f>
        <v>53.739999999999995</v>
      </c>
      <c r="P106" s="442"/>
      <c r="R106" s="389"/>
      <c r="S106" s="389"/>
      <c r="T106" s="389"/>
      <c r="U106" s="389"/>
      <c r="V106" s="389"/>
      <c r="W106" s="390"/>
      <c r="X106" s="390"/>
      <c r="Y106" s="390"/>
      <c r="Z106" s="390"/>
      <c r="AA106" s="390"/>
      <c r="AB106" s="390"/>
      <c r="AC106" s="375"/>
      <c r="AD106" s="375"/>
      <c r="AE106" s="375"/>
      <c r="AF106" s="375"/>
    </row>
    <row r="107" spans="1:32" ht="15.75" hidden="1" thickBot="1">
      <c r="A107" s="434" t="s">
        <v>774</v>
      </c>
      <c r="B107" s="435"/>
      <c r="C107" s="436" t="s">
        <v>104</v>
      </c>
      <c r="D107" s="437">
        <v>1</v>
      </c>
      <c r="E107" s="455"/>
      <c r="F107" s="456"/>
      <c r="G107" s="457"/>
      <c r="H107" s="455"/>
      <c r="I107" s="456"/>
      <c r="J107" s="457"/>
      <c r="K107" s="455"/>
      <c r="L107" s="456"/>
      <c r="M107" s="457"/>
      <c r="N107" s="442" t="e">
        <f t="shared" si="4"/>
        <v>#DIV/0!</v>
      </c>
      <c r="O107" s="442" t="e">
        <f>(IF(F107&lt;=N107,F107,0)+IF(I107&lt;=N107,I107,0)+IF(L107&lt;=N107,L107,0))/(3-(IF(F107&gt;N107,1,IF(F107=0,1,0))+IF(I107&gt;N107,1,IF(I107=0,1,0))+IF(L107&gt;N107,1,IF(L107=0,1,0))))</f>
        <v>#DIV/0!</v>
      </c>
      <c r="P107" s="442"/>
      <c r="R107" s="389"/>
      <c r="S107" s="389"/>
      <c r="T107" s="389"/>
      <c r="U107" s="389"/>
      <c r="V107" s="389"/>
      <c r="W107" s="390"/>
      <c r="X107" s="390"/>
      <c r="Y107" s="390"/>
      <c r="Z107" s="390"/>
      <c r="AA107" s="390"/>
      <c r="AB107" s="390"/>
      <c r="AC107" s="375"/>
      <c r="AD107" s="375"/>
      <c r="AE107" s="375"/>
      <c r="AF107" s="375"/>
    </row>
    <row r="108" spans="1:32" ht="15.75" hidden="1" thickBot="1">
      <c r="A108" s="434" t="s">
        <v>775</v>
      </c>
      <c r="B108" s="435"/>
      <c r="C108" s="436" t="s">
        <v>104</v>
      </c>
      <c r="D108" s="437">
        <v>1</v>
      </c>
      <c r="E108" s="455"/>
      <c r="F108" s="456"/>
      <c r="G108" s="457"/>
      <c r="H108" s="455"/>
      <c r="I108" s="456"/>
      <c r="J108" s="457"/>
      <c r="K108" s="455"/>
      <c r="L108" s="456"/>
      <c r="M108" s="457"/>
      <c r="N108" s="442" t="e">
        <f t="shared" si="4"/>
        <v>#DIV/0!</v>
      </c>
      <c r="O108" s="442" t="e">
        <f>(IF(F108&lt;=N108,F108,0)+IF(I108&lt;=N108,I108,0)+IF(L108&lt;=N108,L108,0))/(3-(IF(F108&gt;N108,1,IF(F108=0,1,0))+IF(I108&gt;N108,1,IF(I108=0,1,0))+IF(L108&gt;N108,1,IF(L108=0,1,0))))</f>
        <v>#DIV/0!</v>
      </c>
      <c r="P108" s="442"/>
      <c r="R108" s="389"/>
      <c r="S108" s="389"/>
      <c r="T108" s="389"/>
      <c r="U108" s="389"/>
      <c r="V108" s="389"/>
      <c r="W108" s="390"/>
      <c r="X108" s="390"/>
      <c r="Y108" s="390"/>
      <c r="Z108" s="390"/>
      <c r="AA108" s="390"/>
      <c r="AB108" s="390"/>
      <c r="AC108" s="375"/>
      <c r="AD108" s="375"/>
      <c r="AE108" s="375"/>
      <c r="AF108" s="375"/>
    </row>
    <row r="109" spans="1:32" ht="15.75" hidden="1" thickBot="1">
      <c r="A109" s="434" t="s">
        <v>776</v>
      </c>
      <c r="B109" s="435"/>
      <c r="C109" s="436" t="s">
        <v>104</v>
      </c>
      <c r="D109" s="437">
        <v>1</v>
      </c>
      <c r="E109" s="455"/>
      <c r="F109" s="456"/>
      <c r="G109" s="457"/>
      <c r="H109" s="455"/>
      <c r="I109" s="456"/>
      <c r="J109" s="457"/>
      <c r="K109" s="455"/>
      <c r="L109" s="456"/>
      <c r="M109" s="457"/>
      <c r="N109" s="442" t="e">
        <f t="shared" si="4"/>
        <v>#DIV/0!</v>
      </c>
      <c r="O109" s="442" t="e">
        <f>(IF(F109&lt;=N109,F109,0)+IF(I109&lt;=N109,I109,0)+IF(L109&lt;=N109,L109,0))/(3-(IF(F109&gt;N109,1,IF(F109=0,1,0))+IF(I109&gt;N109,1,IF(I109=0,1,0))+IF(L109&gt;N109,1,IF(L109=0,1,0))))</f>
        <v>#DIV/0!</v>
      </c>
      <c r="P109" s="442"/>
      <c r="R109" s="389"/>
      <c r="S109" s="389"/>
      <c r="T109" s="389"/>
      <c r="U109" s="389"/>
      <c r="V109" s="389"/>
      <c r="W109" s="390"/>
      <c r="X109" s="390"/>
      <c r="Y109" s="390"/>
      <c r="Z109" s="390"/>
      <c r="AA109" s="390"/>
      <c r="AB109" s="390"/>
      <c r="AC109" s="375"/>
      <c r="AD109" s="375"/>
      <c r="AE109" s="375"/>
      <c r="AF109" s="375"/>
    </row>
    <row r="110" spans="1:32" ht="77.25" hidden="1" thickBot="1">
      <c r="A110" s="434" t="s">
        <v>645</v>
      </c>
      <c r="B110" s="435" t="s">
        <v>777</v>
      </c>
      <c r="C110" s="436" t="s">
        <v>57</v>
      </c>
      <c r="D110" s="437">
        <v>1</v>
      </c>
      <c r="E110" s="407" t="s">
        <v>619</v>
      </c>
      <c r="F110" s="395">
        <v>45.06</v>
      </c>
      <c r="G110" s="408">
        <v>41922</v>
      </c>
      <c r="H110" s="443"/>
      <c r="I110" s="395"/>
      <c r="J110" s="408"/>
      <c r="K110" s="443"/>
      <c r="L110" s="395"/>
      <c r="M110" s="408"/>
      <c r="N110" s="442">
        <f t="shared" si="4"/>
        <v>54.072000000000003</v>
      </c>
      <c r="O110" s="442">
        <f>(IF(F110&lt;=N110,F110,0)+IF(I110&lt;=N110,I110,0)+IF(L110&lt;=N110,L110,0))/(3-(IF(F110&gt;N110,1,IF(F110=0,1,0))+IF(I110&gt;N110,1,IF(I110=0,1,0))+IF(L110&gt;N110,1,IF(L110=0,1,0))))</f>
        <v>45.06</v>
      </c>
      <c r="P110" s="442"/>
      <c r="R110" s="389"/>
      <c r="S110" s="389"/>
      <c r="T110" s="389"/>
      <c r="U110" s="389"/>
      <c r="V110" s="389"/>
      <c r="W110" s="390"/>
      <c r="X110" s="390"/>
      <c r="Y110" s="390"/>
      <c r="Z110" s="390"/>
      <c r="AA110" s="390"/>
      <c r="AB110" s="390"/>
      <c r="AC110" s="375"/>
      <c r="AD110" s="375"/>
      <c r="AE110" s="375"/>
      <c r="AF110" s="375"/>
    </row>
    <row r="111" spans="1:32" ht="125.25" customHeight="1">
      <c r="A111" s="417" t="s">
        <v>178</v>
      </c>
      <c r="B111" s="418" t="s">
        <v>234</v>
      </c>
      <c r="C111" s="419" t="s">
        <v>104</v>
      </c>
      <c r="D111" s="420">
        <v>1</v>
      </c>
      <c r="E111" s="421" t="s">
        <v>778</v>
      </c>
      <c r="F111" s="422" t="e">
        <f>#REF!</f>
        <v>#REF!</v>
      </c>
      <c r="G111" s="423">
        <v>43344</v>
      </c>
      <c r="H111" s="421"/>
      <c r="I111" s="422"/>
      <c r="J111" s="423"/>
      <c r="K111" s="421"/>
      <c r="L111" s="422"/>
      <c r="M111" s="423"/>
      <c r="N111" s="396"/>
      <c r="O111" s="424"/>
      <c r="P111" s="406" t="s">
        <v>779</v>
      </c>
      <c r="R111" s="389"/>
      <c r="S111" s="389"/>
      <c r="T111" s="389"/>
      <c r="U111" s="389"/>
      <c r="V111" s="389"/>
      <c r="W111" s="390"/>
      <c r="X111" s="390"/>
      <c r="Y111" s="390"/>
      <c r="Z111" s="390"/>
      <c r="AA111" s="390"/>
      <c r="AB111" s="390"/>
      <c r="AC111" s="375"/>
      <c r="AD111" s="375"/>
      <c r="AE111" s="375"/>
      <c r="AF111" s="375"/>
    </row>
    <row r="112" spans="1:32" ht="117" customHeight="1" thickBot="1">
      <c r="A112" s="458" t="s">
        <v>178</v>
      </c>
      <c r="B112" s="459" t="s">
        <v>235</v>
      </c>
      <c r="C112" s="460" t="s">
        <v>104</v>
      </c>
      <c r="D112" s="461">
        <v>1</v>
      </c>
      <c r="E112" s="451" t="s">
        <v>778</v>
      </c>
      <c r="F112" s="452" t="e">
        <f>#REF!</f>
        <v>#REF!</v>
      </c>
      <c r="G112" s="453">
        <v>43345</v>
      </c>
      <c r="H112" s="451"/>
      <c r="I112" s="452"/>
      <c r="J112" s="453"/>
      <c r="K112" s="451"/>
      <c r="L112" s="452"/>
      <c r="M112" s="453"/>
      <c r="N112" s="462"/>
      <c r="O112" s="463"/>
      <c r="P112" s="464" t="s">
        <v>779</v>
      </c>
      <c r="R112" s="389"/>
      <c r="S112" s="389"/>
      <c r="T112" s="389"/>
      <c r="U112" s="389"/>
      <c r="V112" s="389"/>
      <c r="W112" s="390"/>
      <c r="X112" s="390"/>
      <c r="Y112" s="390"/>
      <c r="Z112" s="390"/>
      <c r="AA112" s="390"/>
      <c r="AB112" s="390"/>
      <c r="AC112" s="375"/>
      <c r="AD112" s="375"/>
      <c r="AE112" s="375"/>
      <c r="AF112" s="375"/>
    </row>
    <row r="113" spans="13:32">
      <c r="M113" s="466"/>
      <c r="N113" s="467"/>
      <c r="O113" s="466"/>
      <c r="R113" s="389"/>
      <c r="S113" s="389"/>
      <c r="T113" s="389"/>
      <c r="U113" s="389"/>
      <c r="V113" s="389"/>
      <c r="W113" s="390"/>
      <c r="X113" s="390"/>
      <c r="Y113" s="390"/>
      <c r="Z113" s="390"/>
      <c r="AA113" s="390"/>
      <c r="AB113" s="390"/>
      <c r="AC113" s="375"/>
      <c r="AD113" s="375"/>
      <c r="AE113" s="375"/>
      <c r="AF113" s="375"/>
    </row>
    <row r="114" spans="13:32">
      <c r="M114" s="466"/>
      <c r="N114" s="467"/>
      <c r="O114" s="466"/>
      <c r="R114" s="389"/>
      <c r="S114" s="389"/>
      <c r="T114" s="389"/>
      <c r="U114" s="389"/>
      <c r="V114" s="389"/>
      <c r="W114" s="390"/>
      <c r="X114" s="390"/>
      <c r="Y114" s="390"/>
      <c r="Z114" s="390"/>
      <c r="AA114" s="390"/>
      <c r="AB114" s="390"/>
      <c r="AC114" s="375"/>
      <c r="AD114" s="375"/>
      <c r="AE114" s="375"/>
      <c r="AF114" s="375"/>
    </row>
    <row r="115" spans="13:32">
      <c r="M115" s="466"/>
      <c r="N115" s="467"/>
      <c r="O115" s="466"/>
      <c r="R115" s="389"/>
      <c r="S115" s="389"/>
      <c r="T115" s="389"/>
      <c r="U115" s="389"/>
      <c r="V115" s="389"/>
      <c r="W115" s="390"/>
      <c r="X115" s="390"/>
      <c r="Y115" s="390"/>
      <c r="Z115" s="390"/>
      <c r="AA115" s="390"/>
      <c r="AB115" s="390"/>
      <c r="AC115" s="375"/>
      <c r="AD115" s="375"/>
      <c r="AE115" s="375"/>
      <c r="AF115" s="375"/>
    </row>
    <row r="116" spans="13:32">
      <c r="M116" s="466"/>
      <c r="N116" s="467"/>
      <c r="O116" s="466"/>
      <c r="R116" s="389"/>
      <c r="S116" s="389"/>
      <c r="T116" s="389"/>
      <c r="U116" s="389"/>
      <c r="V116" s="389"/>
      <c r="W116" s="390"/>
      <c r="X116" s="390"/>
      <c r="Y116" s="390"/>
      <c r="Z116" s="390"/>
      <c r="AA116" s="390"/>
      <c r="AB116" s="390"/>
      <c r="AC116" s="375"/>
      <c r="AD116" s="375"/>
      <c r="AE116" s="375"/>
      <c r="AF116" s="375"/>
    </row>
    <row r="117" spans="13:32">
      <c r="M117" s="466"/>
      <c r="N117" s="467"/>
      <c r="O117" s="466"/>
      <c r="R117" s="389"/>
      <c r="S117" s="389"/>
      <c r="T117" s="389"/>
      <c r="U117" s="389"/>
      <c r="V117" s="389"/>
      <c r="W117" s="390"/>
      <c r="X117" s="390"/>
      <c r="Y117" s="390"/>
      <c r="Z117" s="390"/>
      <c r="AA117" s="390"/>
      <c r="AB117" s="390"/>
      <c r="AC117" s="375"/>
      <c r="AD117" s="375"/>
      <c r="AE117" s="375"/>
      <c r="AF117" s="375"/>
    </row>
    <row r="118" spans="13:32">
      <c r="M118" s="466"/>
      <c r="N118" s="466"/>
      <c r="O118" s="466"/>
      <c r="R118" s="389"/>
      <c r="S118" s="389"/>
      <c r="T118" s="389"/>
      <c r="U118" s="389"/>
      <c r="V118" s="389"/>
      <c r="W118" s="390"/>
      <c r="X118" s="390"/>
      <c r="Y118" s="390"/>
      <c r="Z118" s="390"/>
      <c r="AA118" s="390"/>
      <c r="AB118" s="390"/>
      <c r="AC118" s="375"/>
      <c r="AD118" s="375"/>
      <c r="AE118" s="375"/>
      <c r="AF118" s="375"/>
    </row>
    <row r="119" spans="13:32">
      <c r="M119" s="466"/>
      <c r="N119" s="466"/>
      <c r="O119" s="466"/>
      <c r="R119" s="389"/>
      <c r="S119" s="389"/>
      <c r="T119" s="389"/>
      <c r="U119" s="389"/>
      <c r="V119" s="389"/>
      <c r="W119" s="390"/>
      <c r="X119" s="390"/>
      <c r="Y119" s="390"/>
      <c r="Z119" s="390"/>
      <c r="AA119" s="390"/>
      <c r="AB119" s="390"/>
      <c r="AC119" s="375"/>
      <c r="AD119" s="375"/>
      <c r="AE119" s="375"/>
      <c r="AF119" s="375"/>
    </row>
    <row r="120" spans="13:32">
      <c r="M120" s="466"/>
      <c r="N120" s="466"/>
      <c r="O120" s="466"/>
      <c r="R120" s="389"/>
      <c r="S120" s="389"/>
      <c r="T120" s="389"/>
      <c r="U120" s="389"/>
      <c r="V120" s="389"/>
      <c r="W120" s="390"/>
      <c r="X120" s="390"/>
      <c r="Y120" s="390"/>
      <c r="Z120" s="390"/>
      <c r="AA120" s="390"/>
      <c r="AB120" s="390"/>
      <c r="AC120" s="375"/>
      <c r="AD120" s="375"/>
      <c r="AE120" s="375"/>
      <c r="AF120" s="375"/>
    </row>
    <row r="121" spans="13:32">
      <c r="M121" s="466"/>
      <c r="N121" s="466"/>
      <c r="O121" s="466"/>
      <c r="R121" s="389"/>
      <c r="S121" s="389"/>
      <c r="T121" s="389"/>
      <c r="U121" s="389"/>
      <c r="V121" s="389"/>
      <c r="W121" s="390"/>
      <c r="X121" s="390"/>
      <c r="Y121" s="390"/>
      <c r="Z121" s="390"/>
      <c r="AA121" s="390"/>
      <c r="AB121" s="390"/>
      <c r="AC121" s="375"/>
      <c r="AD121" s="375"/>
      <c r="AE121" s="375"/>
      <c r="AF121" s="375"/>
    </row>
    <row r="122" spans="13:32">
      <c r="R122" s="389"/>
      <c r="S122" s="389"/>
      <c r="T122" s="389"/>
      <c r="U122" s="389"/>
      <c r="V122" s="389"/>
      <c r="W122" s="390"/>
      <c r="X122" s="390"/>
      <c r="Y122" s="390"/>
      <c r="Z122" s="390"/>
      <c r="AA122" s="390"/>
      <c r="AB122" s="390"/>
      <c r="AC122" s="375"/>
      <c r="AD122" s="375"/>
      <c r="AE122" s="375"/>
      <c r="AF122" s="375"/>
    </row>
    <row r="123" spans="13:32">
      <c r="R123" s="389"/>
      <c r="S123" s="389"/>
      <c r="T123" s="389"/>
      <c r="U123" s="389"/>
      <c r="V123" s="389"/>
      <c r="W123" s="390"/>
      <c r="X123" s="390"/>
      <c r="Y123" s="390"/>
      <c r="Z123" s="390"/>
      <c r="AA123" s="390"/>
      <c r="AB123" s="390"/>
      <c r="AC123" s="375"/>
      <c r="AD123" s="375"/>
      <c r="AE123" s="375"/>
      <c r="AF123" s="375"/>
    </row>
    <row r="124" spans="13:32">
      <c r="R124" s="389"/>
      <c r="S124" s="389"/>
      <c r="T124" s="389"/>
      <c r="U124" s="389"/>
      <c r="V124" s="389"/>
      <c r="W124" s="390"/>
      <c r="X124" s="390"/>
      <c r="Y124" s="390"/>
      <c r="Z124" s="390"/>
      <c r="AA124" s="390"/>
      <c r="AB124" s="390"/>
      <c r="AC124" s="375"/>
      <c r="AD124" s="375"/>
      <c r="AE124" s="375"/>
      <c r="AF124" s="375"/>
    </row>
    <row r="125" spans="13:32">
      <c r="R125" s="389"/>
      <c r="S125" s="389"/>
      <c r="T125" s="389"/>
      <c r="U125" s="389"/>
      <c r="V125" s="389"/>
      <c r="W125" s="390"/>
      <c r="X125" s="390"/>
      <c r="Y125" s="390"/>
      <c r="Z125" s="390"/>
      <c r="AA125" s="390"/>
      <c r="AB125" s="390"/>
      <c r="AC125" s="375"/>
      <c r="AD125" s="375"/>
      <c r="AE125" s="375"/>
      <c r="AF125" s="375"/>
    </row>
    <row r="126" spans="13:32">
      <c r="R126" s="389"/>
      <c r="S126" s="389"/>
      <c r="T126" s="389"/>
      <c r="U126" s="389"/>
      <c r="V126" s="389"/>
      <c r="W126" s="390"/>
      <c r="X126" s="390"/>
      <c r="Y126" s="390"/>
      <c r="Z126" s="390"/>
      <c r="AA126" s="390"/>
      <c r="AB126" s="390"/>
      <c r="AC126" s="375"/>
      <c r="AD126" s="375"/>
      <c r="AE126" s="375"/>
      <c r="AF126" s="375"/>
    </row>
    <row r="127" spans="13:32">
      <c r="R127" s="389"/>
      <c r="S127" s="389"/>
      <c r="T127" s="389"/>
      <c r="U127" s="389"/>
      <c r="V127" s="389"/>
      <c r="W127" s="390"/>
      <c r="X127" s="390"/>
      <c r="Y127" s="390"/>
      <c r="Z127" s="390"/>
      <c r="AA127" s="390"/>
      <c r="AB127" s="390"/>
      <c r="AC127" s="375"/>
      <c r="AD127" s="375"/>
      <c r="AE127" s="375"/>
      <c r="AF127" s="375"/>
    </row>
    <row r="128" spans="13:32">
      <c r="R128" s="389"/>
      <c r="S128" s="389"/>
      <c r="T128" s="389"/>
      <c r="U128" s="389"/>
      <c r="V128" s="389"/>
      <c r="W128" s="390"/>
      <c r="X128" s="390"/>
      <c r="Y128" s="390"/>
      <c r="Z128" s="390"/>
      <c r="AA128" s="390"/>
      <c r="AB128" s="390"/>
      <c r="AC128" s="375"/>
      <c r="AD128" s="375"/>
      <c r="AE128" s="375"/>
      <c r="AF128" s="375"/>
    </row>
    <row r="129" spans="18:32">
      <c r="R129" s="389"/>
      <c r="S129" s="389"/>
      <c r="T129" s="389"/>
      <c r="U129" s="389"/>
      <c r="V129" s="389"/>
      <c r="W129" s="390"/>
      <c r="X129" s="390"/>
      <c r="Y129" s="390"/>
      <c r="Z129" s="390"/>
      <c r="AA129" s="390"/>
      <c r="AB129" s="390"/>
      <c r="AC129" s="375"/>
      <c r="AD129" s="375"/>
      <c r="AE129" s="375"/>
      <c r="AF129" s="375"/>
    </row>
    <row r="130" spans="18:32">
      <c r="R130" s="389"/>
      <c r="S130" s="389"/>
      <c r="T130" s="389"/>
      <c r="U130" s="389"/>
      <c r="V130" s="389"/>
      <c r="W130" s="390"/>
      <c r="X130" s="390"/>
      <c r="Y130" s="390"/>
      <c r="Z130" s="390"/>
      <c r="AA130" s="390"/>
      <c r="AB130" s="390"/>
      <c r="AC130" s="375"/>
      <c r="AD130" s="375"/>
      <c r="AE130" s="375"/>
      <c r="AF130" s="375"/>
    </row>
    <row r="131" spans="18:32">
      <c r="R131" s="389"/>
      <c r="S131" s="389"/>
      <c r="T131" s="389"/>
      <c r="U131" s="389"/>
      <c r="V131" s="389"/>
      <c r="W131" s="390"/>
      <c r="X131" s="390"/>
      <c r="Y131" s="390"/>
      <c r="Z131" s="390"/>
      <c r="AA131" s="390"/>
      <c r="AB131" s="390"/>
      <c r="AC131" s="375"/>
      <c r="AD131" s="375"/>
      <c r="AE131" s="375"/>
      <c r="AF131" s="375"/>
    </row>
    <row r="132" spans="18:32">
      <c r="R132" s="389"/>
      <c r="S132" s="389"/>
      <c r="T132" s="389"/>
      <c r="U132" s="389"/>
      <c r="V132" s="389"/>
      <c r="W132" s="390"/>
      <c r="X132" s="390"/>
      <c r="Y132" s="390"/>
      <c r="Z132" s="390"/>
      <c r="AA132" s="390"/>
      <c r="AB132" s="390"/>
      <c r="AC132" s="375"/>
      <c r="AD132" s="375"/>
      <c r="AE132" s="375"/>
      <c r="AF132" s="375"/>
    </row>
    <row r="133" spans="18:32">
      <c r="R133" s="389"/>
      <c r="S133" s="389"/>
      <c r="T133" s="389"/>
      <c r="U133" s="389"/>
      <c r="V133" s="389"/>
      <c r="W133" s="390"/>
      <c r="X133" s="390"/>
      <c r="Y133" s="390"/>
      <c r="Z133" s="390"/>
      <c r="AA133" s="390"/>
      <c r="AB133" s="390"/>
      <c r="AC133" s="375"/>
      <c r="AD133" s="375"/>
      <c r="AE133" s="375"/>
      <c r="AF133" s="375"/>
    </row>
    <row r="134" spans="18:32">
      <c r="R134" s="389"/>
      <c r="S134" s="389"/>
      <c r="T134" s="389"/>
      <c r="U134" s="389"/>
      <c r="V134" s="389"/>
      <c r="W134" s="390"/>
      <c r="X134" s="390"/>
      <c r="Y134" s="390"/>
      <c r="Z134" s="390"/>
      <c r="AA134" s="390"/>
      <c r="AB134" s="390"/>
      <c r="AC134" s="375"/>
      <c r="AD134" s="375"/>
      <c r="AE134" s="375"/>
      <c r="AF134" s="375"/>
    </row>
    <row r="135" spans="18:32">
      <c r="R135" s="389"/>
      <c r="S135" s="389"/>
      <c r="T135" s="389"/>
      <c r="U135" s="389"/>
      <c r="V135" s="389"/>
      <c r="W135" s="390"/>
      <c r="X135" s="390"/>
      <c r="Y135" s="390"/>
      <c r="Z135" s="390"/>
      <c r="AA135" s="390"/>
      <c r="AB135" s="390"/>
      <c r="AC135" s="375"/>
      <c r="AD135" s="375"/>
      <c r="AE135" s="375"/>
      <c r="AF135" s="375"/>
    </row>
    <row r="136" spans="18:32">
      <c r="R136" s="389"/>
      <c r="S136" s="389"/>
      <c r="T136" s="389"/>
      <c r="U136" s="389"/>
      <c r="V136" s="389"/>
      <c r="W136" s="390"/>
      <c r="X136" s="390"/>
      <c r="Y136" s="390"/>
      <c r="Z136" s="390"/>
      <c r="AA136" s="390"/>
      <c r="AB136" s="390"/>
      <c r="AC136" s="375"/>
      <c r="AD136" s="375"/>
      <c r="AE136" s="375"/>
      <c r="AF136" s="375"/>
    </row>
    <row r="137" spans="18:32">
      <c r="R137" s="389"/>
      <c r="S137" s="389"/>
      <c r="T137" s="389"/>
      <c r="U137" s="389"/>
      <c r="V137" s="389"/>
      <c r="W137" s="390"/>
      <c r="X137" s="390"/>
      <c r="Y137" s="390"/>
      <c r="Z137" s="390"/>
      <c r="AA137" s="390"/>
      <c r="AB137" s="390"/>
      <c r="AC137" s="375"/>
      <c r="AD137" s="375"/>
      <c r="AE137" s="375"/>
      <c r="AF137" s="375"/>
    </row>
    <row r="138" spans="18:32">
      <c r="R138" s="389"/>
      <c r="S138" s="389"/>
      <c r="T138" s="389"/>
      <c r="U138" s="389"/>
      <c r="V138" s="389"/>
      <c r="W138" s="390"/>
      <c r="X138" s="390"/>
      <c r="Y138" s="390"/>
      <c r="Z138" s="390"/>
      <c r="AA138" s="390"/>
      <c r="AB138" s="390"/>
      <c r="AC138" s="375"/>
      <c r="AD138" s="375"/>
      <c r="AE138" s="375"/>
      <c r="AF138" s="375"/>
    </row>
    <row r="139" spans="18:32">
      <c r="R139" s="389"/>
      <c r="S139" s="389"/>
      <c r="T139" s="389"/>
      <c r="U139" s="389"/>
      <c r="V139" s="389"/>
      <c r="W139" s="390"/>
      <c r="X139" s="390"/>
      <c r="Y139" s="390"/>
      <c r="Z139" s="390"/>
      <c r="AA139" s="390"/>
      <c r="AB139" s="390"/>
      <c r="AC139" s="375"/>
      <c r="AD139" s="375"/>
      <c r="AE139" s="375"/>
      <c r="AF139" s="375"/>
    </row>
    <row r="140" spans="18:32">
      <c r="R140" s="389"/>
      <c r="S140" s="389"/>
      <c r="T140" s="389"/>
      <c r="U140" s="389"/>
      <c r="V140" s="389"/>
      <c r="W140" s="390"/>
      <c r="X140" s="390"/>
      <c r="Y140" s="390"/>
      <c r="Z140" s="390"/>
      <c r="AA140" s="390"/>
      <c r="AB140" s="390"/>
      <c r="AC140" s="375"/>
      <c r="AD140" s="375"/>
      <c r="AE140" s="375"/>
      <c r="AF140" s="375"/>
    </row>
    <row r="141" spans="18:32">
      <c r="R141" s="389"/>
      <c r="S141" s="389"/>
      <c r="T141" s="389"/>
      <c r="U141" s="389"/>
      <c r="V141" s="389"/>
      <c r="W141" s="390"/>
      <c r="X141" s="390"/>
      <c r="Y141" s="390"/>
      <c r="Z141" s="390"/>
      <c r="AA141" s="390"/>
      <c r="AB141" s="390"/>
      <c r="AC141" s="375"/>
      <c r="AD141" s="375"/>
      <c r="AE141" s="375"/>
      <c r="AF141" s="375"/>
    </row>
    <row r="142" spans="18:32">
      <c r="R142" s="389"/>
      <c r="S142" s="389"/>
      <c r="T142" s="389"/>
      <c r="U142" s="389"/>
      <c r="V142" s="389"/>
      <c r="W142" s="390"/>
      <c r="X142" s="390"/>
      <c r="Y142" s="390"/>
      <c r="Z142" s="390"/>
      <c r="AA142" s="390"/>
      <c r="AB142" s="390"/>
      <c r="AC142" s="375"/>
      <c r="AD142" s="375"/>
      <c r="AE142" s="375"/>
      <c r="AF142" s="375"/>
    </row>
    <row r="143" spans="18:32">
      <c r="R143" s="389"/>
      <c r="S143" s="389"/>
      <c r="T143" s="389"/>
      <c r="U143" s="389"/>
      <c r="V143" s="389"/>
      <c r="W143" s="390"/>
      <c r="X143" s="390"/>
      <c r="Y143" s="390"/>
      <c r="Z143" s="390"/>
      <c r="AA143" s="390"/>
      <c r="AB143" s="390"/>
      <c r="AC143" s="375"/>
      <c r="AD143" s="375"/>
      <c r="AE143" s="375"/>
      <c r="AF143" s="375"/>
    </row>
    <row r="144" spans="18:32">
      <c r="R144" s="389"/>
      <c r="S144" s="389"/>
      <c r="T144" s="389"/>
      <c r="U144" s="389"/>
      <c r="V144" s="389"/>
      <c r="W144" s="390"/>
      <c r="X144" s="390"/>
      <c r="Y144" s="390"/>
      <c r="Z144" s="390"/>
      <c r="AA144" s="390"/>
      <c r="AB144" s="390"/>
      <c r="AC144" s="375"/>
      <c r="AD144" s="375"/>
      <c r="AE144" s="375"/>
      <c r="AF144" s="375"/>
    </row>
    <row r="145" spans="18:32">
      <c r="R145" s="389"/>
      <c r="S145" s="389"/>
      <c r="T145" s="389"/>
      <c r="U145" s="389"/>
      <c r="V145" s="389"/>
      <c r="W145" s="390"/>
      <c r="X145" s="390"/>
      <c r="Y145" s="390"/>
      <c r="Z145" s="390"/>
      <c r="AA145" s="390"/>
      <c r="AB145" s="390"/>
      <c r="AC145" s="375"/>
      <c r="AD145" s="375"/>
      <c r="AE145" s="375"/>
      <c r="AF145" s="375"/>
    </row>
    <row r="146" spans="18:32">
      <c r="R146" s="389"/>
      <c r="S146" s="389"/>
      <c r="T146" s="389"/>
      <c r="U146" s="389"/>
      <c r="V146" s="389"/>
      <c r="W146" s="390"/>
      <c r="X146" s="390"/>
      <c r="Y146" s="390"/>
      <c r="Z146" s="390"/>
      <c r="AA146" s="390"/>
      <c r="AB146" s="390"/>
      <c r="AC146" s="375"/>
      <c r="AD146" s="375"/>
      <c r="AE146" s="375"/>
      <c r="AF146" s="375"/>
    </row>
    <row r="147" spans="18:32">
      <c r="R147" s="389"/>
      <c r="S147" s="389"/>
      <c r="T147" s="389"/>
      <c r="U147" s="389"/>
      <c r="V147" s="389"/>
      <c r="W147" s="390"/>
      <c r="X147" s="390"/>
      <c r="Y147" s="390"/>
      <c r="Z147" s="390"/>
      <c r="AA147" s="390"/>
      <c r="AB147" s="390"/>
      <c r="AC147" s="375"/>
      <c r="AD147" s="375"/>
      <c r="AE147" s="375"/>
      <c r="AF147" s="375"/>
    </row>
    <row r="148" spans="18:32">
      <c r="R148" s="389"/>
      <c r="S148" s="389"/>
      <c r="T148" s="389"/>
      <c r="U148" s="389"/>
      <c r="V148" s="389"/>
      <c r="W148" s="390"/>
      <c r="X148" s="390"/>
      <c r="Y148" s="390"/>
      <c r="Z148" s="390"/>
      <c r="AA148" s="390"/>
      <c r="AB148" s="390"/>
      <c r="AC148" s="375"/>
      <c r="AD148" s="375"/>
      <c r="AE148" s="375"/>
      <c r="AF148" s="375"/>
    </row>
    <row r="149" spans="18:32">
      <c r="R149" s="389"/>
      <c r="S149" s="389"/>
      <c r="T149" s="389"/>
      <c r="U149" s="389"/>
      <c r="V149" s="389"/>
      <c r="W149" s="390"/>
      <c r="X149" s="390"/>
      <c r="Y149" s="390"/>
      <c r="Z149" s="390"/>
      <c r="AA149" s="390"/>
      <c r="AB149" s="390"/>
      <c r="AC149" s="375"/>
      <c r="AD149" s="375"/>
      <c r="AE149" s="375"/>
      <c r="AF149" s="375"/>
    </row>
    <row r="150" spans="18:32">
      <c r="R150" s="389"/>
      <c r="S150" s="389"/>
      <c r="T150" s="389"/>
      <c r="U150" s="389"/>
      <c r="V150" s="389"/>
      <c r="W150" s="390"/>
      <c r="X150" s="390"/>
      <c r="Y150" s="390"/>
      <c r="Z150" s="390"/>
      <c r="AA150" s="390"/>
      <c r="AB150" s="390"/>
      <c r="AC150" s="375"/>
      <c r="AD150" s="375"/>
      <c r="AE150" s="375"/>
      <c r="AF150" s="375"/>
    </row>
    <row r="151" spans="18:32">
      <c r="R151" s="389"/>
      <c r="S151" s="389"/>
      <c r="T151" s="389"/>
      <c r="U151" s="389"/>
      <c r="V151" s="389"/>
      <c r="W151" s="390"/>
      <c r="X151" s="390"/>
      <c r="Y151" s="390"/>
      <c r="Z151" s="390"/>
      <c r="AA151" s="390"/>
      <c r="AB151" s="390"/>
      <c r="AC151" s="375"/>
      <c r="AD151" s="375"/>
      <c r="AE151" s="375"/>
      <c r="AF151" s="375"/>
    </row>
    <row r="152" spans="18:32">
      <c r="R152" s="389"/>
      <c r="S152" s="389"/>
      <c r="T152" s="389"/>
      <c r="U152" s="389"/>
      <c r="V152" s="389"/>
      <c r="W152" s="390"/>
      <c r="X152" s="390"/>
      <c r="Y152" s="390"/>
      <c r="Z152" s="390"/>
      <c r="AA152" s="390"/>
      <c r="AB152" s="390"/>
      <c r="AC152" s="375"/>
      <c r="AD152" s="375"/>
      <c r="AE152" s="375"/>
      <c r="AF152" s="375"/>
    </row>
    <row r="153" spans="18:32">
      <c r="R153" s="389"/>
      <c r="S153" s="389"/>
      <c r="T153" s="389"/>
      <c r="U153" s="389"/>
      <c r="V153" s="389"/>
      <c r="W153" s="390"/>
      <c r="X153" s="390"/>
      <c r="Y153" s="390"/>
      <c r="Z153" s="390"/>
      <c r="AA153" s="390"/>
      <c r="AB153" s="390"/>
      <c r="AC153" s="375"/>
      <c r="AD153" s="375"/>
      <c r="AE153" s="375"/>
      <c r="AF153" s="375"/>
    </row>
    <row r="154" spans="18:32">
      <c r="R154" s="389"/>
      <c r="S154" s="389"/>
      <c r="T154" s="389"/>
      <c r="U154" s="389"/>
      <c r="V154" s="389"/>
      <c r="W154" s="390"/>
      <c r="X154" s="390"/>
      <c r="Y154" s="390"/>
      <c r="Z154" s="390"/>
      <c r="AA154" s="390"/>
      <c r="AB154" s="390"/>
      <c r="AC154" s="375"/>
      <c r="AD154" s="375"/>
      <c r="AE154" s="375"/>
      <c r="AF154" s="375"/>
    </row>
    <row r="155" spans="18:32">
      <c r="R155" s="389"/>
      <c r="S155" s="389"/>
      <c r="T155" s="389"/>
      <c r="U155" s="389"/>
      <c r="V155" s="389"/>
      <c r="W155" s="390"/>
      <c r="X155" s="390"/>
      <c r="Y155" s="390"/>
      <c r="Z155" s="390"/>
      <c r="AA155" s="390"/>
      <c r="AB155" s="390"/>
      <c r="AC155" s="375"/>
      <c r="AD155" s="375"/>
      <c r="AE155" s="375"/>
      <c r="AF155" s="375"/>
    </row>
    <row r="156" spans="18:32">
      <c r="R156" s="389"/>
      <c r="S156" s="389"/>
      <c r="T156" s="389"/>
      <c r="U156" s="389"/>
      <c r="V156" s="389"/>
      <c r="W156" s="390"/>
      <c r="X156" s="390"/>
      <c r="Y156" s="390"/>
      <c r="Z156" s="390"/>
      <c r="AA156" s="390"/>
      <c r="AB156" s="390"/>
      <c r="AC156" s="375"/>
      <c r="AD156" s="375"/>
      <c r="AE156" s="375"/>
      <c r="AF156" s="375"/>
    </row>
    <row r="157" spans="18:32">
      <c r="R157" s="389"/>
      <c r="S157" s="389"/>
      <c r="T157" s="389"/>
      <c r="U157" s="389"/>
      <c r="V157" s="389"/>
      <c r="W157" s="390"/>
      <c r="X157" s="390"/>
      <c r="Y157" s="390"/>
      <c r="Z157" s="390"/>
      <c r="AA157" s="390"/>
      <c r="AB157" s="390"/>
      <c r="AC157" s="375"/>
      <c r="AD157" s="375"/>
      <c r="AE157" s="375"/>
      <c r="AF157" s="375"/>
    </row>
    <row r="158" spans="18:32">
      <c r="R158" s="389"/>
      <c r="S158" s="389"/>
      <c r="T158" s="389"/>
      <c r="U158" s="389"/>
      <c r="V158" s="389"/>
      <c r="W158" s="390"/>
      <c r="X158" s="390"/>
      <c r="Y158" s="390"/>
      <c r="Z158" s="390"/>
      <c r="AA158" s="390"/>
      <c r="AB158" s="390"/>
      <c r="AC158" s="375"/>
      <c r="AD158" s="375"/>
      <c r="AE158" s="375"/>
      <c r="AF158" s="375"/>
    </row>
    <row r="159" spans="18:32">
      <c r="R159" s="389"/>
      <c r="S159" s="389"/>
      <c r="T159" s="389"/>
      <c r="U159" s="389"/>
      <c r="V159" s="389"/>
      <c r="W159" s="390"/>
      <c r="X159" s="390"/>
      <c r="Y159" s="390"/>
      <c r="Z159" s="390"/>
      <c r="AA159" s="390"/>
      <c r="AB159" s="390"/>
      <c r="AC159" s="375"/>
      <c r="AD159" s="375"/>
      <c r="AE159" s="375"/>
      <c r="AF159" s="375"/>
    </row>
    <row r="160" spans="18:32">
      <c r="R160" s="389"/>
      <c r="S160" s="389"/>
      <c r="T160" s="389"/>
      <c r="U160" s="389"/>
      <c r="V160" s="389"/>
      <c r="W160" s="390"/>
      <c r="X160" s="390"/>
      <c r="Y160" s="390"/>
      <c r="Z160" s="390"/>
      <c r="AA160" s="390"/>
      <c r="AB160" s="390"/>
      <c r="AC160" s="375"/>
      <c r="AD160" s="375"/>
      <c r="AE160" s="375"/>
      <c r="AF160" s="375"/>
    </row>
    <row r="161" spans="18:32">
      <c r="R161" s="389"/>
      <c r="S161" s="389"/>
      <c r="T161" s="389"/>
      <c r="U161" s="389"/>
      <c r="V161" s="389"/>
      <c r="W161" s="390"/>
      <c r="X161" s="390"/>
      <c r="Y161" s="390"/>
      <c r="Z161" s="390"/>
      <c r="AA161" s="390"/>
      <c r="AB161" s="390"/>
      <c r="AC161" s="375"/>
      <c r="AD161" s="375"/>
      <c r="AE161" s="375"/>
      <c r="AF161" s="375"/>
    </row>
    <row r="162" spans="18:32">
      <c r="R162" s="389"/>
      <c r="S162" s="389"/>
      <c r="T162" s="389"/>
      <c r="U162" s="389"/>
      <c r="V162" s="389"/>
      <c r="W162" s="390"/>
      <c r="X162" s="390"/>
      <c r="Y162" s="390"/>
      <c r="Z162" s="390"/>
      <c r="AA162" s="390"/>
      <c r="AB162" s="390"/>
      <c r="AC162" s="375"/>
      <c r="AD162" s="375"/>
      <c r="AE162" s="375"/>
      <c r="AF162" s="375"/>
    </row>
    <row r="163" spans="18:32">
      <c r="R163" s="389"/>
      <c r="S163" s="389"/>
      <c r="T163" s="389"/>
      <c r="U163" s="389"/>
      <c r="V163" s="389"/>
      <c r="W163" s="390"/>
      <c r="X163" s="390"/>
      <c r="Y163" s="390"/>
      <c r="Z163" s="390"/>
      <c r="AA163" s="390"/>
      <c r="AB163" s="390"/>
      <c r="AC163" s="375"/>
      <c r="AD163" s="375"/>
      <c r="AE163" s="375"/>
      <c r="AF163" s="375"/>
    </row>
    <row r="164" spans="18:32">
      <c r="R164" s="389"/>
      <c r="S164" s="389"/>
      <c r="T164" s="389"/>
      <c r="U164" s="389"/>
      <c r="V164" s="389"/>
      <c r="W164" s="390"/>
      <c r="X164" s="390"/>
      <c r="Y164" s="390"/>
      <c r="Z164" s="390"/>
      <c r="AA164" s="390"/>
      <c r="AB164" s="390"/>
      <c r="AC164" s="375"/>
      <c r="AD164" s="375"/>
      <c r="AE164" s="375"/>
      <c r="AF164" s="375"/>
    </row>
    <row r="165" spans="18:32">
      <c r="R165" s="389"/>
      <c r="S165" s="389"/>
      <c r="T165" s="389"/>
      <c r="U165" s="389"/>
      <c r="V165" s="389"/>
      <c r="W165" s="390"/>
      <c r="X165" s="390"/>
      <c r="Y165" s="390"/>
      <c r="Z165" s="390"/>
      <c r="AA165" s="390"/>
      <c r="AB165" s="390"/>
      <c r="AC165" s="375"/>
      <c r="AD165" s="375"/>
      <c r="AE165" s="375"/>
      <c r="AF165" s="375"/>
    </row>
    <row r="166" spans="18:32">
      <c r="R166" s="389"/>
      <c r="S166" s="389"/>
      <c r="T166" s="389"/>
      <c r="U166" s="389"/>
      <c r="V166" s="389"/>
      <c r="W166" s="390"/>
      <c r="X166" s="390"/>
      <c r="Y166" s="390"/>
      <c r="Z166" s="390"/>
      <c r="AA166" s="390"/>
      <c r="AB166" s="390"/>
      <c r="AC166" s="375"/>
      <c r="AD166" s="375"/>
      <c r="AE166" s="375"/>
      <c r="AF166" s="375"/>
    </row>
    <row r="167" spans="18:32">
      <c r="R167" s="389"/>
      <c r="S167" s="389"/>
      <c r="T167" s="389"/>
      <c r="U167" s="389"/>
      <c r="V167" s="389"/>
      <c r="W167" s="390"/>
      <c r="X167" s="390"/>
      <c r="Y167" s="390"/>
      <c r="Z167" s="390"/>
      <c r="AA167" s="390"/>
      <c r="AB167" s="390"/>
      <c r="AC167" s="375"/>
      <c r="AD167" s="375"/>
      <c r="AE167" s="375"/>
      <c r="AF167" s="375"/>
    </row>
    <row r="168" spans="18:32">
      <c r="R168" s="389"/>
      <c r="S168" s="389"/>
      <c r="T168" s="389"/>
      <c r="U168" s="389"/>
      <c r="V168" s="389"/>
      <c r="W168" s="390"/>
      <c r="X168" s="390"/>
      <c r="Y168" s="390"/>
      <c r="Z168" s="390"/>
      <c r="AA168" s="390"/>
      <c r="AB168" s="390"/>
      <c r="AC168" s="375"/>
      <c r="AD168" s="375"/>
      <c r="AE168" s="375"/>
      <c r="AF168" s="375"/>
    </row>
    <row r="169" spans="18:32">
      <c r="R169" s="389"/>
      <c r="S169" s="389"/>
      <c r="T169" s="389"/>
      <c r="U169" s="389"/>
      <c r="V169" s="389"/>
      <c r="W169" s="390"/>
      <c r="X169" s="390"/>
      <c r="Y169" s="390"/>
      <c r="Z169" s="390"/>
      <c r="AA169" s="390"/>
      <c r="AB169" s="390"/>
      <c r="AC169" s="375"/>
      <c r="AD169" s="375"/>
      <c r="AE169" s="375"/>
      <c r="AF169" s="375"/>
    </row>
    <row r="170" spans="18:32">
      <c r="R170" s="389"/>
      <c r="S170" s="389"/>
      <c r="T170" s="389"/>
      <c r="U170" s="389"/>
      <c r="V170" s="389"/>
      <c r="W170" s="390"/>
      <c r="X170" s="390"/>
      <c r="Y170" s="390"/>
      <c r="Z170" s="390"/>
      <c r="AA170" s="390"/>
      <c r="AB170" s="390"/>
      <c r="AC170" s="375"/>
      <c r="AD170" s="375"/>
      <c r="AE170" s="375"/>
      <c r="AF170" s="375"/>
    </row>
    <row r="171" spans="18:32">
      <c r="R171" s="389"/>
      <c r="S171" s="389"/>
      <c r="T171" s="389"/>
      <c r="U171" s="389"/>
      <c r="V171" s="389"/>
      <c r="W171" s="390"/>
      <c r="X171" s="390"/>
      <c r="Y171" s="390"/>
      <c r="Z171" s="390"/>
      <c r="AA171" s="390"/>
      <c r="AB171" s="390"/>
      <c r="AC171" s="375"/>
      <c r="AD171" s="375"/>
      <c r="AE171" s="375"/>
      <c r="AF171" s="375"/>
    </row>
    <row r="172" spans="18:32">
      <c r="R172" s="389"/>
      <c r="S172" s="389"/>
      <c r="T172" s="389"/>
      <c r="U172" s="389"/>
      <c r="V172" s="389"/>
      <c r="W172" s="390"/>
      <c r="X172" s="390"/>
      <c r="Y172" s="390"/>
      <c r="Z172" s="390"/>
      <c r="AA172" s="390"/>
      <c r="AB172" s="390"/>
      <c r="AC172" s="375"/>
      <c r="AD172" s="375"/>
      <c r="AE172" s="375"/>
      <c r="AF172" s="375"/>
    </row>
    <row r="173" spans="18:32">
      <c r="R173" s="389"/>
      <c r="S173" s="389"/>
      <c r="T173" s="389"/>
      <c r="U173" s="389"/>
      <c r="V173" s="389"/>
      <c r="W173" s="390"/>
      <c r="X173" s="390"/>
      <c r="Y173" s="390"/>
      <c r="Z173" s="390"/>
      <c r="AA173" s="390"/>
      <c r="AB173" s="390"/>
      <c r="AC173" s="375"/>
      <c r="AD173" s="375"/>
      <c r="AE173" s="375"/>
      <c r="AF173" s="375"/>
    </row>
    <row r="174" spans="18:32">
      <c r="R174" s="389"/>
      <c r="S174" s="389"/>
      <c r="T174" s="389"/>
      <c r="U174" s="389"/>
      <c r="V174" s="389"/>
      <c r="W174" s="390"/>
      <c r="X174" s="390"/>
      <c r="Y174" s="390"/>
      <c r="Z174" s="390"/>
      <c r="AA174" s="390"/>
      <c r="AB174" s="390"/>
      <c r="AC174" s="375"/>
      <c r="AD174" s="375"/>
      <c r="AE174" s="375"/>
      <c r="AF174" s="375"/>
    </row>
    <row r="175" spans="18:32">
      <c r="R175" s="389"/>
      <c r="S175" s="389"/>
      <c r="T175" s="389"/>
      <c r="U175" s="389"/>
      <c r="V175" s="389"/>
      <c r="W175" s="390"/>
      <c r="X175" s="390"/>
      <c r="Y175" s="390"/>
      <c r="Z175" s="390"/>
      <c r="AA175" s="390"/>
      <c r="AB175" s="390"/>
      <c r="AC175" s="375"/>
      <c r="AD175" s="375"/>
      <c r="AE175" s="375"/>
      <c r="AF175" s="375"/>
    </row>
    <row r="176" spans="18:32">
      <c r="R176" s="389"/>
      <c r="S176" s="389"/>
      <c r="T176" s="389"/>
      <c r="U176" s="389"/>
      <c r="V176" s="389"/>
      <c r="W176" s="390"/>
      <c r="X176" s="390"/>
      <c r="Y176" s="390"/>
      <c r="Z176" s="390"/>
      <c r="AA176" s="390"/>
      <c r="AB176" s="390"/>
      <c r="AC176" s="375"/>
      <c r="AD176" s="375"/>
      <c r="AE176" s="375"/>
      <c r="AF176" s="375"/>
    </row>
    <row r="177" spans="18:32">
      <c r="R177" s="389"/>
      <c r="S177" s="389"/>
      <c r="T177" s="389"/>
      <c r="U177" s="389"/>
      <c r="V177" s="389"/>
      <c r="W177" s="390"/>
      <c r="X177" s="390"/>
      <c r="Y177" s="390"/>
      <c r="Z177" s="390"/>
      <c r="AA177" s="390"/>
      <c r="AB177" s="390"/>
      <c r="AC177" s="375"/>
      <c r="AD177" s="375"/>
      <c r="AE177" s="375"/>
      <c r="AF177" s="375"/>
    </row>
    <row r="178" spans="18:32">
      <c r="R178" s="389"/>
      <c r="S178" s="389"/>
      <c r="T178" s="389"/>
      <c r="U178" s="389"/>
      <c r="V178" s="389"/>
      <c r="W178" s="390"/>
      <c r="X178" s="390"/>
      <c r="Y178" s="390"/>
      <c r="Z178" s="390"/>
      <c r="AA178" s="390"/>
      <c r="AB178" s="390"/>
      <c r="AC178" s="375"/>
      <c r="AD178" s="375"/>
      <c r="AE178" s="375"/>
      <c r="AF178" s="375"/>
    </row>
    <row r="179" spans="18:32">
      <c r="R179" s="389"/>
      <c r="S179" s="389"/>
      <c r="T179" s="389"/>
      <c r="U179" s="389"/>
      <c r="V179" s="389"/>
      <c r="W179" s="390"/>
      <c r="X179" s="390"/>
      <c r="Y179" s="390"/>
      <c r="Z179" s="390"/>
      <c r="AA179" s="390"/>
      <c r="AB179" s="390"/>
      <c r="AC179" s="375"/>
      <c r="AD179" s="375"/>
      <c r="AE179" s="375"/>
      <c r="AF179" s="375"/>
    </row>
    <row r="180" spans="18:32">
      <c r="R180" s="389"/>
      <c r="S180" s="389"/>
      <c r="T180" s="389"/>
      <c r="U180" s="389"/>
      <c r="V180" s="389"/>
      <c r="W180" s="390"/>
      <c r="X180" s="390"/>
      <c r="Y180" s="390"/>
      <c r="Z180" s="390"/>
      <c r="AA180" s="390"/>
      <c r="AB180" s="390"/>
      <c r="AC180" s="375"/>
      <c r="AD180" s="375"/>
      <c r="AE180" s="375"/>
      <c r="AF180" s="375"/>
    </row>
    <row r="181" spans="18:32">
      <c r="R181" s="389"/>
      <c r="S181" s="389"/>
      <c r="T181" s="389"/>
      <c r="U181" s="389"/>
      <c r="V181" s="389"/>
      <c r="W181" s="390"/>
      <c r="X181" s="390"/>
      <c r="Y181" s="390"/>
      <c r="Z181" s="390"/>
      <c r="AA181" s="390"/>
      <c r="AB181" s="390"/>
      <c r="AC181" s="375"/>
      <c r="AD181" s="375"/>
      <c r="AE181" s="375"/>
      <c r="AF181" s="375"/>
    </row>
    <row r="182" spans="18:32">
      <c r="R182" s="389"/>
      <c r="S182" s="389"/>
      <c r="T182" s="389"/>
      <c r="U182" s="389"/>
      <c r="V182" s="389"/>
      <c r="W182" s="390"/>
      <c r="X182" s="390"/>
      <c r="Y182" s="390"/>
      <c r="Z182" s="390"/>
      <c r="AA182" s="390"/>
      <c r="AB182" s="390"/>
      <c r="AC182" s="375"/>
      <c r="AD182" s="375"/>
      <c r="AE182" s="375"/>
      <c r="AF182" s="375"/>
    </row>
    <row r="183" spans="18:32">
      <c r="R183" s="389"/>
      <c r="S183" s="389"/>
      <c r="T183" s="389"/>
      <c r="U183" s="389"/>
      <c r="V183" s="389"/>
      <c r="W183" s="390"/>
      <c r="X183" s="390"/>
      <c r="Y183" s="390"/>
      <c r="Z183" s="390"/>
      <c r="AA183" s="390"/>
      <c r="AB183" s="390"/>
      <c r="AC183" s="375"/>
      <c r="AD183" s="375"/>
      <c r="AE183" s="375"/>
      <c r="AF183" s="375"/>
    </row>
    <row r="184" spans="18:32">
      <c r="R184" s="389"/>
      <c r="S184" s="389"/>
      <c r="T184" s="389"/>
      <c r="U184" s="389"/>
      <c r="V184" s="389"/>
      <c r="W184" s="390"/>
      <c r="X184" s="390"/>
      <c r="Y184" s="390"/>
      <c r="Z184" s="390"/>
      <c r="AA184" s="390"/>
      <c r="AB184" s="390"/>
      <c r="AC184" s="375"/>
      <c r="AD184" s="375"/>
      <c r="AE184" s="375"/>
      <c r="AF184" s="375"/>
    </row>
    <row r="185" spans="18:32">
      <c r="R185" s="389"/>
      <c r="S185" s="389"/>
      <c r="T185" s="389"/>
      <c r="U185" s="389"/>
      <c r="V185" s="389"/>
      <c r="W185" s="390"/>
      <c r="X185" s="390"/>
      <c r="Y185" s="390"/>
      <c r="Z185" s="390"/>
      <c r="AA185" s="390"/>
      <c r="AB185" s="390"/>
      <c r="AC185" s="375"/>
      <c r="AD185" s="375"/>
      <c r="AE185" s="375"/>
      <c r="AF185" s="375"/>
    </row>
    <row r="186" spans="18:32">
      <c r="R186" s="389"/>
      <c r="S186" s="389"/>
      <c r="T186" s="389"/>
      <c r="U186" s="389"/>
      <c r="V186" s="389"/>
      <c r="W186" s="390"/>
      <c r="X186" s="390"/>
      <c r="Y186" s="390"/>
      <c r="Z186" s="390"/>
      <c r="AA186" s="390"/>
      <c r="AB186" s="390"/>
      <c r="AC186" s="375"/>
      <c r="AD186" s="375"/>
      <c r="AE186" s="375"/>
      <c r="AF186" s="375"/>
    </row>
    <row r="187" spans="18:32">
      <c r="R187" s="389"/>
      <c r="S187" s="389"/>
      <c r="T187" s="389"/>
      <c r="U187" s="389"/>
      <c r="V187" s="389"/>
      <c r="W187" s="390"/>
      <c r="X187" s="390"/>
      <c r="Y187" s="390"/>
      <c r="Z187" s="390"/>
      <c r="AA187" s="390"/>
      <c r="AB187" s="390"/>
      <c r="AC187" s="375"/>
      <c r="AD187" s="375"/>
      <c r="AE187" s="375"/>
      <c r="AF187" s="375"/>
    </row>
    <row r="188" spans="18:32">
      <c r="R188" s="389"/>
      <c r="S188" s="389"/>
      <c r="T188" s="389"/>
      <c r="U188" s="389"/>
      <c r="V188" s="389"/>
      <c r="W188" s="390"/>
      <c r="X188" s="390"/>
      <c r="Y188" s="390"/>
      <c r="Z188" s="390"/>
      <c r="AA188" s="390"/>
      <c r="AB188" s="390"/>
      <c r="AC188" s="375"/>
      <c r="AD188" s="375"/>
      <c r="AE188" s="375"/>
      <c r="AF188" s="375"/>
    </row>
    <row r="189" spans="18:32">
      <c r="R189" s="389"/>
      <c r="S189" s="389"/>
      <c r="T189" s="389"/>
      <c r="U189" s="389"/>
      <c r="V189" s="389"/>
      <c r="W189" s="390"/>
      <c r="X189" s="390"/>
      <c r="Y189" s="390"/>
      <c r="Z189" s="390"/>
      <c r="AA189" s="390"/>
      <c r="AB189" s="390"/>
      <c r="AC189" s="375"/>
      <c r="AD189" s="375"/>
      <c r="AE189" s="375"/>
      <c r="AF189" s="375"/>
    </row>
    <row r="190" spans="18:32">
      <c r="R190" s="389"/>
      <c r="S190" s="389"/>
      <c r="T190" s="389"/>
      <c r="U190" s="389"/>
      <c r="V190" s="389"/>
      <c r="W190" s="390"/>
      <c r="X190" s="390"/>
      <c r="Y190" s="390"/>
      <c r="Z190" s="390"/>
      <c r="AA190" s="390"/>
      <c r="AB190" s="390"/>
      <c r="AC190" s="375"/>
      <c r="AD190" s="375"/>
      <c r="AE190" s="375"/>
      <c r="AF190" s="375"/>
    </row>
    <row r="191" spans="18:32">
      <c r="R191" s="389"/>
      <c r="S191" s="389"/>
      <c r="T191" s="389"/>
      <c r="U191" s="389"/>
      <c r="V191" s="389"/>
      <c r="W191" s="390"/>
      <c r="X191" s="390"/>
      <c r="Y191" s="390"/>
      <c r="Z191" s="390"/>
      <c r="AA191" s="390"/>
      <c r="AB191" s="390"/>
      <c r="AC191" s="375"/>
      <c r="AD191" s="375"/>
      <c r="AE191" s="375"/>
      <c r="AF191" s="375"/>
    </row>
    <row r="192" spans="18:32">
      <c r="R192" s="389"/>
      <c r="S192" s="389"/>
      <c r="T192" s="389"/>
      <c r="U192" s="389"/>
      <c r="V192" s="389"/>
      <c r="W192" s="390"/>
      <c r="X192" s="390"/>
      <c r="Y192" s="390"/>
      <c r="Z192" s="390"/>
      <c r="AA192" s="390"/>
      <c r="AB192" s="390"/>
      <c r="AC192" s="375"/>
      <c r="AD192" s="375"/>
      <c r="AE192" s="375"/>
      <c r="AF192" s="375"/>
    </row>
    <row r="193" spans="18:32">
      <c r="R193" s="389"/>
      <c r="S193" s="389"/>
      <c r="T193" s="389"/>
      <c r="U193" s="389"/>
      <c r="V193" s="389"/>
      <c r="W193" s="390"/>
      <c r="X193" s="390"/>
      <c r="Y193" s="390"/>
      <c r="Z193" s="390"/>
      <c r="AA193" s="390"/>
      <c r="AB193" s="390"/>
      <c r="AC193" s="375"/>
      <c r="AD193" s="375"/>
      <c r="AE193" s="375"/>
      <c r="AF193" s="375"/>
    </row>
    <row r="194" spans="18:32">
      <c r="R194" s="389"/>
      <c r="S194" s="389"/>
      <c r="T194" s="389"/>
      <c r="U194" s="389"/>
      <c r="V194" s="389"/>
      <c r="W194" s="390"/>
      <c r="X194" s="390"/>
      <c r="Y194" s="390"/>
      <c r="Z194" s="390"/>
      <c r="AA194" s="390"/>
      <c r="AB194" s="390"/>
      <c r="AC194" s="375"/>
      <c r="AD194" s="375"/>
      <c r="AE194" s="375"/>
      <c r="AF194" s="375"/>
    </row>
    <row r="195" spans="18:32">
      <c r="R195" s="389"/>
      <c r="S195" s="389"/>
      <c r="T195" s="389"/>
      <c r="U195" s="389"/>
      <c r="V195" s="389"/>
      <c r="W195" s="390"/>
      <c r="X195" s="390"/>
      <c r="Y195" s="390"/>
      <c r="Z195" s="390"/>
      <c r="AA195" s="390"/>
      <c r="AB195" s="390"/>
      <c r="AC195" s="375"/>
      <c r="AD195" s="375"/>
      <c r="AE195" s="375"/>
      <c r="AF195" s="375"/>
    </row>
    <row r="196" spans="18:32">
      <c r="R196" s="389"/>
      <c r="S196" s="389"/>
      <c r="T196" s="389"/>
      <c r="U196" s="389"/>
      <c r="V196" s="389"/>
      <c r="W196" s="390"/>
      <c r="X196" s="390"/>
      <c r="Y196" s="390"/>
      <c r="Z196" s="390"/>
      <c r="AA196" s="390"/>
      <c r="AB196" s="390"/>
      <c r="AC196" s="375"/>
      <c r="AD196" s="375"/>
      <c r="AE196" s="375"/>
      <c r="AF196" s="375"/>
    </row>
    <row r="197" spans="18:32">
      <c r="R197" s="389"/>
      <c r="S197" s="389"/>
      <c r="T197" s="389"/>
      <c r="U197" s="389"/>
      <c r="V197" s="389"/>
      <c r="W197" s="390"/>
      <c r="X197" s="390"/>
      <c r="Y197" s="390"/>
      <c r="Z197" s="390"/>
      <c r="AA197" s="390"/>
      <c r="AB197" s="390"/>
      <c r="AC197" s="375"/>
      <c r="AD197" s="375"/>
      <c r="AE197" s="375"/>
      <c r="AF197" s="375"/>
    </row>
    <row r="198" spans="18:32">
      <c r="R198" s="389"/>
      <c r="S198" s="389"/>
      <c r="T198" s="389"/>
      <c r="U198" s="389"/>
      <c r="V198" s="389"/>
      <c r="W198" s="390"/>
      <c r="X198" s="390"/>
      <c r="Y198" s="390"/>
      <c r="Z198" s="390"/>
      <c r="AA198" s="390"/>
      <c r="AB198" s="390"/>
      <c r="AC198" s="375"/>
      <c r="AD198" s="375"/>
      <c r="AE198" s="375"/>
      <c r="AF198" s="375"/>
    </row>
    <row r="199" spans="18:32">
      <c r="R199" s="389"/>
      <c r="S199" s="389"/>
      <c r="T199" s="389"/>
      <c r="U199" s="389"/>
      <c r="V199" s="389"/>
      <c r="W199" s="390"/>
      <c r="X199" s="390"/>
      <c r="Y199" s="390"/>
      <c r="Z199" s="390"/>
      <c r="AA199" s="390"/>
      <c r="AB199" s="390"/>
      <c r="AC199" s="375"/>
      <c r="AD199" s="375"/>
      <c r="AE199" s="375"/>
      <c r="AF199" s="375"/>
    </row>
    <row r="200" spans="18:32">
      <c r="R200" s="389"/>
      <c r="S200" s="389"/>
      <c r="T200" s="389"/>
      <c r="U200" s="389"/>
      <c r="V200" s="389"/>
      <c r="W200" s="390"/>
      <c r="X200" s="390"/>
      <c r="Y200" s="390"/>
      <c r="Z200" s="390"/>
      <c r="AA200" s="390"/>
      <c r="AB200" s="390"/>
      <c r="AC200" s="375"/>
      <c r="AD200" s="375"/>
      <c r="AE200" s="375"/>
      <c r="AF200" s="375"/>
    </row>
    <row r="201" spans="18:32">
      <c r="R201" s="389"/>
      <c r="S201" s="389"/>
      <c r="T201" s="389"/>
      <c r="U201" s="389"/>
      <c r="V201" s="389"/>
      <c r="W201" s="390"/>
      <c r="X201" s="390"/>
      <c r="Y201" s="390"/>
      <c r="Z201" s="390"/>
      <c r="AA201" s="390"/>
      <c r="AB201" s="390"/>
      <c r="AC201" s="375"/>
      <c r="AD201" s="375"/>
      <c r="AE201" s="375"/>
      <c r="AF201" s="375"/>
    </row>
    <row r="202" spans="18:32">
      <c r="R202" s="389"/>
      <c r="S202" s="389"/>
      <c r="T202" s="389"/>
      <c r="U202" s="389"/>
      <c r="V202" s="389"/>
      <c r="W202" s="390"/>
      <c r="X202" s="390"/>
      <c r="Y202" s="390"/>
      <c r="Z202" s="390"/>
      <c r="AA202" s="390"/>
      <c r="AB202" s="390"/>
      <c r="AC202" s="375"/>
      <c r="AD202" s="375"/>
      <c r="AE202" s="375"/>
      <c r="AF202" s="375"/>
    </row>
    <row r="203" spans="18:32">
      <c r="R203" s="389"/>
      <c r="S203" s="389"/>
      <c r="T203" s="389"/>
      <c r="U203" s="389"/>
      <c r="V203" s="389"/>
      <c r="W203" s="390"/>
      <c r="X203" s="390"/>
      <c r="Y203" s="390"/>
      <c r="Z203" s="390"/>
      <c r="AA203" s="390"/>
      <c r="AB203" s="390"/>
      <c r="AC203" s="375"/>
      <c r="AD203" s="375"/>
      <c r="AE203" s="375"/>
      <c r="AF203" s="375"/>
    </row>
    <row r="204" spans="18:32">
      <c r="R204" s="389"/>
      <c r="S204" s="389"/>
      <c r="T204" s="389"/>
      <c r="U204" s="389"/>
      <c r="V204" s="389"/>
      <c r="W204" s="390"/>
      <c r="X204" s="390"/>
      <c r="Y204" s="390"/>
      <c r="Z204" s="390"/>
      <c r="AA204" s="390"/>
      <c r="AB204" s="390"/>
      <c r="AC204" s="375"/>
      <c r="AD204" s="375"/>
      <c r="AE204" s="375"/>
      <c r="AF204" s="375"/>
    </row>
    <row r="205" spans="18:32">
      <c r="R205" s="389"/>
      <c r="S205" s="389"/>
      <c r="T205" s="389"/>
      <c r="U205" s="389"/>
      <c r="V205" s="389"/>
      <c r="W205" s="390"/>
      <c r="X205" s="390"/>
      <c r="Y205" s="390"/>
      <c r="Z205" s="390"/>
      <c r="AA205" s="390"/>
      <c r="AB205" s="390"/>
      <c r="AC205" s="375"/>
      <c r="AD205" s="375"/>
      <c r="AE205" s="375"/>
      <c r="AF205" s="375"/>
    </row>
    <row r="206" spans="18:32">
      <c r="R206" s="389"/>
      <c r="S206" s="389"/>
      <c r="T206" s="389"/>
      <c r="U206" s="389"/>
      <c r="V206" s="389"/>
      <c r="W206" s="390"/>
      <c r="X206" s="390"/>
      <c r="Y206" s="390"/>
      <c r="Z206" s="390"/>
      <c r="AA206" s="390"/>
      <c r="AB206" s="390"/>
      <c r="AC206" s="375"/>
      <c r="AD206" s="375"/>
      <c r="AE206" s="375"/>
      <c r="AF206" s="375"/>
    </row>
    <row r="207" spans="18:32">
      <c r="R207" s="389"/>
      <c r="S207" s="389"/>
      <c r="T207" s="389"/>
      <c r="U207" s="389"/>
      <c r="V207" s="389"/>
      <c r="W207" s="390"/>
      <c r="X207" s="390"/>
      <c r="Y207" s="390"/>
      <c r="Z207" s="390"/>
      <c r="AA207" s="390"/>
      <c r="AB207" s="390"/>
      <c r="AC207" s="375"/>
      <c r="AD207" s="375"/>
      <c r="AE207" s="375"/>
      <c r="AF207" s="375"/>
    </row>
    <row r="208" spans="18:32">
      <c r="R208" s="389"/>
      <c r="S208" s="389"/>
      <c r="T208" s="389"/>
      <c r="U208" s="389"/>
      <c r="V208" s="389"/>
      <c r="W208" s="390"/>
      <c r="X208" s="390"/>
      <c r="Y208" s="390"/>
      <c r="Z208" s="390"/>
      <c r="AA208" s="390"/>
      <c r="AB208" s="390"/>
      <c r="AC208" s="375"/>
      <c r="AD208" s="375"/>
      <c r="AE208" s="375"/>
      <c r="AF208" s="375"/>
    </row>
    <row r="209" spans="18:32">
      <c r="R209" s="389"/>
      <c r="S209" s="389"/>
      <c r="T209" s="389"/>
      <c r="U209" s="389"/>
      <c r="V209" s="389"/>
      <c r="W209" s="390"/>
      <c r="X209" s="390"/>
      <c r="Y209" s="390"/>
      <c r="Z209" s="390"/>
      <c r="AA209" s="390"/>
      <c r="AB209" s="390"/>
      <c r="AC209" s="375"/>
      <c r="AD209" s="375"/>
      <c r="AE209" s="375"/>
      <c r="AF209" s="375"/>
    </row>
    <row r="210" spans="18:32">
      <c r="R210" s="389"/>
      <c r="S210" s="389"/>
      <c r="T210" s="389"/>
      <c r="U210" s="389"/>
      <c r="V210" s="389"/>
      <c r="W210" s="390"/>
      <c r="X210" s="390"/>
      <c r="Y210" s="390"/>
      <c r="Z210" s="390"/>
      <c r="AA210" s="390"/>
      <c r="AB210" s="390"/>
      <c r="AC210" s="375"/>
      <c r="AD210" s="375"/>
      <c r="AE210" s="375"/>
      <c r="AF210" s="375"/>
    </row>
    <row r="211" spans="18:32">
      <c r="R211" s="389"/>
      <c r="S211" s="389"/>
      <c r="T211" s="389"/>
      <c r="U211" s="389"/>
      <c r="V211" s="389"/>
      <c r="W211" s="390"/>
      <c r="X211" s="390"/>
      <c r="Y211" s="390"/>
      <c r="Z211" s="390"/>
      <c r="AA211" s="390"/>
      <c r="AB211" s="390"/>
      <c r="AC211" s="375"/>
      <c r="AD211" s="375"/>
      <c r="AE211" s="375"/>
      <c r="AF211" s="375"/>
    </row>
    <row r="212" spans="18:32">
      <c r="R212" s="389"/>
      <c r="S212" s="389"/>
      <c r="T212" s="389"/>
      <c r="U212" s="389"/>
      <c r="V212" s="389"/>
      <c r="W212" s="390"/>
      <c r="X212" s="390"/>
      <c r="Y212" s="390"/>
      <c r="Z212" s="390"/>
      <c r="AA212" s="390"/>
      <c r="AB212" s="390"/>
      <c r="AC212" s="375"/>
      <c r="AD212" s="375"/>
      <c r="AE212" s="375"/>
      <c r="AF212" s="375"/>
    </row>
    <row r="213" spans="18:32">
      <c r="R213" s="389"/>
      <c r="S213" s="389"/>
      <c r="T213" s="389"/>
      <c r="U213" s="389"/>
      <c r="V213" s="389"/>
      <c r="W213" s="390"/>
      <c r="X213" s="390"/>
      <c r="Y213" s="390"/>
      <c r="Z213" s="390"/>
      <c r="AA213" s="390"/>
      <c r="AB213" s="390"/>
      <c r="AC213" s="375"/>
      <c r="AD213" s="375"/>
      <c r="AE213" s="375"/>
      <c r="AF213" s="375"/>
    </row>
    <row r="214" spans="18:32">
      <c r="R214" s="389"/>
      <c r="S214" s="389"/>
      <c r="T214" s="389"/>
      <c r="U214" s="389"/>
      <c r="V214" s="389"/>
      <c r="W214" s="390"/>
      <c r="X214" s="390"/>
      <c r="Y214" s="390"/>
      <c r="Z214" s="390"/>
      <c r="AA214" s="390"/>
      <c r="AB214" s="390"/>
      <c r="AC214" s="375"/>
      <c r="AD214" s="375"/>
      <c r="AE214" s="375"/>
      <c r="AF214" s="375"/>
    </row>
    <row r="215" spans="18:32">
      <c r="R215" s="389"/>
      <c r="S215" s="389"/>
      <c r="T215" s="389"/>
      <c r="U215" s="389"/>
      <c r="V215" s="389"/>
      <c r="W215" s="390"/>
      <c r="X215" s="390"/>
      <c r="Y215" s="390"/>
      <c r="Z215" s="390"/>
      <c r="AA215" s="390"/>
      <c r="AB215" s="390"/>
      <c r="AC215" s="375"/>
      <c r="AD215" s="375"/>
      <c r="AE215" s="375"/>
      <c r="AF215" s="375"/>
    </row>
    <row r="216" spans="18:32">
      <c r="R216" s="389"/>
      <c r="S216" s="389"/>
      <c r="T216" s="389"/>
      <c r="U216" s="389"/>
      <c r="V216" s="389"/>
      <c r="W216" s="390"/>
      <c r="X216" s="390"/>
      <c r="Y216" s="390"/>
      <c r="Z216" s="390"/>
      <c r="AA216" s="390"/>
      <c r="AB216" s="390"/>
      <c r="AC216" s="375"/>
      <c r="AD216" s="375"/>
      <c r="AE216" s="375"/>
      <c r="AF216" s="375"/>
    </row>
    <row r="217" spans="18:32">
      <c r="R217" s="389"/>
      <c r="S217" s="389"/>
      <c r="T217" s="389"/>
      <c r="U217" s="389"/>
      <c r="V217" s="389"/>
      <c r="W217" s="390"/>
      <c r="X217" s="390"/>
      <c r="Y217" s="390"/>
      <c r="Z217" s="390"/>
      <c r="AA217" s="390"/>
      <c r="AB217" s="390"/>
      <c r="AC217" s="375"/>
      <c r="AD217" s="375"/>
      <c r="AE217" s="375"/>
      <c r="AF217" s="375"/>
    </row>
    <row r="218" spans="18:32">
      <c r="R218" s="389"/>
      <c r="S218" s="389"/>
      <c r="T218" s="389"/>
      <c r="U218" s="389"/>
      <c r="V218" s="389"/>
      <c r="W218" s="390"/>
      <c r="X218" s="390"/>
      <c r="Y218" s="390"/>
      <c r="Z218" s="390"/>
      <c r="AA218" s="390"/>
      <c r="AB218" s="390"/>
      <c r="AC218" s="375"/>
      <c r="AD218" s="375"/>
      <c r="AE218" s="375"/>
      <c r="AF218" s="375"/>
    </row>
    <row r="219" spans="18:32">
      <c r="R219" s="389"/>
      <c r="S219" s="389"/>
      <c r="T219" s="389"/>
      <c r="U219" s="389"/>
      <c r="V219" s="389"/>
      <c r="W219" s="390"/>
      <c r="X219" s="390"/>
      <c r="Y219" s="390"/>
      <c r="Z219" s="390"/>
      <c r="AA219" s="390"/>
      <c r="AB219" s="390"/>
      <c r="AC219" s="375"/>
      <c r="AD219" s="375"/>
      <c r="AE219" s="375"/>
      <c r="AF219" s="375"/>
    </row>
    <row r="220" spans="18:32">
      <c r="R220" s="389"/>
      <c r="S220" s="389"/>
      <c r="T220" s="389"/>
      <c r="U220" s="389"/>
      <c r="V220" s="389"/>
      <c r="W220" s="390"/>
      <c r="X220" s="390"/>
      <c r="Y220" s="390"/>
      <c r="Z220" s="390"/>
      <c r="AA220" s="390"/>
      <c r="AB220" s="390"/>
      <c r="AC220" s="375"/>
      <c r="AD220" s="375"/>
      <c r="AE220" s="375"/>
      <c r="AF220" s="375"/>
    </row>
    <row r="221" spans="18:32">
      <c r="R221" s="389"/>
      <c r="S221" s="389"/>
      <c r="T221" s="389"/>
      <c r="U221" s="389"/>
      <c r="V221" s="389"/>
      <c r="W221" s="390"/>
      <c r="X221" s="390"/>
      <c r="Y221" s="390"/>
      <c r="Z221" s="390"/>
      <c r="AA221" s="390"/>
      <c r="AB221" s="390"/>
      <c r="AC221" s="375"/>
      <c r="AD221" s="375"/>
      <c r="AE221" s="375"/>
      <c r="AF221" s="375"/>
    </row>
    <row r="222" spans="18:32">
      <c r="R222" s="389"/>
      <c r="S222" s="389"/>
      <c r="T222" s="389"/>
      <c r="U222" s="389"/>
      <c r="V222" s="389"/>
      <c r="W222" s="390"/>
      <c r="X222" s="390"/>
      <c r="Y222" s="390"/>
      <c r="Z222" s="390"/>
      <c r="AA222" s="390"/>
      <c r="AB222" s="390"/>
      <c r="AC222" s="375"/>
      <c r="AD222" s="375"/>
      <c r="AE222" s="375"/>
      <c r="AF222" s="375"/>
    </row>
    <row r="223" spans="18:32">
      <c r="R223" s="389"/>
      <c r="S223" s="389"/>
      <c r="T223" s="389"/>
      <c r="U223" s="389"/>
      <c r="V223" s="389"/>
      <c r="W223" s="390"/>
      <c r="X223" s="390"/>
      <c r="Y223" s="390"/>
      <c r="Z223" s="390"/>
      <c r="AA223" s="390"/>
      <c r="AB223" s="390"/>
      <c r="AC223" s="375"/>
      <c r="AD223" s="375"/>
      <c r="AE223" s="375"/>
      <c r="AF223" s="375"/>
    </row>
    <row r="224" spans="18:32">
      <c r="R224" s="389"/>
      <c r="S224" s="389"/>
      <c r="T224" s="389"/>
      <c r="U224" s="389"/>
      <c r="V224" s="389"/>
      <c r="W224" s="390"/>
      <c r="X224" s="390"/>
      <c r="Y224" s="390"/>
      <c r="Z224" s="390"/>
      <c r="AA224" s="390"/>
      <c r="AB224" s="390"/>
      <c r="AC224" s="375"/>
      <c r="AD224" s="375"/>
      <c r="AE224" s="375"/>
      <c r="AF224" s="375"/>
    </row>
    <row r="225" spans="18:32">
      <c r="R225" s="389"/>
      <c r="S225" s="389"/>
      <c r="T225" s="389"/>
      <c r="U225" s="389"/>
      <c r="V225" s="389"/>
      <c r="W225" s="390"/>
      <c r="X225" s="390"/>
      <c r="Y225" s="390"/>
      <c r="Z225" s="390"/>
      <c r="AA225" s="390"/>
      <c r="AB225" s="390"/>
      <c r="AC225" s="375"/>
      <c r="AD225" s="375"/>
      <c r="AE225" s="375"/>
      <c r="AF225" s="375"/>
    </row>
    <row r="226" spans="18:32">
      <c r="R226" s="389"/>
      <c r="S226" s="389"/>
      <c r="T226" s="389"/>
      <c r="U226" s="389"/>
      <c r="V226" s="389"/>
      <c r="W226" s="390"/>
      <c r="X226" s="390"/>
      <c r="Y226" s="390"/>
      <c r="Z226" s="390"/>
      <c r="AA226" s="390"/>
      <c r="AB226" s="390"/>
      <c r="AC226" s="375"/>
      <c r="AD226" s="375"/>
      <c r="AE226" s="375"/>
      <c r="AF226" s="375"/>
    </row>
    <row r="227" spans="18:32">
      <c r="R227" s="389"/>
      <c r="S227" s="389"/>
      <c r="T227" s="389"/>
      <c r="U227" s="389"/>
      <c r="V227" s="389"/>
      <c r="W227" s="390"/>
      <c r="X227" s="390"/>
      <c r="Y227" s="390"/>
      <c r="Z227" s="390"/>
      <c r="AA227" s="390"/>
      <c r="AB227" s="390"/>
      <c r="AC227" s="375"/>
      <c r="AD227" s="375"/>
      <c r="AE227" s="375"/>
      <c r="AF227" s="375"/>
    </row>
    <row r="228" spans="18:32">
      <c r="R228" s="389"/>
      <c r="S228" s="389"/>
      <c r="T228" s="389"/>
      <c r="U228" s="389"/>
      <c r="V228" s="389"/>
      <c r="W228" s="390"/>
      <c r="X228" s="390"/>
      <c r="Y228" s="390"/>
      <c r="Z228" s="390"/>
      <c r="AA228" s="390"/>
      <c r="AB228" s="390"/>
      <c r="AC228" s="375"/>
      <c r="AD228" s="375"/>
      <c r="AE228" s="375"/>
      <c r="AF228" s="375"/>
    </row>
    <row r="229" spans="18:32">
      <c r="R229" s="389"/>
      <c r="S229" s="389"/>
      <c r="T229" s="389"/>
      <c r="U229" s="389"/>
      <c r="V229" s="389"/>
      <c r="W229" s="390"/>
      <c r="X229" s="390"/>
      <c r="Y229" s="390"/>
      <c r="Z229" s="390"/>
      <c r="AA229" s="390"/>
      <c r="AB229" s="390"/>
      <c r="AC229" s="375"/>
      <c r="AD229" s="375"/>
      <c r="AE229" s="375"/>
      <c r="AF229" s="375"/>
    </row>
    <row r="230" spans="18:32">
      <c r="R230" s="389"/>
      <c r="S230" s="389"/>
      <c r="T230" s="389"/>
      <c r="U230" s="389"/>
      <c r="V230" s="389"/>
      <c r="W230" s="390"/>
      <c r="X230" s="390"/>
      <c r="Y230" s="390"/>
      <c r="Z230" s="390"/>
      <c r="AA230" s="390"/>
      <c r="AB230" s="390"/>
      <c r="AC230" s="375"/>
      <c r="AD230" s="375"/>
      <c r="AE230" s="375"/>
      <c r="AF230" s="375"/>
    </row>
    <row r="231" spans="18:32">
      <c r="R231" s="389"/>
      <c r="S231" s="389"/>
      <c r="T231" s="389"/>
      <c r="U231" s="389"/>
      <c r="V231" s="389"/>
      <c r="W231" s="390"/>
      <c r="X231" s="390"/>
      <c r="Y231" s="390"/>
      <c r="Z231" s="390"/>
      <c r="AA231" s="390"/>
      <c r="AB231" s="390"/>
      <c r="AC231" s="375"/>
      <c r="AD231" s="375"/>
      <c r="AE231" s="375"/>
      <c r="AF231" s="375"/>
    </row>
    <row r="232" spans="18:32">
      <c r="R232" s="389"/>
      <c r="S232" s="389"/>
      <c r="T232" s="389"/>
      <c r="U232" s="389"/>
      <c r="V232" s="389"/>
      <c r="W232" s="390"/>
      <c r="X232" s="390"/>
      <c r="Y232" s="390"/>
      <c r="Z232" s="390"/>
      <c r="AA232" s="390"/>
      <c r="AB232" s="390"/>
      <c r="AC232" s="375"/>
      <c r="AD232" s="375"/>
      <c r="AE232" s="375"/>
      <c r="AF232" s="375"/>
    </row>
    <row r="233" spans="18:32">
      <c r="R233" s="389"/>
      <c r="S233" s="389"/>
      <c r="T233" s="389"/>
      <c r="U233" s="389"/>
      <c r="V233" s="389"/>
      <c r="W233" s="390"/>
      <c r="X233" s="390"/>
      <c r="Y233" s="390"/>
      <c r="Z233" s="390"/>
      <c r="AA233" s="390"/>
      <c r="AB233" s="390"/>
      <c r="AC233" s="375"/>
      <c r="AD233" s="375"/>
      <c r="AE233" s="375"/>
      <c r="AF233" s="375"/>
    </row>
    <row r="234" spans="18:32">
      <c r="R234" s="389"/>
      <c r="S234" s="389"/>
      <c r="T234" s="389"/>
      <c r="U234" s="389"/>
      <c r="V234" s="389"/>
      <c r="W234" s="390"/>
      <c r="X234" s="390"/>
      <c r="Y234" s="390"/>
      <c r="Z234" s="390"/>
      <c r="AA234" s="390"/>
      <c r="AB234" s="390"/>
      <c r="AC234" s="375"/>
      <c r="AD234" s="375"/>
      <c r="AE234" s="375"/>
      <c r="AF234" s="375"/>
    </row>
    <row r="235" spans="18:32">
      <c r="R235" s="389"/>
      <c r="S235" s="389"/>
      <c r="T235" s="389"/>
      <c r="U235" s="389"/>
      <c r="V235" s="389"/>
      <c r="W235" s="390"/>
      <c r="X235" s="390"/>
      <c r="Y235" s="390"/>
      <c r="Z235" s="390"/>
      <c r="AA235" s="390"/>
      <c r="AB235" s="390"/>
      <c r="AC235" s="375"/>
      <c r="AD235" s="375"/>
      <c r="AE235" s="375"/>
      <c r="AF235" s="375"/>
    </row>
    <row r="236" spans="18:32">
      <c r="R236" s="389"/>
      <c r="S236" s="389"/>
      <c r="T236" s="389"/>
      <c r="U236" s="389"/>
      <c r="V236" s="389"/>
      <c r="W236" s="390"/>
      <c r="X236" s="390"/>
      <c r="Y236" s="390"/>
      <c r="Z236" s="390"/>
      <c r="AA236" s="390"/>
      <c r="AB236" s="390"/>
      <c r="AC236" s="375"/>
      <c r="AD236" s="375"/>
      <c r="AE236" s="375"/>
      <c r="AF236" s="375"/>
    </row>
    <row r="237" spans="18:32">
      <c r="R237" s="389"/>
      <c r="S237" s="389"/>
      <c r="T237" s="389"/>
      <c r="U237" s="389"/>
      <c r="V237" s="389"/>
      <c r="W237" s="390"/>
      <c r="X237" s="390"/>
      <c r="Y237" s="390"/>
      <c r="Z237" s="390"/>
      <c r="AA237" s="390"/>
      <c r="AB237" s="390"/>
      <c r="AC237" s="375"/>
      <c r="AD237" s="375"/>
      <c r="AE237" s="375"/>
      <c r="AF237" s="375"/>
    </row>
    <row r="238" spans="18:32">
      <c r="R238" s="389"/>
      <c r="S238" s="389"/>
      <c r="T238" s="389"/>
      <c r="U238" s="389"/>
      <c r="V238" s="389"/>
      <c r="W238" s="390"/>
      <c r="X238" s="390"/>
      <c r="Y238" s="390"/>
      <c r="Z238" s="390"/>
      <c r="AA238" s="390"/>
      <c r="AB238" s="390"/>
      <c r="AC238" s="375"/>
      <c r="AD238" s="375"/>
      <c r="AE238" s="375"/>
      <c r="AF238" s="375"/>
    </row>
    <row r="239" spans="18:32">
      <c r="R239" s="389"/>
      <c r="S239" s="389"/>
      <c r="T239" s="389"/>
      <c r="U239" s="389"/>
      <c r="V239" s="389"/>
      <c r="W239" s="390"/>
      <c r="X239" s="390"/>
      <c r="Y239" s="390"/>
      <c r="Z239" s="390"/>
      <c r="AA239" s="390"/>
      <c r="AB239" s="390"/>
      <c r="AC239" s="375"/>
      <c r="AD239" s="375"/>
      <c r="AE239" s="375"/>
      <c r="AF239" s="375"/>
    </row>
    <row r="240" spans="18:32">
      <c r="R240" s="389"/>
      <c r="S240" s="389"/>
      <c r="T240" s="389"/>
      <c r="U240" s="389"/>
      <c r="V240" s="389"/>
      <c r="W240" s="390"/>
      <c r="X240" s="390"/>
      <c r="Y240" s="390"/>
      <c r="Z240" s="390"/>
      <c r="AA240" s="390"/>
      <c r="AB240" s="390"/>
      <c r="AC240" s="375"/>
      <c r="AD240" s="375"/>
      <c r="AE240" s="375"/>
      <c r="AF240" s="375"/>
    </row>
    <row r="241" spans="18:32">
      <c r="R241" s="389"/>
      <c r="S241" s="389"/>
      <c r="T241" s="389"/>
      <c r="U241" s="389"/>
      <c r="V241" s="389"/>
      <c r="W241" s="390"/>
      <c r="X241" s="390"/>
      <c r="Y241" s="390"/>
      <c r="Z241" s="390"/>
      <c r="AA241" s="390"/>
      <c r="AB241" s="390"/>
      <c r="AC241" s="375"/>
      <c r="AD241" s="375"/>
      <c r="AE241" s="375"/>
      <c r="AF241" s="375"/>
    </row>
    <row r="242" spans="18:32">
      <c r="R242" s="389"/>
      <c r="S242" s="389"/>
      <c r="T242" s="389"/>
      <c r="U242" s="389"/>
      <c r="V242" s="389"/>
      <c r="W242" s="390"/>
      <c r="X242" s="390"/>
      <c r="Y242" s="390"/>
      <c r="Z242" s="390"/>
      <c r="AA242" s="390"/>
      <c r="AB242" s="390"/>
      <c r="AC242" s="375"/>
      <c r="AD242" s="375"/>
      <c r="AE242" s="375"/>
      <c r="AF242" s="375"/>
    </row>
    <row r="243" spans="18:32">
      <c r="R243" s="389"/>
      <c r="S243" s="389"/>
      <c r="T243" s="389"/>
      <c r="U243" s="389"/>
      <c r="V243" s="389"/>
      <c r="W243" s="390"/>
      <c r="X243" s="390"/>
      <c r="Y243" s="390"/>
      <c r="Z243" s="390"/>
      <c r="AA243" s="390"/>
      <c r="AB243" s="390"/>
      <c r="AC243" s="375"/>
      <c r="AD243" s="375"/>
      <c r="AE243" s="375"/>
      <c r="AF243" s="375"/>
    </row>
    <row r="244" spans="18:32">
      <c r="R244" s="389"/>
      <c r="S244" s="389"/>
      <c r="T244" s="389"/>
      <c r="U244" s="389"/>
      <c r="V244" s="389"/>
      <c r="W244" s="390"/>
      <c r="X244" s="390"/>
      <c r="Y244" s="390"/>
      <c r="Z244" s="390"/>
      <c r="AA244" s="390"/>
      <c r="AB244" s="390"/>
      <c r="AC244" s="375"/>
      <c r="AD244" s="375"/>
      <c r="AE244" s="375"/>
      <c r="AF244" s="375"/>
    </row>
    <row r="245" spans="18:32">
      <c r="R245" s="389"/>
      <c r="S245" s="389"/>
      <c r="T245" s="389"/>
      <c r="U245" s="389"/>
      <c r="V245" s="389"/>
      <c r="W245" s="390"/>
      <c r="X245" s="390"/>
      <c r="Y245" s="390"/>
      <c r="Z245" s="390"/>
      <c r="AA245" s="390"/>
      <c r="AB245" s="390"/>
      <c r="AC245" s="375"/>
      <c r="AD245" s="375"/>
      <c r="AE245" s="375"/>
      <c r="AF245" s="375"/>
    </row>
    <row r="246" spans="18:32">
      <c r="R246" s="389"/>
      <c r="S246" s="389"/>
      <c r="T246" s="389"/>
      <c r="U246" s="389"/>
      <c r="V246" s="389"/>
      <c r="W246" s="390"/>
      <c r="X246" s="390"/>
      <c r="Y246" s="390"/>
      <c r="Z246" s="390"/>
      <c r="AA246" s="390"/>
      <c r="AB246" s="390"/>
      <c r="AC246" s="375"/>
      <c r="AD246" s="375"/>
      <c r="AE246" s="375"/>
      <c r="AF246" s="375"/>
    </row>
    <row r="247" spans="18:32">
      <c r="R247" s="389"/>
      <c r="S247" s="389"/>
      <c r="T247" s="389"/>
      <c r="U247" s="389"/>
      <c r="V247" s="389"/>
      <c r="W247" s="390"/>
      <c r="X247" s="390"/>
      <c r="Y247" s="390"/>
      <c r="Z247" s="390"/>
      <c r="AA247" s="390"/>
      <c r="AB247" s="390"/>
      <c r="AC247" s="375"/>
      <c r="AD247" s="375"/>
      <c r="AE247" s="375"/>
      <c r="AF247" s="375"/>
    </row>
    <row r="248" spans="18:32">
      <c r="R248" s="389"/>
      <c r="S248" s="389"/>
      <c r="T248" s="389"/>
      <c r="U248" s="389"/>
      <c r="V248" s="389"/>
      <c r="W248" s="390"/>
      <c r="X248" s="390"/>
      <c r="Y248" s="390"/>
      <c r="Z248" s="390"/>
      <c r="AA248" s="390"/>
      <c r="AB248" s="390"/>
      <c r="AC248" s="375"/>
      <c r="AD248" s="375"/>
      <c r="AE248" s="375"/>
      <c r="AF248" s="375"/>
    </row>
    <row r="249" spans="18:32">
      <c r="R249" s="389"/>
      <c r="S249" s="389"/>
      <c r="T249" s="389"/>
      <c r="U249" s="389"/>
      <c r="V249" s="389"/>
      <c r="W249" s="390"/>
      <c r="X249" s="390"/>
      <c r="Y249" s="390"/>
      <c r="Z249" s="390"/>
      <c r="AA249" s="390"/>
      <c r="AB249" s="390"/>
      <c r="AC249" s="375"/>
      <c r="AD249" s="375"/>
      <c r="AE249" s="375"/>
      <c r="AF249" s="375"/>
    </row>
    <row r="250" spans="18:32">
      <c r="R250" s="389"/>
      <c r="S250" s="389"/>
      <c r="T250" s="389"/>
      <c r="U250" s="389"/>
      <c r="V250" s="389"/>
      <c r="W250" s="390"/>
      <c r="X250" s="390"/>
      <c r="Y250" s="390"/>
      <c r="Z250" s="390"/>
      <c r="AA250" s="390"/>
      <c r="AB250" s="390"/>
      <c r="AC250" s="375"/>
      <c r="AD250" s="375"/>
      <c r="AE250" s="375"/>
      <c r="AF250" s="375"/>
    </row>
    <row r="251" spans="18:32">
      <c r="R251" s="389"/>
      <c r="S251" s="389"/>
      <c r="T251" s="389"/>
      <c r="U251" s="389"/>
      <c r="V251" s="389"/>
      <c r="W251" s="390"/>
      <c r="X251" s="390"/>
      <c r="Y251" s="390"/>
      <c r="Z251" s="390"/>
      <c r="AA251" s="390"/>
      <c r="AB251" s="390"/>
      <c r="AC251" s="375"/>
      <c r="AD251" s="375"/>
      <c r="AE251" s="375"/>
      <c r="AF251" s="375"/>
    </row>
    <row r="252" spans="18:32">
      <c r="R252" s="389"/>
      <c r="S252" s="389"/>
      <c r="T252" s="389"/>
      <c r="U252" s="389"/>
      <c r="V252" s="389"/>
      <c r="W252" s="390"/>
      <c r="X252" s="390"/>
      <c r="Y252" s="390"/>
      <c r="Z252" s="390"/>
      <c r="AA252" s="390"/>
      <c r="AB252" s="390"/>
      <c r="AC252" s="375"/>
      <c r="AD252" s="375"/>
      <c r="AE252" s="375"/>
      <c r="AF252" s="375"/>
    </row>
    <row r="253" spans="18:32">
      <c r="R253" s="389"/>
      <c r="S253" s="389"/>
      <c r="T253" s="389"/>
      <c r="U253" s="389"/>
      <c r="V253" s="389"/>
      <c r="W253" s="390"/>
      <c r="X253" s="390"/>
      <c r="Y253" s="390"/>
      <c r="Z253" s="390"/>
      <c r="AA253" s="390"/>
      <c r="AB253" s="390"/>
      <c r="AC253" s="375"/>
      <c r="AD253" s="375"/>
      <c r="AE253" s="375"/>
      <c r="AF253" s="375"/>
    </row>
    <row r="254" spans="18:32">
      <c r="R254" s="389"/>
      <c r="S254" s="389"/>
      <c r="T254" s="389"/>
      <c r="U254" s="389"/>
      <c r="V254" s="389"/>
      <c r="W254" s="390"/>
      <c r="X254" s="390"/>
      <c r="Y254" s="390"/>
      <c r="Z254" s="390"/>
      <c r="AA254" s="390"/>
      <c r="AB254" s="390"/>
      <c r="AC254" s="375"/>
      <c r="AD254" s="375"/>
      <c r="AE254" s="375"/>
      <c r="AF254" s="375"/>
    </row>
    <row r="255" spans="18:32">
      <c r="R255" s="389"/>
      <c r="S255" s="389"/>
      <c r="T255" s="389"/>
      <c r="U255" s="389"/>
      <c r="V255" s="389"/>
      <c r="W255" s="390"/>
      <c r="X255" s="390"/>
      <c r="Y255" s="390"/>
      <c r="Z255" s="390"/>
      <c r="AA255" s="390"/>
      <c r="AB255" s="390"/>
      <c r="AC255" s="375"/>
      <c r="AD255" s="375"/>
      <c r="AE255" s="375"/>
      <c r="AF255" s="375"/>
    </row>
    <row r="256" spans="18:32">
      <c r="R256" s="389"/>
      <c r="S256" s="389"/>
      <c r="T256" s="389"/>
      <c r="U256" s="389"/>
      <c r="V256" s="389"/>
      <c r="W256" s="390"/>
      <c r="X256" s="390"/>
      <c r="Y256" s="390"/>
      <c r="Z256" s="390"/>
      <c r="AA256" s="390"/>
      <c r="AB256" s="390"/>
      <c r="AC256" s="375"/>
      <c r="AD256" s="375"/>
      <c r="AE256" s="375"/>
      <c r="AF256" s="375"/>
    </row>
    <row r="257" spans="18:32">
      <c r="R257" s="389"/>
      <c r="S257" s="389"/>
      <c r="T257" s="389"/>
      <c r="U257" s="389"/>
      <c r="V257" s="389"/>
      <c r="W257" s="390"/>
      <c r="X257" s="390"/>
      <c r="Y257" s="390"/>
      <c r="Z257" s="390"/>
      <c r="AA257" s="390"/>
      <c r="AB257" s="390"/>
      <c r="AC257" s="375"/>
      <c r="AD257" s="375"/>
      <c r="AE257" s="375"/>
      <c r="AF257" s="375"/>
    </row>
    <row r="258" spans="18:32">
      <c r="R258" s="389"/>
      <c r="S258" s="389"/>
      <c r="T258" s="389"/>
      <c r="U258" s="389"/>
      <c r="V258" s="389"/>
      <c r="W258" s="390"/>
      <c r="X258" s="390"/>
      <c r="Y258" s="390"/>
      <c r="Z258" s="390"/>
      <c r="AA258" s="390"/>
      <c r="AB258" s="390"/>
      <c r="AC258" s="375"/>
      <c r="AD258" s="375"/>
      <c r="AE258" s="375"/>
      <c r="AF258" s="375"/>
    </row>
    <row r="259" spans="18:32">
      <c r="R259" s="389"/>
      <c r="S259" s="389"/>
      <c r="T259" s="389"/>
      <c r="U259" s="389"/>
      <c r="V259" s="389"/>
      <c r="W259" s="390"/>
      <c r="X259" s="390"/>
      <c r="Y259" s="390"/>
      <c r="Z259" s="390"/>
      <c r="AA259" s="390"/>
      <c r="AB259" s="390"/>
      <c r="AC259" s="375"/>
      <c r="AD259" s="375"/>
      <c r="AE259" s="375"/>
      <c r="AF259" s="375"/>
    </row>
    <row r="260" spans="18:32">
      <c r="R260" s="389"/>
      <c r="S260" s="389"/>
      <c r="T260" s="389"/>
      <c r="U260" s="389"/>
      <c r="V260" s="389"/>
      <c r="W260" s="390"/>
      <c r="X260" s="390"/>
      <c r="Y260" s="390"/>
      <c r="Z260" s="390"/>
      <c r="AA260" s="390"/>
      <c r="AB260" s="390"/>
      <c r="AC260" s="375"/>
      <c r="AD260" s="375"/>
      <c r="AE260" s="375"/>
      <c r="AF260" s="375"/>
    </row>
    <row r="261" spans="18:32">
      <c r="R261" s="389"/>
      <c r="S261" s="389"/>
      <c r="T261" s="389"/>
      <c r="U261" s="389"/>
      <c r="V261" s="389"/>
      <c r="W261" s="390"/>
      <c r="X261" s="390"/>
      <c r="Y261" s="390"/>
      <c r="Z261" s="390"/>
      <c r="AA261" s="390"/>
      <c r="AB261" s="390"/>
      <c r="AC261" s="375"/>
      <c r="AD261" s="375"/>
      <c r="AE261" s="375"/>
      <c r="AF261" s="375"/>
    </row>
    <row r="262" spans="18:32">
      <c r="R262" s="389"/>
      <c r="S262" s="389"/>
      <c r="T262" s="389"/>
      <c r="U262" s="389"/>
      <c r="V262" s="389"/>
      <c r="W262" s="390"/>
      <c r="X262" s="390"/>
      <c r="Y262" s="390"/>
      <c r="Z262" s="390"/>
      <c r="AA262" s="390"/>
      <c r="AB262" s="390"/>
      <c r="AC262" s="375"/>
      <c r="AD262" s="375"/>
      <c r="AE262" s="375"/>
      <c r="AF262" s="375"/>
    </row>
    <row r="263" spans="18:32">
      <c r="R263" s="389"/>
      <c r="S263" s="389"/>
      <c r="T263" s="389"/>
      <c r="U263" s="389"/>
      <c r="V263" s="389"/>
      <c r="W263" s="390"/>
      <c r="X263" s="390"/>
      <c r="Y263" s="390"/>
      <c r="Z263" s="390"/>
      <c r="AA263" s="390"/>
      <c r="AB263" s="390"/>
      <c r="AC263" s="375"/>
      <c r="AD263" s="375"/>
      <c r="AE263" s="375"/>
      <c r="AF263" s="375"/>
    </row>
    <row r="264" spans="18:32">
      <c r="R264" s="389"/>
      <c r="S264" s="389"/>
      <c r="T264" s="389"/>
      <c r="U264" s="389"/>
      <c r="V264" s="389"/>
      <c r="W264" s="390"/>
      <c r="X264" s="390"/>
      <c r="Y264" s="390"/>
      <c r="Z264" s="390"/>
      <c r="AA264" s="390"/>
      <c r="AB264" s="390"/>
      <c r="AC264" s="375"/>
      <c r="AD264" s="375"/>
      <c r="AE264" s="375"/>
      <c r="AF264" s="375"/>
    </row>
    <row r="265" spans="18:32">
      <c r="R265" s="389"/>
      <c r="S265" s="389"/>
      <c r="T265" s="389"/>
      <c r="U265" s="389"/>
      <c r="V265" s="389"/>
      <c r="W265" s="390"/>
      <c r="X265" s="390"/>
      <c r="Y265" s="390"/>
      <c r="Z265" s="390"/>
      <c r="AA265" s="390"/>
      <c r="AB265" s="390"/>
      <c r="AC265" s="375"/>
      <c r="AD265" s="375"/>
      <c r="AE265" s="375"/>
      <c r="AF265" s="375"/>
    </row>
    <row r="266" spans="18:32">
      <c r="R266" s="389"/>
      <c r="S266" s="389"/>
      <c r="T266" s="389"/>
      <c r="U266" s="389"/>
      <c r="V266" s="389"/>
      <c r="W266" s="390"/>
      <c r="X266" s="390"/>
      <c r="Y266" s="390"/>
      <c r="Z266" s="390"/>
      <c r="AA266" s="390"/>
      <c r="AB266" s="390"/>
      <c r="AC266" s="375"/>
      <c r="AD266" s="375"/>
      <c r="AE266" s="375"/>
      <c r="AF266" s="375"/>
    </row>
    <row r="267" spans="18:32">
      <c r="R267" s="389"/>
      <c r="S267" s="389"/>
      <c r="T267" s="389"/>
      <c r="U267" s="389"/>
      <c r="V267" s="389"/>
      <c r="W267" s="390"/>
      <c r="X267" s="390"/>
      <c r="Y267" s="390"/>
      <c r="Z267" s="390"/>
      <c r="AA267" s="390"/>
      <c r="AB267" s="390"/>
      <c r="AC267" s="375"/>
      <c r="AD267" s="375"/>
      <c r="AE267" s="375"/>
      <c r="AF267" s="375"/>
    </row>
    <row r="268" spans="18:32">
      <c r="R268" s="389"/>
      <c r="S268" s="389"/>
      <c r="T268" s="389"/>
      <c r="U268" s="389"/>
      <c r="V268" s="389"/>
      <c r="W268" s="390"/>
      <c r="X268" s="390"/>
      <c r="Y268" s="390"/>
      <c r="Z268" s="390"/>
      <c r="AA268" s="390"/>
      <c r="AB268" s="390"/>
      <c r="AC268" s="375"/>
      <c r="AD268" s="375"/>
      <c r="AE268" s="375"/>
      <c r="AF268" s="375"/>
    </row>
    <row r="269" spans="18:32">
      <c r="R269" s="389"/>
      <c r="S269" s="389"/>
      <c r="T269" s="389"/>
      <c r="U269" s="389"/>
      <c r="V269" s="389"/>
      <c r="W269" s="390"/>
      <c r="X269" s="390"/>
      <c r="Y269" s="390"/>
      <c r="Z269" s="390"/>
      <c r="AA269" s="390"/>
      <c r="AB269" s="390"/>
      <c r="AC269" s="375"/>
      <c r="AD269" s="375"/>
      <c r="AE269" s="375"/>
      <c r="AF269" s="375"/>
    </row>
    <row r="270" spans="18:32">
      <c r="R270" s="389"/>
      <c r="S270" s="389"/>
      <c r="T270" s="389"/>
      <c r="U270" s="389"/>
      <c r="V270" s="389"/>
      <c r="W270" s="390"/>
      <c r="X270" s="390"/>
      <c r="Y270" s="390"/>
      <c r="Z270" s="390"/>
      <c r="AA270" s="390"/>
      <c r="AB270" s="390"/>
      <c r="AC270" s="375"/>
      <c r="AD270" s="375"/>
      <c r="AE270" s="375"/>
      <c r="AF270" s="375"/>
    </row>
    <row r="271" spans="18:32">
      <c r="R271" s="389"/>
      <c r="S271" s="389"/>
      <c r="T271" s="389"/>
      <c r="U271" s="389"/>
      <c r="V271" s="389"/>
      <c r="W271" s="390"/>
      <c r="X271" s="390"/>
      <c r="Y271" s="390"/>
      <c r="Z271" s="390"/>
      <c r="AA271" s="390"/>
      <c r="AB271" s="390"/>
      <c r="AC271" s="375"/>
      <c r="AD271" s="375"/>
      <c r="AE271" s="375"/>
      <c r="AF271" s="375"/>
    </row>
    <row r="272" spans="18:32">
      <c r="R272" s="389"/>
      <c r="S272" s="389"/>
      <c r="T272" s="389"/>
      <c r="U272" s="389"/>
      <c r="V272" s="389"/>
      <c r="W272" s="390"/>
      <c r="X272" s="390"/>
      <c r="Y272" s="390"/>
      <c r="Z272" s="390"/>
      <c r="AA272" s="390"/>
      <c r="AB272" s="390"/>
      <c r="AC272" s="375"/>
      <c r="AD272" s="375"/>
      <c r="AE272" s="375"/>
      <c r="AF272" s="375"/>
    </row>
    <row r="273" spans="18:32">
      <c r="R273" s="389"/>
      <c r="S273" s="389"/>
      <c r="T273" s="389"/>
      <c r="U273" s="389"/>
      <c r="V273" s="389"/>
      <c r="W273" s="390"/>
      <c r="X273" s="390"/>
      <c r="Y273" s="390"/>
      <c r="Z273" s="390"/>
      <c r="AA273" s="390"/>
      <c r="AB273" s="390"/>
      <c r="AC273" s="375"/>
      <c r="AD273" s="375"/>
      <c r="AE273" s="375"/>
      <c r="AF273" s="375"/>
    </row>
    <row r="274" spans="18:32">
      <c r="R274" s="389"/>
      <c r="S274" s="389"/>
      <c r="T274" s="389"/>
      <c r="U274" s="389"/>
      <c r="V274" s="389"/>
      <c r="W274" s="390"/>
      <c r="X274" s="390"/>
      <c r="Y274" s="390"/>
      <c r="Z274" s="390"/>
      <c r="AA274" s="390"/>
      <c r="AB274" s="390"/>
      <c r="AC274" s="375"/>
      <c r="AD274" s="375"/>
      <c r="AE274" s="375"/>
      <c r="AF274" s="375"/>
    </row>
    <row r="275" spans="18:32">
      <c r="R275" s="389"/>
      <c r="S275" s="389"/>
      <c r="T275" s="389"/>
      <c r="U275" s="389"/>
      <c r="V275" s="389"/>
      <c r="W275" s="390"/>
      <c r="X275" s="390"/>
      <c r="Y275" s="390"/>
      <c r="Z275" s="390"/>
      <c r="AA275" s="390"/>
      <c r="AB275" s="390"/>
      <c r="AC275" s="375"/>
      <c r="AD275" s="375"/>
      <c r="AE275" s="375"/>
      <c r="AF275" s="375"/>
    </row>
    <row r="276" spans="18:32">
      <c r="R276" s="389"/>
      <c r="S276" s="389"/>
      <c r="T276" s="389"/>
      <c r="U276" s="389"/>
      <c r="V276" s="389"/>
      <c r="W276" s="390"/>
      <c r="X276" s="390"/>
      <c r="Y276" s="390"/>
      <c r="Z276" s="390"/>
      <c r="AA276" s="390"/>
      <c r="AB276" s="390"/>
      <c r="AC276" s="375"/>
      <c r="AD276" s="375"/>
      <c r="AE276" s="375"/>
      <c r="AF276" s="375"/>
    </row>
    <row r="277" spans="18:32">
      <c r="R277" s="389"/>
      <c r="S277" s="389"/>
      <c r="T277" s="389"/>
      <c r="U277" s="389"/>
      <c r="V277" s="389"/>
      <c r="W277" s="390"/>
      <c r="X277" s="390"/>
      <c r="Y277" s="390"/>
      <c r="Z277" s="390"/>
      <c r="AA277" s="390"/>
      <c r="AB277" s="390"/>
      <c r="AC277" s="375"/>
      <c r="AD277" s="375"/>
      <c r="AE277" s="375"/>
      <c r="AF277" s="375"/>
    </row>
    <row r="278" spans="18:32">
      <c r="R278" s="389"/>
      <c r="S278" s="389"/>
      <c r="T278" s="389"/>
      <c r="U278" s="389"/>
      <c r="V278" s="389"/>
      <c r="W278" s="390"/>
      <c r="X278" s="390"/>
      <c r="Y278" s="390"/>
      <c r="Z278" s="390"/>
      <c r="AA278" s="390"/>
      <c r="AB278" s="390"/>
      <c r="AC278" s="375"/>
      <c r="AD278" s="375"/>
      <c r="AE278" s="375"/>
      <c r="AF278" s="375"/>
    </row>
    <row r="279" spans="18:32">
      <c r="R279" s="389"/>
      <c r="S279" s="389"/>
      <c r="T279" s="389"/>
      <c r="U279" s="389"/>
      <c r="V279" s="389"/>
      <c r="W279" s="390"/>
      <c r="X279" s="390"/>
      <c r="Y279" s="390"/>
      <c r="Z279" s="390"/>
      <c r="AA279" s="390"/>
      <c r="AB279" s="390"/>
      <c r="AC279" s="375"/>
      <c r="AD279" s="375"/>
      <c r="AE279" s="375"/>
      <c r="AF279" s="375"/>
    </row>
    <row r="280" spans="18:32">
      <c r="R280" s="389"/>
      <c r="S280" s="389"/>
      <c r="T280" s="389"/>
      <c r="U280" s="389"/>
      <c r="V280" s="389"/>
      <c r="W280" s="390"/>
      <c r="X280" s="390"/>
      <c r="Y280" s="390"/>
      <c r="Z280" s="390"/>
      <c r="AA280" s="390"/>
      <c r="AB280" s="390"/>
      <c r="AC280" s="375"/>
      <c r="AD280" s="375"/>
      <c r="AE280" s="375"/>
      <c r="AF280" s="375"/>
    </row>
    <row r="281" spans="18:32">
      <c r="R281" s="389"/>
      <c r="S281" s="389"/>
      <c r="T281" s="389"/>
      <c r="U281" s="389"/>
      <c r="V281" s="389"/>
      <c r="W281" s="390"/>
      <c r="X281" s="390"/>
      <c r="Y281" s="390"/>
      <c r="Z281" s="390"/>
      <c r="AA281" s="390"/>
      <c r="AB281" s="390"/>
      <c r="AC281" s="375"/>
      <c r="AD281" s="375"/>
      <c r="AE281" s="375"/>
      <c r="AF281" s="375"/>
    </row>
    <row r="282" spans="18:32">
      <c r="R282" s="389"/>
      <c r="S282" s="389"/>
      <c r="T282" s="389"/>
      <c r="U282" s="389"/>
      <c r="V282" s="389"/>
      <c r="W282" s="390"/>
      <c r="X282" s="390"/>
      <c r="Y282" s="390"/>
      <c r="Z282" s="390"/>
      <c r="AA282" s="390"/>
      <c r="AB282" s="390"/>
      <c r="AC282" s="375"/>
      <c r="AD282" s="375"/>
      <c r="AE282" s="375"/>
      <c r="AF282" s="375"/>
    </row>
    <row r="283" spans="18:32">
      <c r="R283" s="389"/>
      <c r="S283" s="389"/>
      <c r="T283" s="389"/>
      <c r="U283" s="389"/>
      <c r="V283" s="389"/>
      <c r="W283" s="390"/>
      <c r="X283" s="390"/>
      <c r="Y283" s="390"/>
      <c r="Z283" s="390"/>
      <c r="AA283" s="390"/>
      <c r="AB283" s="390"/>
      <c r="AC283" s="375"/>
      <c r="AD283" s="375"/>
      <c r="AE283" s="375"/>
      <c r="AF283" s="375"/>
    </row>
    <row r="284" spans="18:32">
      <c r="R284" s="389"/>
      <c r="S284" s="389"/>
      <c r="T284" s="389"/>
      <c r="U284" s="389"/>
      <c r="V284" s="389"/>
      <c r="W284" s="390"/>
      <c r="X284" s="390"/>
      <c r="Y284" s="390"/>
      <c r="Z284" s="390"/>
      <c r="AA284" s="390"/>
      <c r="AB284" s="390"/>
      <c r="AC284" s="375"/>
      <c r="AD284" s="375"/>
      <c r="AE284" s="375"/>
      <c r="AF284" s="375"/>
    </row>
    <row r="285" spans="18:32">
      <c r="R285" s="389"/>
      <c r="S285" s="389"/>
      <c r="T285" s="389"/>
      <c r="U285" s="389"/>
      <c r="V285" s="389"/>
      <c r="W285" s="390"/>
      <c r="X285" s="390"/>
      <c r="Y285" s="390"/>
      <c r="Z285" s="390"/>
      <c r="AA285" s="390"/>
      <c r="AB285" s="390"/>
      <c r="AC285" s="375"/>
      <c r="AD285" s="375"/>
      <c r="AE285" s="375"/>
      <c r="AF285" s="375"/>
    </row>
    <row r="286" spans="18:32">
      <c r="R286" s="389"/>
      <c r="S286" s="389"/>
      <c r="T286" s="389"/>
      <c r="U286" s="389"/>
      <c r="V286" s="389"/>
      <c r="W286" s="390"/>
      <c r="X286" s="390"/>
      <c r="Y286" s="390"/>
      <c r="Z286" s="390"/>
      <c r="AA286" s="390"/>
      <c r="AB286" s="390"/>
      <c r="AC286" s="375"/>
      <c r="AD286" s="375"/>
      <c r="AE286" s="375"/>
      <c r="AF286" s="375"/>
    </row>
    <row r="287" spans="18:32">
      <c r="R287" s="389"/>
      <c r="S287" s="389"/>
      <c r="T287" s="389"/>
      <c r="U287" s="389"/>
      <c r="V287" s="389"/>
      <c r="W287" s="390"/>
      <c r="X287" s="390"/>
      <c r="Y287" s="390"/>
      <c r="Z287" s="390"/>
      <c r="AA287" s="390"/>
      <c r="AB287" s="390"/>
      <c r="AC287" s="375"/>
      <c r="AD287" s="375"/>
      <c r="AE287" s="375"/>
      <c r="AF287" s="375"/>
    </row>
    <row r="288" spans="18:32">
      <c r="R288" s="389"/>
      <c r="S288" s="389"/>
      <c r="T288" s="389"/>
      <c r="U288" s="389"/>
      <c r="V288" s="389"/>
      <c r="W288" s="390"/>
      <c r="X288" s="390"/>
      <c r="Y288" s="390"/>
      <c r="Z288" s="390"/>
      <c r="AA288" s="390"/>
      <c r="AB288" s="390"/>
      <c r="AC288" s="375"/>
      <c r="AD288" s="375"/>
      <c r="AE288" s="375"/>
      <c r="AF288" s="375"/>
    </row>
    <row r="289" spans="18:32">
      <c r="R289" s="389"/>
      <c r="S289" s="389"/>
      <c r="T289" s="389"/>
      <c r="U289" s="389"/>
      <c r="V289" s="389"/>
      <c r="W289" s="390"/>
      <c r="X289" s="390"/>
      <c r="Y289" s="390"/>
      <c r="Z289" s="390"/>
      <c r="AA289" s="390"/>
      <c r="AB289" s="390"/>
      <c r="AC289" s="375"/>
      <c r="AD289" s="375"/>
      <c r="AE289" s="375"/>
      <c r="AF289" s="375"/>
    </row>
    <row r="290" spans="18:32">
      <c r="R290" s="389"/>
      <c r="S290" s="389"/>
      <c r="T290" s="389"/>
      <c r="U290" s="389"/>
      <c r="V290" s="389"/>
      <c r="W290" s="390"/>
      <c r="X290" s="390"/>
      <c r="Y290" s="390"/>
      <c r="Z290" s="390"/>
      <c r="AA290" s="390"/>
      <c r="AB290" s="390"/>
      <c r="AC290" s="375"/>
      <c r="AD290" s="375"/>
      <c r="AE290" s="375"/>
      <c r="AF290" s="375"/>
    </row>
    <row r="291" spans="18:32">
      <c r="R291" s="389"/>
      <c r="S291" s="389"/>
      <c r="T291" s="389"/>
      <c r="U291" s="389"/>
      <c r="V291" s="389"/>
      <c r="W291" s="390"/>
      <c r="X291" s="390"/>
      <c r="Y291" s="390"/>
      <c r="Z291" s="390"/>
      <c r="AA291" s="390"/>
      <c r="AB291" s="390"/>
      <c r="AC291" s="375"/>
      <c r="AD291" s="375"/>
      <c r="AE291" s="375"/>
      <c r="AF291" s="375"/>
    </row>
    <row r="292" spans="18:32">
      <c r="R292" s="389"/>
      <c r="S292" s="389"/>
      <c r="T292" s="389"/>
      <c r="U292" s="389"/>
      <c r="V292" s="389"/>
      <c r="W292" s="390"/>
      <c r="X292" s="390"/>
      <c r="Y292" s="390"/>
      <c r="Z292" s="390"/>
      <c r="AA292" s="390"/>
      <c r="AB292" s="390"/>
      <c r="AC292" s="375"/>
      <c r="AD292" s="375"/>
      <c r="AE292" s="375"/>
      <c r="AF292" s="375"/>
    </row>
    <row r="293" spans="18:32">
      <c r="R293" s="389"/>
      <c r="S293" s="389"/>
      <c r="T293" s="389"/>
      <c r="U293" s="389"/>
      <c r="V293" s="389"/>
      <c r="W293" s="390"/>
      <c r="X293" s="390"/>
      <c r="Y293" s="390"/>
      <c r="Z293" s="390"/>
      <c r="AA293" s="390"/>
      <c r="AB293" s="390"/>
      <c r="AC293" s="375"/>
      <c r="AD293" s="375"/>
      <c r="AE293" s="375"/>
      <c r="AF293" s="375"/>
    </row>
    <row r="294" spans="18:32">
      <c r="R294" s="389"/>
      <c r="S294" s="389"/>
      <c r="T294" s="389"/>
      <c r="U294" s="389"/>
      <c r="V294" s="389"/>
      <c r="W294" s="390"/>
      <c r="X294" s="390"/>
      <c r="Y294" s="390"/>
      <c r="Z294" s="390"/>
      <c r="AA294" s="390"/>
      <c r="AB294" s="390"/>
      <c r="AC294" s="375"/>
      <c r="AD294" s="375"/>
      <c r="AE294" s="375"/>
      <c r="AF294" s="375"/>
    </row>
    <row r="295" spans="18:32">
      <c r="R295" s="389"/>
      <c r="S295" s="389"/>
      <c r="T295" s="389"/>
      <c r="U295" s="389"/>
      <c r="V295" s="389"/>
      <c r="W295" s="390"/>
      <c r="X295" s="390"/>
      <c r="Y295" s="390"/>
      <c r="Z295" s="390"/>
      <c r="AA295" s="390"/>
      <c r="AB295" s="390"/>
      <c r="AC295" s="375"/>
      <c r="AD295" s="375"/>
      <c r="AE295" s="375"/>
      <c r="AF295" s="375"/>
    </row>
    <row r="296" spans="18:32">
      <c r="R296" s="389"/>
      <c r="S296" s="389"/>
      <c r="T296" s="389"/>
      <c r="U296" s="389"/>
      <c r="V296" s="389"/>
      <c r="W296" s="390"/>
      <c r="X296" s="390"/>
      <c r="Y296" s="390"/>
      <c r="Z296" s="390"/>
      <c r="AA296" s="390"/>
      <c r="AB296" s="390"/>
      <c r="AC296" s="375"/>
      <c r="AD296" s="375"/>
      <c r="AE296" s="375"/>
      <c r="AF296" s="375"/>
    </row>
    <row r="297" spans="18:32">
      <c r="R297" s="389"/>
      <c r="S297" s="389"/>
      <c r="T297" s="389"/>
      <c r="U297" s="389"/>
      <c r="V297" s="389"/>
      <c r="W297" s="390"/>
      <c r="X297" s="390"/>
      <c r="Y297" s="390"/>
      <c r="Z297" s="390"/>
      <c r="AA297" s="390"/>
      <c r="AB297" s="390"/>
      <c r="AC297" s="375"/>
      <c r="AD297" s="375"/>
      <c r="AE297" s="375"/>
      <c r="AF297" s="375"/>
    </row>
    <row r="298" spans="18:32">
      <c r="R298" s="389"/>
      <c r="S298" s="389"/>
      <c r="T298" s="389"/>
      <c r="U298" s="389"/>
      <c r="V298" s="389"/>
      <c r="W298" s="390"/>
      <c r="X298" s="390"/>
      <c r="Y298" s="390"/>
      <c r="Z298" s="390"/>
      <c r="AA298" s="390"/>
      <c r="AB298" s="390"/>
      <c r="AC298" s="375"/>
      <c r="AD298" s="375"/>
      <c r="AE298" s="375"/>
      <c r="AF298" s="375"/>
    </row>
    <row r="299" spans="18:32">
      <c r="R299" s="389"/>
      <c r="S299" s="389"/>
      <c r="T299" s="389"/>
      <c r="U299" s="389"/>
      <c r="V299" s="389"/>
      <c r="W299" s="390"/>
      <c r="X299" s="390"/>
      <c r="Y299" s="390"/>
      <c r="Z299" s="390"/>
      <c r="AA299" s="390"/>
      <c r="AB299" s="390"/>
      <c r="AC299" s="375"/>
      <c r="AD299" s="375"/>
      <c r="AE299" s="375"/>
      <c r="AF299" s="375"/>
    </row>
    <row r="300" spans="18:32">
      <c r="R300" s="389"/>
      <c r="S300" s="389"/>
      <c r="T300" s="389"/>
      <c r="U300" s="389"/>
      <c r="V300" s="389"/>
      <c r="W300" s="390"/>
      <c r="X300" s="390"/>
      <c r="Y300" s="390"/>
      <c r="Z300" s="390"/>
      <c r="AA300" s="390"/>
      <c r="AB300" s="390"/>
      <c r="AC300" s="375"/>
      <c r="AD300" s="375"/>
      <c r="AE300" s="375"/>
      <c r="AF300" s="375"/>
    </row>
    <row r="301" spans="18:32">
      <c r="R301" s="389"/>
      <c r="S301" s="389"/>
      <c r="T301" s="389"/>
      <c r="U301" s="389"/>
      <c r="V301" s="389"/>
      <c r="W301" s="390"/>
      <c r="X301" s="390"/>
      <c r="Y301" s="390"/>
      <c r="Z301" s="390"/>
      <c r="AA301" s="390"/>
      <c r="AB301" s="390"/>
      <c r="AC301" s="375"/>
      <c r="AD301" s="375"/>
      <c r="AE301" s="375"/>
      <c r="AF301" s="375"/>
    </row>
    <row r="302" spans="18:32">
      <c r="R302" s="389"/>
      <c r="S302" s="389"/>
      <c r="T302" s="389"/>
      <c r="U302" s="389"/>
      <c r="V302" s="389"/>
      <c r="W302" s="390"/>
      <c r="X302" s="390"/>
      <c r="Y302" s="390"/>
      <c r="Z302" s="390"/>
      <c r="AA302" s="390"/>
      <c r="AB302" s="390"/>
      <c r="AC302" s="375"/>
      <c r="AD302" s="375"/>
      <c r="AE302" s="375"/>
      <c r="AF302" s="375"/>
    </row>
    <row r="303" spans="18:32">
      <c r="R303" s="389"/>
      <c r="S303" s="389"/>
      <c r="T303" s="389"/>
      <c r="U303" s="389"/>
      <c r="V303" s="389"/>
      <c r="W303" s="390"/>
      <c r="X303" s="390"/>
      <c r="Y303" s="390"/>
      <c r="Z303" s="390"/>
      <c r="AA303" s="390"/>
      <c r="AB303" s="390"/>
      <c r="AC303" s="375"/>
      <c r="AD303" s="375"/>
      <c r="AE303" s="375"/>
      <c r="AF303" s="375"/>
    </row>
    <row r="304" spans="18:32">
      <c r="R304" s="389"/>
      <c r="S304" s="389"/>
      <c r="T304" s="389"/>
      <c r="U304" s="389"/>
      <c r="V304" s="389"/>
      <c r="W304" s="390"/>
      <c r="X304" s="390"/>
      <c r="Y304" s="390"/>
      <c r="Z304" s="390"/>
      <c r="AA304" s="390"/>
      <c r="AB304" s="390"/>
      <c r="AC304" s="375"/>
      <c r="AD304" s="375"/>
      <c r="AE304" s="375"/>
      <c r="AF304" s="375"/>
    </row>
    <row r="305" spans="18:32">
      <c r="R305" s="389"/>
      <c r="S305" s="389"/>
      <c r="T305" s="389"/>
      <c r="U305" s="389"/>
      <c r="V305" s="389"/>
      <c r="W305" s="390"/>
      <c r="X305" s="390"/>
      <c r="Y305" s="390"/>
      <c r="Z305" s="390"/>
      <c r="AA305" s="390"/>
      <c r="AB305" s="390"/>
      <c r="AC305" s="375"/>
      <c r="AD305" s="375"/>
      <c r="AE305" s="375"/>
      <c r="AF305" s="375"/>
    </row>
    <row r="306" spans="18:32">
      <c r="R306" s="389"/>
      <c r="S306" s="389"/>
      <c r="T306" s="389"/>
      <c r="U306" s="389"/>
      <c r="V306" s="389"/>
      <c r="W306" s="390"/>
      <c r="X306" s="390"/>
      <c r="Y306" s="390"/>
      <c r="Z306" s="390"/>
      <c r="AA306" s="390"/>
      <c r="AB306" s="390"/>
      <c r="AC306" s="375"/>
      <c r="AD306" s="375"/>
      <c r="AE306" s="375"/>
      <c r="AF306" s="375"/>
    </row>
    <row r="307" spans="18:32">
      <c r="R307" s="389"/>
      <c r="S307" s="389"/>
      <c r="T307" s="389"/>
      <c r="U307" s="389"/>
      <c r="V307" s="389"/>
      <c r="W307" s="390"/>
      <c r="X307" s="390"/>
      <c r="Y307" s="390"/>
      <c r="Z307" s="390"/>
      <c r="AA307" s="390"/>
      <c r="AB307" s="390"/>
      <c r="AC307" s="375"/>
      <c r="AD307" s="375"/>
      <c r="AE307" s="375"/>
      <c r="AF307" s="375"/>
    </row>
    <row r="308" spans="18:32">
      <c r="R308" s="389"/>
      <c r="S308" s="389"/>
      <c r="T308" s="389"/>
      <c r="U308" s="389"/>
      <c r="V308" s="389"/>
      <c r="W308" s="390"/>
      <c r="X308" s="390"/>
      <c r="Y308" s="390"/>
      <c r="Z308" s="390"/>
      <c r="AA308" s="390"/>
      <c r="AB308" s="390"/>
      <c r="AC308" s="375"/>
      <c r="AD308" s="375"/>
      <c r="AE308" s="375"/>
      <c r="AF308" s="375"/>
    </row>
    <row r="309" spans="18:32">
      <c r="R309" s="389"/>
      <c r="S309" s="389"/>
      <c r="T309" s="389"/>
      <c r="U309" s="389"/>
      <c r="V309" s="389"/>
      <c r="W309" s="390"/>
      <c r="X309" s="390"/>
      <c r="Y309" s="390"/>
      <c r="Z309" s="390"/>
      <c r="AA309" s="390"/>
      <c r="AB309" s="390"/>
      <c r="AC309" s="375"/>
      <c r="AD309" s="375"/>
      <c r="AE309" s="375"/>
      <c r="AF309" s="375"/>
    </row>
    <row r="310" spans="18:32">
      <c r="R310" s="389"/>
      <c r="S310" s="389"/>
      <c r="T310" s="389"/>
      <c r="U310" s="389"/>
      <c r="V310" s="389"/>
      <c r="W310" s="390"/>
      <c r="X310" s="390"/>
      <c r="Y310" s="390"/>
      <c r="Z310" s="390"/>
      <c r="AA310" s="390"/>
      <c r="AB310" s="390"/>
      <c r="AC310" s="375"/>
      <c r="AD310" s="375"/>
      <c r="AE310" s="375"/>
      <c r="AF310" s="375"/>
    </row>
    <row r="311" spans="18:32">
      <c r="R311" s="389"/>
      <c r="S311" s="389"/>
      <c r="T311" s="389"/>
      <c r="U311" s="389"/>
      <c r="V311" s="389"/>
      <c r="W311" s="390"/>
      <c r="X311" s="390"/>
      <c r="Y311" s="390"/>
      <c r="Z311" s="390"/>
      <c r="AA311" s="390"/>
      <c r="AB311" s="390"/>
      <c r="AC311" s="375"/>
      <c r="AD311" s="375"/>
      <c r="AE311" s="375"/>
      <c r="AF311" s="375"/>
    </row>
    <row r="312" spans="18:32">
      <c r="R312" s="389"/>
      <c r="S312" s="389"/>
      <c r="T312" s="389"/>
      <c r="U312" s="389"/>
      <c r="V312" s="389"/>
      <c r="W312" s="390"/>
      <c r="X312" s="390"/>
      <c r="Y312" s="390"/>
      <c r="Z312" s="390"/>
      <c r="AA312" s="390"/>
      <c r="AB312" s="390"/>
      <c r="AC312" s="375"/>
      <c r="AD312" s="375"/>
      <c r="AE312" s="375"/>
      <c r="AF312" s="375"/>
    </row>
    <row r="313" spans="18:32">
      <c r="R313" s="389"/>
      <c r="S313" s="389"/>
      <c r="T313" s="389"/>
      <c r="U313" s="389"/>
      <c r="V313" s="389"/>
      <c r="W313" s="390"/>
      <c r="X313" s="390"/>
      <c r="Y313" s="390"/>
      <c r="Z313" s="390"/>
      <c r="AA313" s="390"/>
      <c r="AB313" s="390"/>
      <c r="AC313" s="375"/>
      <c r="AD313" s="375"/>
      <c r="AE313" s="375"/>
      <c r="AF313" s="375"/>
    </row>
    <row r="314" spans="18:32">
      <c r="R314" s="389"/>
      <c r="S314" s="389"/>
      <c r="T314" s="389"/>
      <c r="U314" s="389"/>
      <c r="V314" s="389"/>
      <c r="W314" s="390"/>
      <c r="X314" s="390"/>
      <c r="Y314" s="390"/>
      <c r="Z314" s="390"/>
      <c r="AA314" s="390"/>
      <c r="AB314" s="390"/>
      <c r="AC314" s="375"/>
      <c r="AD314" s="375"/>
      <c r="AE314" s="375"/>
      <c r="AF314" s="375"/>
    </row>
    <row r="315" spans="18:32">
      <c r="R315" s="389"/>
      <c r="S315" s="389"/>
      <c r="T315" s="389"/>
      <c r="U315" s="389"/>
      <c r="V315" s="389"/>
      <c r="W315" s="390"/>
      <c r="X315" s="390"/>
      <c r="Y315" s="390"/>
      <c r="Z315" s="390"/>
      <c r="AA315" s="390"/>
      <c r="AB315" s="390"/>
      <c r="AC315" s="375"/>
      <c r="AD315" s="375"/>
      <c r="AE315" s="375"/>
      <c r="AF315" s="375"/>
    </row>
    <row r="316" spans="18:32">
      <c r="R316" s="389"/>
      <c r="S316" s="389"/>
      <c r="T316" s="389"/>
      <c r="U316" s="389"/>
      <c r="V316" s="389"/>
      <c r="W316" s="390"/>
      <c r="X316" s="390"/>
      <c r="Y316" s="390"/>
      <c r="Z316" s="390"/>
      <c r="AA316" s="390"/>
      <c r="AB316" s="390"/>
      <c r="AC316" s="375"/>
      <c r="AD316" s="375"/>
      <c r="AE316" s="375"/>
      <c r="AF316" s="375"/>
    </row>
    <row r="317" spans="18:32">
      <c r="R317" s="389"/>
      <c r="S317" s="389"/>
      <c r="T317" s="389"/>
      <c r="U317" s="389"/>
      <c r="V317" s="389"/>
      <c r="W317" s="390"/>
      <c r="X317" s="390"/>
      <c r="Y317" s="390"/>
      <c r="Z317" s="390"/>
      <c r="AA317" s="390"/>
      <c r="AB317" s="390"/>
      <c r="AC317" s="375"/>
      <c r="AD317" s="375"/>
      <c r="AE317" s="375"/>
      <c r="AF317" s="375"/>
    </row>
    <row r="318" spans="18:32">
      <c r="R318" s="389"/>
      <c r="S318" s="389"/>
      <c r="T318" s="389"/>
      <c r="U318" s="389"/>
      <c r="V318" s="389"/>
      <c r="W318" s="390"/>
      <c r="X318" s="390"/>
      <c r="Y318" s="390"/>
      <c r="Z318" s="390"/>
      <c r="AA318" s="390"/>
      <c r="AB318" s="390"/>
      <c r="AC318" s="375"/>
      <c r="AD318" s="375"/>
      <c r="AE318" s="375"/>
      <c r="AF318" s="375"/>
    </row>
    <row r="319" spans="18:32">
      <c r="R319" s="389"/>
      <c r="S319" s="389"/>
      <c r="T319" s="389"/>
      <c r="U319" s="389"/>
      <c r="V319" s="389"/>
      <c r="W319" s="390"/>
      <c r="X319" s="390"/>
      <c r="Y319" s="390"/>
      <c r="Z319" s="390"/>
      <c r="AA319" s="390"/>
      <c r="AB319" s="390"/>
      <c r="AC319" s="375"/>
      <c r="AD319" s="375"/>
      <c r="AE319" s="375"/>
      <c r="AF319" s="375"/>
    </row>
    <row r="320" spans="18:32">
      <c r="R320" s="389"/>
      <c r="S320" s="389"/>
      <c r="T320" s="389"/>
      <c r="U320" s="389"/>
      <c r="V320" s="389"/>
      <c r="W320" s="390"/>
      <c r="X320" s="390"/>
      <c r="Y320" s="390"/>
      <c r="Z320" s="390"/>
      <c r="AA320" s="390"/>
      <c r="AB320" s="390"/>
      <c r="AC320" s="375"/>
      <c r="AD320" s="375"/>
      <c r="AE320" s="375"/>
      <c r="AF320" s="375"/>
    </row>
    <row r="321" spans="18:32">
      <c r="R321" s="389"/>
      <c r="S321" s="389"/>
      <c r="T321" s="389"/>
      <c r="U321" s="389"/>
      <c r="V321" s="389"/>
      <c r="W321" s="390"/>
      <c r="X321" s="390"/>
      <c r="Y321" s="390"/>
      <c r="Z321" s="390"/>
      <c r="AA321" s="390"/>
      <c r="AB321" s="390"/>
      <c r="AC321" s="375"/>
      <c r="AD321" s="375"/>
      <c r="AE321" s="375"/>
      <c r="AF321" s="375"/>
    </row>
    <row r="322" spans="18:32">
      <c r="R322" s="389"/>
      <c r="S322" s="389"/>
      <c r="T322" s="389"/>
      <c r="U322" s="389"/>
      <c r="V322" s="389"/>
      <c r="W322" s="390"/>
      <c r="X322" s="390"/>
      <c r="Y322" s="390"/>
      <c r="Z322" s="390"/>
      <c r="AA322" s="390"/>
      <c r="AB322" s="390"/>
      <c r="AC322" s="375"/>
      <c r="AD322" s="375"/>
      <c r="AE322" s="375"/>
      <c r="AF322" s="375"/>
    </row>
    <row r="323" spans="18:32">
      <c r="R323" s="389"/>
      <c r="S323" s="389"/>
      <c r="T323" s="389"/>
      <c r="U323" s="389"/>
      <c r="V323" s="389"/>
      <c r="W323" s="390"/>
      <c r="X323" s="390"/>
      <c r="Y323" s="390"/>
      <c r="Z323" s="390"/>
      <c r="AA323" s="390"/>
      <c r="AB323" s="390"/>
      <c r="AC323" s="375"/>
      <c r="AD323" s="375"/>
      <c r="AE323" s="375"/>
      <c r="AF323" s="375"/>
    </row>
    <row r="324" spans="18:32">
      <c r="R324" s="389"/>
      <c r="S324" s="389"/>
      <c r="T324" s="389"/>
      <c r="U324" s="389"/>
      <c r="V324" s="389"/>
      <c r="W324" s="390"/>
      <c r="X324" s="390"/>
      <c r="Y324" s="390"/>
      <c r="Z324" s="390"/>
      <c r="AA324" s="390"/>
      <c r="AB324" s="390"/>
      <c r="AC324" s="375"/>
      <c r="AD324" s="375"/>
      <c r="AE324" s="375"/>
      <c r="AF324" s="375"/>
    </row>
    <row r="325" spans="18:32">
      <c r="R325" s="389"/>
      <c r="S325" s="389"/>
      <c r="T325" s="389"/>
      <c r="U325" s="389"/>
      <c r="V325" s="389"/>
      <c r="W325" s="390"/>
      <c r="X325" s="390"/>
      <c r="Y325" s="390"/>
      <c r="Z325" s="390"/>
      <c r="AA325" s="390"/>
      <c r="AB325" s="390"/>
      <c r="AC325" s="375"/>
      <c r="AD325" s="375"/>
      <c r="AE325" s="375"/>
      <c r="AF325" s="375"/>
    </row>
    <row r="326" spans="18:32">
      <c r="R326" s="389"/>
      <c r="S326" s="389"/>
      <c r="T326" s="389"/>
      <c r="U326" s="389"/>
      <c r="V326" s="389"/>
      <c r="W326" s="390"/>
      <c r="X326" s="390"/>
      <c r="Y326" s="390"/>
      <c r="Z326" s="390"/>
      <c r="AA326" s="390"/>
      <c r="AB326" s="390"/>
      <c r="AC326" s="375"/>
      <c r="AD326" s="375"/>
      <c r="AE326" s="375"/>
      <c r="AF326" s="375"/>
    </row>
    <row r="327" spans="18:32">
      <c r="R327" s="389"/>
      <c r="S327" s="389"/>
      <c r="T327" s="389"/>
      <c r="U327" s="389"/>
      <c r="V327" s="389"/>
      <c r="W327" s="390"/>
      <c r="X327" s="390"/>
      <c r="Y327" s="390"/>
      <c r="Z327" s="390"/>
      <c r="AA327" s="390"/>
      <c r="AB327" s="390"/>
      <c r="AC327" s="375"/>
      <c r="AD327" s="375"/>
      <c r="AE327" s="375"/>
      <c r="AF327" s="375"/>
    </row>
    <row r="328" spans="18:32">
      <c r="R328" s="389"/>
      <c r="S328" s="389"/>
      <c r="T328" s="389"/>
      <c r="U328" s="389"/>
      <c r="V328" s="389"/>
      <c r="W328" s="390"/>
      <c r="X328" s="390"/>
      <c r="Y328" s="390"/>
      <c r="Z328" s="390"/>
      <c r="AA328" s="390"/>
      <c r="AB328" s="390"/>
      <c r="AC328" s="375"/>
      <c r="AD328" s="375"/>
      <c r="AE328" s="375"/>
      <c r="AF328" s="375"/>
    </row>
    <row r="329" spans="18:32">
      <c r="R329" s="389"/>
      <c r="S329" s="389"/>
      <c r="T329" s="389"/>
      <c r="U329" s="389"/>
      <c r="V329" s="389"/>
      <c r="W329" s="390"/>
      <c r="X329" s="390"/>
      <c r="Y329" s="390"/>
      <c r="Z329" s="390"/>
      <c r="AA329" s="390"/>
      <c r="AB329" s="390"/>
      <c r="AC329" s="375"/>
      <c r="AD329" s="375"/>
      <c r="AE329" s="375"/>
      <c r="AF329" s="375"/>
    </row>
    <row r="330" spans="18:32">
      <c r="R330" s="389"/>
      <c r="S330" s="389"/>
      <c r="T330" s="389"/>
      <c r="U330" s="389"/>
      <c r="V330" s="389"/>
      <c r="W330" s="390"/>
      <c r="X330" s="390"/>
      <c r="Y330" s="390"/>
      <c r="Z330" s="390"/>
      <c r="AA330" s="390"/>
      <c r="AB330" s="390"/>
      <c r="AC330" s="375"/>
      <c r="AD330" s="375"/>
      <c r="AE330" s="375"/>
      <c r="AF330" s="375"/>
    </row>
    <row r="331" spans="18:32">
      <c r="R331" s="389"/>
      <c r="S331" s="389"/>
      <c r="T331" s="389"/>
      <c r="U331" s="389"/>
      <c r="V331" s="389"/>
      <c r="W331" s="390"/>
      <c r="X331" s="390"/>
      <c r="Y331" s="390"/>
      <c r="Z331" s="390"/>
      <c r="AA331" s="390"/>
      <c r="AB331" s="390"/>
      <c r="AC331" s="375"/>
      <c r="AD331" s="375"/>
      <c r="AE331" s="375"/>
      <c r="AF331" s="375"/>
    </row>
    <row r="332" spans="18:32">
      <c r="R332" s="389"/>
      <c r="S332" s="389"/>
      <c r="T332" s="389"/>
      <c r="U332" s="389"/>
      <c r="V332" s="389"/>
      <c r="W332" s="390"/>
      <c r="X332" s="390"/>
      <c r="Y332" s="390"/>
      <c r="Z332" s="390"/>
      <c r="AA332" s="390"/>
      <c r="AB332" s="390"/>
      <c r="AC332" s="375"/>
      <c r="AD332" s="375"/>
      <c r="AE332" s="375"/>
      <c r="AF332" s="375"/>
    </row>
    <row r="333" spans="18:32">
      <c r="R333" s="389"/>
      <c r="S333" s="389"/>
      <c r="T333" s="389"/>
      <c r="U333" s="389"/>
      <c r="V333" s="389"/>
      <c r="W333" s="390"/>
      <c r="X333" s="390"/>
      <c r="Y333" s="390"/>
      <c r="Z333" s="390"/>
      <c r="AA333" s="390"/>
      <c r="AB333" s="390"/>
      <c r="AC333" s="375"/>
      <c r="AD333" s="375"/>
      <c r="AE333" s="375"/>
      <c r="AF333" s="375"/>
    </row>
    <row r="334" spans="18:32">
      <c r="R334" s="389"/>
      <c r="S334" s="389"/>
      <c r="T334" s="389"/>
      <c r="U334" s="389"/>
      <c r="V334" s="389"/>
      <c r="W334" s="390"/>
      <c r="X334" s="390"/>
      <c r="Y334" s="390"/>
      <c r="Z334" s="390"/>
      <c r="AA334" s="390"/>
      <c r="AB334" s="390"/>
      <c r="AC334" s="375"/>
      <c r="AD334" s="375"/>
      <c r="AE334" s="375"/>
      <c r="AF334" s="375"/>
    </row>
    <row r="335" spans="18:32">
      <c r="R335" s="389"/>
      <c r="S335" s="389"/>
      <c r="T335" s="389"/>
      <c r="U335" s="389"/>
      <c r="V335" s="389"/>
      <c r="W335" s="390"/>
      <c r="X335" s="390"/>
      <c r="Y335" s="390"/>
      <c r="Z335" s="390"/>
      <c r="AA335" s="390"/>
      <c r="AB335" s="390"/>
      <c r="AC335" s="375"/>
      <c r="AD335" s="375"/>
      <c r="AE335" s="375"/>
      <c r="AF335" s="375"/>
    </row>
    <row r="336" spans="18:32">
      <c r="R336" s="389"/>
      <c r="S336" s="389"/>
      <c r="T336" s="389"/>
      <c r="U336" s="389"/>
      <c r="V336" s="389"/>
      <c r="W336" s="390"/>
      <c r="X336" s="390"/>
      <c r="Y336" s="390"/>
      <c r="Z336" s="390"/>
      <c r="AA336" s="390"/>
      <c r="AB336" s="390"/>
      <c r="AC336" s="375"/>
      <c r="AD336" s="375"/>
      <c r="AE336" s="375"/>
      <c r="AF336" s="375"/>
    </row>
    <row r="337" spans="18:32">
      <c r="R337" s="389"/>
      <c r="S337" s="389"/>
      <c r="T337" s="389"/>
      <c r="U337" s="389"/>
      <c r="V337" s="389"/>
      <c r="W337" s="390"/>
      <c r="X337" s="390"/>
      <c r="Y337" s="390"/>
      <c r="Z337" s="390"/>
      <c r="AA337" s="390"/>
      <c r="AB337" s="390"/>
      <c r="AC337" s="375"/>
      <c r="AD337" s="375"/>
      <c r="AE337" s="375"/>
      <c r="AF337" s="375"/>
    </row>
    <row r="338" spans="18:32">
      <c r="R338" s="389"/>
      <c r="S338" s="389"/>
      <c r="T338" s="389"/>
      <c r="U338" s="389"/>
      <c r="V338" s="389"/>
      <c r="W338" s="390"/>
      <c r="X338" s="390"/>
      <c r="Y338" s="390"/>
      <c r="Z338" s="390"/>
      <c r="AA338" s="390"/>
      <c r="AB338" s="390"/>
      <c r="AC338" s="375"/>
      <c r="AD338" s="375"/>
      <c r="AE338" s="375"/>
      <c r="AF338" s="375"/>
    </row>
    <row r="339" spans="18:32">
      <c r="R339" s="389"/>
      <c r="S339" s="389"/>
      <c r="T339" s="389"/>
      <c r="U339" s="389"/>
      <c r="V339" s="389"/>
      <c r="W339" s="390"/>
      <c r="X339" s="390"/>
      <c r="Y339" s="390"/>
      <c r="Z339" s="390"/>
      <c r="AA339" s="390"/>
      <c r="AB339" s="390"/>
      <c r="AC339" s="375"/>
      <c r="AD339" s="375"/>
      <c r="AE339" s="375"/>
      <c r="AF339" s="375"/>
    </row>
    <row r="340" spans="18:32">
      <c r="R340" s="389"/>
      <c r="S340" s="389"/>
      <c r="T340" s="389"/>
      <c r="U340" s="389"/>
      <c r="V340" s="389"/>
      <c r="W340" s="390"/>
      <c r="X340" s="390"/>
      <c r="Y340" s="390"/>
      <c r="Z340" s="390"/>
      <c r="AA340" s="390"/>
      <c r="AB340" s="390"/>
      <c r="AC340" s="375"/>
      <c r="AD340" s="375"/>
      <c r="AE340" s="375"/>
      <c r="AF340" s="375"/>
    </row>
    <row r="341" spans="18:32">
      <c r="R341" s="389"/>
      <c r="S341" s="389"/>
      <c r="T341" s="389"/>
      <c r="U341" s="389"/>
      <c r="V341" s="389"/>
      <c r="W341" s="390"/>
      <c r="X341" s="390"/>
      <c r="Y341" s="390"/>
      <c r="Z341" s="390"/>
      <c r="AA341" s="390"/>
      <c r="AB341" s="390"/>
      <c r="AC341" s="375"/>
      <c r="AD341" s="375"/>
      <c r="AE341" s="375"/>
      <c r="AF341" s="375"/>
    </row>
    <row r="342" spans="18:32">
      <c r="R342" s="389"/>
      <c r="S342" s="389"/>
      <c r="T342" s="389"/>
      <c r="U342" s="389"/>
      <c r="V342" s="389"/>
      <c r="W342" s="390"/>
      <c r="X342" s="390"/>
      <c r="Y342" s="390"/>
      <c r="Z342" s="390"/>
      <c r="AA342" s="390"/>
      <c r="AB342" s="390"/>
      <c r="AC342" s="375"/>
      <c r="AD342" s="375"/>
      <c r="AE342" s="375"/>
      <c r="AF342" s="375"/>
    </row>
    <row r="343" spans="18:32">
      <c r="R343" s="389"/>
      <c r="S343" s="389"/>
      <c r="T343" s="389"/>
      <c r="U343" s="389"/>
      <c r="V343" s="389"/>
      <c r="W343" s="390"/>
      <c r="X343" s="390"/>
      <c r="Y343" s="390"/>
      <c r="Z343" s="390"/>
      <c r="AA343" s="390"/>
      <c r="AB343" s="390"/>
      <c r="AC343" s="375"/>
      <c r="AD343" s="375"/>
      <c r="AE343" s="375"/>
      <c r="AF343" s="375"/>
    </row>
    <row r="344" spans="18:32">
      <c r="R344" s="389"/>
      <c r="S344" s="389"/>
      <c r="T344" s="389"/>
      <c r="U344" s="389"/>
      <c r="V344" s="389"/>
      <c r="W344" s="390"/>
      <c r="X344" s="390"/>
      <c r="Y344" s="390"/>
      <c r="Z344" s="390"/>
      <c r="AA344" s="390"/>
      <c r="AB344" s="390"/>
      <c r="AC344" s="375"/>
      <c r="AD344" s="375"/>
      <c r="AE344" s="375"/>
      <c r="AF344" s="375"/>
    </row>
    <row r="345" spans="18:32">
      <c r="R345" s="389"/>
      <c r="S345" s="389"/>
      <c r="T345" s="389"/>
      <c r="U345" s="389"/>
      <c r="V345" s="389"/>
      <c r="W345" s="390"/>
      <c r="X345" s="390"/>
      <c r="Y345" s="390"/>
      <c r="Z345" s="390"/>
      <c r="AA345" s="390"/>
      <c r="AB345" s="390"/>
      <c r="AC345" s="375"/>
      <c r="AD345" s="375"/>
      <c r="AE345" s="375"/>
      <c r="AF345" s="375"/>
    </row>
    <row r="346" spans="18:32">
      <c r="R346" s="389"/>
      <c r="S346" s="389"/>
      <c r="T346" s="389"/>
      <c r="U346" s="389"/>
      <c r="V346" s="389"/>
      <c r="W346" s="390"/>
      <c r="X346" s="390"/>
      <c r="Y346" s="390"/>
      <c r="Z346" s="390"/>
      <c r="AA346" s="390"/>
      <c r="AB346" s="390"/>
      <c r="AC346" s="375"/>
      <c r="AD346" s="375"/>
      <c r="AE346" s="375"/>
      <c r="AF346" s="375"/>
    </row>
    <row r="347" spans="18:32">
      <c r="R347" s="389"/>
      <c r="S347" s="389"/>
      <c r="T347" s="389"/>
      <c r="U347" s="389"/>
      <c r="V347" s="389"/>
      <c r="W347" s="390"/>
      <c r="X347" s="390"/>
      <c r="Y347" s="390"/>
      <c r="Z347" s="390"/>
      <c r="AA347" s="390"/>
      <c r="AB347" s="390"/>
      <c r="AC347" s="375"/>
      <c r="AD347" s="375"/>
      <c r="AE347" s="375"/>
      <c r="AF347" s="375"/>
    </row>
    <row r="348" spans="18:32">
      <c r="R348" s="389"/>
      <c r="S348" s="389"/>
      <c r="T348" s="389"/>
      <c r="U348" s="389"/>
      <c r="V348" s="389"/>
      <c r="W348" s="390"/>
      <c r="X348" s="390"/>
      <c r="Y348" s="390"/>
      <c r="Z348" s="390"/>
      <c r="AA348" s="390"/>
      <c r="AB348" s="390"/>
      <c r="AC348" s="375"/>
      <c r="AD348" s="375"/>
      <c r="AE348" s="375"/>
      <c r="AF348" s="375"/>
    </row>
    <row r="349" spans="18:32">
      <c r="R349" s="389"/>
      <c r="S349" s="389"/>
      <c r="T349" s="389"/>
      <c r="U349" s="389"/>
      <c r="V349" s="389"/>
      <c r="W349" s="390"/>
      <c r="X349" s="390"/>
      <c r="Y349" s="390"/>
      <c r="Z349" s="390"/>
      <c r="AA349" s="390"/>
      <c r="AB349" s="390"/>
      <c r="AC349" s="375"/>
      <c r="AD349" s="375"/>
      <c r="AE349" s="375"/>
      <c r="AF349" s="375"/>
    </row>
    <row r="350" spans="18:32">
      <c r="R350" s="389"/>
      <c r="S350" s="389"/>
      <c r="T350" s="389"/>
      <c r="U350" s="389"/>
      <c r="V350" s="389"/>
      <c r="W350" s="390"/>
      <c r="X350" s="390"/>
      <c r="Y350" s="390"/>
      <c r="Z350" s="390"/>
      <c r="AA350" s="390"/>
      <c r="AB350" s="390"/>
      <c r="AC350" s="375"/>
      <c r="AD350" s="375"/>
      <c r="AE350" s="375"/>
      <c r="AF350" s="375"/>
    </row>
    <row r="351" spans="18:32">
      <c r="R351" s="389"/>
      <c r="S351" s="389"/>
      <c r="T351" s="389"/>
      <c r="U351" s="389"/>
      <c r="V351" s="389"/>
      <c r="W351" s="390"/>
      <c r="X351" s="390"/>
      <c r="Y351" s="390"/>
      <c r="Z351" s="390"/>
      <c r="AA351" s="390"/>
      <c r="AB351" s="390"/>
      <c r="AC351" s="375"/>
      <c r="AD351" s="375"/>
      <c r="AE351" s="375"/>
      <c r="AF351" s="375"/>
    </row>
    <row r="352" spans="18:32">
      <c r="R352" s="389"/>
      <c r="S352" s="389"/>
      <c r="T352" s="389"/>
      <c r="U352" s="389"/>
      <c r="V352" s="389"/>
      <c r="W352" s="390"/>
      <c r="X352" s="390"/>
      <c r="Y352" s="390"/>
      <c r="Z352" s="390"/>
      <c r="AA352" s="390"/>
      <c r="AB352" s="390"/>
      <c r="AC352" s="375"/>
      <c r="AD352" s="375"/>
      <c r="AE352" s="375"/>
      <c r="AF352" s="375"/>
    </row>
    <row r="353" spans="18:32">
      <c r="R353" s="389"/>
      <c r="S353" s="389"/>
      <c r="T353" s="389"/>
      <c r="U353" s="389"/>
      <c r="V353" s="389"/>
      <c r="W353" s="390"/>
      <c r="X353" s="390"/>
      <c r="Y353" s="390"/>
      <c r="Z353" s="390"/>
      <c r="AA353" s="390"/>
      <c r="AB353" s="390"/>
      <c r="AC353" s="375"/>
      <c r="AD353" s="375"/>
      <c r="AE353" s="375"/>
      <c r="AF353" s="375"/>
    </row>
    <row r="354" spans="18:32">
      <c r="R354" s="389"/>
      <c r="S354" s="389"/>
      <c r="T354" s="389"/>
      <c r="U354" s="389"/>
      <c r="V354" s="389"/>
      <c r="W354" s="390"/>
      <c r="X354" s="390"/>
      <c r="Y354" s="390"/>
      <c r="Z354" s="390"/>
      <c r="AA354" s="390"/>
      <c r="AB354" s="390"/>
      <c r="AC354" s="375"/>
      <c r="AD354" s="375"/>
      <c r="AE354" s="375"/>
      <c r="AF354" s="375"/>
    </row>
    <row r="355" spans="18:32">
      <c r="R355" s="389"/>
      <c r="S355" s="389"/>
      <c r="T355" s="389"/>
      <c r="U355" s="389"/>
      <c r="V355" s="389"/>
      <c r="W355" s="390"/>
      <c r="X355" s="390"/>
      <c r="Y355" s="390"/>
      <c r="Z355" s="390"/>
      <c r="AA355" s="390"/>
      <c r="AB355" s="390"/>
      <c r="AC355" s="375"/>
      <c r="AD355" s="375"/>
      <c r="AE355" s="375"/>
      <c r="AF355" s="375"/>
    </row>
    <row r="356" spans="18:32">
      <c r="R356" s="389"/>
      <c r="S356" s="389"/>
      <c r="T356" s="389"/>
      <c r="U356" s="389"/>
      <c r="V356" s="389"/>
      <c r="W356" s="390"/>
      <c r="X356" s="390"/>
      <c r="Y356" s="390"/>
      <c r="Z356" s="390"/>
      <c r="AA356" s="390"/>
      <c r="AB356" s="390"/>
      <c r="AC356" s="375"/>
      <c r="AD356" s="375"/>
      <c r="AE356" s="375"/>
      <c r="AF356" s="375"/>
    </row>
    <row r="357" spans="18:32">
      <c r="R357" s="389"/>
      <c r="S357" s="389"/>
      <c r="T357" s="389"/>
      <c r="U357" s="389"/>
      <c r="V357" s="389"/>
      <c r="W357" s="390"/>
      <c r="X357" s="390"/>
      <c r="Y357" s="390"/>
      <c r="Z357" s="390"/>
      <c r="AA357" s="390"/>
      <c r="AB357" s="390"/>
      <c r="AC357" s="375"/>
      <c r="AD357" s="375"/>
      <c r="AE357" s="375"/>
      <c r="AF357" s="375"/>
    </row>
    <row r="358" spans="18:32">
      <c r="R358" s="389"/>
      <c r="S358" s="389"/>
      <c r="T358" s="389"/>
      <c r="U358" s="389"/>
      <c r="V358" s="389"/>
      <c r="W358" s="390"/>
      <c r="X358" s="390"/>
      <c r="Y358" s="390"/>
      <c r="Z358" s="390"/>
      <c r="AA358" s="390"/>
      <c r="AB358" s="390"/>
      <c r="AC358" s="375"/>
      <c r="AD358" s="375"/>
      <c r="AE358" s="375"/>
      <c r="AF358" s="375"/>
    </row>
    <row r="359" spans="18:32">
      <c r="R359" s="389"/>
      <c r="S359" s="389"/>
      <c r="T359" s="389"/>
      <c r="U359" s="389"/>
      <c r="V359" s="389"/>
      <c r="W359" s="390"/>
      <c r="X359" s="390"/>
      <c r="Y359" s="390"/>
      <c r="Z359" s="390"/>
      <c r="AA359" s="390"/>
      <c r="AB359" s="390"/>
      <c r="AC359" s="375"/>
      <c r="AD359" s="375"/>
      <c r="AE359" s="375"/>
      <c r="AF359" s="375"/>
    </row>
    <row r="360" spans="18:32">
      <c r="R360" s="389"/>
      <c r="S360" s="389"/>
      <c r="T360" s="389"/>
      <c r="U360" s="389"/>
      <c r="V360" s="389"/>
      <c r="W360" s="390"/>
      <c r="X360" s="390"/>
      <c r="Y360" s="390"/>
      <c r="Z360" s="390"/>
      <c r="AA360" s="390"/>
      <c r="AB360" s="390"/>
      <c r="AC360" s="375"/>
      <c r="AD360" s="375"/>
      <c r="AE360" s="375"/>
      <c r="AF360" s="375"/>
    </row>
    <row r="361" spans="18:32">
      <c r="R361" s="389"/>
      <c r="S361" s="389"/>
      <c r="T361" s="389"/>
      <c r="U361" s="389"/>
      <c r="V361" s="389"/>
      <c r="W361" s="390"/>
      <c r="X361" s="390"/>
      <c r="Y361" s="390"/>
      <c r="Z361" s="390"/>
      <c r="AA361" s="390"/>
      <c r="AB361" s="390"/>
      <c r="AC361" s="375"/>
      <c r="AD361" s="375"/>
      <c r="AE361" s="375"/>
      <c r="AF361" s="375"/>
    </row>
    <row r="362" spans="18:32">
      <c r="R362" s="389"/>
      <c r="S362" s="389"/>
      <c r="T362" s="389"/>
      <c r="U362" s="389"/>
      <c r="V362" s="389"/>
      <c r="W362" s="390"/>
      <c r="X362" s="390"/>
      <c r="Y362" s="390"/>
      <c r="Z362" s="390"/>
      <c r="AA362" s="390"/>
      <c r="AB362" s="390"/>
      <c r="AC362" s="375"/>
      <c r="AD362" s="375"/>
      <c r="AE362" s="375"/>
      <c r="AF362" s="375"/>
    </row>
    <row r="363" spans="18:32">
      <c r="R363" s="389"/>
      <c r="S363" s="389"/>
      <c r="T363" s="389"/>
      <c r="U363" s="389"/>
      <c r="V363" s="389"/>
      <c r="W363" s="390"/>
      <c r="X363" s="390"/>
      <c r="Y363" s="390"/>
      <c r="Z363" s="390"/>
      <c r="AA363" s="390"/>
      <c r="AB363" s="390"/>
      <c r="AC363" s="375"/>
      <c r="AD363" s="375"/>
      <c r="AE363" s="375"/>
      <c r="AF363" s="375"/>
    </row>
    <row r="364" spans="18:32">
      <c r="R364" s="389"/>
      <c r="S364" s="389"/>
      <c r="T364" s="389"/>
      <c r="U364" s="389"/>
      <c r="V364" s="389"/>
      <c r="W364" s="390"/>
      <c r="X364" s="390"/>
      <c r="Y364" s="390"/>
      <c r="Z364" s="390"/>
      <c r="AA364" s="390"/>
      <c r="AB364" s="390"/>
      <c r="AC364" s="375"/>
      <c r="AD364" s="375"/>
      <c r="AE364" s="375"/>
      <c r="AF364" s="375"/>
    </row>
    <row r="365" spans="18:32">
      <c r="R365" s="389"/>
      <c r="S365" s="389"/>
      <c r="T365" s="389"/>
      <c r="U365" s="389"/>
      <c r="V365" s="389"/>
      <c r="W365" s="390"/>
      <c r="X365" s="390"/>
      <c r="Y365" s="390"/>
      <c r="Z365" s="390"/>
      <c r="AA365" s="390"/>
      <c r="AB365" s="390"/>
      <c r="AC365" s="375"/>
      <c r="AD365" s="375"/>
      <c r="AE365" s="375"/>
      <c r="AF365" s="375"/>
    </row>
    <row r="366" spans="18:32">
      <c r="R366" s="389"/>
      <c r="S366" s="389"/>
      <c r="T366" s="389"/>
      <c r="U366" s="389"/>
      <c r="V366" s="389"/>
      <c r="W366" s="390"/>
      <c r="X366" s="390"/>
      <c r="Y366" s="390"/>
      <c r="Z366" s="390"/>
      <c r="AA366" s="390"/>
      <c r="AB366" s="390"/>
      <c r="AC366" s="375"/>
      <c r="AD366" s="375"/>
      <c r="AE366" s="375"/>
      <c r="AF366" s="375"/>
    </row>
    <row r="367" spans="18:32">
      <c r="R367" s="389"/>
      <c r="S367" s="389"/>
      <c r="T367" s="389"/>
      <c r="U367" s="389"/>
      <c r="V367" s="389"/>
      <c r="W367" s="390"/>
      <c r="X367" s="390"/>
      <c r="Y367" s="390"/>
      <c r="Z367" s="390"/>
      <c r="AA367" s="390"/>
      <c r="AB367" s="390"/>
      <c r="AC367" s="375"/>
      <c r="AD367" s="375"/>
      <c r="AE367" s="375"/>
      <c r="AF367" s="375"/>
    </row>
    <row r="368" spans="18:32">
      <c r="R368" s="389"/>
      <c r="S368" s="389"/>
      <c r="T368" s="389"/>
      <c r="U368" s="389"/>
      <c r="V368" s="389"/>
      <c r="W368" s="390"/>
      <c r="X368" s="390"/>
      <c r="Y368" s="390"/>
      <c r="Z368" s="390"/>
      <c r="AA368" s="390"/>
      <c r="AB368" s="390"/>
      <c r="AC368" s="375"/>
      <c r="AD368" s="375"/>
      <c r="AE368" s="375"/>
      <c r="AF368" s="375"/>
    </row>
    <row r="369" spans="18:32">
      <c r="R369" s="389"/>
      <c r="S369" s="389"/>
      <c r="T369" s="389"/>
      <c r="U369" s="389"/>
      <c r="V369" s="389"/>
      <c r="W369" s="390"/>
      <c r="X369" s="390"/>
      <c r="Y369" s="390"/>
      <c r="Z369" s="390"/>
      <c r="AA369" s="390"/>
      <c r="AB369" s="390"/>
      <c r="AC369" s="375"/>
      <c r="AD369" s="375"/>
      <c r="AE369" s="375"/>
      <c r="AF369" s="375"/>
    </row>
    <row r="370" spans="18:32">
      <c r="R370" s="389"/>
      <c r="S370" s="389"/>
      <c r="T370" s="389"/>
      <c r="U370" s="389"/>
      <c r="V370" s="389"/>
      <c r="W370" s="390"/>
      <c r="X370" s="390"/>
      <c r="Y370" s="390"/>
      <c r="Z370" s="390"/>
      <c r="AA370" s="390"/>
      <c r="AB370" s="390"/>
      <c r="AC370" s="375"/>
      <c r="AD370" s="375"/>
      <c r="AE370" s="375"/>
      <c r="AF370" s="375"/>
    </row>
    <row r="371" spans="18:32">
      <c r="R371" s="389"/>
      <c r="S371" s="389"/>
      <c r="T371" s="389"/>
      <c r="U371" s="389"/>
      <c r="V371" s="389"/>
      <c r="W371" s="390"/>
      <c r="X371" s="390"/>
      <c r="Y371" s="390"/>
      <c r="Z371" s="390"/>
      <c r="AA371" s="390"/>
      <c r="AB371" s="390"/>
      <c r="AC371" s="375"/>
      <c r="AD371" s="375"/>
      <c r="AE371" s="375"/>
      <c r="AF371" s="375"/>
    </row>
    <row r="372" spans="18:32">
      <c r="R372" s="389"/>
      <c r="S372" s="389"/>
      <c r="T372" s="389"/>
      <c r="U372" s="389"/>
      <c r="V372" s="389"/>
      <c r="W372" s="390"/>
      <c r="X372" s="390"/>
      <c r="Y372" s="390"/>
      <c r="Z372" s="390"/>
      <c r="AA372" s="390"/>
      <c r="AB372" s="390"/>
      <c r="AC372" s="375"/>
      <c r="AD372" s="375"/>
      <c r="AE372" s="375"/>
      <c r="AF372" s="375"/>
    </row>
    <row r="373" spans="18:32">
      <c r="R373" s="389"/>
      <c r="S373" s="389"/>
      <c r="T373" s="389"/>
      <c r="U373" s="389"/>
      <c r="V373" s="389"/>
      <c r="W373" s="390"/>
      <c r="X373" s="390"/>
      <c r="Y373" s="390"/>
      <c r="Z373" s="390"/>
      <c r="AA373" s="390"/>
      <c r="AB373" s="390"/>
      <c r="AC373" s="375"/>
      <c r="AD373" s="375"/>
      <c r="AE373" s="375"/>
      <c r="AF373" s="375"/>
    </row>
    <row r="374" spans="18:32">
      <c r="R374" s="389"/>
      <c r="S374" s="389"/>
      <c r="T374" s="389"/>
      <c r="U374" s="389"/>
      <c r="V374" s="389"/>
      <c r="W374" s="390"/>
      <c r="X374" s="390"/>
      <c r="Y374" s="390"/>
      <c r="Z374" s="390"/>
      <c r="AA374" s="390"/>
      <c r="AB374" s="390"/>
      <c r="AC374" s="375"/>
      <c r="AD374" s="375"/>
      <c r="AE374" s="375"/>
      <c r="AF374" s="375"/>
    </row>
    <row r="375" spans="18:32">
      <c r="R375" s="389"/>
      <c r="S375" s="389"/>
      <c r="T375" s="389"/>
      <c r="U375" s="389"/>
      <c r="V375" s="389"/>
      <c r="W375" s="390"/>
      <c r="X375" s="390"/>
      <c r="Y375" s="390"/>
      <c r="Z375" s="390"/>
      <c r="AA375" s="390"/>
      <c r="AB375" s="390"/>
      <c r="AC375" s="375"/>
      <c r="AD375" s="375"/>
      <c r="AE375" s="375"/>
      <c r="AF375" s="375"/>
    </row>
    <row r="376" spans="18:32">
      <c r="R376" s="389"/>
      <c r="S376" s="389"/>
      <c r="T376" s="389"/>
      <c r="U376" s="389"/>
      <c r="V376" s="389"/>
      <c r="W376" s="390"/>
      <c r="X376" s="390"/>
      <c r="Y376" s="390"/>
      <c r="Z376" s="390"/>
      <c r="AA376" s="390"/>
      <c r="AB376" s="390"/>
      <c r="AC376" s="375"/>
      <c r="AD376" s="375"/>
      <c r="AE376" s="375"/>
      <c r="AF376" s="375"/>
    </row>
    <row r="377" spans="18:32">
      <c r="R377" s="389"/>
      <c r="S377" s="389"/>
      <c r="T377" s="389"/>
      <c r="U377" s="389"/>
      <c r="V377" s="389"/>
      <c r="W377" s="390"/>
      <c r="X377" s="390"/>
      <c r="Y377" s="390"/>
      <c r="Z377" s="390"/>
      <c r="AA377" s="390"/>
      <c r="AB377" s="390"/>
      <c r="AC377" s="375"/>
      <c r="AD377" s="375"/>
      <c r="AE377" s="375"/>
      <c r="AF377" s="375"/>
    </row>
    <row r="378" spans="18:32">
      <c r="R378" s="389"/>
      <c r="S378" s="389"/>
      <c r="T378" s="389"/>
      <c r="U378" s="389"/>
      <c r="V378" s="389"/>
      <c r="W378" s="390"/>
      <c r="X378" s="390"/>
      <c r="Y378" s="390"/>
      <c r="Z378" s="390"/>
      <c r="AA378" s="390"/>
      <c r="AB378" s="390"/>
      <c r="AC378" s="375"/>
      <c r="AD378" s="375"/>
      <c r="AE378" s="375"/>
      <c r="AF378" s="375"/>
    </row>
    <row r="379" spans="18:32">
      <c r="R379" s="389"/>
      <c r="S379" s="389"/>
      <c r="T379" s="389"/>
      <c r="U379" s="389"/>
      <c r="V379" s="389"/>
      <c r="W379" s="390"/>
      <c r="X379" s="390"/>
      <c r="Y379" s="390"/>
      <c r="Z379" s="390"/>
      <c r="AA379" s="390"/>
      <c r="AB379" s="390"/>
      <c r="AC379" s="375"/>
      <c r="AD379" s="375"/>
      <c r="AE379" s="375"/>
      <c r="AF379" s="375"/>
    </row>
    <row r="380" spans="18:32">
      <c r="R380" s="389"/>
      <c r="S380" s="389"/>
      <c r="T380" s="389"/>
      <c r="U380" s="389"/>
      <c r="V380" s="389"/>
      <c r="W380" s="390"/>
      <c r="X380" s="390"/>
      <c r="Y380" s="390"/>
      <c r="Z380" s="390"/>
      <c r="AA380" s="390"/>
      <c r="AB380" s="390"/>
      <c r="AC380" s="375"/>
      <c r="AD380" s="375"/>
      <c r="AE380" s="375"/>
      <c r="AF380" s="375"/>
    </row>
    <row r="381" spans="18:32">
      <c r="R381" s="389"/>
      <c r="S381" s="389"/>
      <c r="T381" s="389"/>
      <c r="U381" s="389"/>
      <c r="V381" s="389"/>
      <c r="W381" s="390"/>
      <c r="X381" s="390"/>
      <c r="Y381" s="390"/>
      <c r="Z381" s="390"/>
      <c r="AA381" s="390"/>
      <c r="AB381" s="390"/>
      <c r="AC381" s="375"/>
      <c r="AD381" s="375"/>
      <c r="AE381" s="375"/>
      <c r="AF381" s="375"/>
    </row>
    <row r="382" spans="18:32">
      <c r="R382" s="389"/>
      <c r="S382" s="389"/>
      <c r="T382" s="389"/>
      <c r="U382" s="389"/>
      <c r="V382" s="389"/>
      <c r="W382" s="390"/>
      <c r="X382" s="390"/>
      <c r="Y382" s="390"/>
      <c r="Z382" s="390"/>
      <c r="AA382" s="390"/>
      <c r="AB382" s="390"/>
      <c r="AC382" s="375"/>
      <c r="AD382" s="375"/>
      <c r="AE382" s="375"/>
      <c r="AF382" s="375"/>
    </row>
    <row r="383" spans="18:32">
      <c r="R383" s="389"/>
      <c r="S383" s="389"/>
      <c r="T383" s="389"/>
      <c r="U383" s="389"/>
      <c r="V383" s="389"/>
      <c r="W383" s="390"/>
      <c r="X383" s="390"/>
      <c r="Y383" s="390"/>
      <c r="Z383" s="390"/>
      <c r="AA383" s="390"/>
      <c r="AB383" s="390"/>
      <c r="AC383" s="375"/>
      <c r="AD383" s="375"/>
      <c r="AE383" s="375"/>
      <c r="AF383" s="375"/>
    </row>
    <row r="384" spans="18:32">
      <c r="R384" s="389"/>
      <c r="S384" s="389"/>
      <c r="T384" s="389"/>
      <c r="U384" s="389"/>
      <c r="V384" s="389"/>
      <c r="W384" s="390"/>
      <c r="X384" s="390"/>
      <c r="Y384" s="390"/>
      <c r="Z384" s="390"/>
      <c r="AA384" s="390"/>
      <c r="AB384" s="390"/>
      <c r="AC384" s="375"/>
      <c r="AD384" s="375"/>
      <c r="AE384" s="375"/>
      <c r="AF384" s="375"/>
    </row>
    <row r="385" spans="18:32">
      <c r="R385" s="389"/>
      <c r="S385" s="389"/>
      <c r="T385" s="389"/>
      <c r="U385" s="389"/>
      <c r="V385" s="389"/>
      <c r="W385" s="390"/>
      <c r="X385" s="390"/>
      <c r="Y385" s="390"/>
      <c r="Z385" s="390"/>
      <c r="AA385" s="390"/>
      <c r="AB385" s="390"/>
      <c r="AC385" s="375"/>
      <c r="AD385" s="375"/>
      <c r="AE385" s="375"/>
      <c r="AF385" s="375"/>
    </row>
    <row r="386" spans="18:32">
      <c r="R386" s="389"/>
      <c r="S386" s="389"/>
      <c r="T386" s="389"/>
      <c r="U386" s="389"/>
      <c r="V386" s="389"/>
      <c r="W386" s="390"/>
      <c r="X386" s="390"/>
      <c r="Y386" s="390"/>
      <c r="Z386" s="390"/>
      <c r="AA386" s="390"/>
      <c r="AB386" s="390"/>
      <c r="AC386" s="375"/>
      <c r="AD386" s="375"/>
      <c r="AE386" s="375"/>
      <c r="AF386" s="375"/>
    </row>
    <row r="387" spans="18:32">
      <c r="R387" s="389"/>
      <c r="S387" s="389"/>
      <c r="T387" s="389"/>
      <c r="U387" s="389"/>
      <c r="V387" s="389"/>
      <c r="W387" s="390"/>
      <c r="X387" s="390"/>
      <c r="Y387" s="390"/>
      <c r="Z387" s="390"/>
      <c r="AA387" s="390"/>
      <c r="AB387" s="390"/>
      <c r="AC387" s="375"/>
      <c r="AD387" s="375"/>
      <c r="AE387" s="375"/>
      <c r="AF387" s="375"/>
    </row>
    <row r="388" spans="18:32">
      <c r="R388" s="389"/>
      <c r="S388" s="389"/>
      <c r="T388" s="389"/>
      <c r="U388" s="389"/>
      <c r="V388" s="389"/>
      <c r="W388" s="390"/>
      <c r="X388" s="390"/>
      <c r="Y388" s="390"/>
      <c r="Z388" s="390"/>
      <c r="AA388" s="390"/>
      <c r="AB388" s="390"/>
      <c r="AC388" s="375"/>
      <c r="AD388" s="375"/>
      <c r="AE388" s="375"/>
      <c r="AF388" s="375"/>
    </row>
    <row r="389" spans="18:32">
      <c r="R389" s="389"/>
      <c r="S389" s="389"/>
      <c r="T389" s="389"/>
      <c r="U389" s="389"/>
      <c r="V389" s="389"/>
      <c r="W389" s="390"/>
      <c r="X389" s="390"/>
      <c r="Y389" s="390"/>
      <c r="Z389" s="390"/>
      <c r="AA389" s="390"/>
      <c r="AB389" s="390"/>
      <c r="AC389" s="375"/>
      <c r="AD389" s="375"/>
      <c r="AE389" s="375"/>
      <c r="AF389" s="375"/>
    </row>
    <row r="390" spans="18:32">
      <c r="R390" s="389"/>
      <c r="S390" s="389"/>
      <c r="T390" s="389"/>
      <c r="U390" s="389"/>
      <c r="V390" s="389"/>
      <c r="W390" s="390"/>
      <c r="X390" s="390"/>
      <c r="Y390" s="390"/>
      <c r="Z390" s="390"/>
      <c r="AA390" s="390"/>
      <c r="AB390" s="390"/>
      <c r="AC390" s="375"/>
      <c r="AD390" s="375"/>
      <c r="AE390" s="375"/>
      <c r="AF390" s="375"/>
    </row>
    <row r="391" spans="18:32">
      <c r="R391" s="389"/>
      <c r="S391" s="389"/>
      <c r="T391" s="389"/>
      <c r="U391" s="389"/>
      <c r="V391" s="389"/>
      <c r="W391" s="390"/>
      <c r="X391" s="390"/>
      <c r="Y391" s="390"/>
      <c r="Z391" s="390"/>
      <c r="AA391" s="390"/>
      <c r="AB391" s="390"/>
      <c r="AC391" s="375"/>
      <c r="AD391" s="375"/>
      <c r="AE391" s="375"/>
      <c r="AF391" s="375"/>
    </row>
    <row r="392" spans="18:32">
      <c r="R392" s="389"/>
      <c r="S392" s="389"/>
      <c r="T392" s="389"/>
      <c r="U392" s="389"/>
      <c r="V392" s="389"/>
      <c r="W392" s="390"/>
      <c r="X392" s="390"/>
      <c r="Y392" s="390"/>
      <c r="Z392" s="390"/>
      <c r="AA392" s="390"/>
      <c r="AB392" s="390"/>
      <c r="AC392" s="375"/>
      <c r="AD392" s="375"/>
      <c r="AE392" s="375"/>
      <c r="AF392" s="375"/>
    </row>
    <row r="393" spans="18:32">
      <c r="R393" s="389"/>
      <c r="S393" s="389"/>
      <c r="T393" s="389"/>
      <c r="U393" s="389"/>
      <c r="V393" s="389"/>
      <c r="W393" s="390"/>
      <c r="X393" s="390"/>
      <c r="Y393" s="390"/>
      <c r="Z393" s="390"/>
      <c r="AA393" s="390"/>
      <c r="AB393" s="390"/>
      <c r="AC393" s="375"/>
      <c r="AD393" s="375"/>
      <c r="AE393" s="375"/>
      <c r="AF393" s="375"/>
    </row>
    <row r="394" spans="18:32">
      <c r="R394" s="389"/>
      <c r="S394" s="389"/>
      <c r="T394" s="389"/>
      <c r="U394" s="389"/>
      <c r="V394" s="389"/>
      <c r="W394" s="390"/>
      <c r="X394" s="390"/>
      <c r="Y394" s="390"/>
      <c r="Z394" s="390"/>
      <c r="AA394" s="390"/>
      <c r="AB394" s="390"/>
      <c r="AC394" s="375"/>
      <c r="AD394" s="375"/>
      <c r="AE394" s="375"/>
      <c r="AF394" s="375"/>
    </row>
    <row r="395" spans="18:32">
      <c r="R395" s="389"/>
      <c r="S395" s="389"/>
      <c r="T395" s="389"/>
      <c r="U395" s="389"/>
      <c r="V395" s="389"/>
      <c r="W395" s="390"/>
      <c r="X395" s="390"/>
      <c r="Y395" s="390"/>
      <c r="Z395" s="390"/>
      <c r="AA395" s="390"/>
      <c r="AB395" s="390"/>
      <c r="AC395" s="375"/>
      <c r="AD395" s="375"/>
      <c r="AE395" s="375"/>
      <c r="AF395" s="375"/>
    </row>
    <row r="396" spans="18:32">
      <c r="R396" s="389"/>
      <c r="S396" s="389"/>
      <c r="T396" s="389"/>
      <c r="U396" s="389"/>
      <c r="V396" s="389"/>
      <c r="W396" s="390"/>
      <c r="X396" s="390"/>
      <c r="Y396" s="390"/>
      <c r="Z396" s="390"/>
      <c r="AA396" s="390"/>
      <c r="AB396" s="390"/>
      <c r="AC396" s="375"/>
      <c r="AD396" s="375"/>
      <c r="AE396" s="375"/>
      <c r="AF396" s="375"/>
    </row>
    <row r="397" spans="18:32">
      <c r="R397" s="389"/>
      <c r="S397" s="389"/>
      <c r="T397" s="389"/>
      <c r="U397" s="389"/>
      <c r="V397" s="389"/>
      <c r="W397" s="390"/>
      <c r="X397" s="390"/>
      <c r="Y397" s="390"/>
      <c r="Z397" s="390"/>
      <c r="AA397" s="390"/>
      <c r="AB397" s="390"/>
      <c r="AC397" s="375"/>
      <c r="AD397" s="375"/>
      <c r="AE397" s="375"/>
      <c r="AF397" s="375"/>
    </row>
    <row r="398" spans="18:32">
      <c r="R398" s="389"/>
      <c r="S398" s="389"/>
      <c r="T398" s="389"/>
      <c r="U398" s="389"/>
      <c r="V398" s="389"/>
      <c r="W398" s="390"/>
      <c r="X398" s="390"/>
      <c r="Y398" s="390"/>
      <c r="Z398" s="390"/>
      <c r="AA398" s="390"/>
      <c r="AB398" s="390"/>
      <c r="AC398" s="375"/>
      <c r="AD398" s="375"/>
      <c r="AE398" s="375"/>
      <c r="AF398" s="375"/>
    </row>
    <row r="399" spans="18:32">
      <c r="R399" s="389"/>
      <c r="S399" s="389"/>
      <c r="T399" s="389"/>
      <c r="U399" s="389"/>
      <c r="V399" s="389"/>
      <c r="W399" s="390"/>
      <c r="X399" s="390"/>
      <c r="Y399" s="390"/>
      <c r="Z399" s="390"/>
      <c r="AA399" s="390"/>
      <c r="AB399" s="390"/>
      <c r="AC399" s="375"/>
      <c r="AD399" s="375"/>
      <c r="AE399" s="375"/>
      <c r="AF399" s="375"/>
    </row>
    <row r="400" spans="18:32">
      <c r="R400" s="389"/>
      <c r="S400" s="389"/>
      <c r="T400" s="389"/>
      <c r="U400" s="389"/>
      <c r="V400" s="389"/>
      <c r="W400" s="390"/>
      <c r="X400" s="390"/>
      <c r="Y400" s="390"/>
      <c r="Z400" s="390"/>
      <c r="AA400" s="390"/>
      <c r="AB400" s="390"/>
      <c r="AC400" s="375"/>
      <c r="AD400" s="375"/>
      <c r="AE400" s="375"/>
      <c r="AF400" s="375"/>
    </row>
    <row r="401" spans="18:32">
      <c r="R401" s="389"/>
      <c r="S401" s="389"/>
      <c r="T401" s="389"/>
      <c r="U401" s="389"/>
      <c r="V401" s="389"/>
      <c r="W401" s="390"/>
      <c r="X401" s="390"/>
      <c r="Y401" s="390"/>
      <c r="Z401" s="390"/>
      <c r="AA401" s="390"/>
      <c r="AB401" s="390"/>
      <c r="AC401" s="375"/>
      <c r="AD401" s="375"/>
      <c r="AE401" s="375"/>
      <c r="AF401" s="375"/>
    </row>
    <row r="402" spans="18:32">
      <c r="R402" s="389"/>
      <c r="S402" s="389"/>
      <c r="T402" s="389"/>
      <c r="U402" s="389"/>
      <c r="V402" s="389"/>
      <c r="W402" s="390"/>
      <c r="X402" s="390"/>
      <c r="Y402" s="390"/>
      <c r="Z402" s="390"/>
      <c r="AA402" s="390"/>
      <c r="AB402" s="390"/>
      <c r="AC402" s="375"/>
      <c r="AD402" s="375"/>
      <c r="AE402" s="375"/>
      <c r="AF402" s="375"/>
    </row>
    <row r="403" spans="18:32">
      <c r="R403" s="389"/>
      <c r="S403" s="389"/>
      <c r="T403" s="389"/>
      <c r="U403" s="389"/>
      <c r="V403" s="389"/>
      <c r="W403" s="390"/>
      <c r="X403" s="390"/>
      <c r="Y403" s="390"/>
      <c r="Z403" s="390"/>
      <c r="AA403" s="390"/>
      <c r="AB403" s="390"/>
      <c r="AC403" s="375"/>
      <c r="AD403" s="375"/>
      <c r="AE403" s="375"/>
      <c r="AF403" s="375"/>
    </row>
    <row r="404" spans="18:32">
      <c r="R404" s="389"/>
      <c r="S404" s="389"/>
      <c r="T404" s="389"/>
      <c r="U404" s="389"/>
      <c r="V404" s="389"/>
      <c r="W404" s="390"/>
      <c r="X404" s="390"/>
      <c r="Y404" s="390"/>
      <c r="Z404" s="390"/>
      <c r="AA404" s="390"/>
      <c r="AB404" s="390"/>
      <c r="AC404" s="375"/>
      <c r="AD404" s="375"/>
      <c r="AE404" s="375"/>
      <c r="AF404" s="375"/>
    </row>
    <row r="405" spans="18:32">
      <c r="R405" s="389"/>
      <c r="S405" s="389"/>
      <c r="T405" s="389"/>
      <c r="U405" s="389"/>
      <c r="V405" s="389"/>
      <c r="W405" s="390"/>
      <c r="X405" s="390"/>
      <c r="Y405" s="390"/>
      <c r="Z405" s="390"/>
      <c r="AA405" s="390"/>
      <c r="AB405" s="390"/>
      <c r="AC405" s="375"/>
      <c r="AD405" s="375"/>
      <c r="AE405" s="375"/>
      <c r="AF405" s="375"/>
    </row>
    <row r="406" spans="18:32">
      <c r="R406" s="389"/>
      <c r="S406" s="389"/>
      <c r="T406" s="389"/>
      <c r="U406" s="389"/>
      <c r="V406" s="389"/>
      <c r="W406" s="390"/>
      <c r="X406" s="390"/>
      <c r="Y406" s="390"/>
      <c r="Z406" s="390"/>
      <c r="AA406" s="390"/>
      <c r="AB406" s="390"/>
      <c r="AC406" s="375"/>
      <c r="AD406" s="375"/>
      <c r="AE406" s="375"/>
      <c r="AF406" s="375"/>
    </row>
    <row r="407" spans="18:32">
      <c r="R407" s="389"/>
      <c r="S407" s="389"/>
      <c r="T407" s="389"/>
      <c r="U407" s="389"/>
      <c r="V407" s="389"/>
      <c r="W407" s="390"/>
      <c r="X407" s="390"/>
      <c r="Y407" s="390"/>
      <c r="Z407" s="390"/>
      <c r="AA407" s="390"/>
      <c r="AB407" s="390"/>
      <c r="AC407" s="375"/>
      <c r="AD407" s="375"/>
      <c r="AE407" s="375"/>
      <c r="AF407" s="375"/>
    </row>
    <row r="408" spans="18:32">
      <c r="R408" s="389"/>
      <c r="S408" s="389"/>
      <c r="T408" s="389"/>
      <c r="U408" s="389"/>
      <c r="V408" s="389"/>
      <c r="W408" s="390"/>
      <c r="X408" s="390"/>
      <c r="Y408" s="390"/>
      <c r="Z408" s="390"/>
      <c r="AA408" s="390"/>
      <c r="AB408" s="390"/>
      <c r="AC408" s="375"/>
      <c r="AD408" s="375"/>
      <c r="AE408" s="375"/>
      <c r="AF408" s="375"/>
    </row>
    <row r="409" spans="18:32">
      <c r="R409" s="389"/>
      <c r="S409" s="389"/>
      <c r="T409" s="389"/>
      <c r="U409" s="389"/>
      <c r="V409" s="389"/>
      <c r="W409" s="390"/>
      <c r="X409" s="390"/>
      <c r="Y409" s="390"/>
      <c r="Z409" s="390"/>
      <c r="AA409" s="390"/>
      <c r="AB409" s="390"/>
      <c r="AC409" s="375"/>
      <c r="AD409" s="375"/>
      <c r="AE409" s="375"/>
      <c r="AF409" s="375"/>
    </row>
    <row r="410" spans="18:32">
      <c r="R410" s="389"/>
      <c r="S410" s="389"/>
      <c r="T410" s="389"/>
      <c r="U410" s="389"/>
      <c r="V410" s="389"/>
      <c r="W410" s="390"/>
      <c r="X410" s="390"/>
      <c r="Y410" s="390"/>
      <c r="Z410" s="390"/>
      <c r="AA410" s="390"/>
      <c r="AB410" s="390"/>
      <c r="AC410" s="375"/>
      <c r="AD410" s="375"/>
      <c r="AE410" s="375"/>
      <c r="AF410" s="375"/>
    </row>
    <row r="411" spans="18:32">
      <c r="R411" s="389"/>
      <c r="S411" s="389"/>
      <c r="T411" s="389"/>
      <c r="U411" s="389"/>
      <c r="V411" s="389"/>
      <c r="W411" s="390"/>
      <c r="X411" s="390"/>
      <c r="Y411" s="390"/>
      <c r="Z411" s="390"/>
      <c r="AA411" s="390"/>
      <c r="AB411" s="390"/>
      <c r="AC411" s="375"/>
      <c r="AD411" s="375"/>
      <c r="AE411" s="375"/>
      <c r="AF411" s="375"/>
    </row>
    <row r="412" spans="18:32">
      <c r="R412" s="389"/>
      <c r="S412" s="389"/>
      <c r="T412" s="389"/>
      <c r="U412" s="389"/>
      <c r="V412" s="389"/>
      <c r="W412" s="390"/>
      <c r="X412" s="390"/>
      <c r="Y412" s="390"/>
      <c r="Z412" s="390"/>
      <c r="AA412" s="390"/>
      <c r="AB412" s="390"/>
      <c r="AC412" s="375"/>
      <c r="AD412" s="375"/>
      <c r="AE412" s="375"/>
      <c r="AF412" s="375"/>
    </row>
    <row r="413" spans="18:32">
      <c r="R413" s="389"/>
      <c r="S413" s="389"/>
      <c r="T413" s="389"/>
      <c r="U413" s="389"/>
      <c r="V413" s="389"/>
      <c r="W413" s="390"/>
      <c r="X413" s="390"/>
      <c r="Y413" s="390"/>
      <c r="Z413" s="390"/>
      <c r="AA413" s="390"/>
      <c r="AB413" s="390"/>
      <c r="AC413" s="375"/>
      <c r="AD413" s="375"/>
      <c r="AE413" s="375"/>
      <c r="AF413" s="375"/>
    </row>
    <row r="414" spans="18:32">
      <c r="R414" s="389"/>
      <c r="S414" s="389"/>
      <c r="T414" s="389"/>
      <c r="U414" s="389"/>
      <c r="V414" s="389"/>
      <c r="W414" s="390"/>
      <c r="X414" s="390"/>
      <c r="Y414" s="390"/>
      <c r="Z414" s="390"/>
      <c r="AA414" s="390"/>
      <c r="AB414" s="390"/>
      <c r="AC414" s="375"/>
      <c r="AD414" s="375"/>
      <c r="AE414" s="375"/>
      <c r="AF414" s="375"/>
    </row>
    <row r="415" spans="18:32">
      <c r="R415" s="389"/>
      <c r="S415" s="389"/>
      <c r="T415" s="389"/>
      <c r="U415" s="389"/>
      <c r="V415" s="389"/>
      <c r="W415" s="390"/>
      <c r="X415" s="390"/>
      <c r="Y415" s="390"/>
      <c r="Z415" s="390"/>
      <c r="AA415" s="390"/>
      <c r="AB415" s="390"/>
      <c r="AC415" s="375"/>
      <c r="AD415" s="375"/>
      <c r="AE415" s="375"/>
      <c r="AF415" s="375"/>
    </row>
    <row r="416" spans="18:32">
      <c r="R416" s="389"/>
      <c r="S416" s="389"/>
      <c r="T416" s="389"/>
      <c r="U416" s="389"/>
      <c r="V416" s="389"/>
      <c r="W416" s="390"/>
      <c r="X416" s="390"/>
      <c r="Y416" s="390"/>
      <c r="Z416" s="390"/>
      <c r="AA416" s="390"/>
      <c r="AB416" s="390"/>
      <c r="AC416" s="375"/>
      <c r="AD416" s="375"/>
      <c r="AE416" s="375"/>
      <c r="AF416" s="375"/>
    </row>
    <row r="417" spans="18:32">
      <c r="R417" s="389"/>
      <c r="S417" s="389"/>
      <c r="T417" s="389"/>
      <c r="U417" s="389"/>
      <c r="V417" s="389"/>
      <c r="W417" s="390"/>
      <c r="X417" s="390"/>
      <c r="Y417" s="390"/>
      <c r="Z417" s="390"/>
      <c r="AA417" s="390"/>
      <c r="AB417" s="390"/>
      <c r="AC417" s="375"/>
      <c r="AD417" s="375"/>
      <c r="AE417" s="375"/>
      <c r="AF417" s="375"/>
    </row>
    <row r="418" spans="18:32">
      <c r="R418" s="389"/>
      <c r="S418" s="389"/>
      <c r="T418" s="389"/>
      <c r="U418" s="389"/>
      <c r="V418" s="389"/>
      <c r="W418" s="390"/>
      <c r="X418" s="390"/>
      <c r="Y418" s="390"/>
      <c r="Z418" s="390"/>
      <c r="AA418" s="390"/>
      <c r="AB418" s="390"/>
      <c r="AC418" s="375"/>
      <c r="AD418" s="375"/>
      <c r="AE418" s="375"/>
      <c r="AF418" s="375"/>
    </row>
    <row r="419" spans="18:32">
      <c r="R419" s="389"/>
      <c r="S419" s="389"/>
      <c r="T419" s="389"/>
      <c r="U419" s="389"/>
      <c r="V419" s="389"/>
      <c r="W419" s="390"/>
      <c r="X419" s="390"/>
      <c r="Y419" s="390"/>
      <c r="Z419" s="390"/>
      <c r="AA419" s="390"/>
      <c r="AB419" s="390"/>
      <c r="AC419" s="375"/>
      <c r="AD419" s="375"/>
      <c r="AE419" s="375"/>
      <c r="AF419" s="375"/>
    </row>
    <row r="420" spans="18:32">
      <c r="R420" s="389"/>
      <c r="S420" s="389"/>
      <c r="T420" s="389"/>
      <c r="U420" s="389"/>
      <c r="V420" s="389"/>
      <c r="W420" s="390"/>
      <c r="X420" s="390"/>
      <c r="Y420" s="390"/>
      <c r="Z420" s="390"/>
      <c r="AA420" s="390"/>
      <c r="AB420" s="390"/>
      <c r="AC420" s="375"/>
      <c r="AD420" s="375"/>
      <c r="AE420" s="375"/>
      <c r="AF420" s="375"/>
    </row>
    <row r="421" spans="18:32">
      <c r="R421" s="389"/>
      <c r="S421" s="389"/>
      <c r="T421" s="389"/>
      <c r="U421" s="389"/>
      <c r="V421" s="389"/>
      <c r="W421" s="390"/>
      <c r="X421" s="390"/>
      <c r="Y421" s="390"/>
      <c r="Z421" s="390"/>
      <c r="AA421" s="390"/>
      <c r="AB421" s="390"/>
      <c r="AC421" s="375"/>
      <c r="AD421" s="375"/>
      <c r="AE421" s="375"/>
      <c r="AF421" s="375"/>
    </row>
    <row r="422" spans="18:32">
      <c r="R422" s="389"/>
      <c r="S422" s="389"/>
      <c r="T422" s="389"/>
      <c r="U422" s="389"/>
      <c r="V422" s="389"/>
      <c r="W422" s="390"/>
      <c r="X422" s="390"/>
      <c r="Y422" s="390"/>
      <c r="Z422" s="390"/>
      <c r="AA422" s="390"/>
      <c r="AB422" s="390"/>
      <c r="AC422" s="375"/>
      <c r="AD422" s="375"/>
      <c r="AE422" s="375"/>
      <c r="AF422" s="375"/>
    </row>
    <row r="423" spans="18:32">
      <c r="R423" s="389"/>
      <c r="S423" s="389"/>
      <c r="T423" s="389"/>
      <c r="U423" s="389"/>
      <c r="V423" s="389"/>
      <c r="W423" s="390"/>
      <c r="X423" s="390"/>
      <c r="Y423" s="390"/>
      <c r="Z423" s="390"/>
      <c r="AA423" s="390"/>
      <c r="AB423" s="390"/>
      <c r="AC423" s="375"/>
      <c r="AD423" s="375"/>
      <c r="AE423" s="375"/>
      <c r="AF423" s="375"/>
    </row>
    <row r="424" spans="18:32">
      <c r="R424" s="389"/>
      <c r="S424" s="389"/>
      <c r="T424" s="389"/>
      <c r="U424" s="389"/>
      <c r="V424" s="389"/>
      <c r="W424" s="390"/>
      <c r="X424" s="390"/>
      <c r="Y424" s="390"/>
      <c r="Z424" s="390"/>
      <c r="AA424" s="390"/>
      <c r="AB424" s="390"/>
      <c r="AC424" s="375"/>
      <c r="AD424" s="375"/>
      <c r="AE424" s="375"/>
      <c r="AF424" s="375"/>
    </row>
    <row r="425" spans="18:32">
      <c r="R425" s="389"/>
      <c r="S425" s="389"/>
      <c r="T425" s="389"/>
      <c r="U425" s="389"/>
      <c r="V425" s="389"/>
      <c r="W425" s="390"/>
      <c r="X425" s="390"/>
      <c r="Y425" s="390"/>
      <c r="Z425" s="390"/>
      <c r="AA425" s="390"/>
      <c r="AB425" s="390"/>
      <c r="AC425" s="375"/>
      <c r="AD425" s="375"/>
      <c r="AE425" s="375"/>
      <c r="AF425" s="375"/>
    </row>
    <row r="426" spans="18:32">
      <c r="R426" s="389"/>
      <c r="S426" s="389"/>
      <c r="T426" s="389"/>
      <c r="U426" s="389"/>
      <c r="V426" s="389"/>
      <c r="W426" s="390"/>
      <c r="X426" s="390"/>
      <c r="Y426" s="390"/>
      <c r="Z426" s="390"/>
      <c r="AA426" s="390"/>
      <c r="AB426" s="390"/>
      <c r="AC426" s="375"/>
      <c r="AD426" s="375"/>
      <c r="AE426" s="375"/>
      <c r="AF426" s="375"/>
    </row>
    <row r="427" spans="18:32">
      <c r="R427" s="389"/>
      <c r="S427" s="389"/>
      <c r="T427" s="389"/>
      <c r="U427" s="389"/>
      <c r="V427" s="389"/>
      <c r="W427" s="390"/>
      <c r="X427" s="390"/>
      <c r="Y427" s="390"/>
      <c r="Z427" s="390"/>
      <c r="AA427" s="390"/>
      <c r="AB427" s="390"/>
      <c r="AC427" s="375"/>
      <c r="AD427" s="375"/>
      <c r="AE427" s="375"/>
      <c r="AF427" s="375"/>
    </row>
    <row r="428" spans="18:32">
      <c r="R428" s="389"/>
      <c r="S428" s="389"/>
      <c r="T428" s="389"/>
      <c r="U428" s="389"/>
      <c r="V428" s="389"/>
      <c r="W428" s="390"/>
      <c r="X428" s="390"/>
      <c r="Y428" s="390"/>
      <c r="Z428" s="390"/>
      <c r="AA428" s="390"/>
      <c r="AB428" s="390"/>
      <c r="AC428" s="375"/>
      <c r="AD428" s="375"/>
      <c r="AE428" s="375"/>
      <c r="AF428" s="375"/>
    </row>
    <row r="429" spans="18:32">
      <c r="R429" s="389"/>
      <c r="S429" s="389"/>
      <c r="T429" s="389"/>
      <c r="U429" s="389"/>
      <c r="V429" s="389"/>
      <c r="W429" s="390"/>
      <c r="X429" s="390"/>
      <c r="Y429" s="390"/>
      <c r="Z429" s="390"/>
      <c r="AA429" s="390"/>
      <c r="AB429" s="390"/>
      <c r="AC429" s="375"/>
      <c r="AD429" s="375"/>
      <c r="AE429" s="375"/>
      <c r="AF429" s="375"/>
    </row>
    <row r="430" spans="18:32">
      <c r="R430" s="389"/>
      <c r="S430" s="389"/>
      <c r="T430" s="389"/>
      <c r="U430" s="389"/>
      <c r="V430" s="389"/>
      <c r="W430" s="390"/>
      <c r="X430" s="390"/>
      <c r="Y430" s="390"/>
      <c r="Z430" s="390"/>
      <c r="AA430" s="390"/>
      <c r="AB430" s="390"/>
      <c r="AC430" s="375"/>
      <c r="AD430" s="375"/>
      <c r="AE430" s="375"/>
      <c r="AF430" s="375"/>
    </row>
    <row r="431" spans="18:32">
      <c r="R431" s="389"/>
      <c r="S431" s="389"/>
      <c r="T431" s="389"/>
      <c r="U431" s="389"/>
      <c r="V431" s="389"/>
      <c r="W431" s="390"/>
      <c r="X431" s="390"/>
      <c r="Y431" s="390"/>
      <c r="Z431" s="390"/>
      <c r="AA431" s="390"/>
      <c r="AB431" s="390"/>
      <c r="AC431" s="375"/>
      <c r="AD431" s="375"/>
      <c r="AE431" s="375"/>
      <c r="AF431" s="375"/>
    </row>
    <row r="432" spans="18:32">
      <c r="R432" s="389"/>
      <c r="S432" s="389"/>
      <c r="T432" s="389"/>
      <c r="U432" s="389"/>
      <c r="V432" s="389"/>
      <c r="W432" s="390"/>
      <c r="X432" s="390"/>
      <c r="Y432" s="390"/>
      <c r="Z432" s="390"/>
      <c r="AA432" s="390"/>
      <c r="AB432" s="390"/>
      <c r="AC432" s="375"/>
      <c r="AD432" s="375"/>
      <c r="AE432" s="375"/>
      <c r="AF432" s="375"/>
    </row>
    <row r="433" spans="18:32">
      <c r="R433" s="389"/>
      <c r="S433" s="389"/>
      <c r="T433" s="389"/>
      <c r="U433" s="389"/>
      <c r="V433" s="389"/>
      <c r="W433" s="390"/>
      <c r="X433" s="390"/>
      <c r="Y433" s="390"/>
      <c r="Z433" s="390"/>
      <c r="AA433" s="390"/>
      <c r="AB433" s="390"/>
      <c r="AC433" s="375"/>
      <c r="AD433" s="375"/>
      <c r="AE433" s="375"/>
      <c r="AF433" s="375"/>
    </row>
    <row r="434" spans="18:32">
      <c r="R434" s="389"/>
      <c r="S434" s="389"/>
      <c r="T434" s="389"/>
      <c r="U434" s="389"/>
      <c r="V434" s="389"/>
      <c r="W434" s="390"/>
      <c r="X434" s="390"/>
      <c r="Y434" s="390"/>
      <c r="Z434" s="390"/>
      <c r="AA434" s="390"/>
      <c r="AB434" s="390"/>
      <c r="AC434" s="375"/>
      <c r="AD434" s="375"/>
      <c r="AE434" s="375"/>
      <c r="AF434" s="375"/>
    </row>
    <row r="435" spans="18:32">
      <c r="R435" s="389"/>
      <c r="S435" s="389"/>
      <c r="T435" s="389"/>
      <c r="U435" s="389"/>
      <c r="V435" s="389"/>
      <c r="W435" s="390"/>
      <c r="X435" s="390"/>
      <c r="Y435" s="390"/>
      <c r="Z435" s="390"/>
      <c r="AA435" s="390"/>
      <c r="AB435" s="390"/>
      <c r="AC435" s="375"/>
      <c r="AD435" s="375"/>
      <c r="AE435" s="375"/>
      <c r="AF435" s="375"/>
    </row>
    <row r="436" spans="18:32">
      <c r="R436" s="389"/>
      <c r="S436" s="389"/>
      <c r="T436" s="389"/>
      <c r="U436" s="389"/>
      <c r="V436" s="389"/>
      <c r="W436" s="390"/>
      <c r="X436" s="390"/>
      <c r="Y436" s="390"/>
      <c r="Z436" s="390"/>
      <c r="AA436" s="390"/>
      <c r="AB436" s="390"/>
      <c r="AC436" s="375"/>
      <c r="AD436" s="375"/>
      <c r="AE436" s="375"/>
      <c r="AF436" s="375"/>
    </row>
    <row r="437" spans="18:32">
      <c r="R437" s="389"/>
      <c r="S437" s="389"/>
      <c r="T437" s="389"/>
      <c r="U437" s="389"/>
      <c r="V437" s="389"/>
      <c r="W437" s="390"/>
      <c r="X437" s="390"/>
      <c r="Y437" s="390"/>
      <c r="Z437" s="390"/>
      <c r="AA437" s="390"/>
      <c r="AB437" s="390"/>
      <c r="AC437" s="375"/>
      <c r="AD437" s="375"/>
      <c r="AE437" s="375"/>
      <c r="AF437" s="375"/>
    </row>
    <row r="438" spans="18:32">
      <c r="R438" s="389"/>
      <c r="S438" s="389"/>
      <c r="T438" s="389"/>
      <c r="U438" s="389"/>
      <c r="V438" s="389"/>
      <c r="W438" s="390"/>
      <c r="X438" s="390"/>
      <c r="Y438" s="390"/>
      <c r="Z438" s="390"/>
      <c r="AA438" s="390"/>
      <c r="AB438" s="390"/>
      <c r="AC438" s="375"/>
      <c r="AD438" s="375"/>
      <c r="AE438" s="375"/>
      <c r="AF438" s="375"/>
    </row>
    <row r="439" spans="18:32">
      <c r="R439" s="389"/>
      <c r="S439" s="389"/>
      <c r="T439" s="389"/>
      <c r="U439" s="389"/>
      <c r="V439" s="389"/>
      <c r="W439" s="390"/>
      <c r="X439" s="390"/>
      <c r="Y439" s="390"/>
      <c r="Z439" s="390"/>
      <c r="AA439" s="390"/>
      <c r="AB439" s="390"/>
      <c r="AC439" s="375"/>
      <c r="AD439" s="375"/>
      <c r="AE439" s="375"/>
      <c r="AF439" s="375"/>
    </row>
    <row r="440" spans="18:32">
      <c r="R440" s="389"/>
      <c r="S440" s="389"/>
      <c r="T440" s="389"/>
      <c r="U440" s="389"/>
      <c r="V440" s="389"/>
      <c r="W440" s="390"/>
      <c r="X440" s="390"/>
      <c r="Y440" s="390"/>
      <c r="Z440" s="390"/>
      <c r="AA440" s="390"/>
      <c r="AB440" s="390"/>
      <c r="AC440" s="375"/>
      <c r="AD440" s="375"/>
      <c r="AE440" s="375"/>
      <c r="AF440" s="375"/>
    </row>
    <row r="441" spans="18:32">
      <c r="R441" s="389"/>
      <c r="S441" s="389"/>
      <c r="T441" s="389"/>
      <c r="U441" s="389"/>
      <c r="V441" s="389"/>
      <c r="W441" s="390"/>
      <c r="X441" s="390"/>
      <c r="Y441" s="390"/>
      <c r="Z441" s="390"/>
      <c r="AA441" s="390"/>
      <c r="AB441" s="390"/>
      <c r="AC441" s="375"/>
      <c r="AD441" s="375"/>
      <c r="AE441" s="375"/>
      <c r="AF441" s="375"/>
    </row>
    <row r="442" spans="18:32">
      <c r="R442" s="389"/>
      <c r="S442" s="389"/>
      <c r="T442" s="389"/>
      <c r="U442" s="389"/>
      <c r="V442" s="389"/>
      <c r="W442" s="390"/>
      <c r="X442" s="390"/>
      <c r="Y442" s="390"/>
      <c r="Z442" s="390"/>
      <c r="AA442" s="390"/>
      <c r="AB442" s="390"/>
      <c r="AC442" s="375"/>
      <c r="AD442" s="375"/>
      <c r="AE442" s="375"/>
      <c r="AF442" s="375"/>
    </row>
    <row r="443" spans="18:32">
      <c r="R443" s="389"/>
      <c r="S443" s="389"/>
      <c r="T443" s="389"/>
      <c r="U443" s="389"/>
      <c r="V443" s="389"/>
      <c r="W443" s="390"/>
      <c r="X443" s="390"/>
      <c r="Y443" s="390"/>
      <c r="Z443" s="390"/>
      <c r="AA443" s="390"/>
      <c r="AB443" s="390"/>
      <c r="AC443" s="375"/>
      <c r="AD443" s="375"/>
      <c r="AE443" s="375"/>
      <c r="AF443" s="375"/>
    </row>
    <row r="444" spans="18:32">
      <c r="R444" s="389"/>
      <c r="S444" s="389"/>
      <c r="T444" s="389"/>
      <c r="U444" s="389"/>
      <c r="V444" s="389"/>
      <c r="W444" s="390"/>
      <c r="X444" s="390"/>
      <c r="Y444" s="390"/>
      <c r="Z444" s="390"/>
      <c r="AA444" s="390"/>
      <c r="AB444" s="390"/>
      <c r="AC444" s="375"/>
      <c r="AD444" s="375"/>
      <c r="AE444" s="375"/>
      <c r="AF444" s="375"/>
    </row>
    <row r="445" spans="18:32">
      <c r="R445" s="389"/>
      <c r="S445" s="389"/>
      <c r="T445" s="389"/>
      <c r="U445" s="389"/>
      <c r="V445" s="389"/>
      <c r="W445" s="390"/>
      <c r="X445" s="390"/>
      <c r="Y445" s="390"/>
      <c r="Z445" s="390"/>
      <c r="AA445" s="390"/>
      <c r="AB445" s="390"/>
      <c r="AC445" s="375"/>
      <c r="AD445" s="375"/>
      <c r="AE445" s="375"/>
      <c r="AF445" s="375"/>
    </row>
    <row r="446" spans="18:32">
      <c r="R446" s="389"/>
      <c r="S446" s="389"/>
      <c r="T446" s="389"/>
      <c r="U446" s="389"/>
      <c r="V446" s="389"/>
      <c r="W446" s="390"/>
      <c r="X446" s="390"/>
      <c r="Y446" s="390"/>
      <c r="Z446" s="390"/>
      <c r="AA446" s="390"/>
      <c r="AB446" s="390"/>
      <c r="AC446" s="375"/>
      <c r="AD446" s="375"/>
      <c r="AE446" s="375"/>
      <c r="AF446" s="375"/>
    </row>
    <row r="447" spans="18:32">
      <c r="R447" s="389"/>
      <c r="S447" s="389"/>
      <c r="T447" s="389"/>
      <c r="U447" s="389"/>
      <c r="V447" s="389"/>
      <c r="W447" s="390"/>
      <c r="X447" s="390"/>
      <c r="Y447" s="390"/>
      <c r="Z447" s="390"/>
      <c r="AA447" s="390"/>
      <c r="AB447" s="390"/>
      <c r="AC447" s="375"/>
      <c r="AD447" s="375"/>
      <c r="AE447" s="375"/>
      <c r="AF447" s="375"/>
    </row>
    <row r="448" spans="18:32">
      <c r="R448" s="389"/>
      <c r="S448" s="389"/>
      <c r="T448" s="389"/>
      <c r="U448" s="389"/>
      <c r="V448" s="389"/>
      <c r="W448" s="390"/>
      <c r="X448" s="390"/>
      <c r="Y448" s="390"/>
      <c r="Z448" s="390"/>
      <c r="AA448" s="390"/>
      <c r="AB448" s="390"/>
      <c r="AC448" s="375"/>
      <c r="AD448" s="375"/>
      <c r="AE448" s="375"/>
      <c r="AF448" s="375"/>
    </row>
    <row r="449" spans="18:32">
      <c r="R449" s="389"/>
      <c r="S449" s="389"/>
      <c r="T449" s="389"/>
      <c r="U449" s="389"/>
      <c r="V449" s="389"/>
      <c r="W449" s="390"/>
      <c r="X449" s="390"/>
      <c r="Y449" s="390"/>
      <c r="Z449" s="390"/>
      <c r="AA449" s="390"/>
      <c r="AB449" s="390"/>
      <c r="AC449" s="375"/>
      <c r="AD449" s="375"/>
      <c r="AE449" s="375"/>
      <c r="AF449" s="375"/>
    </row>
    <row r="450" spans="18:32">
      <c r="R450" s="389"/>
      <c r="S450" s="389"/>
      <c r="T450" s="389"/>
      <c r="U450" s="389"/>
      <c r="V450" s="389"/>
      <c r="W450" s="390"/>
      <c r="X450" s="390"/>
      <c r="Y450" s="390"/>
      <c r="Z450" s="390"/>
      <c r="AA450" s="390"/>
      <c r="AB450" s="390"/>
      <c r="AC450" s="375"/>
      <c r="AD450" s="375"/>
      <c r="AE450" s="375"/>
      <c r="AF450" s="375"/>
    </row>
    <row r="451" spans="18:32">
      <c r="R451" s="389"/>
      <c r="S451" s="389"/>
      <c r="T451" s="389"/>
      <c r="U451" s="389"/>
      <c r="V451" s="389"/>
      <c r="W451" s="390"/>
      <c r="X451" s="390"/>
      <c r="Y451" s="390"/>
      <c r="Z451" s="390"/>
      <c r="AA451" s="390"/>
      <c r="AB451" s="390"/>
      <c r="AC451" s="375"/>
      <c r="AD451" s="375"/>
      <c r="AE451" s="375"/>
      <c r="AF451" s="375"/>
    </row>
    <row r="452" spans="18:32">
      <c r="R452" s="389"/>
      <c r="S452" s="389"/>
      <c r="T452" s="389"/>
      <c r="U452" s="389"/>
      <c r="V452" s="389"/>
      <c r="W452" s="390"/>
      <c r="X452" s="390"/>
      <c r="Y452" s="390"/>
      <c r="Z452" s="390"/>
      <c r="AA452" s="390"/>
      <c r="AB452" s="390"/>
      <c r="AC452" s="375"/>
      <c r="AD452" s="375"/>
      <c r="AE452" s="375"/>
      <c r="AF452" s="375"/>
    </row>
    <row r="453" spans="18:32">
      <c r="R453" s="389"/>
      <c r="S453" s="389"/>
      <c r="T453" s="389"/>
      <c r="U453" s="389"/>
      <c r="V453" s="389"/>
      <c r="W453" s="390"/>
      <c r="X453" s="390"/>
      <c r="Y453" s="390"/>
      <c r="Z453" s="390"/>
      <c r="AA453" s="390"/>
      <c r="AB453" s="390"/>
      <c r="AC453" s="375"/>
      <c r="AD453" s="375"/>
      <c r="AE453" s="375"/>
      <c r="AF453" s="375"/>
    </row>
    <row r="454" spans="18:32">
      <c r="R454" s="389"/>
      <c r="S454" s="389"/>
      <c r="T454" s="389"/>
      <c r="U454" s="389"/>
      <c r="V454" s="389"/>
      <c r="W454" s="390"/>
      <c r="X454" s="390"/>
      <c r="Y454" s="390"/>
      <c r="Z454" s="390"/>
      <c r="AA454" s="390"/>
      <c r="AB454" s="390"/>
      <c r="AC454" s="375"/>
      <c r="AD454" s="375"/>
      <c r="AE454" s="375"/>
      <c r="AF454" s="375"/>
    </row>
    <row r="455" spans="18:32">
      <c r="R455" s="389"/>
      <c r="S455" s="389"/>
      <c r="T455" s="389"/>
      <c r="U455" s="389"/>
      <c r="V455" s="389"/>
      <c r="W455" s="390"/>
      <c r="X455" s="390"/>
      <c r="Y455" s="390"/>
      <c r="Z455" s="390"/>
      <c r="AA455" s="390"/>
      <c r="AB455" s="390"/>
      <c r="AC455" s="375"/>
      <c r="AD455" s="375"/>
      <c r="AE455" s="375"/>
      <c r="AF455" s="375"/>
    </row>
    <row r="456" spans="18:32">
      <c r="R456" s="389"/>
      <c r="S456" s="389"/>
      <c r="T456" s="389"/>
      <c r="U456" s="389"/>
      <c r="V456" s="389"/>
      <c r="W456" s="390"/>
      <c r="X456" s="390"/>
      <c r="Y456" s="390"/>
      <c r="Z456" s="390"/>
      <c r="AA456" s="390"/>
      <c r="AB456" s="390"/>
      <c r="AC456" s="375"/>
      <c r="AD456" s="375"/>
      <c r="AE456" s="375"/>
      <c r="AF456" s="375"/>
    </row>
    <row r="457" spans="18:32">
      <c r="R457" s="389"/>
      <c r="S457" s="389"/>
      <c r="T457" s="389"/>
      <c r="U457" s="389"/>
      <c r="V457" s="389"/>
      <c r="W457" s="390"/>
      <c r="X457" s="390"/>
      <c r="Y457" s="390"/>
      <c r="Z457" s="390"/>
      <c r="AA457" s="390"/>
      <c r="AB457" s="390"/>
      <c r="AC457" s="375"/>
      <c r="AD457" s="375"/>
      <c r="AE457" s="375"/>
      <c r="AF457" s="375"/>
    </row>
    <row r="458" spans="18:32">
      <c r="R458" s="389"/>
      <c r="S458" s="389"/>
      <c r="T458" s="389"/>
      <c r="U458" s="389"/>
      <c r="V458" s="389"/>
      <c r="W458" s="390"/>
      <c r="X458" s="390"/>
      <c r="Y458" s="390"/>
      <c r="Z458" s="390"/>
      <c r="AA458" s="390"/>
      <c r="AB458" s="390"/>
      <c r="AC458" s="375"/>
      <c r="AD458" s="375"/>
      <c r="AE458" s="375"/>
      <c r="AF458" s="375"/>
    </row>
    <row r="459" spans="18:32">
      <c r="R459" s="389"/>
      <c r="S459" s="389"/>
      <c r="T459" s="389"/>
      <c r="U459" s="389"/>
      <c r="V459" s="389"/>
      <c r="W459" s="390"/>
      <c r="X459" s="390"/>
      <c r="Y459" s="390"/>
      <c r="Z459" s="390"/>
      <c r="AA459" s="390"/>
      <c r="AB459" s="390"/>
      <c r="AC459" s="375"/>
      <c r="AD459" s="375"/>
      <c r="AE459" s="375"/>
      <c r="AF459" s="375"/>
    </row>
    <row r="460" spans="18:32">
      <c r="R460" s="389"/>
      <c r="S460" s="389"/>
      <c r="T460" s="389"/>
      <c r="U460" s="389"/>
      <c r="V460" s="389"/>
      <c r="W460" s="390"/>
      <c r="X460" s="390"/>
      <c r="Y460" s="390"/>
      <c r="Z460" s="390"/>
      <c r="AA460" s="390"/>
      <c r="AB460" s="390"/>
      <c r="AC460" s="375"/>
      <c r="AD460" s="375"/>
      <c r="AE460" s="375"/>
      <c r="AF460" s="375"/>
    </row>
    <row r="461" spans="18:32">
      <c r="R461" s="389"/>
      <c r="S461" s="389"/>
      <c r="T461" s="389"/>
      <c r="U461" s="389"/>
      <c r="V461" s="389"/>
      <c r="W461" s="390"/>
      <c r="X461" s="390"/>
      <c r="Y461" s="390"/>
      <c r="Z461" s="390"/>
      <c r="AA461" s="390"/>
      <c r="AB461" s="390"/>
      <c r="AC461" s="375"/>
      <c r="AD461" s="375"/>
      <c r="AE461" s="375"/>
      <c r="AF461" s="375"/>
    </row>
    <row r="462" spans="18:32">
      <c r="R462" s="389"/>
      <c r="S462" s="389"/>
      <c r="T462" s="389"/>
      <c r="U462" s="389"/>
      <c r="V462" s="389"/>
      <c r="W462" s="390"/>
      <c r="X462" s="390"/>
      <c r="Y462" s="390"/>
      <c r="Z462" s="390"/>
      <c r="AA462" s="390"/>
      <c r="AB462" s="390"/>
      <c r="AC462" s="375"/>
      <c r="AD462" s="375"/>
      <c r="AE462" s="375"/>
      <c r="AF462" s="375"/>
    </row>
    <row r="463" spans="18:32">
      <c r="R463" s="389"/>
      <c r="S463" s="389"/>
      <c r="T463" s="389"/>
      <c r="U463" s="389"/>
      <c r="V463" s="389"/>
      <c r="W463" s="390"/>
      <c r="X463" s="390"/>
      <c r="Y463" s="390"/>
      <c r="Z463" s="390"/>
      <c r="AA463" s="390"/>
      <c r="AB463" s="390"/>
      <c r="AC463" s="375"/>
      <c r="AD463" s="375"/>
      <c r="AE463" s="375"/>
      <c r="AF463" s="375"/>
    </row>
    <row r="464" spans="18:32">
      <c r="R464" s="389"/>
      <c r="S464" s="389"/>
      <c r="T464" s="389"/>
      <c r="U464" s="389"/>
      <c r="V464" s="389"/>
      <c r="W464" s="390"/>
      <c r="X464" s="390"/>
      <c r="Y464" s="390"/>
      <c r="Z464" s="390"/>
      <c r="AA464" s="390"/>
      <c r="AB464" s="390"/>
      <c r="AC464" s="375"/>
      <c r="AD464" s="375"/>
      <c r="AE464" s="375"/>
      <c r="AF464" s="375"/>
    </row>
    <row r="465" spans="18:32">
      <c r="R465" s="389"/>
      <c r="S465" s="389"/>
      <c r="T465" s="389"/>
      <c r="U465" s="389"/>
      <c r="V465" s="389"/>
      <c r="W465" s="390"/>
      <c r="X465" s="390"/>
      <c r="Y465" s="390"/>
      <c r="Z465" s="390"/>
      <c r="AA465" s="390"/>
      <c r="AB465" s="390"/>
      <c r="AC465" s="375"/>
      <c r="AD465" s="375"/>
      <c r="AE465" s="375"/>
      <c r="AF465" s="375"/>
    </row>
    <row r="466" spans="18:32">
      <c r="R466" s="389"/>
      <c r="S466" s="389"/>
      <c r="T466" s="389"/>
      <c r="U466" s="389"/>
      <c r="V466" s="389"/>
      <c r="W466" s="390"/>
      <c r="X466" s="390"/>
      <c r="Y466" s="390"/>
      <c r="Z466" s="390"/>
      <c r="AA466" s="390"/>
      <c r="AB466" s="390"/>
      <c r="AC466" s="375"/>
      <c r="AD466" s="375"/>
      <c r="AE466" s="375"/>
      <c r="AF466" s="375"/>
    </row>
    <row r="467" spans="18:32">
      <c r="R467" s="389"/>
      <c r="S467" s="389"/>
      <c r="T467" s="389"/>
      <c r="U467" s="389"/>
      <c r="V467" s="389"/>
      <c r="W467" s="390"/>
      <c r="X467" s="390"/>
      <c r="Y467" s="390"/>
      <c r="Z467" s="390"/>
      <c r="AA467" s="390"/>
      <c r="AB467" s="390"/>
      <c r="AC467" s="375"/>
      <c r="AD467" s="375"/>
      <c r="AE467" s="375"/>
      <c r="AF467" s="375"/>
    </row>
    <row r="468" spans="18:32">
      <c r="R468" s="389"/>
      <c r="S468" s="389"/>
      <c r="T468" s="389"/>
      <c r="U468" s="389"/>
      <c r="V468" s="389"/>
      <c r="W468" s="390"/>
      <c r="X468" s="390"/>
      <c r="Y468" s="390"/>
      <c r="Z468" s="390"/>
      <c r="AA468" s="390"/>
      <c r="AB468" s="390"/>
      <c r="AC468" s="375"/>
      <c r="AD468" s="375"/>
      <c r="AE468" s="375"/>
      <c r="AF468" s="375"/>
    </row>
    <row r="469" spans="18:32">
      <c r="R469" s="389"/>
      <c r="S469" s="389"/>
      <c r="T469" s="389"/>
      <c r="U469" s="389"/>
      <c r="V469" s="389"/>
      <c r="W469" s="390"/>
      <c r="X469" s="390"/>
      <c r="Y469" s="390"/>
      <c r="Z469" s="390"/>
      <c r="AA469" s="390"/>
      <c r="AB469" s="390"/>
      <c r="AC469" s="375"/>
      <c r="AD469" s="375"/>
      <c r="AE469" s="375"/>
      <c r="AF469" s="375"/>
    </row>
    <row r="470" spans="18:32">
      <c r="R470" s="389"/>
      <c r="S470" s="389"/>
      <c r="T470" s="389"/>
      <c r="U470" s="389"/>
      <c r="V470" s="389"/>
      <c r="W470" s="390"/>
      <c r="X470" s="390"/>
      <c r="Y470" s="390"/>
      <c r="Z470" s="390"/>
      <c r="AA470" s="390"/>
      <c r="AB470" s="390"/>
      <c r="AC470" s="375"/>
      <c r="AD470" s="375"/>
      <c r="AE470" s="375"/>
      <c r="AF470" s="375"/>
    </row>
    <row r="471" spans="18:32">
      <c r="R471" s="389"/>
      <c r="S471" s="389"/>
      <c r="T471" s="389"/>
      <c r="U471" s="389"/>
      <c r="V471" s="389"/>
      <c r="W471" s="390"/>
      <c r="X471" s="390"/>
      <c r="Y471" s="390"/>
      <c r="Z471" s="390"/>
      <c r="AA471" s="390"/>
      <c r="AB471" s="390"/>
      <c r="AC471" s="375"/>
      <c r="AD471" s="375"/>
      <c r="AE471" s="375"/>
      <c r="AF471" s="375"/>
    </row>
    <row r="472" spans="18:32">
      <c r="R472" s="389"/>
      <c r="S472" s="389"/>
      <c r="T472" s="389"/>
      <c r="U472" s="389"/>
      <c r="V472" s="389"/>
      <c r="W472" s="390"/>
      <c r="X472" s="390"/>
      <c r="Y472" s="390"/>
      <c r="Z472" s="390"/>
      <c r="AA472" s="390"/>
      <c r="AB472" s="390"/>
      <c r="AC472" s="375"/>
      <c r="AD472" s="375"/>
      <c r="AE472" s="375"/>
      <c r="AF472" s="375"/>
    </row>
    <row r="473" spans="18:32">
      <c r="R473" s="389"/>
      <c r="S473" s="389"/>
      <c r="T473" s="389"/>
      <c r="U473" s="389"/>
      <c r="V473" s="389"/>
      <c r="W473" s="390"/>
      <c r="X473" s="390"/>
      <c r="Y473" s="390"/>
      <c r="Z473" s="390"/>
      <c r="AA473" s="390"/>
      <c r="AB473" s="390"/>
      <c r="AC473" s="375"/>
      <c r="AD473" s="375"/>
      <c r="AE473" s="375"/>
      <c r="AF473" s="375"/>
    </row>
    <row r="474" spans="18:32">
      <c r="R474" s="389"/>
      <c r="S474" s="389"/>
      <c r="T474" s="389"/>
      <c r="U474" s="389"/>
      <c r="V474" s="389"/>
      <c r="W474" s="390"/>
      <c r="X474" s="390"/>
      <c r="Y474" s="390"/>
      <c r="Z474" s="390"/>
      <c r="AA474" s="390"/>
      <c r="AB474" s="390"/>
      <c r="AC474" s="375"/>
      <c r="AD474" s="375"/>
      <c r="AE474" s="375"/>
      <c r="AF474" s="375"/>
    </row>
    <row r="475" spans="18:32">
      <c r="R475" s="389"/>
      <c r="S475" s="389"/>
      <c r="T475" s="389"/>
      <c r="U475" s="389"/>
      <c r="V475" s="389"/>
      <c r="W475" s="390"/>
      <c r="X475" s="390"/>
      <c r="Y475" s="390"/>
      <c r="Z475" s="390"/>
      <c r="AA475" s="390"/>
      <c r="AB475" s="390"/>
      <c r="AC475" s="375"/>
      <c r="AD475" s="375"/>
      <c r="AE475" s="375"/>
      <c r="AF475" s="375"/>
    </row>
    <row r="476" spans="18:32">
      <c r="R476" s="389"/>
      <c r="S476" s="389"/>
      <c r="T476" s="389"/>
      <c r="U476" s="389"/>
      <c r="V476" s="389"/>
      <c r="W476" s="390"/>
      <c r="X476" s="390"/>
      <c r="Y476" s="390"/>
      <c r="Z476" s="390"/>
      <c r="AA476" s="390"/>
      <c r="AB476" s="390"/>
      <c r="AC476" s="375"/>
      <c r="AD476" s="375"/>
      <c r="AE476" s="375"/>
      <c r="AF476" s="375"/>
    </row>
    <row r="477" spans="18:32">
      <c r="R477" s="389"/>
      <c r="S477" s="389"/>
      <c r="T477" s="389"/>
      <c r="U477" s="389"/>
      <c r="V477" s="389"/>
      <c r="W477" s="390"/>
      <c r="X477" s="390"/>
      <c r="Y477" s="390"/>
      <c r="Z477" s="390"/>
      <c r="AA477" s="390"/>
      <c r="AB477" s="390"/>
      <c r="AC477" s="375"/>
      <c r="AD477" s="375"/>
      <c r="AE477" s="375"/>
      <c r="AF477" s="375"/>
    </row>
    <row r="478" spans="18:32">
      <c r="R478" s="389"/>
      <c r="S478" s="389"/>
      <c r="T478" s="389"/>
      <c r="U478" s="389"/>
      <c r="V478" s="389"/>
      <c r="W478" s="390"/>
      <c r="X478" s="390"/>
      <c r="Y478" s="390"/>
      <c r="Z478" s="390"/>
      <c r="AA478" s="390"/>
      <c r="AB478" s="390"/>
      <c r="AC478" s="375"/>
      <c r="AD478" s="375"/>
      <c r="AE478" s="375"/>
      <c r="AF478" s="375"/>
    </row>
    <row r="479" spans="18:32">
      <c r="R479" s="389"/>
      <c r="S479" s="389"/>
      <c r="T479" s="389"/>
      <c r="U479" s="389"/>
      <c r="V479" s="389"/>
      <c r="W479" s="390"/>
      <c r="X479" s="390"/>
      <c r="Y479" s="390"/>
      <c r="Z479" s="390"/>
      <c r="AA479" s="390"/>
      <c r="AB479" s="390"/>
      <c r="AC479" s="375"/>
      <c r="AD479" s="375"/>
      <c r="AE479" s="375"/>
      <c r="AF479" s="375"/>
    </row>
    <row r="480" spans="18:32">
      <c r="R480" s="389"/>
      <c r="S480" s="389"/>
      <c r="T480" s="389"/>
      <c r="U480" s="389"/>
      <c r="V480" s="389"/>
      <c r="W480" s="390"/>
      <c r="X480" s="390"/>
      <c r="Y480" s="390"/>
      <c r="Z480" s="390"/>
      <c r="AA480" s="390"/>
      <c r="AB480" s="390"/>
      <c r="AC480" s="375"/>
      <c r="AD480" s="375"/>
      <c r="AE480" s="375"/>
      <c r="AF480" s="375"/>
    </row>
    <row r="481" spans="18:32">
      <c r="R481" s="389"/>
      <c r="S481" s="389"/>
      <c r="T481" s="389"/>
      <c r="U481" s="389"/>
      <c r="V481" s="389"/>
      <c r="W481" s="390"/>
      <c r="X481" s="390"/>
      <c r="Y481" s="390"/>
      <c r="Z481" s="390"/>
      <c r="AA481" s="390"/>
      <c r="AB481" s="390"/>
      <c r="AC481" s="375"/>
      <c r="AD481" s="375"/>
      <c r="AE481" s="375"/>
      <c r="AF481" s="375"/>
    </row>
    <row r="482" spans="18:32">
      <c r="R482" s="389"/>
      <c r="S482" s="389"/>
      <c r="T482" s="389"/>
      <c r="U482" s="389"/>
      <c r="V482" s="389"/>
      <c r="W482" s="390"/>
      <c r="X482" s="390"/>
      <c r="Y482" s="390"/>
      <c r="Z482" s="390"/>
      <c r="AA482" s="390"/>
      <c r="AB482" s="390"/>
      <c r="AC482" s="375"/>
      <c r="AD482" s="375"/>
      <c r="AE482" s="375"/>
      <c r="AF482" s="375"/>
    </row>
    <row r="483" spans="18:32">
      <c r="R483" s="389"/>
      <c r="S483" s="389"/>
      <c r="T483" s="389"/>
      <c r="U483" s="389"/>
      <c r="V483" s="389"/>
      <c r="W483" s="390"/>
      <c r="X483" s="390"/>
      <c r="Y483" s="390"/>
      <c r="Z483" s="390"/>
      <c r="AA483" s="390"/>
      <c r="AB483" s="390"/>
      <c r="AC483" s="375"/>
      <c r="AD483" s="375"/>
      <c r="AE483" s="375"/>
      <c r="AF483" s="375"/>
    </row>
    <row r="484" spans="18:32">
      <c r="R484" s="389"/>
      <c r="S484" s="389"/>
      <c r="T484" s="389"/>
      <c r="U484" s="389"/>
      <c r="V484" s="389"/>
      <c r="W484" s="390"/>
      <c r="X484" s="390"/>
      <c r="Y484" s="390"/>
      <c r="Z484" s="390"/>
      <c r="AA484" s="390"/>
      <c r="AB484" s="390"/>
      <c r="AC484" s="375"/>
      <c r="AD484" s="375"/>
      <c r="AE484" s="375"/>
      <c r="AF484" s="375"/>
    </row>
    <row r="485" spans="18:32">
      <c r="R485" s="389"/>
      <c r="S485" s="389"/>
      <c r="T485" s="389"/>
      <c r="U485" s="389"/>
      <c r="V485" s="389"/>
      <c r="W485" s="390"/>
      <c r="X485" s="390"/>
      <c r="Y485" s="390"/>
      <c r="Z485" s="390"/>
      <c r="AA485" s="390"/>
      <c r="AB485" s="390"/>
      <c r="AC485" s="375"/>
      <c r="AD485" s="375"/>
      <c r="AE485" s="375"/>
      <c r="AF485" s="375"/>
    </row>
    <row r="486" spans="18:32">
      <c r="R486" s="389"/>
      <c r="S486" s="389"/>
      <c r="T486" s="389"/>
      <c r="U486" s="389"/>
      <c r="V486" s="389"/>
      <c r="W486" s="390"/>
      <c r="X486" s="390"/>
      <c r="Y486" s="390"/>
      <c r="Z486" s="390"/>
      <c r="AA486" s="390"/>
      <c r="AB486" s="390"/>
      <c r="AC486" s="375"/>
      <c r="AD486" s="375"/>
      <c r="AE486" s="375"/>
      <c r="AF486" s="375"/>
    </row>
    <row r="487" spans="18:32">
      <c r="R487" s="389"/>
      <c r="S487" s="389"/>
      <c r="T487" s="389"/>
      <c r="U487" s="389"/>
      <c r="V487" s="389"/>
      <c r="W487" s="390"/>
      <c r="X487" s="390"/>
      <c r="Y487" s="390"/>
      <c r="Z487" s="390"/>
      <c r="AA487" s="390"/>
      <c r="AB487" s="390"/>
      <c r="AC487" s="375"/>
      <c r="AD487" s="375"/>
      <c r="AE487" s="375"/>
      <c r="AF487" s="375"/>
    </row>
    <row r="488" spans="18:32">
      <c r="R488" s="389"/>
      <c r="S488" s="389"/>
      <c r="T488" s="389"/>
      <c r="U488" s="389"/>
      <c r="V488" s="389"/>
      <c r="W488" s="390"/>
      <c r="X488" s="390"/>
      <c r="Y488" s="390"/>
      <c r="Z488" s="390"/>
      <c r="AA488" s="390"/>
      <c r="AB488" s="390"/>
      <c r="AC488" s="375"/>
      <c r="AD488" s="375"/>
      <c r="AE488" s="375"/>
      <c r="AF488" s="375"/>
    </row>
    <row r="489" spans="18:32">
      <c r="R489" s="389"/>
      <c r="S489" s="389"/>
      <c r="T489" s="389"/>
      <c r="U489" s="389"/>
      <c r="V489" s="389"/>
      <c r="W489" s="390"/>
      <c r="X489" s="390"/>
      <c r="Y489" s="390"/>
      <c r="Z489" s="390"/>
      <c r="AA489" s="390"/>
      <c r="AB489" s="390"/>
      <c r="AC489" s="375"/>
      <c r="AD489" s="375"/>
      <c r="AE489" s="375"/>
      <c r="AF489" s="375"/>
    </row>
    <row r="490" spans="18:32">
      <c r="R490" s="389"/>
      <c r="S490" s="389"/>
      <c r="T490" s="389"/>
      <c r="U490" s="389"/>
      <c r="V490" s="389"/>
      <c r="W490" s="390"/>
      <c r="X490" s="390"/>
      <c r="Y490" s="390"/>
      <c r="Z490" s="390"/>
      <c r="AA490" s="390"/>
      <c r="AB490" s="390"/>
      <c r="AC490" s="375"/>
      <c r="AD490" s="375"/>
      <c r="AE490" s="375"/>
      <c r="AF490" s="375"/>
    </row>
    <row r="491" spans="18:32">
      <c r="R491" s="389"/>
      <c r="S491" s="389"/>
      <c r="T491" s="389"/>
      <c r="U491" s="389"/>
      <c r="V491" s="389"/>
      <c r="W491" s="390"/>
      <c r="X491" s="390"/>
      <c r="Y491" s="390"/>
      <c r="Z491" s="390"/>
      <c r="AA491" s="390"/>
      <c r="AB491" s="390"/>
      <c r="AC491" s="375"/>
      <c r="AD491" s="375"/>
      <c r="AE491" s="375"/>
      <c r="AF491" s="375"/>
    </row>
    <row r="492" spans="18:32">
      <c r="R492" s="389"/>
      <c r="S492" s="389"/>
      <c r="T492" s="389"/>
      <c r="U492" s="389"/>
      <c r="V492" s="389"/>
      <c r="W492" s="390"/>
      <c r="X492" s="390"/>
      <c r="Y492" s="390"/>
      <c r="Z492" s="390"/>
      <c r="AA492" s="390"/>
      <c r="AB492" s="390"/>
      <c r="AC492" s="375"/>
      <c r="AD492" s="375"/>
      <c r="AE492" s="375"/>
      <c r="AF492" s="375"/>
    </row>
    <row r="493" spans="18:32">
      <c r="R493" s="389"/>
      <c r="S493" s="389"/>
      <c r="T493" s="389"/>
      <c r="U493" s="389"/>
      <c r="V493" s="389"/>
      <c r="W493" s="390"/>
      <c r="X493" s="390"/>
      <c r="Y493" s="390"/>
      <c r="Z493" s="390"/>
      <c r="AA493" s="390"/>
      <c r="AB493" s="390"/>
      <c r="AC493" s="375"/>
      <c r="AD493" s="375"/>
      <c r="AE493" s="375"/>
      <c r="AF493" s="375"/>
    </row>
    <row r="494" spans="18:32">
      <c r="R494" s="389"/>
      <c r="S494" s="389"/>
      <c r="T494" s="389"/>
      <c r="U494" s="389"/>
      <c r="V494" s="389"/>
      <c r="W494" s="390"/>
      <c r="X494" s="390"/>
      <c r="Y494" s="390"/>
      <c r="Z494" s="390"/>
      <c r="AA494" s="390"/>
      <c r="AB494" s="390"/>
      <c r="AC494" s="375"/>
      <c r="AD494" s="375"/>
      <c r="AE494" s="375"/>
      <c r="AF494" s="375"/>
    </row>
    <row r="495" spans="18:32">
      <c r="R495" s="389"/>
      <c r="S495" s="389"/>
      <c r="T495" s="389"/>
      <c r="U495" s="389"/>
      <c r="V495" s="389"/>
      <c r="W495" s="390"/>
      <c r="X495" s="390"/>
      <c r="Y495" s="390"/>
      <c r="Z495" s="390"/>
      <c r="AA495" s="390"/>
      <c r="AB495" s="390"/>
      <c r="AC495" s="375"/>
      <c r="AD495" s="375"/>
      <c r="AE495" s="375"/>
      <c r="AF495" s="375"/>
    </row>
    <row r="496" spans="18:32">
      <c r="R496" s="389"/>
      <c r="S496" s="389"/>
      <c r="T496" s="389"/>
      <c r="U496" s="389"/>
      <c r="V496" s="389"/>
      <c r="W496" s="390"/>
      <c r="X496" s="390"/>
      <c r="Y496" s="390"/>
      <c r="Z496" s="390"/>
      <c r="AA496" s="390"/>
      <c r="AB496" s="390"/>
      <c r="AC496" s="375"/>
      <c r="AD496" s="375"/>
      <c r="AE496" s="375"/>
      <c r="AF496" s="375"/>
    </row>
    <row r="497" spans="18:32">
      <c r="R497" s="389"/>
      <c r="S497" s="389"/>
      <c r="T497" s="389"/>
      <c r="U497" s="389"/>
      <c r="V497" s="389"/>
      <c r="W497" s="390"/>
      <c r="X497" s="390"/>
      <c r="Y497" s="390"/>
      <c r="Z497" s="390"/>
      <c r="AA497" s="390"/>
      <c r="AB497" s="390"/>
      <c r="AC497" s="375"/>
      <c r="AD497" s="375"/>
      <c r="AE497" s="375"/>
      <c r="AF497" s="375"/>
    </row>
    <row r="498" spans="18:32">
      <c r="R498" s="389"/>
      <c r="S498" s="389"/>
      <c r="T498" s="389"/>
      <c r="U498" s="389"/>
      <c r="V498" s="389"/>
      <c r="W498" s="390"/>
      <c r="X498" s="390"/>
      <c r="Y498" s="390"/>
      <c r="Z498" s="390"/>
      <c r="AA498" s="390"/>
      <c r="AB498" s="390"/>
      <c r="AC498" s="375"/>
      <c r="AD498" s="375"/>
      <c r="AE498" s="375"/>
      <c r="AF498" s="375"/>
    </row>
    <row r="499" spans="18:32">
      <c r="R499" s="389"/>
      <c r="S499" s="389"/>
      <c r="T499" s="389"/>
      <c r="U499" s="389"/>
      <c r="V499" s="389"/>
      <c r="W499" s="390"/>
      <c r="X499" s="390"/>
      <c r="Y499" s="390"/>
      <c r="Z499" s="390"/>
      <c r="AA499" s="390"/>
      <c r="AB499" s="390"/>
      <c r="AC499" s="375"/>
      <c r="AD499" s="375"/>
      <c r="AE499" s="375"/>
      <c r="AF499" s="375"/>
    </row>
    <row r="500" spans="18:32">
      <c r="R500" s="389"/>
      <c r="S500" s="389"/>
      <c r="T500" s="389"/>
      <c r="U500" s="389"/>
      <c r="V500" s="389"/>
      <c r="W500" s="390"/>
      <c r="X500" s="390"/>
      <c r="Y500" s="390"/>
      <c r="Z500" s="390"/>
      <c r="AA500" s="390"/>
      <c r="AB500" s="390"/>
      <c r="AC500" s="375"/>
      <c r="AD500" s="375"/>
      <c r="AE500" s="375"/>
      <c r="AF500" s="375"/>
    </row>
    <row r="501" spans="18:32">
      <c r="R501" s="389"/>
      <c r="S501" s="389"/>
      <c r="T501" s="389"/>
      <c r="U501" s="389"/>
      <c r="V501" s="389"/>
      <c r="W501" s="390"/>
      <c r="X501" s="390"/>
      <c r="Y501" s="390"/>
      <c r="Z501" s="390"/>
      <c r="AA501" s="390"/>
      <c r="AB501" s="390"/>
      <c r="AC501" s="375"/>
      <c r="AD501" s="375"/>
      <c r="AE501" s="375"/>
      <c r="AF501" s="375"/>
    </row>
    <row r="502" spans="18:32">
      <c r="R502" s="389"/>
      <c r="S502" s="389"/>
      <c r="T502" s="389"/>
      <c r="U502" s="389"/>
      <c r="V502" s="389"/>
      <c r="W502" s="390"/>
      <c r="X502" s="390"/>
      <c r="Y502" s="390"/>
      <c r="Z502" s="390"/>
      <c r="AA502" s="390"/>
      <c r="AB502" s="390"/>
      <c r="AC502" s="375"/>
      <c r="AD502" s="375"/>
      <c r="AE502" s="375"/>
      <c r="AF502" s="375"/>
    </row>
    <row r="503" spans="18:32">
      <c r="R503" s="389"/>
      <c r="S503" s="389"/>
      <c r="T503" s="389"/>
      <c r="U503" s="389"/>
      <c r="V503" s="389"/>
      <c r="W503" s="390"/>
      <c r="X503" s="390"/>
      <c r="Y503" s="390"/>
      <c r="Z503" s="390"/>
      <c r="AA503" s="390"/>
      <c r="AB503" s="390"/>
      <c r="AC503" s="375"/>
      <c r="AD503" s="375"/>
      <c r="AE503" s="375"/>
      <c r="AF503" s="375"/>
    </row>
    <row r="504" spans="18:32">
      <c r="R504" s="389"/>
      <c r="S504" s="389"/>
      <c r="T504" s="389"/>
      <c r="U504" s="389"/>
      <c r="V504" s="389"/>
      <c r="W504" s="390"/>
      <c r="X504" s="390"/>
      <c r="Y504" s="390"/>
      <c r="Z504" s="390"/>
      <c r="AA504" s="390"/>
      <c r="AB504" s="390"/>
      <c r="AC504" s="375"/>
      <c r="AD504" s="375"/>
      <c r="AE504" s="375"/>
      <c r="AF504" s="375"/>
    </row>
    <row r="505" spans="18:32">
      <c r="R505" s="389"/>
      <c r="S505" s="389"/>
      <c r="T505" s="389"/>
      <c r="U505" s="389"/>
      <c r="V505" s="389"/>
      <c r="W505" s="390"/>
      <c r="X505" s="390"/>
      <c r="Y505" s="390"/>
      <c r="Z505" s="390"/>
      <c r="AA505" s="390"/>
      <c r="AB505" s="390"/>
      <c r="AC505" s="375"/>
      <c r="AD505" s="375"/>
      <c r="AE505" s="375"/>
      <c r="AF505" s="375"/>
    </row>
    <row r="506" spans="18:32">
      <c r="R506" s="389"/>
      <c r="S506" s="389"/>
      <c r="T506" s="389"/>
      <c r="U506" s="389"/>
      <c r="V506" s="389"/>
      <c r="W506" s="390"/>
      <c r="X506" s="390"/>
      <c r="Y506" s="390"/>
      <c r="Z506" s="390"/>
      <c r="AA506" s="390"/>
      <c r="AB506" s="390"/>
      <c r="AC506" s="375"/>
      <c r="AD506" s="375"/>
      <c r="AE506" s="375"/>
      <c r="AF506" s="375"/>
    </row>
    <row r="507" spans="18:32">
      <c r="R507" s="389"/>
      <c r="S507" s="389"/>
      <c r="T507" s="389"/>
      <c r="U507" s="389"/>
      <c r="V507" s="389"/>
      <c r="W507" s="390"/>
      <c r="X507" s="390"/>
      <c r="Y507" s="390"/>
      <c r="Z507" s="390"/>
      <c r="AA507" s="390"/>
      <c r="AB507" s="390"/>
      <c r="AC507" s="375"/>
      <c r="AD507" s="375"/>
      <c r="AE507" s="375"/>
      <c r="AF507" s="375"/>
    </row>
    <row r="508" spans="18:32">
      <c r="R508" s="389"/>
      <c r="S508" s="389"/>
      <c r="T508" s="389"/>
      <c r="U508" s="389"/>
      <c r="V508" s="389"/>
      <c r="W508" s="390"/>
      <c r="X508" s="390"/>
      <c r="Y508" s="390"/>
      <c r="Z508" s="390"/>
      <c r="AA508" s="390"/>
      <c r="AB508" s="390"/>
      <c r="AC508" s="375"/>
      <c r="AD508" s="375"/>
      <c r="AE508" s="375"/>
      <c r="AF508" s="375"/>
    </row>
    <row r="509" spans="18:32">
      <c r="R509" s="389"/>
      <c r="S509" s="389"/>
      <c r="T509" s="389"/>
      <c r="U509" s="389"/>
      <c r="V509" s="389"/>
      <c r="W509" s="390"/>
      <c r="X509" s="390"/>
      <c r="Y509" s="390"/>
      <c r="Z509" s="390"/>
      <c r="AA509" s="390"/>
      <c r="AB509" s="390"/>
      <c r="AC509" s="375"/>
      <c r="AD509" s="375"/>
      <c r="AE509" s="375"/>
      <c r="AF509" s="375"/>
    </row>
    <row r="510" spans="18:32">
      <c r="R510" s="389"/>
      <c r="S510" s="389"/>
      <c r="T510" s="389"/>
      <c r="U510" s="389"/>
      <c r="V510" s="389"/>
      <c r="W510" s="390"/>
      <c r="X510" s="390"/>
      <c r="Y510" s="390"/>
      <c r="Z510" s="390"/>
      <c r="AA510" s="390"/>
      <c r="AB510" s="390"/>
      <c r="AC510" s="375"/>
      <c r="AD510" s="375"/>
      <c r="AE510" s="375"/>
      <c r="AF510" s="375"/>
    </row>
    <row r="511" spans="18:32">
      <c r="R511" s="389"/>
      <c r="S511" s="389"/>
      <c r="T511" s="389"/>
      <c r="U511" s="389"/>
      <c r="V511" s="389"/>
      <c r="W511" s="390"/>
      <c r="X511" s="390"/>
      <c r="Y511" s="390"/>
      <c r="Z511" s="390"/>
      <c r="AA511" s="390"/>
      <c r="AB511" s="390"/>
      <c r="AC511" s="375"/>
      <c r="AD511" s="375"/>
      <c r="AE511" s="375"/>
      <c r="AF511" s="375"/>
    </row>
    <row r="512" spans="18:32">
      <c r="R512" s="389"/>
      <c r="S512" s="389"/>
      <c r="T512" s="389"/>
      <c r="U512" s="389"/>
      <c r="V512" s="389"/>
      <c r="W512" s="390"/>
      <c r="X512" s="390"/>
      <c r="Y512" s="390"/>
      <c r="Z512" s="390"/>
      <c r="AA512" s="390"/>
      <c r="AB512" s="390"/>
      <c r="AC512" s="375"/>
      <c r="AD512" s="375"/>
      <c r="AE512" s="375"/>
      <c r="AF512" s="375"/>
    </row>
    <row r="513" spans="18:32">
      <c r="R513" s="389"/>
      <c r="S513" s="389"/>
      <c r="T513" s="389"/>
      <c r="U513" s="389"/>
      <c r="V513" s="389"/>
      <c r="W513" s="390"/>
      <c r="X513" s="390"/>
      <c r="Y513" s="390"/>
      <c r="Z513" s="390"/>
      <c r="AA513" s="390"/>
      <c r="AB513" s="390"/>
      <c r="AC513" s="375"/>
      <c r="AD513" s="375"/>
      <c r="AE513" s="375"/>
      <c r="AF513" s="375"/>
    </row>
    <row r="514" spans="18:32">
      <c r="R514" s="389"/>
      <c r="S514" s="389"/>
      <c r="T514" s="389"/>
      <c r="U514" s="389"/>
      <c r="V514" s="389"/>
      <c r="W514" s="390"/>
      <c r="X514" s="390"/>
      <c r="Y514" s="390"/>
      <c r="Z514" s="390"/>
      <c r="AA514" s="390"/>
      <c r="AB514" s="390"/>
      <c r="AC514" s="375"/>
      <c r="AD514" s="375"/>
      <c r="AE514" s="375"/>
      <c r="AF514" s="375"/>
    </row>
    <row r="515" spans="18:32">
      <c r="R515" s="389"/>
      <c r="S515" s="389"/>
      <c r="T515" s="389"/>
      <c r="U515" s="389"/>
      <c r="V515" s="389"/>
      <c r="W515" s="390"/>
      <c r="X515" s="390"/>
      <c r="Y515" s="390"/>
      <c r="Z515" s="390"/>
      <c r="AA515" s="390"/>
      <c r="AB515" s="390"/>
      <c r="AC515" s="375"/>
      <c r="AD515" s="375"/>
      <c r="AE515" s="375"/>
      <c r="AF515" s="375"/>
    </row>
    <row r="516" spans="18:32">
      <c r="R516" s="389"/>
      <c r="S516" s="389"/>
      <c r="T516" s="389"/>
      <c r="U516" s="389"/>
      <c r="V516" s="389"/>
      <c r="W516" s="390"/>
      <c r="X516" s="390"/>
      <c r="Y516" s="390"/>
      <c r="Z516" s="390"/>
      <c r="AA516" s="390"/>
      <c r="AB516" s="390"/>
      <c r="AC516" s="375"/>
      <c r="AD516" s="375"/>
      <c r="AE516" s="375"/>
      <c r="AF516" s="375"/>
    </row>
    <row r="517" spans="18:32">
      <c r="R517" s="389"/>
      <c r="S517" s="389"/>
      <c r="T517" s="389"/>
      <c r="U517" s="389"/>
      <c r="V517" s="389"/>
      <c r="W517" s="390"/>
      <c r="X517" s="390"/>
      <c r="Y517" s="390"/>
      <c r="Z517" s="390"/>
      <c r="AA517" s="390"/>
      <c r="AB517" s="390"/>
      <c r="AC517" s="375"/>
      <c r="AD517" s="375"/>
      <c r="AE517" s="375"/>
      <c r="AF517" s="375"/>
    </row>
    <row r="518" spans="18:32">
      <c r="R518" s="389"/>
      <c r="S518" s="389"/>
      <c r="T518" s="389"/>
      <c r="U518" s="389"/>
      <c r="V518" s="389"/>
      <c r="W518" s="390"/>
      <c r="X518" s="390"/>
      <c r="Y518" s="390"/>
      <c r="Z518" s="390"/>
      <c r="AA518" s="390"/>
      <c r="AB518" s="390"/>
      <c r="AC518" s="375"/>
      <c r="AD518" s="375"/>
      <c r="AE518" s="375"/>
      <c r="AF518" s="375"/>
    </row>
    <row r="519" spans="18:32">
      <c r="R519" s="389"/>
      <c r="S519" s="389"/>
      <c r="T519" s="389"/>
      <c r="U519" s="389"/>
      <c r="V519" s="389"/>
      <c r="W519" s="390"/>
      <c r="X519" s="390"/>
      <c r="Y519" s="390"/>
      <c r="Z519" s="390"/>
      <c r="AA519" s="390"/>
      <c r="AB519" s="390"/>
      <c r="AC519" s="375"/>
      <c r="AD519" s="375"/>
      <c r="AE519" s="375"/>
      <c r="AF519" s="375"/>
    </row>
    <row r="520" spans="18:32">
      <c r="R520" s="389"/>
      <c r="S520" s="389"/>
      <c r="T520" s="389"/>
      <c r="U520" s="389"/>
      <c r="V520" s="389"/>
      <c r="W520" s="390"/>
      <c r="X520" s="390"/>
      <c r="Y520" s="390"/>
      <c r="Z520" s="390"/>
      <c r="AA520" s="390"/>
      <c r="AB520" s="390"/>
      <c r="AC520" s="375"/>
      <c r="AD520" s="375"/>
      <c r="AE520" s="375"/>
      <c r="AF520" s="375"/>
    </row>
    <row r="521" spans="18:32">
      <c r="R521" s="389"/>
      <c r="S521" s="389"/>
      <c r="T521" s="389"/>
      <c r="U521" s="389"/>
      <c r="V521" s="389"/>
      <c r="W521" s="390"/>
      <c r="X521" s="390"/>
      <c r="Y521" s="390"/>
      <c r="Z521" s="390"/>
      <c r="AA521" s="390"/>
      <c r="AB521" s="390"/>
      <c r="AC521" s="375"/>
      <c r="AD521" s="375"/>
      <c r="AE521" s="375"/>
      <c r="AF521" s="375"/>
    </row>
    <row r="522" spans="18:32">
      <c r="R522" s="389"/>
      <c r="S522" s="389"/>
      <c r="T522" s="389"/>
      <c r="U522" s="389"/>
      <c r="V522" s="389"/>
      <c r="W522" s="390"/>
      <c r="X522" s="390"/>
      <c r="Y522" s="390"/>
      <c r="Z522" s="390"/>
      <c r="AA522" s="390"/>
      <c r="AB522" s="390"/>
      <c r="AC522" s="375"/>
      <c r="AD522" s="375"/>
      <c r="AE522" s="375"/>
      <c r="AF522" s="375"/>
    </row>
    <row r="523" spans="18:32">
      <c r="R523" s="389"/>
      <c r="S523" s="389"/>
      <c r="T523" s="389"/>
      <c r="U523" s="389"/>
      <c r="V523" s="389"/>
      <c r="W523" s="390"/>
      <c r="X523" s="390"/>
      <c r="Y523" s="390"/>
      <c r="Z523" s="390"/>
      <c r="AA523" s="390"/>
      <c r="AB523" s="390"/>
      <c r="AC523" s="375"/>
      <c r="AD523" s="375"/>
      <c r="AE523" s="375"/>
      <c r="AF523" s="375"/>
    </row>
    <row r="524" spans="18:32">
      <c r="R524" s="389"/>
      <c r="S524" s="389"/>
      <c r="T524" s="389"/>
      <c r="U524" s="389"/>
      <c r="V524" s="389"/>
      <c r="W524" s="390"/>
      <c r="X524" s="390"/>
      <c r="Y524" s="390"/>
      <c r="Z524" s="390"/>
      <c r="AA524" s="390"/>
      <c r="AB524" s="390"/>
      <c r="AC524" s="375"/>
      <c r="AD524" s="375"/>
      <c r="AE524" s="375"/>
      <c r="AF524" s="375"/>
    </row>
    <row r="525" spans="18:32">
      <c r="R525" s="389"/>
      <c r="S525" s="389"/>
      <c r="T525" s="389"/>
      <c r="U525" s="389"/>
      <c r="V525" s="389"/>
      <c r="W525" s="390"/>
      <c r="X525" s="390"/>
      <c r="Y525" s="390"/>
      <c r="Z525" s="390"/>
      <c r="AA525" s="390"/>
      <c r="AB525" s="390"/>
      <c r="AC525" s="375"/>
      <c r="AD525" s="375"/>
      <c r="AE525" s="375"/>
      <c r="AF525" s="375"/>
    </row>
    <row r="526" spans="18:32">
      <c r="R526" s="389"/>
      <c r="S526" s="389"/>
      <c r="T526" s="389"/>
      <c r="U526" s="389"/>
      <c r="V526" s="389"/>
      <c r="W526" s="390"/>
      <c r="X526" s="390"/>
      <c r="Y526" s="390"/>
      <c r="Z526" s="390"/>
      <c r="AA526" s="390"/>
      <c r="AB526" s="390"/>
      <c r="AC526" s="375"/>
      <c r="AD526" s="375"/>
      <c r="AE526" s="375"/>
      <c r="AF526" s="375"/>
    </row>
    <row r="527" spans="18:32">
      <c r="R527" s="389"/>
      <c r="S527" s="389"/>
      <c r="T527" s="389"/>
      <c r="U527" s="389"/>
      <c r="V527" s="389"/>
      <c r="W527" s="390"/>
      <c r="X527" s="390"/>
      <c r="Y527" s="390"/>
      <c r="Z527" s="390"/>
      <c r="AA527" s="390"/>
      <c r="AB527" s="390"/>
      <c r="AC527" s="375"/>
      <c r="AD527" s="375"/>
      <c r="AE527" s="375"/>
      <c r="AF527" s="375"/>
    </row>
    <row r="528" spans="18:32">
      <c r="R528" s="389"/>
      <c r="S528" s="389"/>
      <c r="T528" s="389"/>
      <c r="U528" s="389"/>
      <c r="V528" s="389"/>
      <c r="W528" s="390"/>
      <c r="X528" s="390"/>
      <c r="Y528" s="390"/>
      <c r="Z528" s="390"/>
      <c r="AA528" s="390"/>
      <c r="AB528" s="390"/>
      <c r="AC528" s="375"/>
      <c r="AD528" s="375"/>
      <c r="AE528" s="375"/>
      <c r="AF528" s="375"/>
    </row>
    <row r="529" spans="18:32">
      <c r="R529" s="389"/>
      <c r="S529" s="389"/>
      <c r="T529" s="389"/>
      <c r="U529" s="389"/>
      <c r="V529" s="389"/>
      <c r="W529" s="390"/>
      <c r="X529" s="390"/>
      <c r="Y529" s="390"/>
      <c r="Z529" s="390"/>
      <c r="AA529" s="390"/>
      <c r="AB529" s="390"/>
      <c r="AC529" s="375"/>
      <c r="AD529" s="375"/>
      <c r="AE529" s="375"/>
      <c r="AF529" s="375"/>
    </row>
    <row r="530" spans="18:32">
      <c r="R530" s="389"/>
      <c r="S530" s="389"/>
      <c r="T530" s="389"/>
      <c r="U530" s="389"/>
      <c r="V530" s="389"/>
      <c r="W530" s="390"/>
      <c r="X530" s="390"/>
      <c r="Y530" s="390"/>
      <c r="Z530" s="390"/>
      <c r="AA530" s="390"/>
      <c r="AB530" s="390"/>
      <c r="AC530" s="375"/>
      <c r="AD530" s="375"/>
      <c r="AE530" s="375"/>
      <c r="AF530" s="375"/>
    </row>
    <row r="531" spans="18:32">
      <c r="R531" s="389"/>
      <c r="S531" s="389"/>
      <c r="T531" s="389"/>
      <c r="U531" s="389"/>
      <c r="V531" s="389"/>
      <c r="W531" s="390"/>
      <c r="X531" s="390"/>
      <c r="Y531" s="390"/>
      <c r="Z531" s="390"/>
      <c r="AA531" s="390"/>
      <c r="AB531" s="390"/>
      <c r="AC531" s="375"/>
      <c r="AD531" s="375"/>
      <c r="AE531" s="375"/>
      <c r="AF531" s="375"/>
    </row>
    <row r="532" spans="18:32">
      <c r="R532" s="389"/>
      <c r="S532" s="389"/>
      <c r="T532" s="389"/>
      <c r="U532" s="389"/>
      <c r="V532" s="389"/>
      <c r="W532" s="390"/>
      <c r="X532" s="390"/>
      <c r="Y532" s="390"/>
      <c r="Z532" s="390"/>
      <c r="AA532" s="390"/>
      <c r="AB532" s="390"/>
      <c r="AC532" s="375"/>
      <c r="AD532" s="375"/>
      <c r="AE532" s="375"/>
      <c r="AF532" s="375"/>
    </row>
    <row r="533" spans="18:32">
      <c r="R533" s="389"/>
      <c r="S533" s="389"/>
      <c r="T533" s="389"/>
      <c r="U533" s="389"/>
      <c r="V533" s="389"/>
      <c r="W533" s="390"/>
      <c r="X533" s="390"/>
      <c r="Y533" s="390"/>
      <c r="Z533" s="390"/>
      <c r="AA533" s="390"/>
      <c r="AB533" s="390"/>
      <c r="AC533" s="375"/>
      <c r="AD533" s="375"/>
      <c r="AE533" s="375"/>
      <c r="AF533" s="375"/>
    </row>
    <row r="534" spans="18:32">
      <c r="R534" s="389"/>
      <c r="S534" s="389"/>
      <c r="T534" s="389"/>
      <c r="U534" s="389"/>
      <c r="V534" s="389"/>
      <c r="W534" s="390"/>
      <c r="X534" s="390"/>
      <c r="Y534" s="390"/>
      <c r="Z534" s="390"/>
      <c r="AA534" s="390"/>
      <c r="AB534" s="390"/>
      <c r="AC534" s="375"/>
      <c r="AD534" s="375"/>
      <c r="AE534" s="375"/>
      <c r="AF534" s="375"/>
    </row>
    <row r="535" spans="18:32">
      <c r="R535" s="389"/>
      <c r="S535" s="389"/>
      <c r="T535" s="389"/>
      <c r="U535" s="389"/>
      <c r="V535" s="389"/>
      <c r="W535" s="390"/>
      <c r="X535" s="390"/>
      <c r="Y535" s="390"/>
      <c r="Z535" s="390"/>
      <c r="AA535" s="390"/>
      <c r="AB535" s="390"/>
      <c r="AC535" s="375"/>
      <c r="AD535" s="375"/>
      <c r="AE535" s="375"/>
      <c r="AF535" s="375"/>
    </row>
    <row r="536" spans="18:32">
      <c r="R536" s="389"/>
      <c r="S536" s="389"/>
      <c r="T536" s="389"/>
      <c r="U536" s="389"/>
      <c r="V536" s="389"/>
      <c r="W536" s="390"/>
      <c r="X536" s="390"/>
      <c r="Y536" s="390"/>
      <c r="Z536" s="390"/>
      <c r="AA536" s="390"/>
      <c r="AB536" s="390"/>
      <c r="AC536" s="375"/>
      <c r="AD536" s="375"/>
      <c r="AE536" s="375"/>
      <c r="AF536" s="375"/>
    </row>
    <row r="537" spans="18:32">
      <c r="R537" s="389"/>
      <c r="S537" s="389"/>
      <c r="T537" s="389"/>
      <c r="U537" s="389"/>
      <c r="V537" s="389"/>
      <c r="W537" s="390"/>
      <c r="X537" s="390"/>
      <c r="Y537" s="390"/>
      <c r="Z537" s="390"/>
      <c r="AA537" s="390"/>
      <c r="AB537" s="390"/>
      <c r="AC537" s="375"/>
      <c r="AD537" s="375"/>
      <c r="AE537" s="375"/>
      <c r="AF537" s="375"/>
    </row>
    <row r="538" spans="18:32">
      <c r="R538" s="389"/>
      <c r="S538" s="389"/>
      <c r="T538" s="389"/>
      <c r="U538" s="389"/>
      <c r="V538" s="389"/>
      <c r="W538" s="390"/>
      <c r="X538" s="390"/>
      <c r="Y538" s="390"/>
      <c r="Z538" s="390"/>
      <c r="AA538" s="390"/>
      <c r="AB538" s="390"/>
      <c r="AC538" s="375"/>
      <c r="AD538" s="375"/>
      <c r="AE538" s="375"/>
      <c r="AF538" s="375"/>
    </row>
    <row r="539" spans="18:32">
      <c r="R539" s="389"/>
      <c r="S539" s="389"/>
      <c r="T539" s="389"/>
      <c r="U539" s="389"/>
      <c r="V539" s="389"/>
      <c r="W539" s="390"/>
      <c r="X539" s="390"/>
      <c r="Y539" s="390"/>
      <c r="Z539" s="390"/>
      <c r="AA539" s="390"/>
      <c r="AB539" s="390"/>
      <c r="AC539" s="375"/>
      <c r="AD539" s="375"/>
      <c r="AE539" s="375"/>
      <c r="AF539" s="375"/>
    </row>
    <row r="540" spans="18:32">
      <c r="R540" s="389"/>
      <c r="S540" s="389"/>
      <c r="T540" s="389"/>
      <c r="U540" s="389"/>
      <c r="V540" s="389"/>
      <c r="W540" s="390"/>
      <c r="X540" s="390"/>
      <c r="Y540" s="390"/>
      <c r="Z540" s="390"/>
      <c r="AA540" s="390"/>
      <c r="AB540" s="390"/>
      <c r="AC540" s="375"/>
      <c r="AD540" s="375"/>
      <c r="AE540" s="375"/>
      <c r="AF540" s="375"/>
    </row>
    <row r="541" spans="18:32">
      <c r="R541" s="389"/>
      <c r="S541" s="389"/>
      <c r="T541" s="389"/>
      <c r="U541" s="389"/>
      <c r="V541" s="389"/>
      <c r="W541" s="390"/>
      <c r="X541" s="390"/>
      <c r="Y541" s="390"/>
      <c r="Z541" s="390"/>
      <c r="AA541" s="390"/>
      <c r="AB541" s="390"/>
      <c r="AC541" s="375"/>
      <c r="AD541" s="375"/>
      <c r="AE541" s="375"/>
      <c r="AF541" s="375"/>
    </row>
    <row r="542" spans="18:32">
      <c r="R542" s="389"/>
      <c r="S542" s="389"/>
      <c r="T542" s="389"/>
      <c r="U542" s="389"/>
      <c r="V542" s="389"/>
      <c r="W542" s="390"/>
      <c r="X542" s="390"/>
      <c r="Y542" s="390"/>
      <c r="Z542" s="390"/>
      <c r="AA542" s="390"/>
      <c r="AB542" s="390"/>
      <c r="AC542" s="375"/>
      <c r="AD542" s="375"/>
      <c r="AE542" s="375"/>
      <c r="AF542" s="375"/>
    </row>
    <row r="543" spans="18:32">
      <c r="R543" s="389"/>
      <c r="S543" s="389"/>
      <c r="T543" s="389"/>
      <c r="U543" s="389"/>
      <c r="V543" s="389"/>
      <c r="W543" s="390"/>
      <c r="X543" s="390"/>
      <c r="Y543" s="390"/>
      <c r="Z543" s="390"/>
      <c r="AA543" s="390"/>
      <c r="AB543" s="390"/>
      <c r="AC543" s="375"/>
      <c r="AD543" s="375"/>
      <c r="AE543" s="375"/>
      <c r="AF543" s="375"/>
    </row>
    <row r="544" spans="18:32">
      <c r="R544" s="389"/>
      <c r="S544" s="389"/>
      <c r="T544" s="389"/>
      <c r="U544" s="389"/>
      <c r="V544" s="389"/>
      <c r="W544" s="390"/>
      <c r="X544" s="390"/>
      <c r="Y544" s="390"/>
      <c r="Z544" s="390"/>
      <c r="AA544" s="390"/>
      <c r="AB544" s="390"/>
      <c r="AC544" s="375"/>
      <c r="AD544" s="375"/>
      <c r="AE544" s="375"/>
      <c r="AF544" s="375"/>
    </row>
    <row r="545" spans="18:32">
      <c r="R545" s="389"/>
      <c r="S545" s="389"/>
      <c r="T545" s="389"/>
      <c r="U545" s="389"/>
      <c r="V545" s="389"/>
      <c r="W545" s="390"/>
      <c r="X545" s="390"/>
      <c r="Y545" s="390"/>
      <c r="Z545" s="390"/>
      <c r="AA545" s="390"/>
      <c r="AB545" s="390"/>
      <c r="AC545" s="375"/>
      <c r="AD545" s="375"/>
      <c r="AE545" s="375"/>
      <c r="AF545" s="375"/>
    </row>
    <row r="546" spans="18:32">
      <c r="R546" s="389"/>
      <c r="S546" s="389"/>
      <c r="T546" s="389"/>
      <c r="U546" s="389"/>
      <c r="V546" s="389"/>
      <c r="W546" s="390"/>
      <c r="X546" s="390"/>
      <c r="Y546" s="390"/>
      <c r="Z546" s="390"/>
      <c r="AA546" s="390"/>
      <c r="AB546" s="390"/>
      <c r="AC546" s="375"/>
      <c r="AD546" s="375"/>
      <c r="AE546" s="375"/>
      <c r="AF546" s="375"/>
    </row>
    <row r="547" spans="18:32">
      <c r="R547" s="389"/>
      <c r="S547" s="389"/>
      <c r="T547" s="389"/>
      <c r="U547" s="389"/>
      <c r="V547" s="389"/>
      <c r="W547" s="390"/>
      <c r="X547" s="390"/>
      <c r="Y547" s="390"/>
      <c r="Z547" s="390"/>
      <c r="AA547" s="390"/>
      <c r="AB547" s="390"/>
      <c r="AC547" s="375"/>
      <c r="AD547" s="375"/>
      <c r="AE547" s="375"/>
      <c r="AF547" s="375"/>
    </row>
    <row r="548" spans="18:32">
      <c r="R548" s="389"/>
      <c r="S548" s="389"/>
      <c r="T548" s="389"/>
      <c r="U548" s="389"/>
      <c r="V548" s="389"/>
      <c r="W548" s="390"/>
      <c r="X548" s="390"/>
      <c r="Y548" s="390"/>
      <c r="Z548" s="390"/>
      <c r="AA548" s="390"/>
      <c r="AB548" s="390"/>
      <c r="AC548" s="375"/>
      <c r="AD548" s="375"/>
      <c r="AE548" s="375"/>
      <c r="AF548" s="375"/>
    </row>
    <row r="549" spans="18:32">
      <c r="R549" s="389"/>
      <c r="S549" s="389"/>
      <c r="T549" s="389"/>
      <c r="U549" s="389"/>
      <c r="V549" s="389"/>
      <c r="W549" s="390"/>
      <c r="X549" s="390"/>
      <c r="Y549" s="390"/>
      <c r="Z549" s="390"/>
      <c r="AA549" s="390"/>
      <c r="AB549" s="390"/>
      <c r="AC549" s="375"/>
      <c r="AD549" s="375"/>
      <c r="AE549" s="375"/>
      <c r="AF549" s="375"/>
    </row>
    <row r="550" spans="18:32">
      <c r="R550" s="389"/>
      <c r="S550" s="389"/>
      <c r="T550" s="389"/>
      <c r="U550" s="389"/>
      <c r="V550" s="389"/>
      <c r="W550" s="390"/>
      <c r="X550" s="390"/>
      <c r="Y550" s="390"/>
      <c r="Z550" s="390"/>
      <c r="AA550" s="390"/>
      <c r="AB550" s="390"/>
      <c r="AC550" s="375"/>
      <c r="AD550" s="375"/>
      <c r="AE550" s="375"/>
      <c r="AF550" s="375"/>
    </row>
    <row r="551" spans="18:32">
      <c r="R551" s="389"/>
      <c r="S551" s="389"/>
      <c r="T551" s="389"/>
      <c r="U551" s="389"/>
      <c r="V551" s="389"/>
      <c r="W551" s="390"/>
      <c r="X551" s="390"/>
      <c r="Y551" s="390"/>
      <c r="Z551" s="390"/>
      <c r="AA551" s="390"/>
      <c r="AB551" s="390"/>
      <c r="AC551" s="375"/>
      <c r="AD551" s="375"/>
      <c r="AE551" s="375"/>
      <c r="AF551" s="375"/>
    </row>
    <row r="552" spans="18:32">
      <c r="R552" s="389"/>
      <c r="S552" s="389"/>
      <c r="T552" s="389"/>
      <c r="U552" s="389"/>
      <c r="V552" s="389"/>
      <c r="W552" s="390"/>
      <c r="X552" s="390"/>
      <c r="Y552" s="390"/>
      <c r="Z552" s="390"/>
      <c r="AA552" s="390"/>
      <c r="AB552" s="390"/>
      <c r="AC552" s="375"/>
      <c r="AD552" s="375"/>
      <c r="AE552" s="375"/>
      <c r="AF552" s="375"/>
    </row>
    <row r="553" spans="18:32">
      <c r="R553" s="389"/>
      <c r="S553" s="389"/>
      <c r="T553" s="389"/>
      <c r="U553" s="389"/>
      <c r="V553" s="389"/>
      <c r="W553" s="390"/>
      <c r="X553" s="390"/>
      <c r="Y553" s="390"/>
      <c r="Z553" s="390"/>
      <c r="AA553" s="390"/>
      <c r="AB553" s="390"/>
      <c r="AC553" s="375"/>
      <c r="AD553" s="375"/>
      <c r="AE553" s="375"/>
      <c r="AF553" s="375"/>
    </row>
    <row r="554" spans="18:32">
      <c r="R554" s="389"/>
      <c r="S554" s="389"/>
      <c r="T554" s="389"/>
      <c r="U554" s="389"/>
      <c r="V554" s="389"/>
      <c r="W554" s="390"/>
      <c r="X554" s="390"/>
      <c r="Y554" s="390"/>
      <c r="Z554" s="390"/>
      <c r="AA554" s="390"/>
      <c r="AB554" s="390"/>
      <c r="AC554" s="375"/>
      <c r="AD554" s="375"/>
      <c r="AE554" s="375"/>
      <c r="AF554" s="375"/>
    </row>
    <row r="555" spans="18:32">
      <c r="R555" s="389"/>
      <c r="S555" s="389"/>
      <c r="T555" s="389"/>
      <c r="U555" s="389"/>
      <c r="V555" s="389"/>
      <c r="W555" s="390"/>
      <c r="X555" s="390"/>
      <c r="Y555" s="390"/>
      <c r="Z555" s="390"/>
      <c r="AA555" s="390"/>
      <c r="AB555" s="390"/>
      <c r="AC555" s="375"/>
      <c r="AD555" s="375"/>
      <c r="AE555" s="375"/>
      <c r="AF555" s="375"/>
    </row>
    <row r="556" spans="18:32">
      <c r="R556" s="389"/>
      <c r="S556" s="389"/>
      <c r="T556" s="389"/>
      <c r="U556" s="389"/>
      <c r="V556" s="389"/>
      <c r="W556" s="390"/>
      <c r="X556" s="390"/>
      <c r="Y556" s="390"/>
      <c r="Z556" s="390"/>
      <c r="AA556" s="390"/>
      <c r="AB556" s="390"/>
      <c r="AC556" s="375"/>
      <c r="AD556" s="375"/>
      <c r="AE556" s="375"/>
      <c r="AF556" s="375"/>
    </row>
    <row r="557" spans="18:32">
      <c r="R557" s="389"/>
      <c r="S557" s="389"/>
      <c r="T557" s="389"/>
      <c r="U557" s="389"/>
      <c r="V557" s="389"/>
      <c r="W557" s="390"/>
      <c r="X557" s="390"/>
      <c r="Y557" s="390"/>
      <c r="Z557" s="390"/>
      <c r="AA557" s="390"/>
      <c r="AB557" s="390"/>
      <c r="AC557" s="375"/>
      <c r="AD557" s="375"/>
      <c r="AE557" s="375"/>
      <c r="AF557" s="375"/>
    </row>
    <row r="558" spans="18:32">
      <c r="R558" s="389"/>
      <c r="S558" s="389"/>
      <c r="T558" s="389"/>
      <c r="U558" s="389"/>
      <c r="V558" s="389"/>
      <c r="W558" s="390"/>
      <c r="X558" s="390"/>
      <c r="Y558" s="390"/>
      <c r="Z558" s="390"/>
      <c r="AA558" s="390"/>
      <c r="AB558" s="390"/>
      <c r="AC558" s="375"/>
      <c r="AD558" s="375"/>
      <c r="AE558" s="375"/>
      <c r="AF558" s="375"/>
    </row>
    <row r="559" spans="18:32">
      <c r="R559" s="389"/>
      <c r="S559" s="389"/>
      <c r="T559" s="389"/>
      <c r="U559" s="389"/>
      <c r="V559" s="389"/>
      <c r="W559" s="390"/>
      <c r="X559" s="390"/>
      <c r="Y559" s="390"/>
      <c r="Z559" s="390"/>
      <c r="AA559" s="390"/>
      <c r="AB559" s="390"/>
      <c r="AC559" s="375"/>
      <c r="AD559" s="375"/>
      <c r="AE559" s="375"/>
      <c r="AF559" s="375"/>
    </row>
    <row r="560" spans="18:32">
      <c r="R560" s="389"/>
      <c r="S560" s="389"/>
      <c r="T560" s="389"/>
      <c r="U560" s="389"/>
      <c r="V560" s="389"/>
      <c r="W560" s="390"/>
      <c r="X560" s="390"/>
      <c r="Y560" s="390"/>
      <c r="Z560" s="390"/>
      <c r="AA560" s="390"/>
      <c r="AB560" s="390"/>
      <c r="AC560" s="375"/>
      <c r="AD560" s="375"/>
      <c r="AE560" s="375"/>
      <c r="AF560" s="375"/>
    </row>
    <row r="561" spans="18:32">
      <c r="R561" s="389"/>
      <c r="S561" s="389"/>
      <c r="T561" s="389"/>
      <c r="U561" s="389"/>
      <c r="V561" s="389"/>
      <c r="W561" s="390"/>
      <c r="X561" s="390"/>
      <c r="Y561" s="390"/>
      <c r="Z561" s="390"/>
      <c r="AA561" s="390"/>
      <c r="AB561" s="390"/>
      <c r="AC561" s="375"/>
      <c r="AD561" s="375"/>
      <c r="AE561" s="375"/>
      <c r="AF561" s="375"/>
    </row>
    <row r="562" spans="18:32">
      <c r="R562" s="389"/>
      <c r="S562" s="389"/>
      <c r="T562" s="389"/>
      <c r="U562" s="389"/>
      <c r="V562" s="389"/>
      <c r="W562" s="390"/>
      <c r="X562" s="390"/>
      <c r="Y562" s="390"/>
      <c r="Z562" s="390"/>
      <c r="AA562" s="390"/>
      <c r="AB562" s="390"/>
      <c r="AC562" s="375"/>
      <c r="AD562" s="375"/>
      <c r="AE562" s="375"/>
      <c r="AF562" s="375"/>
    </row>
    <row r="563" spans="18:32">
      <c r="R563" s="389"/>
      <c r="S563" s="389"/>
      <c r="T563" s="389"/>
      <c r="U563" s="389"/>
      <c r="V563" s="389"/>
      <c r="W563" s="390"/>
      <c r="X563" s="390"/>
      <c r="Y563" s="390"/>
      <c r="Z563" s="390"/>
      <c r="AA563" s="390"/>
      <c r="AB563" s="390"/>
      <c r="AC563" s="375"/>
      <c r="AD563" s="375"/>
      <c r="AE563" s="375"/>
      <c r="AF563" s="375"/>
    </row>
    <row r="564" spans="18:32">
      <c r="R564" s="389"/>
      <c r="S564" s="389"/>
      <c r="T564" s="389"/>
      <c r="U564" s="389"/>
      <c r="V564" s="389"/>
      <c r="W564" s="390"/>
      <c r="X564" s="390"/>
      <c r="Y564" s="390"/>
      <c r="Z564" s="390"/>
      <c r="AA564" s="390"/>
      <c r="AB564" s="390"/>
      <c r="AC564" s="375"/>
      <c r="AD564" s="375"/>
      <c r="AE564" s="375"/>
      <c r="AF564" s="375"/>
    </row>
    <row r="565" spans="18:32">
      <c r="R565" s="389"/>
      <c r="S565" s="389"/>
      <c r="T565" s="389"/>
      <c r="U565" s="389"/>
      <c r="V565" s="389"/>
      <c r="W565" s="390"/>
      <c r="X565" s="390"/>
      <c r="Y565" s="390"/>
      <c r="Z565" s="390"/>
      <c r="AA565" s="390"/>
      <c r="AB565" s="390"/>
      <c r="AC565" s="375"/>
      <c r="AD565" s="375"/>
      <c r="AE565" s="375"/>
      <c r="AF565" s="375"/>
    </row>
    <row r="566" spans="18:32">
      <c r="R566" s="389"/>
      <c r="S566" s="389"/>
      <c r="T566" s="389"/>
      <c r="U566" s="389"/>
      <c r="V566" s="389"/>
      <c r="W566" s="390"/>
      <c r="X566" s="390"/>
      <c r="Y566" s="390"/>
      <c r="Z566" s="390"/>
      <c r="AA566" s="390"/>
      <c r="AB566" s="390"/>
      <c r="AC566" s="375"/>
      <c r="AD566" s="375"/>
      <c r="AE566" s="375"/>
      <c r="AF566" s="375"/>
    </row>
    <row r="567" spans="18:32">
      <c r="R567" s="389"/>
      <c r="S567" s="389"/>
      <c r="T567" s="389"/>
      <c r="U567" s="389"/>
      <c r="V567" s="389"/>
      <c r="W567" s="390"/>
      <c r="X567" s="390"/>
      <c r="Y567" s="390"/>
      <c r="Z567" s="390"/>
      <c r="AA567" s="390"/>
      <c r="AB567" s="390"/>
      <c r="AC567" s="375"/>
      <c r="AD567" s="375"/>
      <c r="AE567" s="375"/>
      <c r="AF567" s="375"/>
    </row>
    <row r="568" spans="18:32">
      <c r="R568" s="389"/>
      <c r="S568" s="389"/>
      <c r="T568" s="389"/>
      <c r="U568" s="389"/>
      <c r="V568" s="389"/>
      <c r="W568" s="390"/>
      <c r="X568" s="390"/>
      <c r="Y568" s="390"/>
      <c r="Z568" s="390"/>
      <c r="AA568" s="390"/>
      <c r="AB568" s="390"/>
      <c r="AC568" s="375"/>
      <c r="AD568" s="375"/>
      <c r="AE568" s="375"/>
      <c r="AF568" s="375"/>
    </row>
    <row r="569" spans="18:32">
      <c r="R569" s="389"/>
      <c r="S569" s="389"/>
      <c r="T569" s="389"/>
      <c r="U569" s="389"/>
      <c r="V569" s="389"/>
      <c r="W569" s="390"/>
      <c r="X569" s="390"/>
      <c r="Y569" s="390"/>
      <c r="Z569" s="390"/>
      <c r="AA569" s="390"/>
      <c r="AB569" s="390"/>
      <c r="AC569" s="375"/>
      <c r="AD569" s="375"/>
      <c r="AE569" s="375"/>
      <c r="AF569" s="375"/>
    </row>
    <row r="570" spans="18:32">
      <c r="R570" s="389"/>
      <c r="S570" s="389"/>
      <c r="T570" s="389"/>
      <c r="U570" s="389"/>
      <c r="V570" s="389"/>
      <c r="W570" s="390"/>
      <c r="X570" s="390"/>
      <c r="Y570" s="390"/>
      <c r="Z570" s="390"/>
      <c r="AA570" s="390"/>
      <c r="AB570" s="390"/>
      <c r="AC570" s="375"/>
      <c r="AD570" s="375"/>
      <c r="AE570" s="375"/>
      <c r="AF570" s="375"/>
    </row>
    <row r="571" spans="18:32">
      <c r="R571" s="389"/>
      <c r="S571" s="389"/>
      <c r="T571" s="389"/>
      <c r="U571" s="389"/>
      <c r="V571" s="389"/>
      <c r="W571" s="390"/>
      <c r="X571" s="390"/>
      <c r="Y571" s="390"/>
      <c r="Z571" s="390"/>
      <c r="AA571" s="390"/>
      <c r="AB571" s="390"/>
      <c r="AC571" s="375"/>
      <c r="AD571" s="375"/>
      <c r="AE571" s="375"/>
      <c r="AF571" s="375"/>
    </row>
    <row r="572" spans="18:32">
      <c r="R572" s="389"/>
      <c r="S572" s="389"/>
      <c r="T572" s="389"/>
      <c r="U572" s="389"/>
      <c r="V572" s="389"/>
      <c r="W572" s="390"/>
      <c r="X572" s="390"/>
      <c r="Y572" s="390"/>
      <c r="Z572" s="390"/>
      <c r="AA572" s="390"/>
      <c r="AB572" s="390"/>
      <c r="AC572" s="375"/>
      <c r="AD572" s="375"/>
      <c r="AE572" s="375"/>
      <c r="AF572" s="375"/>
    </row>
    <row r="573" spans="18:32">
      <c r="R573" s="389"/>
      <c r="S573" s="389"/>
      <c r="T573" s="389"/>
      <c r="U573" s="389"/>
      <c r="V573" s="389"/>
      <c r="W573" s="390"/>
      <c r="X573" s="390"/>
      <c r="Y573" s="390"/>
      <c r="Z573" s="390"/>
      <c r="AA573" s="390"/>
      <c r="AB573" s="390"/>
      <c r="AC573" s="375"/>
      <c r="AD573" s="375"/>
      <c r="AE573" s="375"/>
      <c r="AF573" s="375"/>
    </row>
    <row r="574" spans="18:32">
      <c r="R574" s="389"/>
      <c r="S574" s="389"/>
      <c r="T574" s="389"/>
      <c r="U574" s="389"/>
      <c r="V574" s="389"/>
      <c r="W574" s="390"/>
      <c r="X574" s="390"/>
      <c r="Y574" s="390"/>
      <c r="Z574" s="390"/>
      <c r="AA574" s="390"/>
      <c r="AB574" s="390"/>
      <c r="AC574" s="375"/>
      <c r="AD574" s="375"/>
      <c r="AE574" s="375"/>
      <c r="AF574" s="375"/>
    </row>
    <row r="575" spans="18:32">
      <c r="R575" s="389"/>
      <c r="S575" s="389"/>
      <c r="T575" s="389"/>
      <c r="U575" s="389"/>
      <c r="V575" s="389"/>
      <c r="W575" s="390"/>
      <c r="X575" s="390"/>
      <c r="Y575" s="390"/>
      <c r="Z575" s="390"/>
      <c r="AA575" s="390"/>
      <c r="AB575" s="390"/>
      <c r="AC575" s="375"/>
      <c r="AD575" s="375"/>
      <c r="AE575" s="375"/>
      <c r="AF575" s="375"/>
    </row>
    <row r="576" spans="18:32">
      <c r="R576" s="389"/>
      <c r="S576" s="389"/>
      <c r="T576" s="389"/>
      <c r="U576" s="389"/>
      <c r="V576" s="389"/>
      <c r="W576" s="390"/>
      <c r="X576" s="390"/>
      <c r="Y576" s="390"/>
      <c r="Z576" s="390"/>
      <c r="AA576" s="390"/>
      <c r="AB576" s="390"/>
      <c r="AC576" s="375"/>
      <c r="AD576" s="375"/>
      <c r="AE576" s="375"/>
      <c r="AF576" s="375"/>
    </row>
    <row r="577" spans="18:32">
      <c r="R577" s="389"/>
      <c r="S577" s="389"/>
      <c r="T577" s="389"/>
      <c r="U577" s="389"/>
      <c r="V577" s="389"/>
      <c r="W577" s="390"/>
      <c r="X577" s="390"/>
      <c r="Y577" s="390"/>
      <c r="Z577" s="390"/>
      <c r="AA577" s="390"/>
      <c r="AB577" s="390"/>
      <c r="AC577" s="375"/>
      <c r="AD577" s="375"/>
      <c r="AE577" s="375"/>
      <c r="AF577" s="375"/>
    </row>
    <row r="578" spans="18:32">
      <c r="R578" s="389"/>
      <c r="S578" s="389"/>
      <c r="T578" s="389"/>
      <c r="U578" s="389"/>
      <c r="V578" s="389"/>
      <c r="W578" s="390"/>
      <c r="X578" s="390"/>
      <c r="Y578" s="390"/>
      <c r="Z578" s="390"/>
      <c r="AA578" s="390"/>
      <c r="AB578" s="390"/>
      <c r="AC578" s="375"/>
      <c r="AD578" s="375"/>
      <c r="AE578" s="375"/>
      <c r="AF578" s="375"/>
    </row>
    <row r="579" spans="18:32">
      <c r="R579" s="389"/>
      <c r="S579" s="389"/>
      <c r="T579" s="389"/>
      <c r="U579" s="389"/>
      <c r="V579" s="389"/>
      <c r="W579" s="390"/>
      <c r="X579" s="390"/>
      <c r="Y579" s="390"/>
      <c r="Z579" s="390"/>
      <c r="AA579" s="390"/>
      <c r="AB579" s="390"/>
      <c r="AC579" s="375"/>
      <c r="AD579" s="375"/>
      <c r="AE579" s="375"/>
      <c r="AF579" s="375"/>
    </row>
    <row r="580" spans="18:32">
      <c r="R580" s="389"/>
      <c r="S580" s="389"/>
      <c r="T580" s="389"/>
      <c r="U580" s="389"/>
      <c r="V580" s="389"/>
      <c r="W580" s="390"/>
      <c r="X580" s="390"/>
      <c r="Y580" s="390"/>
      <c r="Z580" s="390"/>
      <c r="AA580" s="390"/>
      <c r="AB580" s="390"/>
      <c r="AC580" s="375"/>
      <c r="AD580" s="375"/>
      <c r="AE580" s="375"/>
      <c r="AF580" s="375"/>
    </row>
    <row r="581" spans="18:32">
      <c r="R581" s="389"/>
      <c r="S581" s="389"/>
      <c r="T581" s="389"/>
      <c r="U581" s="389"/>
      <c r="V581" s="389"/>
      <c r="W581" s="390"/>
      <c r="X581" s="390"/>
      <c r="Y581" s="390"/>
      <c r="Z581" s="390"/>
      <c r="AA581" s="390"/>
      <c r="AB581" s="390"/>
      <c r="AC581" s="375"/>
      <c r="AD581" s="375"/>
      <c r="AE581" s="375"/>
      <c r="AF581" s="375"/>
    </row>
    <row r="582" spans="18:32">
      <c r="R582" s="389"/>
      <c r="S582" s="389"/>
      <c r="T582" s="389"/>
      <c r="U582" s="389"/>
      <c r="V582" s="389"/>
      <c r="W582" s="390"/>
      <c r="X582" s="390"/>
      <c r="Y582" s="390"/>
      <c r="Z582" s="390"/>
      <c r="AA582" s="390"/>
      <c r="AB582" s="390"/>
      <c r="AC582" s="375"/>
      <c r="AD582" s="375"/>
      <c r="AE582" s="375"/>
      <c r="AF582" s="375"/>
    </row>
    <row r="583" spans="18:32">
      <c r="R583" s="389"/>
      <c r="S583" s="389"/>
      <c r="T583" s="389"/>
      <c r="U583" s="389"/>
      <c r="V583" s="389"/>
      <c r="W583" s="390"/>
      <c r="X583" s="390"/>
      <c r="Y583" s="390"/>
      <c r="Z583" s="390"/>
      <c r="AA583" s="390"/>
      <c r="AB583" s="390"/>
      <c r="AC583" s="375"/>
      <c r="AD583" s="375"/>
      <c r="AE583" s="375"/>
      <c r="AF583" s="375"/>
    </row>
    <row r="584" spans="18:32">
      <c r="R584" s="389"/>
      <c r="S584" s="389"/>
      <c r="T584" s="389"/>
      <c r="U584" s="389"/>
      <c r="V584" s="389"/>
      <c r="W584" s="390"/>
      <c r="X584" s="390"/>
      <c r="Y584" s="390"/>
      <c r="Z584" s="390"/>
      <c r="AA584" s="390"/>
      <c r="AB584" s="390"/>
      <c r="AC584" s="375"/>
      <c r="AD584" s="375"/>
      <c r="AE584" s="375"/>
      <c r="AF584" s="375"/>
    </row>
    <row r="585" spans="18:32">
      <c r="R585" s="389"/>
      <c r="S585" s="389"/>
      <c r="T585" s="389"/>
      <c r="U585" s="389"/>
      <c r="V585" s="389"/>
      <c r="W585" s="390"/>
      <c r="X585" s="390"/>
      <c r="Y585" s="390"/>
      <c r="Z585" s="390"/>
      <c r="AA585" s="390"/>
      <c r="AB585" s="390"/>
      <c r="AC585" s="375"/>
      <c r="AD585" s="375"/>
      <c r="AE585" s="375"/>
      <c r="AF585" s="375"/>
    </row>
    <row r="586" spans="18:32">
      <c r="R586" s="389"/>
      <c r="S586" s="389"/>
      <c r="T586" s="389"/>
      <c r="U586" s="389"/>
      <c r="V586" s="389"/>
      <c r="W586" s="390"/>
      <c r="X586" s="390"/>
      <c r="Y586" s="390"/>
      <c r="Z586" s="390"/>
      <c r="AA586" s="390"/>
      <c r="AB586" s="390"/>
      <c r="AC586" s="375"/>
      <c r="AD586" s="375"/>
      <c r="AE586" s="375"/>
      <c r="AF586" s="375"/>
    </row>
    <row r="587" spans="18:32">
      <c r="R587" s="389"/>
      <c r="S587" s="389"/>
      <c r="T587" s="389"/>
      <c r="U587" s="389"/>
      <c r="V587" s="389"/>
      <c r="W587" s="390"/>
      <c r="X587" s="390"/>
      <c r="Y587" s="390"/>
      <c r="Z587" s="390"/>
      <c r="AA587" s="390"/>
      <c r="AB587" s="390"/>
      <c r="AC587" s="375"/>
      <c r="AD587" s="375"/>
      <c r="AE587" s="375"/>
      <c r="AF587" s="375"/>
    </row>
    <row r="588" spans="18:32">
      <c r="R588" s="389"/>
      <c r="S588" s="389"/>
      <c r="T588" s="389"/>
      <c r="U588" s="389"/>
      <c r="V588" s="389"/>
      <c r="W588" s="390"/>
      <c r="X588" s="390"/>
      <c r="Y588" s="390"/>
      <c r="Z588" s="390"/>
      <c r="AA588" s="390"/>
      <c r="AB588" s="390"/>
      <c r="AC588" s="375"/>
      <c r="AD588" s="375"/>
      <c r="AE588" s="375"/>
      <c r="AF588" s="375"/>
    </row>
    <row r="589" spans="18:32">
      <c r="R589" s="389"/>
      <c r="S589" s="389"/>
      <c r="T589" s="389"/>
      <c r="U589" s="389"/>
      <c r="V589" s="389"/>
      <c r="W589" s="390"/>
      <c r="X589" s="390"/>
      <c r="Y589" s="390"/>
      <c r="Z589" s="390"/>
      <c r="AA589" s="390"/>
      <c r="AB589" s="390"/>
      <c r="AC589" s="375"/>
      <c r="AD589" s="375"/>
      <c r="AE589" s="375"/>
      <c r="AF589" s="375"/>
    </row>
    <row r="590" spans="18:32">
      <c r="R590" s="389"/>
      <c r="S590" s="389"/>
      <c r="T590" s="389"/>
      <c r="U590" s="389"/>
      <c r="V590" s="389"/>
      <c r="W590" s="390"/>
      <c r="X590" s="390"/>
      <c r="Y590" s="390"/>
      <c r="Z590" s="390"/>
      <c r="AA590" s="390"/>
      <c r="AB590" s="390"/>
      <c r="AC590" s="375"/>
      <c r="AD590" s="375"/>
      <c r="AE590" s="375"/>
      <c r="AF590" s="375"/>
    </row>
    <row r="591" spans="18:32">
      <c r="R591" s="389"/>
      <c r="S591" s="389"/>
      <c r="T591" s="389"/>
      <c r="U591" s="389"/>
      <c r="V591" s="389"/>
      <c r="W591" s="390"/>
      <c r="X591" s="390"/>
      <c r="Y591" s="390"/>
      <c r="Z591" s="390"/>
      <c r="AA591" s="390"/>
      <c r="AB591" s="390"/>
      <c r="AC591" s="375"/>
      <c r="AD591" s="375"/>
      <c r="AE591" s="375"/>
      <c r="AF591" s="375"/>
    </row>
    <row r="592" spans="18:32">
      <c r="R592" s="389"/>
      <c r="S592" s="389"/>
      <c r="T592" s="389"/>
      <c r="U592" s="389"/>
      <c r="V592" s="389"/>
      <c r="W592" s="390"/>
      <c r="X592" s="390"/>
      <c r="Y592" s="390"/>
      <c r="Z592" s="390"/>
      <c r="AA592" s="390"/>
      <c r="AB592" s="390"/>
      <c r="AC592" s="375"/>
      <c r="AD592" s="375"/>
      <c r="AE592" s="375"/>
      <c r="AF592" s="375"/>
    </row>
    <row r="593" spans="18:32">
      <c r="R593" s="389"/>
      <c r="S593" s="389"/>
      <c r="T593" s="389"/>
      <c r="U593" s="389"/>
      <c r="V593" s="389"/>
      <c r="W593" s="390"/>
      <c r="X593" s="390"/>
      <c r="Y593" s="390"/>
      <c r="Z593" s="390"/>
      <c r="AA593" s="390"/>
      <c r="AB593" s="390"/>
      <c r="AC593" s="375"/>
      <c r="AD593" s="375"/>
      <c r="AE593" s="375"/>
      <c r="AF593" s="375"/>
    </row>
    <row r="594" spans="18:32">
      <c r="R594" s="389"/>
      <c r="S594" s="389"/>
      <c r="T594" s="389"/>
      <c r="U594" s="389"/>
      <c r="V594" s="389"/>
      <c r="W594" s="390"/>
      <c r="X594" s="390"/>
      <c r="Y594" s="390"/>
      <c r="Z594" s="390"/>
      <c r="AA594" s="390"/>
      <c r="AB594" s="390"/>
      <c r="AC594" s="375"/>
      <c r="AD594" s="375"/>
      <c r="AE594" s="375"/>
      <c r="AF594" s="375"/>
    </row>
    <row r="595" spans="18:32">
      <c r="R595" s="389"/>
      <c r="S595" s="389"/>
      <c r="T595" s="389"/>
      <c r="U595" s="389"/>
      <c r="V595" s="389"/>
      <c r="W595" s="390"/>
      <c r="X595" s="390"/>
      <c r="Y595" s="390"/>
      <c r="Z595" s="390"/>
      <c r="AA595" s="390"/>
      <c r="AB595" s="390"/>
      <c r="AC595" s="375"/>
      <c r="AD595" s="375"/>
      <c r="AE595" s="375"/>
      <c r="AF595" s="375"/>
    </row>
    <row r="596" spans="18:32">
      <c r="R596" s="389"/>
      <c r="S596" s="389"/>
      <c r="T596" s="389"/>
      <c r="U596" s="389"/>
      <c r="V596" s="389"/>
      <c r="W596" s="390"/>
      <c r="X596" s="390"/>
      <c r="Y596" s="390"/>
      <c r="Z596" s="390"/>
      <c r="AA596" s="390"/>
      <c r="AB596" s="390"/>
      <c r="AC596" s="375"/>
      <c r="AD596" s="375"/>
      <c r="AE596" s="375"/>
      <c r="AF596" s="375"/>
    </row>
    <row r="597" spans="18:32">
      <c r="R597" s="389"/>
      <c r="S597" s="389"/>
      <c r="T597" s="389"/>
      <c r="U597" s="389"/>
      <c r="V597" s="389"/>
      <c r="W597" s="390"/>
      <c r="X597" s="390"/>
      <c r="Y597" s="390"/>
      <c r="Z597" s="390"/>
      <c r="AA597" s="390"/>
      <c r="AB597" s="390"/>
      <c r="AC597" s="375"/>
      <c r="AD597" s="375"/>
      <c r="AE597" s="375"/>
      <c r="AF597" s="375"/>
    </row>
    <row r="598" spans="18:32">
      <c r="R598" s="389"/>
      <c r="S598" s="389"/>
      <c r="T598" s="389"/>
      <c r="U598" s="389"/>
      <c r="V598" s="389"/>
      <c r="W598" s="390"/>
      <c r="X598" s="390"/>
      <c r="Y598" s="390"/>
      <c r="Z598" s="390"/>
      <c r="AA598" s="390"/>
      <c r="AB598" s="390"/>
      <c r="AC598" s="375"/>
      <c r="AD598" s="375"/>
      <c r="AE598" s="375"/>
      <c r="AF598" s="375"/>
    </row>
    <row r="599" spans="18:32">
      <c r="R599" s="389"/>
      <c r="S599" s="389"/>
      <c r="T599" s="389"/>
      <c r="U599" s="389"/>
      <c r="V599" s="389"/>
      <c r="W599" s="390"/>
      <c r="X599" s="390"/>
      <c r="Y599" s="390"/>
      <c r="Z599" s="390"/>
      <c r="AA599" s="390"/>
      <c r="AB599" s="390"/>
      <c r="AC599" s="375"/>
      <c r="AD599" s="375"/>
      <c r="AE599" s="375"/>
      <c r="AF599" s="375"/>
    </row>
    <row r="600" spans="18:32">
      <c r="R600" s="389"/>
      <c r="S600" s="389"/>
      <c r="T600" s="389"/>
      <c r="U600" s="389"/>
      <c r="V600" s="389"/>
      <c r="W600" s="390"/>
      <c r="X600" s="390"/>
      <c r="Y600" s="390"/>
      <c r="Z600" s="390"/>
      <c r="AA600" s="390"/>
      <c r="AB600" s="390"/>
      <c r="AC600" s="375"/>
      <c r="AD600" s="375"/>
      <c r="AE600" s="375"/>
      <c r="AF600" s="375"/>
    </row>
    <row r="601" spans="18:32">
      <c r="R601" s="389"/>
      <c r="S601" s="389"/>
      <c r="T601" s="389"/>
      <c r="U601" s="389"/>
      <c r="V601" s="389"/>
      <c r="W601" s="390"/>
      <c r="X601" s="390"/>
      <c r="Y601" s="390"/>
      <c r="Z601" s="390"/>
      <c r="AA601" s="390"/>
      <c r="AB601" s="390"/>
      <c r="AC601" s="375"/>
      <c r="AD601" s="375"/>
      <c r="AE601" s="375"/>
      <c r="AF601" s="375"/>
    </row>
    <row r="602" spans="18:32">
      <c r="R602" s="389"/>
      <c r="S602" s="389"/>
      <c r="T602" s="389"/>
      <c r="U602" s="389"/>
      <c r="V602" s="389"/>
      <c r="W602" s="390"/>
      <c r="X602" s="390"/>
      <c r="Y602" s="390"/>
      <c r="Z602" s="390"/>
      <c r="AA602" s="390"/>
      <c r="AB602" s="390"/>
      <c r="AC602" s="375"/>
      <c r="AD602" s="375"/>
      <c r="AE602" s="375"/>
      <c r="AF602" s="375"/>
    </row>
    <row r="603" spans="18:32">
      <c r="R603" s="389"/>
      <c r="S603" s="389"/>
      <c r="T603" s="389"/>
      <c r="U603" s="389"/>
      <c r="V603" s="389"/>
      <c r="W603" s="390"/>
      <c r="X603" s="390"/>
      <c r="Y603" s="390"/>
      <c r="Z603" s="390"/>
      <c r="AA603" s="390"/>
      <c r="AB603" s="390"/>
      <c r="AC603" s="375"/>
      <c r="AD603" s="375"/>
      <c r="AE603" s="375"/>
      <c r="AF603" s="375"/>
    </row>
    <row r="604" spans="18:32">
      <c r="R604" s="389"/>
      <c r="S604" s="389"/>
      <c r="T604" s="389"/>
      <c r="U604" s="389"/>
      <c r="V604" s="389"/>
      <c r="W604" s="390"/>
      <c r="X604" s="390"/>
      <c r="Y604" s="390"/>
      <c r="Z604" s="390"/>
      <c r="AA604" s="390"/>
      <c r="AB604" s="390"/>
      <c r="AC604" s="375"/>
      <c r="AD604" s="375"/>
      <c r="AE604" s="375"/>
      <c r="AF604" s="375"/>
    </row>
    <row r="605" spans="18:32">
      <c r="R605" s="389"/>
      <c r="S605" s="389"/>
      <c r="T605" s="389"/>
      <c r="U605" s="389"/>
      <c r="V605" s="389"/>
      <c r="W605" s="390"/>
      <c r="X605" s="390"/>
      <c r="Y605" s="390"/>
      <c r="Z605" s="390"/>
      <c r="AA605" s="390"/>
      <c r="AB605" s="390"/>
      <c r="AC605" s="375"/>
      <c r="AD605" s="375"/>
      <c r="AE605" s="375"/>
      <c r="AF605" s="375"/>
    </row>
    <row r="606" spans="18:32">
      <c r="R606" s="389"/>
      <c r="S606" s="389"/>
      <c r="T606" s="389"/>
      <c r="U606" s="389"/>
      <c r="V606" s="389"/>
      <c r="W606" s="390"/>
      <c r="X606" s="390"/>
      <c r="Y606" s="390"/>
      <c r="Z606" s="390"/>
      <c r="AA606" s="390"/>
      <c r="AB606" s="390"/>
      <c r="AC606" s="375"/>
      <c r="AD606" s="375"/>
      <c r="AE606" s="375"/>
      <c r="AF606" s="375"/>
    </row>
    <row r="607" spans="18:32">
      <c r="R607" s="389"/>
      <c r="S607" s="389"/>
      <c r="T607" s="389"/>
      <c r="U607" s="389"/>
      <c r="V607" s="389"/>
      <c r="W607" s="390"/>
      <c r="X607" s="390"/>
      <c r="Y607" s="390"/>
      <c r="Z607" s="390"/>
      <c r="AA607" s="390"/>
      <c r="AB607" s="390"/>
      <c r="AC607" s="375"/>
      <c r="AD607" s="375"/>
      <c r="AE607" s="375"/>
      <c r="AF607" s="375"/>
    </row>
    <row r="608" spans="18:32">
      <c r="R608" s="389"/>
      <c r="S608" s="389"/>
      <c r="T608" s="389"/>
      <c r="U608" s="389"/>
      <c r="V608" s="389"/>
      <c r="W608" s="390"/>
      <c r="X608" s="390"/>
      <c r="Y608" s="390"/>
      <c r="Z608" s="390"/>
      <c r="AA608" s="390"/>
      <c r="AB608" s="390"/>
      <c r="AC608" s="375"/>
      <c r="AD608" s="375"/>
      <c r="AE608" s="375"/>
      <c r="AF608" s="375"/>
    </row>
    <row r="609" spans="18:32">
      <c r="R609" s="389"/>
      <c r="S609" s="389"/>
      <c r="T609" s="389"/>
      <c r="U609" s="389"/>
      <c r="V609" s="389"/>
      <c r="W609" s="390"/>
      <c r="X609" s="390"/>
      <c r="Y609" s="390"/>
      <c r="Z609" s="390"/>
      <c r="AA609" s="390"/>
      <c r="AB609" s="390"/>
      <c r="AC609" s="375"/>
      <c r="AD609" s="375"/>
      <c r="AE609" s="375"/>
      <c r="AF609" s="375"/>
    </row>
    <row r="610" spans="18:32">
      <c r="R610" s="389"/>
      <c r="S610" s="389"/>
      <c r="T610" s="389"/>
      <c r="U610" s="389"/>
      <c r="V610" s="389"/>
      <c r="W610" s="390"/>
      <c r="X610" s="390"/>
      <c r="Y610" s="390"/>
      <c r="Z610" s="390"/>
      <c r="AA610" s="390"/>
      <c r="AB610" s="390"/>
      <c r="AC610" s="375"/>
      <c r="AD610" s="375"/>
      <c r="AE610" s="375"/>
      <c r="AF610" s="375"/>
    </row>
    <row r="611" spans="18:32">
      <c r="R611" s="389"/>
      <c r="S611" s="389"/>
      <c r="T611" s="389"/>
      <c r="U611" s="389"/>
      <c r="V611" s="389"/>
      <c r="W611" s="390"/>
      <c r="X611" s="390"/>
      <c r="Y611" s="390"/>
      <c r="Z611" s="390"/>
      <c r="AA611" s="390"/>
      <c r="AB611" s="390"/>
      <c r="AC611" s="375"/>
      <c r="AD611" s="375"/>
      <c r="AE611" s="375"/>
      <c r="AF611" s="375"/>
    </row>
    <row r="612" spans="18:32">
      <c r="R612" s="389"/>
      <c r="S612" s="389"/>
      <c r="T612" s="389"/>
      <c r="U612" s="389"/>
      <c r="V612" s="389"/>
      <c r="W612" s="390"/>
      <c r="X612" s="390"/>
      <c r="Y612" s="390"/>
      <c r="Z612" s="390"/>
      <c r="AA612" s="390"/>
      <c r="AB612" s="390"/>
      <c r="AC612" s="375"/>
      <c r="AD612" s="375"/>
      <c r="AE612" s="375"/>
      <c r="AF612" s="375"/>
    </row>
    <row r="613" spans="18:32">
      <c r="R613" s="389"/>
      <c r="S613" s="389"/>
      <c r="T613" s="389"/>
      <c r="U613" s="389"/>
      <c r="V613" s="389"/>
      <c r="W613" s="390"/>
      <c r="X613" s="390"/>
      <c r="Y613" s="390"/>
      <c r="Z613" s="390"/>
      <c r="AA613" s="390"/>
      <c r="AB613" s="390"/>
      <c r="AC613" s="375"/>
      <c r="AD613" s="375"/>
      <c r="AE613" s="375"/>
      <c r="AF613" s="375"/>
    </row>
    <row r="614" spans="18:32">
      <c r="R614" s="389"/>
      <c r="S614" s="389"/>
      <c r="T614" s="389"/>
      <c r="U614" s="389"/>
      <c r="V614" s="389"/>
      <c r="W614" s="390"/>
      <c r="X614" s="390"/>
      <c r="Y614" s="390"/>
      <c r="Z614" s="390"/>
      <c r="AA614" s="390"/>
      <c r="AB614" s="390"/>
      <c r="AC614" s="375"/>
      <c r="AD614" s="375"/>
      <c r="AE614" s="375"/>
      <c r="AF614" s="375"/>
    </row>
    <row r="615" spans="18:32">
      <c r="R615" s="389"/>
      <c r="S615" s="389"/>
      <c r="T615" s="389"/>
      <c r="U615" s="389"/>
      <c r="V615" s="389"/>
      <c r="W615" s="390"/>
      <c r="X615" s="390"/>
      <c r="Y615" s="390"/>
      <c r="Z615" s="390"/>
      <c r="AA615" s="390"/>
      <c r="AB615" s="390"/>
      <c r="AC615" s="375"/>
      <c r="AD615" s="375"/>
      <c r="AE615" s="375"/>
      <c r="AF615" s="375"/>
    </row>
    <row r="616" spans="18:32">
      <c r="R616" s="389"/>
      <c r="S616" s="389"/>
      <c r="T616" s="389"/>
      <c r="U616" s="389"/>
      <c r="V616" s="389"/>
      <c r="W616" s="390"/>
      <c r="X616" s="390"/>
      <c r="Y616" s="390"/>
      <c r="Z616" s="390"/>
      <c r="AA616" s="390"/>
      <c r="AB616" s="390"/>
      <c r="AC616" s="375"/>
      <c r="AD616" s="375"/>
      <c r="AE616" s="375"/>
      <c r="AF616" s="375"/>
    </row>
    <row r="617" spans="18:32">
      <c r="R617" s="389"/>
      <c r="S617" s="389"/>
      <c r="T617" s="389"/>
      <c r="U617" s="389"/>
      <c r="V617" s="389"/>
      <c r="W617" s="390"/>
      <c r="X617" s="390"/>
      <c r="Y617" s="390"/>
      <c r="Z617" s="390"/>
      <c r="AA617" s="390"/>
      <c r="AB617" s="390"/>
      <c r="AC617" s="375"/>
      <c r="AD617" s="375"/>
      <c r="AE617" s="375"/>
      <c r="AF617" s="375"/>
    </row>
    <row r="618" spans="18:32">
      <c r="R618" s="389"/>
      <c r="S618" s="389"/>
      <c r="T618" s="389"/>
      <c r="U618" s="389"/>
      <c r="V618" s="389"/>
      <c r="W618" s="390"/>
      <c r="X618" s="390"/>
      <c r="Y618" s="390"/>
      <c r="Z618" s="390"/>
      <c r="AA618" s="390"/>
      <c r="AB618" s="390"/>
      <c r="AC618" s="375"/>
      <c r="AD618" s="375"/>
      <c r="AE618" s="375"/>
      <c r="AF618" s="375"/>
    </row>
    <row r="619" spans="18:32">
      <c r="R619" s="389"/>
      <c r="S619" s="389"/>
      <c r="T619" s="389"/>
      <c r="U619" s="389"/>
      <c r="V619" s="389"/>
      <c r="W619" s="390"/>
      <c r="X619" s="390"/>
      <c r="Y619" s="390"/>
      <c r="Z619" s="390"/>
      <c r="AA619" s="390"/>
      <c r="AB619" s="390"/>
      <c r="AC619" s="375"/>
      <c r="AD619" s="375"/>
      <c r="AE619" s="375"/>
      <c r="AF619" s="375"/>
    </row>
    <row r="620" spans="18:32">
      <c r="R620" s="389"/>
      <c r="S620" s="389"/>
      <c r="T620" s="389"/>
      <c r="U620" s="389"/>
      <c r="V620" s="389"/>
      <c r="W620" s="390"/>
      <c r="X620" s="390"/>
      <c r="Y620" s="390"/>
      <c r="Z620" s="390"/>
      <c r="AA620" s="390"/>
      <c r="AB620" s="390"/>
      <c r="AC620" s="375"/>
      <c r="AD620" s="375"/>
      <c r="AE620" s="375"/>
      <c r="AF620" s="375"/>
    </row>
    <row r="621" spans="18:32">
      <c r="R621" s="389"/>
      <c r="S621" s="389"/>
      <c r="T621" s="389"/>
      <c r="U621" s="389"/>
      <c r="V621" s="389"/>
      <c r="W621" s="390"/>
      <c r="X621" s="390"/>
      <c r="Y621" s="390"/>
      <c r="Z621" s="390"/>
      <c r="AA621" s="390"/>
      <c r="AB621" s="390"/>
      <c r="AC621" s="375"/>
      <c r="AD621" s="375"/>
      <c r="AE621" s="375"/>
      <c r="AF621" s="375"/>
    </row>
    <row r="622" spans="18:32">
      <c r="R622" s="389"/>
      <c r="S622" s="389"/>
      <c r="T622" s="389"/>
      <c r="U622" s="389"/>
      <c r="V622" s="389"/>
      <c r="W622" s="390"/>
      <c r="X622" s="390"/>
      <c r="Y622" s="390"/>
      <c r="Z622" s="390"/>
      <c r="AA622" s="390"/>
      <c r="AB622" s="390"/>
      <c r="AC622" s="375"/>
      <c r="AD622" s="375"/>
      <c r="AE622" s="375"/>
      <c r="AF622" s="375"/>
    </row>
    <row r="623" spans="18:32">
      <c r="R623" s="389"/>
      <c r="S623" s="389"/>
      <c r="T623" s="389"/>
      <c r="U623" s="389"/>
      <c r="V623" s="389"/>
      <c r="W623" s="390"/>
      <c r="X623" s="390"/>
      <c r="Y623" s="390"/>
      <c r="Z623" s="390"/>
      <c r="AA623" s="390"/>
      <c r="AB623" s="390"/>
      <c r="AC623" s="375"/>
      <c r="AD623" s="375"/>
      <c r="AE623" s="375"/>
      <c r="AF623" s="375"/>
    </row>
    <row r="624" spans="18:32">
      <c r="R624" s="389"/>
      <c r="S624" s="389"/>
      <c r="T624" s="389"/>
      <c r="U624" s="389"/>
      <c r="V624" s="389"/>
      <c r="W624" s="390"/>
      <c r="X624" s="390"/>
      <c r="Y624" s="390"/>
      <c r="Z624" s="390"/>
      <c r="AA624" s="390"/>
      <c r="AB624" s="390"/>
      <c r="AC624" s="375"/>
      <c r="AD624" s="375"/>
      <c r="AE624" s="375"/>
      <c r="AF624" s="375"/>
    </row>
    <row r="625" spans="18:32">
      <c r="R625" s="389"/>
      <c r="S625" s="389"/>
      <c r="T625" s="389"/>
      <c r="U625" s="389"/>
      <c r="V625" s="389"/>
      <c r="W625" s="390"/>
      <c r="X625" s="390"/>
      <c r="Y625" s="390"/>
      <c r="Z625" s="390"/>
      <c r="AA625" s="390"/>
      <c r="AB625" s="390"/>
      <c r="AC625" s="375"/>
      <c r="AD625" s="375"/>
      <c r="AE625" s="375"/>
      <c r="AF625" s="375"/>
    </row>
    <row r="626" spans="18:32">
      <c r="R626" s="389"/>
      <c r="S626" s="389"/>
      <c r="T626" s="389"/>
      <c r="U626" s="389"/>
      <c r="V626" s="389"/>
      <c r="W626" s="390"/>
      <c r="X626" s="390"/>
      <c r="Y626" s="390"/>
      <c r="Z626" s="390"/>
      <c r="AA626" s="390"/>
      <c r="AB626" s="390"/>
      <c r="AC626" s="375"/>
      <c r="AD626" s="375"/>
      <c r="AE626" s="375"/>
      <c r="AF626" s="375"/>
    </row>
    <row r="627" spans="18:32">
      <c r="R627" s="389"/>
      <c r="S627" s="389"/>
      <c r="T627" s="389"/>
      <c r="U627" s="389"/>
      <c r="V627" s="389"/>
      <c r="W627" s="390"/>
      <c r="X627" s="390"/>
      <c r="Y627" s="390"/>
      <c r="Z627" s="390"/>
      <c r="AA627" s="390"/>
      <c r="AB627" s="390"/>
      <c r="AC627" s="375"/>
      <c r="AD627" s="375"/>
      <c r="AE627" s="375"/>
      <c r="AF627" s="375"/>
    </row>
    <row r="628" spans="18:32">
      <c r="R628" s="389"/>
      <c r="S628" s="389"/>
      <c r="T628" s="389"/>
      <c r="U628" s="389"/>
      <c r="V628" s="389"/>
      <c r="W628" s="390"/>
      <c r="X628" s="390"/>
      <c r="Y628" s="390"/>
      <c r="Z628" s="390"/>
      <c r="AA628" s="390"/>
      <c r="AB628" s="390"/>
      <c r="AC628" s="375"/>
      <c r="AD628" s="375"/>
      <c r="AE628" s="375"/>
      <c r="AF628" s="375"/>
    </row>
    <row r="629" spans="18:32">
      <c r="R629" s="389"/>
      <c r="S629" s="389"/>
      <c r="T629" s="389"/>
      <c r="U629" s="389"/>
      <c r="V629" s="389"/>
      <c r="W629" s="390"/>
      <c r="X629" s="390"/>
      <c r="Y629" s="390"/>
      <c r="Z629" s="390"/>
      <c r="AA629" s="390"/>
      <c r="AB629" s="390"/>
      <c r="AC629" s="375"/>
      <c r="AD629" s="375"/>
      <c r="AE629" s="375"/>
      <c r="AF629" s="375"/>
    </row>
    <row r="630" spans="18:32">
      <c r="R630" s="389"/>
      <c r="S630" s="389"/>
      <c r="T630" s="389"/>
      <c r="U630" s="389"/>
      <c r="V630" s="389"/>
      <c r="W630" s="390"/>
      <c r="X630" s="390"/>
      <c r="Y630" s="390"/>
      <c r="Z630" s="390"/>
      <c r="AA630" s="390"/>
      <c r="AB630" s="390"/>
      <c r="AC630" s="375"/>
      <c r="AD630" s="375"/>
      <c r="AE630" s="375"/>
      <c r="AF630" s="375"/>
    </row>
    <row r="631" spans="18:32">
      <c r="R631" s="389"/>
      <c r="S631" s="389"/>
      <c r="T631" s="389"/>
      <c r="U631" s="389"/>
      <c r="V631" s="389"/>
      <c r="W631" s="390"/>
      <c r="X631" s="390"/>
      <c r="Y631" s="390"/>
      <c r="Z631" s="390"/>
      <c r="AA631" s="390"/>
      <c r="AB631" s="390"/>
      <c r="AC631" s="375"/>
      <c r="AD631" s="375"/>
      <c r="AE631" s="375"/>
      <c r="AF631" s="375"/>
    </row>
    <row r="632" spans="18:32">
      <c r="R632" s="389"/>
      <c r="S632" s="389"/>
      <c r="T632" s="389"/>
      <c r="U632" s="389"/>
      <c r="V632" s="389"/>
      <c r="W632" s="390"/>
      <c r="X632" s="390"/>
      <c r="Y632" s="390"/>
      <c r="Z632" s="390"/>
      <c r="AA632" s="390"/>
      <c r="AB632" s="390"/>
      <c r="AC632" s="375"/>
      <c r="AD632" s="375"/>
      <c r="AE632" s="375"/>
      <c r="AF632" s="375"/>
    </row>
    <row r="633" spans="18:32">
      <c r="R633" s="389"/>
      <c r="S633" s="389"/>
      <c r="T633" s="389"/>
      <c r="U633" s="389"/>
      <c r="V633" s="389"/>
      <c r="W633" s="390"/>
      <c r="X633" s="390"/>
      <c r="Y633" s="390"/>
      <c r="Z633" s="390"/>
      <c r="AA633" s="390"/>
      <c r="AB633" s="390"/>
      <c r="AC633" s="375"/>
      <c r="AD633" s="375"/>
      <c r="AE633" s="375"/>
      <c r="AF633" s="375"/>
    </row>
    <row r="634" spans="18:32">
      <c r="R634" s="389"/>
      <c r="S634" s="389"/>
      <c r="T634" s="389"/>
      <c r="U634" s="389"/>
      <c r="V634" s="389"/>
      <c r="W634" s="390"/>
      <c r="X634" s="390"/>
      <c r="Y634" s="390"/>
      <c r="Z634" s="390"/>
      <c r="AA634" s="390"/>
      <c r="AB634" s="390"/>
      <c r="AC634" s="375"/>
      <c r="AD634" s="375"/>
      <c r="AE634" s="375"/>
      <c r="AF634" s="375"/>
    </row>
    <row r="635" spans="18:32">
      <c r="R635" s="389"/>
      <c r="S635" s="389"/>
      <c r="T635" s="389"/>
      <c r="U635" s="389"/>
      <c r="V635" s="389"/>
      <c r="W635" s="390"/>
      <c r="X635" s="390"/>
      <c r="Y635" s="390"/>
      <c r="Z635" s="390"/>
      <c r="AA635" s="390"/>
      <c r="AB635" s="390"/>
      <c r="AC635" s="375"/>
      <c r="AD635" s="375"/>
      <c r="AE635" s="375"/>
      <c r="AF635" s="375"/>
    </row>
    <row r="636" spans="18:32">
      <c r="R636" s="389"/>
      <c r="S636" s="389"/>
      <c r="T636" s="389"/>
      <c r="U636" s="389"/>
      <c r="V636" s="389"/>
      <c r="W636" s="390"/>
      <c r="X636" s="390"/>
      <c r="Y636" s="390"/>
      <c r="Z636" s="390"/>
      <c r="AA636" s="390"/>
      <c r="AB636" s="390"/>
      <c r="AC636" s="375"/>
      <c r="AD636" s="375"/>
      <c r="AE636" s="375"/>
      <c r="AF636" s="375"/>
    </row>
    <row r="637" spans="18:32">
      <c r="R637" s="389"/>
      <c r="S637" s="389"/>
      <c r="T637" s="389"/>
      <c r="U637" s="389"/>
      <c r="V637" s="389"/>
      <c r="W637" s="390"/>
      <c r="X637" s="390"/>
      <c r="Y637" s="390"/>
      <c r="Z637" s="390"/>
      <c r="AA637" s="390"/>
      <c r="AB637" s="390"/>
      <c r="AC637" s="375"/>
      <c r="AD637" s="375"/>
      <c r="AE637" s="375"/>
      <c r="AF637" s="375"/>
    </row>
    <row r="638" spans="18:32">
      <c r="R638" s="389"/>
      <c r="S638" s="389"/>
      <c r="T638" s="389"/>
      <c r="U638" s="389"/>
      <c r="V638" s="389"/>
      <c r="W638" s="390"/>
      <c r="X638" s="390"/>
      <c r="Y638" s="390"/>
      <c r="Z638" s="390"/>
      <c r="AA638" s="390"/>
      <c r="AB638" s="390"/>
      <c r="AC638" s="375"/>
      <c r="AD638" s="375"/>
      <c r="AE638" s="375"/>
      <c r="AF638" s="375"/>
    </row>
    <row r="639" spans="18:32">
      <c r="R639" s="389"/>
      <c r="S639" s="389"/>
      <c r="T639" s="389"/>
      <c r="U639" s="389"/>
      <c r="V639" s="389"/>
      <c r="W639" s="390"/>
      <c r="X639" s="390"/>
      <c r="Y639" s="390"/>
      <c r="Z639" s="390"/>
      <c r="AA639" s="390"/>
      <c r="AB639" s="390"/>
      <c r="AC639" s="375"/>
      <c r="AD639" s="375"/>
      <c r="AE639" s="375"/>
      <c r="AF639" s="375"/>
    </row>
    <row r="640" spans="18:32">
      <c r="R640" s="389"/>
      <c r="S640" s="389"/>
      <c r="T640" s="389"/>
      <c r="U640" s="389"/>
      <c r="V640" s="389"/>
      <c r="W640" s="390"/>
      <c r="X640" s="390"/>
      <c r="Y640" s="390"/>
      <c r="Z640" s="390"/>
      <c r="AA640" s="390"/>
      <c r="AB640" s="390"/>
      <c r="AC640" s="375"/>
      <c r="AD640" s="375"/>
      <c r="AE640" s="375"/>
      <c r="AF640" s="375"/>
    </row>
    <row r="641" spans="18:32">
      <c r="R641" s="389"/>
      <c r="S641" s="389"/>
      <c r="T641" s="389"/>
      <c r="U641" s="389"/>
      <c r="V641" s="389"/>
      <c r="W641" s="390"/>
      <c r="X641" s="390"/>
      <c r="Y641" s="390"/>
      <c r="Z641" s="390"/>
      <c r="AA641" s="390"/>
      <c r="AB641" s="390"/>
      <c r="AC641" s="375"/>
      <c r="AD641" s="375"/>
      <c r="AE641" s="375"/>
      <c r="AF641" s="375"/>
    </row>
    <row r="642" spans="18:32">
      <c r="R642" s="389"/>
      <c r="S642" s="389"/>
      <c r="T642" s="389"/>
      <c r="U642" s="389"/>
      <c r="V642" s="389"/>
      <c r="W642" s="390"/>
      <c r="X642" s="390"/>
      <c r="Y642" s="390"/>
      <c r="Z642" s="390"/>
      <c r="AA642" s="390"/>
      <c r="AB642" s="390"/>
      <c r="AC642" s="375"/>
      <c r="AD642" s="375"/>
      <c r="AE642" s="375"/>
      <c r="AF642" s="375"/>
    </row>
    <row r="643" spans="18:32">
      <c r="R643" s="389"/>
      <c r="S643" s="389"/>
      <c r="T643" s="389"/>
      <c r="U643" s="389"/>
      <c r="V643" s="389"/>
      <c r="W643" s="390"/>
      <c r="X643" s="390"/>
      <c r="Y643" s="390"/>
      <c r="Z643" s="390"/>
      <c r="AA643" s="390"/>
      <c r="AB643" s="390"/>
      <c r="AC643" s="375"/>
      <c r="AD643" s="375"/>
      <c r="AE643" s="375"/>
      <c r="AF643" s="375"/>
    </row>
    <row r="644" spans="18:32">
      <c r="R644" s="389"/>
      <c r="S644" s="389"/>
      <c r="T644" s="389"/>
      <c r="U644" s="389"/>
      <c r="V644" s="389"/>
      <c r="W644" s="390"/>
      <c r="X644" s="390"/>
      <c r="Y644" s="390"/>
      <c r="Z644" s="390"/>
      <c r="AA644" s="390"/>
      <c r="AB644" s="390"/>
      <c r="AC644" s="375"/>
      <c r="AD644" s="375"/>
      <c r="AE644" s="375"/>
      <c r="AF644" s="375"/>
    </row>
    <row r="645" spans="18:32">
      <c r="R645" s="389"/>
      <c r="S645" s="389"/>
      <c r="T645" s="389"/>
      <c r="U645" s="389"/>
      <c r="V645" s="389"/>
      <c r="W645" s="390"/>
      <c r="X645" s="390"/>
      <c r="Y645" s="390"/>
      <c r="Z645" s="390"/>
      <c r="AA645" s="390"/>
      <c r="AB645" s="390"/>
      <c r="AC645" s="375"/>
      <c r="AD645" s="375"/>
      <c r="AE645" s="375"/>
      <c r="AF645" s="375"/>
    </row>
    <row r="646" spans="18:32">
      <c r="R646" s="389"/>
      <c r="S646" s="389"/>
      <c r="T646" s="389"/>
      <c r="U646" s="389"/>
      <c r="V646" s="389"/>
      <c r="W646" s="390"/>
      <c r="X646" s="390"/>
      <c r="Y646" s="390"/>
      <c r="Z646" s="390"/>
      <c r="AA646" s="390"/>
      <c r="AB646" s="390"/>
      <c r="AC646" s="375"/>
      <c r="AD646" s="375"/>
      <c r="AE646" s="375"/>
      <c r="AF646" s="375"/>
    </row>
    <row r="647" spans="18:32">
      <c r="R647" s="389"/>
      <c r="S647" s="389"/>
      <c r="T647" s="389"/>
      <c r="U647" s="389"/>
      <c r="V647" s="389"/>
      <c r="W647" s="390"/>
      <c r="X647" s="390"/>
      <c r="Y647" s="390"/>
      <c r="Z647" s="390"/>
      <c r="AA647" s="390"/>
      <c r="AB647" s="390"/>
      <c r="AC647" s="375"/>
      <c r="AD647" s="375"/>
      <c r="AE647" s="375"/>
      <c r="AF647" s="375"/>
    </row>
    <row r="648" spans="18:32">
      <c r="R648" s="389"/>
      <c r="S648" s="389"/>
      <c r="T648" s="389"/>
      <c r="U648" s="389"/>
      <c r="V648" s="389"/>
      <c r="W648" s="390"/>
      <c r="X648" s="390"/>
      <c r="Y648" s="390"/>
      <c r="Z648" s="390"/>
      <c r="AA648" s="390"/>
      <c r="AB648" s="390"/>
      <c r="AC648" s="375"/>
      <c r="AD648" s="375"/>
      <c r="AE648" s="375"/>
      <c r="AF648" s="375"/>
    </row>
    <row r="649" spans="18:32">
      <c r="R649" s="389"/>
      <c r="S649" s="389"/>
      <c r="T649" s="389"/>
      <c r="U649" s="389"/>
      <c r="V649" s="389"/>
      <c r="W649" s="390"/>
      <c r="X649" s="390"/>
      <c r="Y649" s="390"/>
      <c r="Z649" s="390"/>
      <c r="AA649" s="390"/>
      <c r="AB649" s="390"/>
      <c r="AC649" s="375"/>
      <c r="AD649" s="375"/>
      <c r="AE649" s="375"/>
      <c r="AF649" s="375"/>
    </row>
    <row r="650" spans="18:32">
      <c r="R650" s="389"/>
      <c r="S650" s="389"/>
      <c r="T650" s="389"/>
      <c r="U650" s="389"/>
      <c r="V650" s="389"/>
      <c r="W650" s="390"/>
      <c r="X650" s="390"/>
      <c r="Y650" s="390"/>
      <c r="Z650" s="390"/>
      <c r="AA650" s="390"/>
      <c r="AB650" s="390"/>
      <c r="AC650" s="375"/>
      <c r="AD650" s="375"/>
      <c r="AE650" s="375"/>
      <c r="AF650" s="375"/>
    </row>
    <row r="651" spans="18:32">
      <c r="R651" s="389"/>
      <c r="S651" s="389"/>
      <c r="T651" s="389"/>
      <c r="U651" s="389"/>
      <c r="V651" s="389"/>
      <c r="W651" s="390"/>
      <c r="X651" s="390"/>
      <c r="Y651" s="390"/>
      <c r="Z651" s="390"/>
      <c r="AA651" s="390"/>
      <c r="AB651" s="390"/>
      <c r="AC651" s="375"/>
      <c r="AD651" s="375"/>
      <c r="AE651" s="375"/>
      <c r="AF651" s="375"/>
    </row>
    <row r="652" spans="18:32">
      <c r="R652" s="389"/>
      <c r="S652" s="389"/>
      <c r="T652" s="389"/>
      <c r="U652" s="389"/>
      <c r="V652" s="389"/>
      <c r="W652" s="390"/>
      <c r="X652" s="390"/>
      <c r="Y652" s="390"/>
      <c r="Z652" s="390"/>
      <c r="AA652" s="390"/>
      <c r="AB652" s="390"/>
      <c r="AC652" s="375"/>
      <c r="AD652" s="375"/>
      <c r="AE652" s="375"/>
      <c r="AF652" s="375"/>
    </row>
    <row r="653" spans="18:32">
      <c r="R653" s="389"/>
      <c r="S653" s="389"/>
      <c r="T653" s="389"/>
      <c r="U653" s="389"/>
      <c r="V653" s="389"/>
      <c r="W653" s="390"/>
      <c r="X653" s="390"/>
      <c r="Y653" s="390"/>
      <c r="Z653" s="390"/>
      <c r="AA653" s="390"/>
      <c r="AB653" s="390"/>
      <c r="AC653" s="375"/>
      <c r="AD653" s="375"/>
      <c r="AE653" s="375"/>
      <c r="AF653" s="375"/>
    </row>
    <row r="654" spans="18:32">
      <c r="R654" s="389"/>
      <c r="S654" s="389"/>
      <c r="T654" s="389"/>
      <c r="U654" s="389"/>
      <c r="V654" s="389"/>
      <c r="W654" s="390"/>
      <c r="X654" s="390"/>
      <c r="Y654" s="390"/>
      <c r="Z654" s="390"/>
      <c r="AA654" s="390"/>
      <c r="AB654" s="390"/>
      <c r="AC654" s="375"/>
      <c r="AD654" s="375"/>
      <c r="AE654" s="375"/>
      <c r="AF654" s="375"/>
    </row>
    <row r="655" spans="18:32">
      <c r="R655" s="389"/>
      <c r="S655" s="389"/>
      <c r="T655" s="389"/>
      <c r="U655" s="389"/>
      <c r="V655" s="389"/>
      <c r="W655" s="390"/>
      <c r="X655" s="390"/>
      <c r="Y655" s="390"/>
      <c r="Z655" s="390"/>
      <c r="AA655" s="390"/>
      <c r="AB655" s="390"/>
      <c r="AC655" s="375"/>
      <c r="AD655" s="375"/>
      <c r="AE655" s="375"/>
      <c r="AF655" s="375"/>
    </row>
    <row r="656" spans="18:32">
      <c r="R656" s="389"/>
      <c r="S656" s="389"/>
      <c r="T656" s="389"/>
      <c r="U656" s="389"/>
      <c r="V656" s="389"/>
      <c r="W656" s="390"/>
      <c r="X656" s="390"/>
      <c r="Y656" s="390"/>
      <c r="Z656" s="390"/>
      <c r="AA656" s="390"/>
      <c r="AB656" s="390"/>
      <c r="AC656" s="375"/>
      <c r="AD656" s="375"/>
      <c r="AE656" s="375"/>
      <c r="AF656" s="375"/>
    </row>
    <row r="657" spans="18:32">
      <c r="R657" s="389"/>
      <c r="S657" s="389"/>
      <c r="T657" s="389"/>
      <c r="U657" s="389"/>
      <c r="V657" s="389"/>
      <c r="W657" s="390"/>
      <c r="X657" s="390"/>
      <c r="Y657" s="390"/>
      <c r="Z657" s="390"/>
      <c r="AA657" s="390"/>
      <c r="AB657" s="390"/>
      <c r="AC657" s="375"/>
      <c r="AD657" s="375"/>
      <c r="AE657" s="375"/>
      <c r="AF657" s="375"/>
    </row>
    <row r="658" spans="18:32">
      <c r="R658" s="389"/>
      <c r="S658" s="389"/>
      <c r="T658" s="389"/>
      <c r="U658" s="389"/>
      <c r="V658" s="389"/>
      <c r="W658" s="390"/>
      <c r="X658" s="390"/>
      <c r="Y658" s="390"/>
      <c r="Z658" s="390"/>
      <c r="AA658" s="390"/>
      <c r="AB658" s="390"/>
      <c r="AC658" s="375"/>
      <c r="AD658" s="375"/>
      <c r="AE658" s="375"/>
      <c r="AF658" s="375"/>
    </row>
    <row r="659" spans="18:32">
      <c r="R659" s="389"/>
      <c r="S659" s="389"/>
      <c r="T659" s="389"/>
      <c r="U659" s="389"/>
      <c r="V659" s="389"/>
      <c r="W659" s="390"/>
      <c r="X659" s="390"/>
      <c r="Y659" s="390"/>
      <c r="Z659" s="390"/>
      <c r="AA659" s="390"/>
      <c r="AB659" s="390"/>
      <c r="AC659" s="375"/>
      <c r="AD659" s="375"/>
      <c r="AE659" s="375"/>
      <c r="AF659" s="375"/>
    </row>
    <row r="660" spans="18:32">
      <c r="R660" s="389"/>
      <c r="S660" s="389"/>
      <c r="T660" s="389"/>
      <c r="U660" s="389"/>
      <c r="V660" s="389"/>
      <c r="W660" s="390"/>
      <c r="X660" s="390"/>
      <c r="Y660" s="390"/>
      <c r="Z660" s="390"/>
      <c r="AA660" s="390"/>
      <c r="AB660" s="390"/>
      <c r="AC660" s="375"/>
      <c r="AD660" s="375"/>
      <c r="AE660" s="375"/>
      <c r="AF660" s="375"/>
    </row>
    <row r="661" spans="18:32">
      <c r="R661" s="389"/>
      <c r="S661" s="389"/>
      <c r="T661" s="389"/>
      <c r="U661" s="389"/>
      <c r="V661" s="389"/>
      <c r="W661" s="390"/>
      <c r="X661" s="390"/>
      <c r="Y661" s="390"/>
      <c r="Z661" s="390"/>
      <c r="AA661" s="390"/>
      <c r="AB661" s="390"/>
      <c r="AC661" s="375"/>
      <c r="AD661" s="375"/>
      <c r="AE661" s="375"/>
      <c r="AF661" s="375"/>
    </row>
    <row r="662" spans="18:32">
      <c r="R662" s="389"/>
      <c r="S662" s="389"/>
      <c r="T662" s="389"/>
      <c r="U662" s="389"/>
      <c r="V662" s="389"/>
      <c r="W662" s="390"/>
      <c r="X662" s="390"/>
      <c r="Y662" s="390"/>
      <c r="Z662" s="390"/>
      <c r="AA662" s="390"/>
      <c r="AB662" s="390"/>
      <c r="AC662" s="375"/>
      <c r="AD662" s="375"/>
      <c r="AE662" s="375"/>
      <c r="AF662" s="375"/>
    </row>
    <row r="663" spans="18:32">
      <c r="R663" s="389"/>
      <c r="S663" s="389"/>
      <c r="T663" s="389"/>
      <c r="U663" s="389"/>
      <c r="V663" s="389"/>
      <c r="W663" s="390"/>
      <c r="X663" s="390"/>
      <c r="Y663" s="390"/>
      <c r="Z663" s="390"/>
      <c r="AA663" s="390"/>
      <c r="AB663" s="390"/>
      <c r="AC663" s="375"/>
      <c r="AD663" s="375"/>
      <c r="AE663" s="375"/>
      <c r="AF663" s="375"/>
    </row>
    <row r="664" spans="18:32">
      <c r="R664" s="389"/>
      <c r="S664" s="389"/>
      <c r="T664" s="389"/>
      <c r="U664" s="389"/>
      <c r="V664" s="389"/>
      <c r="W664" s="390"/>
      <c r="X664" s="390"/>
      <c r="Y664" s="390"/>
      <c r="Z664" s="390"/>
      <c r="AA664" s="390"/>
      <c r="AB664" s="390"/>
      <c r="AC664" s="375"/>
      <c r="AD664" s="375"/>
      <c r="AE664" s="375"/>
      <c r="AF664" s="375"/>
    </row>
    <row r="665" spans="18:32">
      <c r="R665" s="389"/>
      <c r="S665" s="389"/>
      <c r="T665" s="389"/>
      <c r="U665" s="389"/>
      <c r="V665" s="389"/>
      <c r="W665" s="390"/>
      <c r="X665" s="390"/>
      <c r="Y665" s="390"/>
      <c r="Z665" s="390"/>
      <c r="AA665" s="390"/>
      <c r="AB665" s="390"/>
      <c r="AC665" s="375"/>
      <c r="AD665" s="375"/>
      <c r="AE665" s="375"/>
      <c r="AF665" s="375"/>
    </row>
    <row r="666" spans="18:32">
      <c r="R666" s="389"/>
      <c r="S666" s="389"/>
      <c r="T666" s="389"/>
      <c r="U666" s="389"/>
      <c r="V666" s="389"/>
      <c r="W666" s="390"/>
      <c r="X666" s="390"/>
      <c r="Y666" s="390"/>
      <c r="Z666" s="390"/>
      <c r="AA666" s="390"/>
      <c r="AB666" s="390"/>
      <c r="AC666" s="375"/>
      <c r="AD666" s="375"/>
      <c r="AE666" s="375"/>
      <c r="AF666" s="375"/>
    </row>
    <row r="667" spans="18:32">
      <c r="R667" s="389"/>
      <c r="S667" s="389"/>
      <c r="T667" s="389"/>
      <c r="U667" s="389"/>
      <c r="V667" s="389"/>
      <c r="W667" s="390"/>
      <c r="X667" s="390"/>
      <c r="Y667" s="390"/>
      <c r="Z667" s="390"/>
      <c r="AA667" s="390"/>
      <c r="AB667" s="390"/>
      <c r="AC667" s="375"/>
      <c r="AD667" s="375"/>
      <c r="AE667" s="375"/>
      <c r="AF667" s="375"/>
    </row>
    <row r="668" spans="18:32">
      <c r="R668" s="389"/>
      <c r="S668" s="389"/>
      <c r="T668" s="389"/>
      <c r="U668" s="389"/>
      <c r="V668" s="389"/>
      <c r="W668" s="390"/>
      <c r="X668" s="390"/>
      <c r="Y668" s="390"/>
      <c r="Z668" s="390"/>
      <c r="AA668" s="390"/>
      <c r="AB668" s="390"/>
      <c r="AC668" s="375"/>
      <c r="AD668" s="375"/>
      <c r="AE668" s="375"/>
      <c r="AF668" s="375"/>
    </row>
    <row r="669" spans="18:32">
      <c r="R669" s="389"/>
      <c r="S669" s="389"/>
      <c r="T669" s="389"/>
      <c r="U669" s="389"/>
      <c r="V669" s="389"/>
      <c r="W669" s="390"/>
      <c r="X669" s="390"/>
      <c r="Y669" s="390"/>
      <c r="Z669" s="390"/>
      <c r="AA669" s="390"/>
      <c r="AB669" s="390"/>
      <c r="AC669" s="375"/>
      <c r="AD669" s="375"/>
      <c r="AE669" s="375"/>
      <c r="AF669" s="375"/>
    </row>
    <row r="670" spans="18:32">
      <c r="R670" s="389"/>
      <c r="S670" s="389"/>
      <c r="T670" s="389"/>
      <c r="U670" s="389"/>
      <c r="V670" s="389"/>
      <c r="W670" s="390"/>
      <c r="X670" s="390"/>
      <c r="Y670" s="390"/>
      <c r="Z670" s="390"/>
      <c r="AA670" s="390"/>
      <c r="AB670" s="390"/>
      <c r="AC670" s="375"/>
      <c r="AD670" s="375"/>
      <c r="AE670" s="375"/>
      <c r="AF670" s="375"/>
    </row>
    <row r="671" spans="18:32">
      <c r="R671" s="389"/>
      <c r="S671" s="389"/>
      <c r="T671" s="389"/>
      <c r="U671" s="389"/>
      <c r="V671" s="389"/>
      <c r="W671" s="390"/>
      <c r="X671" s="390"/>
      <c r="Y671" s="390"/>
      <c r="Z671" s="390"/>
      <c r="AA671" s="390"/>
      <c r="AB671" s="390"/>
      <c r="AC671" s="375"/>
      <c r="AD671" s="375"/>
      <c r="AE671" s="375"/>
      <c r="AF671" s="375"/>
    </row>
    <row r="672" spans="18:32">
      <c r="R672" s="389"/>
      <c r="S672" s="389"/>
      <c r="T672" s="389"/>
      <c r="U672" s="389"/>
      <c r="V672" s="389"/>
      <c r="W672" s="390"/>
      <c r="X672" s="390"/>
      <c r="Y672" s="390"/>
      <c r="Z672" s="390"/>
      <c r="AA672" s="390"/>
      <c r="AB672" s="390"/>
      <c r="AC672" s="375"/>
      <c r="AD672" s="375"/>
      <c r="AE672" s="375"/>
      <c r="AF672" s="375"/>
    </row>
    <row r="673" spans="18:32">
      <c r="R673" s="389"/>
      <c r="S673" s="389"/>
      <c r="T673" s="389"/>
      <c r="U673" s="389"/>
      <c r="V673" s="389"/>
      <c r="W673" s="390"/>
      <c r="X673" s="390"/>
      <c r="Y673" s="390"/>
      <c r="Z673" s="390"/>
      <c r="AA673" s="390"/>
      <c r="AB673" s="390"/>
      <c r="AC673" s="375"/>
      <c r="AD673" s="375"/>
      <c r="AE673" s="375"/>
      <c r="AF673" s="375"/>
    </row>
    <row r="674" spans="18:32">
      <c r="R674" s="389"/>
      <c r="S674" s="389"/>
      <c r="T674" s="389"/>
      <c r="U674" s="389"/>
      <c r="V674" s="389"/>
      <c r="W674" s="390"/>
      <c r="X674" s="390"/>
      <c r="Y674" s="390"/>
      <c r="Z674" s="390"/>
      <c r="AA674" s="390"/>
      <c r="AB674" s="390"/>
      <c r="AC674" s="375"/>
      <c r="AD674" s="375"/>
      <c r="AE674" s="375"/>
      <c r="AF674" s="375"/>
    </row>
    <row r="675" spans="18:32">
      <c r="R675" s="389"/>
      <c r="S675" s="389"/>
      <c r="T675" s="389"/>
      <c r="U675" s="389"/>
      <c r="V675" s="389"/>
      <c r="W675" s="390"/>
      <c r="X675" s="390"/>
      <c r="Y675" s="390"/>
      <c r="Z675" s="390"/>
      <c r="AA675" s="390"/>
      <c r="AB675" s="390"/>
      <c r="AC675" s="375"/>
      <c r="AD675" s="375"/>
      <c r="AE675" s="375"/>
      <c r="AF675" s="375"/>
    </row>
    <row r="676" spans="18:32">
      <c r="R676" s="389"/>
      <c r="S676" s="389"/>
      <c r="T676" s="389"/>
      <c r="U676" s="389"/>
      <c r="V676" s="389"/>
      <c r="W676" s="390"/>
      <c r="X676" s="390"/>
      <c r="Y676" s="390"/>
      <c r="Z676" s="390"/>
      <c r="AA676" s="390"/>
      <c r="AB676" s="390"/>
      <c r="AC676" s="375"/>
      <c r="AD676" s="375"/>
      <c r="AE676" s="375"/>
      <c r="AF676" s="375"/>
    </row>
    <row r="677" spans="18:32">
      <c r="R677" s="389"/>
      <c r="S677" s="389"/>
      <c r="T677" s="389"/>
      <c r="U677" s="389"/>
      <c r="V677" s="389"/>
      <c r="W677" s="390"/>
      <c r="X677" s="390"/>
      <c r="Y677" s="390"/>
      <c r="Z677" s="390"/>
      <c r="AA677" s="390"/>
      <c r="AB677" s="390"/>
      <c r="AC677" s="375"/>
      <c r="AD677" s="375"/>
      <c r="AE677" s="375"/>
      <c r="AF677" s="375"/>
    </row>
    <row r="678" spans="18:32">
      <c r="R678" s="389"/>
      <c r="S678" s="389"/>
      <c r="T678" s="389"/>
      <c r="U678" s="389"/>
      <c r="V678" s="389"/>
      <c r="W678" s="390"/>
      <c r="X678" s="390"/>
      <c r="Y678" s="390"/>
      <c r="Z678" s="390"/>
      <c r="AA678" s="390"/>
      <c r="AB678" s="390"/>
      <c r="AC678" s="375"/>
      <c r="AD678" s="375"/>
      <c r="AE678" s="375"/>
      <c r="AF678" s="375"/>
    </row>
    <row r="679" spans="18:32">
      <c r="R679" s="389"/>
      <c r="S679" s="389"/>
      <c r="T679" s="389"/>
      <c r="U679" s="389"/>
      <c r="V679" s="389"/>
      <c r="W679" s="390"/>
      <c r="X679" s="390"/>
      <c r="Y679" s="390"/>
      <c r="Z679" s="390"/>
      <c r="AA679" s="390"/>
      <c r="AB679" s="390"/>
      <c r="AC679" s="375"/>
      <c r="AD679" s="375"/>
      <c r="AE679" s="375"/>
      <c r="AF679" s="375"/>
    </row>
    <row r="680" spans="18:32">
      <c r="R680" s="389"/>
      <c r="S680" s="389"/>
      <c r="T680" s="389"/>
      <c r="U680" s="389"/>
      <c r="V680" s="389"/>
      <c r="W680" s="390"/>
      <c r="X680" s="390"/>
      <c r="Y680" s="390"/>
      <c r="Z680" s="390"/>
      <c r="AA680" s="390"/>
      <c r="AB680" s="390"/>
      <c r="AC680" s="375"/>
      <c r="AD680" s="375"/>
      <c r="AE680" s="375"/>
      <c r="AF680" s="375"/>
    </row>
    <row r="681" spans="18:32">
      <c r="R681" s="389"/>
      <c r="S681" s="389"/>
      <c r="T681" s="389"/>
      <c r="U681" s="389"/>
      <c r="V681" s="389"/>
      <c r="W681" s="390"/>
      <c r="X681" s="390"/>
      <c r="Y681" s="390"/>
      <c r="Z681" s="390"/>
      <c r="AA681" s="390"/>
      <c r="AB681" s="390"/>
      <c r="AC681" s="375"/>
      <c r="AD681" s="375"/>
      <c r="AE681" s="375"/>
      <c r="AF681" s="375"/>
    </row>
    <row r="682" spans="18:32">
      <c r="R682" s="389"/>
      <c r="S682" s="389"/>
      <c r="T682" s="389"/>
      <c r="U682" s="389"/>
      <c r="V682" s="389"/>
      <c r="W682" s="390"/>
      <c r="X682" s="390"/>
      <c r="Y682" s="390"/>
      <c r="Z682" s="390"/>
      <c r="AA682" s="390"/>
      <c r="AB682" s="390"/>
      <c r="AC682" s="375"/>
      <c r="AD682" s="375"/>
      <c r="AE682" s="375"/>
      <c r="AF682" s="375"/>
    </row>
    <row r="683" spans="18:32">
      <c r="R683" s="389"/>
      <c r="S683" s="389"/>
      <c r="T683" s="389"/>
      <c r="U683" s="389"/>
      <c r="V683" s="389"/>
      <c r="W683" s="390"/>
      <c r="X683" s="390"/>
      <c r="Y683" s="390"/>
      <c r="Z683" s="390"/>
      <c r="AA683" s="390"/>
      <c r="AB683" s="390"/>
      <c r="AC683" s="375"/>
      <c r="AD683" s="375"/>
      <c r="AE683" s="375"/>
      <c r="AF683" s="375"/>
    </row>
    <row r="684" spans="18:32">
      <c r="R684" s="389"/>
      <c r="S684" s="389"/>
      <c r="T684" s="389"/>
      <c r="U684" s="389"/>
      <c r="V684" s="389"/>
      <c r="W684" s="390"/>
      <c r="X684" s="390"/>
      <c r="Y684" s="390"/>
      <c r="Z684" s="390"/>
      <c r="AA684" s="390"/>
      <c r="AB684" s="390"/>
      <c r="AC684" s="375"/>
      <c r="AD684" s="375"/>
      <c r="AE684" s="375"/>
      <c r="AF684" s="375"/>
    </row>
    <row r="685" spans="18:32">
      <c r="R685" s="389"/>
      <c r="S685" s="389"/>
      <c r="T685" s="389"/>
      <c r="U685" s="389"/>
      <c r="V685" s="389"/>
      <c r="W685" s="390"/>
      <c r="X685" s="390"/>
      <c r="Y685" s="390"/>
      <c r="Z685" s="390"/>
      <c r="AA685" s="390"/>
      <c r="AB685" s="390"/>
      <c r="AC685" s="375"/>
      <c r="AD685" s="375"/>
      <c r="AE685" s="375"/>
      <c r="AF685" s="375"/>
    </row>
    <row r="686" spans="18:32">
      <c r="R686" s="389"/>
      <c r="S686" s="389"/>
      <c r="T686" s="389"/>
      <c r="U686" s="389"/>
      <c r="V686" s="389"/>
      <c r="W686" s="390"/>
      <c r="X686" s="390"/>
      <c r="Y686" s="390"/>
      <c r="Z686" s="390"/>
      <c r="AA686" s="390"/>
      <c r="AB686" s="390"/>
      <c r="AC686" s="375"/>
      <c r="AD686" s="375"/>
      <c r="AE686" s="375"/>
      <c r="AF686" s="375"/>
    </row>
    <row r="687" spans="18:32">
      <c r="R687" s="389"/>
      <c r="S687" s="389"/>
      <c r="T687" s="389"/>
      <c r="U687" s="389"/>
      <c r="V687" s="389"/>
      <c r="W687" s="390"/>
      <c r="X687" s="390"/>
      <c r="Y687" s="390"/>
      <c r="Z687" s="390"/>
      <c r="AA687" s="390"/>
      <c r="AB687" s="390"/>
      <c r="AC687" s="375"/>
      <c r="AD687" s="375"/>
      <c r="AE687" s="375"/>
      <c r="AF687" s="375"/>
    </row>
    <row r="688" spans="18:32">
      <c r="R688" s="389"/>
      <c r="S688" s="389"/>
      <c r="T688" s="389"/>
      <c r="U688" s="389"/>
      <c r="V688" s="389"/>
      <c r="W688" s="390"/>
      <c r="X688" s="390"/>
      <c r="Y688" s="390"/>
      <c r="Z688" s="390"/>
      <c r="AA688" s="390"/>
      <c r="AB688" s="390"/>
      <c r="AC688" s="375"/>
      <c r="AD688" s="375"/>
      <c r="AE688" s="375"/>
      <c r="AF688" s="375"/>
    </row>
    <row r="689" spans="18:32">
      <c r="R689" s="389"/>
      <c r="S689" s="389"/>
      <c r="T689" s="389"/>
      <c r="U689" s="389"/>
      <c r="V689" s="389"/>
      <c r="W689" s="390"/>
      <c r="X689" s="390"/>
      <c r="Y689" s="390"/>
      <c r="Z689" s="390"/>
      <c r="AA689" s="390"/>
      <c r="AB689" s="390"/>
      <c r="AC689" s="375"/>
      <c r="AD689" s="375"/>
      <c r="AE689" s="375"/>
      <c r="AF689" s="375"/>
    </row>
    <row r="690" spans="18:32">
      <c r="R690" s="389"/>
      <c r="S690" s="389"/>
      <c r="T690" s="389"/>
      <c r="U690" s="389"/>
      <c r="V690" s="389"/>
      <c r="W690" s="390"/>
      <c r="X690" s="390"/>
      <c r="Y690" s="390"/>
      <c r="Z690" s="390"/>
      <c r="AA690" s="390"/>
      <c r="AB690" s="390"/>
      <c r="AC690" s="375"/>
      <c r="AD690" s="375"/>
      <c r="AE690" s="375"/>
      <c r="AF690" s="375"/>
    </row>
    <row r="691" spans="18:32">
      <c r="R691" s="389"/>
      <c r="S691" s="389"/>
      <c r="T691" s="389"/>
      <c r="U691" s="389"/>
      <c r="V691" s="389"/>
      <c r="W691" s="390"/>
      <c r="X691" s="390"/>
      <c r="Y691" s="390"/>
      <c r="Z691" s="390"/>
      <c r="AA691" s="390"/>
      <c r="AB691" s="390"/>
      <c r="AC691" s="375"/>
      <c r="AD691" s="375"/>
      <c r="AE691" s="375"/>
      <c r="AF691" s="375"/>
    </row>
    <row r="692" spans="18:32">
      <c r="R692" s="389"/>
      <c r="S692" s="389"/>
      <c r="T692" s="389"/>
      <c r="U692" s="389"/>
      <c r="V692" s="389"/>
      <c r="W692" s="390"/>
      <c r="X692" s="390"/>
      <c r="Y692" s="390"/>
      <c r="Z692" s="390"/>
      <c r="AA692" s="390"/>
      <c r="AB692" s="390"/>
      <c r="AC692" s="375"/>
      <c r="AD692" s="375"/>
      <c r="AE692" s="375"/>
      <c r="AF692" s="375"/>
    </row>
    <row r="693" spans="18:32">
      <c r="R693" s="389"/>
      <c r="S693" s="389"/>
      <c r="T693" s="389"/>
      <c r="U693" s="389"/>
      <c r="V693" s="389"/>
      <c r="W693" s="390"/>
      <c r="X693" s="390"/>
      <c r="Y693" s="390"/>
      <c r="Z693" s="390"/>
      <c r="AA693" s="390"/>
      <c r="AB693" s="390"/>
      <c r="AC693" s="375"/>
      <c r="AD693" s="375"/>
      <c r="AE693" s="375"/>
      <c r="AF693" s="375"/>
    </row>
    <row r="694" spans="18:32">
      <c r="R694" s="389"/>
      <c r="S694" s="389"/>
      <c r="T694" s="389"/>
      <c r="U694" s="389"/>
      <c r="V694" s="389"/>
      <c r="W694" s="390"/>
      <c r="X694" s="390"/>
      <c r="Y694" s="390"/>
      <c r="Z694" s="390"/>
      <c r="AA694" s="390"/>
      <c r="AB694" s="390"/>
      <c r="AC694" s="375"/>
      <c r="AD694" s="375"/>
      <c r="AE694" s="375"/>
      <c r="AF694" s="375"/>
    </row>
    <row r="695" spans="18:32">
      <c r="R695" s="389"/>
      <c r="S695" s="389"/>
      <c r="T695" s="389"/>
      <c r="U695" s="389"/>
      <c r="V695" s="389"/>
      <c r="W695" s="390"/>
      <c r="X695" s="390"/>
      <c r="Y695" s="390"/>
      <c r="Z695" s="390"/>
      <c r="AA695" s="390"/>
      <c r="AB695" s="390"/>
      <c r="AC695" s="375"/>
      <c r="AD695" s="375"/>
      <c r="AE695" s="375"/>
      <c r="AF695" s="375"/>
    </row>
    <row r="696" spans="18:32">
      <c r="R696" s="389"/>
      <c r="S696" s="389"/>
      <c r="T696" s="389"/>
      <c r="U696" s="389"/>
      <c r="V696" s="389"/>
      <c r="W696" s="390"/>
      <c r="X696" s="390"/>
      <c r="Y696" s="390"/>
      <c r="Z696" s="390"/>
      <c r="AA696" s="390"/>
      <c r="AB696" s="390"/>
      <c r="AC696" s="375"/>
      <c r="AD696" s="375"/>
      <c r="AE696" s="375"/>
      <c r="AF696" s="375"/>
    </row>
    <row r="697" spans="18:32">
      <c r="R697" s="389"/>
      <c r="S697" s="389"/>
      <c r="T697" s="389"/>
      <c r="U697" s="389"/>
      <c r="V697" s="389"/>
      <c r="W697" s="390"/>
      <c r="X697" s="390"/>
      <c r="Y697" s="390"/>
      <c r="Z697" s="390"/>
      <c r="AA697" s="390"/>
      <c r="AB697" s="390"/>
      <c r="AC697" s="375"/>
      <c r="AD697" s="375"/>
      <c r="AE697" s="375"/>
      <c r="AF697" s="375"/>
    </row>
    <row r="698" spans="18:32">
      <c r="R698" s="389"/>
      <c r="S698" s="389"/>
      <c r="T698" s="389"/>
      <c r="U698" s="389"/>
      <c r="V698" s="389"/>
      <c r="W698" s="390"/>
      <c r="X698" s="390"/>
      <c r="Y698" s="390"/>
      <c r="Z698" s="390"/>
      <c r="AA698" s="390"/>
      <c r="AB698" s="390"/>
      <c r="AC698" s="375"/>
      <c r="AD698" s="375"/>
      <c r="AE698" s="375"/>
      <c r="AF698" s="375"/>
    </row>
    <row r="699" spans="18:32">
      <c r="R699" s="389"/>
      <c r="S699" s="389"/>
      <c r="T699" s="389"/>
      <c r="U699" s="389"/>
      <c r="V699" s="389"/>
      <c r="W699" s="390"/>
      <c r="X699" s="390"/>
      <c r="Y699" s="390"/>
      <c r="Z699" s="390"/>
      <c r="AA699" s="390"/>
      <c r="AB699" s="390"/>
      <c r="AC699" s="375"/>
      <c r="AD699" s="375"/>
      <c r="AE699" s="375"/>
      <c r="AF699" s="375"/>
    </row>
    <row r="700" spans="18:32">
      <c r="R700" s="389"/>
      <c r="S700" s="389"/>
      <c r="T700" s="389"/>
      <c r="U700" s="389"/>
      <c r="V700" s="389"/>
      <c r="W700" s="390"/>
      <c r="X700" s="390"/>
      <c r="Y700" s="390"/>
      <c r="Z700" s="390"/>
      <c r="AA700" s="390"/>
      <c r="AB700" s="390"/>
      <c r="AC700" s="375"/>
      <c r="AD700" s="375"/>
      <c r="AE700" s="375"/>
      <c r="AF700" s="375"/>
    </row>
    <row r="701" spans="18:32">
      <c r="R701" s="389"/>
      <c r="S701" s="389"/>
      <c r="T701" s="389"/>
      <c r="U701" s="389"/>
      <c r="V701" s="389"/>
      <c r="W701" s="390"/>
      <c r="X701" s="390"/>
      <c r="Y701" s="390"/>
      <c r="Z701" s="390"/>
      <c r="AA701" s="390"/>
      <c r="AB701" s="390"/>
      <c r="AC701" s="375"/>
      <c r="AD701" s="375"/>
      <c r="AE701" s="375"/>
      <c r="AF701" s="375"/>
    </row>
    <row r="702" spans="18:32">
      <c r="R702" s="389"/>
      <c r="S702" s="389"/>
      <c r="T702" s="389"/>
      <c r="U702" s="389"/>
      <c r="V702" s="389"/>
      <c r="W702" s="390"/>
      <c r="X702" s="390"/>
      <c r="Y702" s="390"/>
      <c r="Z702" s="390"/>
      <c r="AA702" s="390"/>
      <c r="AB702" s="390"/>
      <c r="AC702" s="375"/>
      <c r="AD702" s="375"/>
      <c r="AE702" s="375"/>
      <c r="AF702" s="375"/>
    </row>
    <row r="703" spans="18:32">
      <c r="R703" s="389"/>
      <c r="S703" s="389"/>
      <c r="T703" s="389"/>
      <c r="U703" s="389"/>
      <c r="V703" s="389"/>
      <c r="W703" s="390"/>
      <c r="X703" s="390"/>
      <c r="Y703" s="390"/>
      <c r="Z703" s="390"/>
      <c r="AA703" s="390"/>
      <c r="AB703" s="390"/>
      <c r="AC703" s="375"/>
      <c r="AD703" s="375"/>
      <c r="AE703" s="375"/>
      <c r="AF703" s="375"/>
    </row>
    <row r="704" spans="18:32">
      <c r="R704" s="389"/>
      <c r="S704" s="389"/>
      <c r="T704" s="389"/>
      <c r="U704" s="389"/>
      <c r="V704" s="389"/>
      <c r="W704" s="390"/>
      <c r="X704" s="390"/>
      <c r="Y704" s="390"/>
      <c r="Z704" s="390"/>
      <c r="AA704" s="390"/>
      <c r="AB704" s="390"/>
      <c r="AC704" s="375"/>
      <c r="AD704" s="375"/>
      <c r="AE704" s="375"/>
      <c r="AF704" s="375"/>
    </row>
    <row r="705" spans="18:32">
      <c r="R705" s="389"/>
      <c r="S705" s="389"/>
      <c r="T705" s="389"/>
      <c r="U705" s="389"/>
      <c r="V705" s="389"/>
      <c r="W705" s="390"/>
      <c r="X705" s="390"/>
      <c r="Y705" s="390"/>
      <c r="Z705" s="390"/>
      <c r="AA705" s="390"/>
      <c r="AB705" s="390"/>
      <c r="AC705" s="375"/>
      <c r="AD705" s="375"/>
      <c r="AE705" s="375"/>
      <c r="AF705" s="375"/>
    </row>
    <row r="706" spans="18:32">
      <c r="R706" s="389"/>
      <c r="S706" s="389"/>
      <c r="T706" s="389"/>
      <c r="U706" s="389"/>
      <c r="V706" s="389"/>
      <c r="W706" s="390"/>
      <c r="X706" s="390"/>
      <c r="Y706" s="390"/>
      <c r="Z706" s="390"/>
      <c r="AA706" s="390"/>
      <c r="AB706" s="390"/>
      <c r="AC706" s="375"/>
      <c r="AD706" s="375"/>
      <c r="AE706" s="375"/>
      <c r="AF706" s="375"/>
    </row>
    <row r="707" spans="18:32">
      <c r="R707" s="389"/>
      <c r="S707" s="389"/>
      <c r="T707" s="389"/>
      <c r="U707" s="389"/>
      <c r="V707" s="389"/>
      <c r="W707" s="390"/>
      <c r="X707" s="390"/>
      <c r="Y707" s="390"/>
      <c r="Z707" s="390"/>
      <c r="AA707" s="390"/>
      <c r="AB707" s="390"/>
      <c r="AC707" s="375"/>
      <c r="AD707" s="375"/>
      <c r="AE707" s="375"/>
      <c r="AF707" s="375"/>
    </row>
    <row r="708" spans="18:32">
      <c r="R708" s="389"/>
      <c r="S708" s="389"/>
      <c r="T708" s="389"/>
      <c r="U708" s="389"/>
      <c r="V708" s="389"/>
      <c r="W708" s="390"/>
      <c r="X708" s="390"/>
      <c r="Y708" s="390"/>
      <c r="Z708" s="390"/>
      <c r="AA708" s="390"/>
      <c r="AB708" s="390"/>
      <c r="AC708" s="375"/>
      <c r="AD708" s="375"/>
      <c r="AE708" s="375"/>
      <c r="AF708" s="375"/>
    </row>
    <row r="709" spans="18:32">
      <c r="R709" s="389"/>
      <c r="S709" s="389"/>
      <c r="T709" s="389"/>
      <c r="U709" s="389"/>
      <c r="V709" s="389"/>
      <c r="W709" s="390"/>
      <c r="X709" s="390"/>
      <c r="Y709" s="390"/>
      <c r="Z709" s="390"/>
      <c r="AA709" s="390"/>
      <c r="AB709" s="390"/>
      <c r="AC709" s="375"/>
      <c r="AD709" s="375"/>
      <c r="AE709" s="375"/>
      <c r="AF709" s="375"/>
    </row>
    <row r="710" spans="18:32">
      <c r="R710" s="389"/>
      <c r="S710" s="389"/>
      <c r="T710" s="389"/>
      <c r="U710" s="389"/>
      <c r="V710" s="389"/>
      <c r="W710" s="390"/>
      <c r="X710" s="390"/>
      <c r="Y710" s="390"/>
      <c r="Z710" s="390"/>
      <c r="AA710" s="390"/>
      <c r="AB710" s="390"/>
      <c r="AC710" s="375"/>
      <c r="AD710" s="375"/>
      <c r="AE710" s="375"/>
      <c r="AF710" s="375"/>
    </row>
    <row r="711" spans="18:32">
      <c r="R711" s="389"/>
      <c r="S711" s="389"/>
      <c r="T711" s="389"/>
      <c r="U711" s="389"/>
      <c r="V711" s="389"/>
      <c r="W711" s="390"/>
      <c r="X711" s="390"/>
      <c r="Y711" s="390"/>
      <c r="Z711" s="390"/>
      <c r="AA711" s="390"/>
      <c r="AB711" s="390"/>
      <c r="AC711" s="375"/>
      <c r="AD711" s="375"/>
      <c r="AE711" s="375"/>
      <c r="AF711" s="375"/>
    </row>
    <row r="712" spans="18:32">
      <c r="R712" s="389"/>
      <c r="S712" s="389"/>
      <c r="T712" s="389"/>
      <c r="U712" s="389"/>
      <c r="V712" s="389"/>
      <c r="W712" s="390"/>
      <c r="X712" s="390"/>
      <c r="Y712" s="390"/>
      <c r="Z712" s="390"/>
      <c r="AA712" s="390"/>
      <c r="AB712" s="390"/>
      <c r="AC712" s="375"/>
      <c r="AD712" s="375"/>
      <c r="AE712" s="375"/>
      <c r="AF712" s="375"/>
    </row>
    <row r="713" spans="18:32">
      <c r="R713" s="389"/>
      <c r="S713" s="389"/>
      <c r="T713" s="389"/>
      <c r="U713" s="389"/>
      <c r="V713" s="389"/>
      <c r="W713" s="390"/>
      <c r="X713" s="390"/>
      <c r="Y713" s="390"/>
      <c r="Z713" s="390"/>
      <c r="AA713" s="390"/>
      <c r="AB713" s="390"/>
      <c r="AC713" s="375"/>
      <c r="AD713" s="375"/>
      <c r="AE713" s="375"/>
      <c r="AF713" s="375"/>
    </row>
    <row r="714" spans="18:32">
      <c r="R714" s="389"/>
      <c r="S714" s="389"/>
      <c r="T714" s="389"/>
      <c r="U714" s="389"/>
      <c r="V714" s="389"/>
      <c r="W714" s="390"/>
      <c r="X714" s="390"/>
      <c r="Y714" s="390"/>
      <c r="Z714" s="390"/>
      <c r="AA714" s="390"/>
      <c r="AB714" s="390"/>
      <c r="AC714" s="375"/>
      <c r="AD714" s="375"/>
      <c r="AE714" s="375"/>
      <c r="AF714" s="375"/>
    </row>
    <row r="715" spans="18:32">
      <c r="R715" s="389"/>
      <c r="S715" s="389"/>
      <c r="T715" s="389"/>
      <c r="U715" s="389"/>
      <c r="V715" s="389"/>
      <c r="W715" s="390"/>
      <c r="X715" s="390"/>
      <c r="Y715" s="390"/>
      <c r="Z715" s="390"/>
      <c r="AA715" s="390"/>
      <c r="AB715" s="390"/>
      <c r="AC715" s="375"/>
      <c r="AD715" s="375"/>
      <c r="AE715" s="375"/>
      <c r="AF715" s="375"/>
    </row>
    <row r="716" spans="18:32">
      <c r="R716" s="389"/>
      <c r="S716" s="389"/>
      <c r="T716" s="389"/>
      <c r="U716" s="389"/>
      <c r="V716" s="389"/>
      <c r="W716" s="390"/>
      <c r="X716" s="390"/>
      <c r="Y716" s="390"/>
      <c r="Z716" s="390"/>
      <c r="AA716" s="390"/>
      <c r="AB716" s="390"/>
      <c r="AC716" s="375"/>
      <c r="AD716" s="375"/>
      <c r="AE716" s="375"/>
      <c r="AF716" s="375"/>
    </row>
    <row r="717" spans="18:32">
      <c r="R717" s="389"/>
      <c r="S717" s="389"/>
      <c r="T717" s="389"/>
      <c r="U717" s="389"/>
      <c r="V717" s="389"/>
      <c r="W717" s="390"/>
      <c r="X717" s="390"/>
      <c r="Y717" s="390"/>
      <c r="Z717" s="390"/>
      <c r="AA717" s="390"/>
      <c r="AB717" s="390"/>
      <c r="AC717" s="375"/>
      <c r="AD717" s="375"/>
      <c r="AE717" s="375"/>
      <c r="AF717" s="375"/>
    </row>
    <row r="718" spans="18:32">
      <c r="R718" s="389"/>
      <c r="S718" s="389"/>
      <c r="T718" s="389"/>
      <c r="U718" s="389"/>
      <c r="V718" s="389"/>
      <c r="W718" s="390"/>
      <c r="X718" s="390"/>
      <c r="Y718" s="390"/>
      <c r="Z718" s="390"/>
      <c r="AA718" s="390"/>
      <c r="AB718" s="390"/>
      <c r="AC718" s="375"/>
      <c r="AD718" s="375"/>
      <c r="AE718" s="375"/>
      <c r="AF718" s="375"/>
    </row>
    <row r="719" spans="18:32">
      <c r="R719" s="389"/>
      <c r="S719" s="389"/>
      <c r="T719" s="389"/>
      <c r="U719" s="389"/>
      <c r="V719" s="389"/>
      <c r="W719" s="390"/>
      <c r="X719" s="390"/>
      <c r="Y719" s="390"/>
      <c r="Z719" s="390"/>
      <c r="AA719" s="390"/>
      <c r="AB719" s="390"/>
      <c r="AC719" s="375"/>
      <c r="AD719" s="375"/>
      <c r="AE719" s="375"/>
      <c r="AF719" s="375"/>
    </row>
    <row r="720" spans="18:32">
      <c r="R720" s="389"/>
      <c r="S720" s="389"/>
      <c r="T720" s="389"/>
      <c r="U720" s="389"/>
      <c r="V720" s="389"/>
      <c r="W720" s="390"/>
      <c r="X720" s="390"/>
      <c r="Y720" s="390"/>
      <c r="Z720" s="390"/>
      <c r="AA720" s="390"/>
      <c r="AB720" s="390"/>
      <c r="AC720" s="375"/>
      <c r="AD720" s="375"/>
      <c r="AE720" s="375"/>
      <c r="AF720" s="375"/>
    </row>
    <row r="721" spans="18:32">
      <c r="R721" s="389"/>
      <c r="S721" s="389"/>
      <c r="T721" s="389"/>
      <c r="U721" s="389"/>
      <c r="V721" s="389"/>
      <c r="W721" s="390"/>
      <c r="X721" s="390"/>
      <c r="Y721" s="390"/>
      <c r="Z721" s="390"/>
      <c r="AA721" s="390"/>
      <c r="AB721" s="390"/>
      <c r="AC721" s="375"/>
      <c r="AD721" s="375"/>
      <c r="AE721" s="375"/>
      <c r="AF721" s="375"/>
    </row>
    <row r="722" spans="18:32">
      <c r="R722" s="389"/>
      <c r="S722" s="389"/>
      <c r="T722" s="389"/>
      <c r="U722" s="389"/>
      <c r="V722" s="389"/>
      <c r="W722" s="390"/>
      <c r="X722" s="390"/>
      <c r="Y722" s="390"/>
      <c r="Z722" s="390"/>
      <c r="AA722" s="390"/>
      <c r="AB722" s="390"/>
      <c r="AC722" s="375"/>
      <c r="AD722" s="375"/>
      <c r="AE722" s="375"/>
      <c r="AF722" s="375"/>
    </row>
    <row r="723" spans="18:32">
      <c r="R723" s="389"/>
      <c r="S723" s="389"/>
      <c r="T723" s="389"/>
      <c r="U723" s="389"/>
      <c r="V723" s="389"/>
      <c r="W723" s="390"/>
      <c r="X723" s="390"/>
      <c r="Y723" s="390"/>
      <c r="Z723" s="390"/>
      <c r="AA723" s="390"/>
      <c r="AB723" s="390"/>
      <c r="AC723" s="375"/>
      <c r="AD723" s="375"/>
      <c r="AE723" s="375"/>
      <c r="AF723" s="375"/>
    </row>
    <row r="724" spans="18:32">
      <c r="R724" s="389"/>
      <c r="S724" s="389"/>
      <c r="T724" s="389"/>
      <c r="U724" s="389"/>
      <c r="V724" s="389"/>
      <c r="W724" s="390"/>
      <c r="X724" s="390"/>
      <c r="Y724" s="390"/>
      <c r="Z724" s="390"/>
      <c r="AA724" s="390"/>
      <c r="AB724" s="390"/>
      <c r="AC724" s="375"/>
      <c r="AD724" s="375"/>
      <c r="AE724" s="375"/>
      <c r="AF724" s="375"/>
    </row>
    <row r="725" spans="18:32">
      <c r="R725" s="389"/>
      <c r="S725" s="389"/>
      <c r="T725" s="389"/>
      <c r="U725" s="389"/>
      <c r="V725" s="389"/>
      <c r="W725" s="390"/>
      <c r="X725" s="390"/>
      <c r="Y725" s="390"/>
      <c r="Z725" s="390"/>
      <c r="AA725" s="390"/>
      <c r="AB725" s="390"/>
      <c r="AC725" s="375"/>
      <c r="AD725" s="375"/>
      <c r="AE725" s="375"/>
      <c r="AF725" s="375"/>
    </row>
    <row r="726" spans="18:32">
      <c r="R726" s="389"/>
      <c r="S726" s="389"/>
      <c r="T726" s="389"/>
      <c r="U726" s="389"/>
      <c r="V726" s="389"/>
      <c r="W726" s="390"/>
      <c r="X726" s="390"/>
      <c r="Y726" s="390"/>
      <c r="Z726" s="390"/>
      <c r="AA726" s="390"/>
      <c r="AB726" s="390"/>
      <c r="AC726" s="375"/>
      <c r="AD726" s="375"/>
      <c r="AE726" s="375"/>
      <c r="AF726" s="375"/>
    </row>
    <row r="727" spans="18:32">
      <c r="R727" s="389"/>
      <c r="S727" s="389"/>
      <c r="T727" s="389"/>
      <c r="U727" s="389"/>
      <c r="V727" s="389"/>
      <c r="W727" s="390"/>
      <c r="X727" s="390"/>
      <c r="Y727" s="390"/>
      <c r="Z727" s="390"/>
      <c r="AA727" s="390"/>
      <c r="AB727" s="390"/>
      <c r="AC727" s="375"/>
      <c r="AD727" s="375"/>
      <c r="AE727" s="375"/>
      <c r="AF727" s="375"/>
    </row>
    <row r="728" spans="18:32">
      <c r="R728" s="389"/>
      <c r="S728" s="389"/>
      <c r="T728" s="389"/>
      <c r="U728" s="389"/>
      <c r="V728" s="389"/>
      <c r="W728" s="390"/>
      <c r="X728" s="390"/>
      <c r="Y728" s="390"/>
      <c r="Z728" s="390"/>
      <c r="AA728" s="390"/>
      <c r="AB728" s="390"/>
      <c r="AC728" s="375"/>
      <c r="AD728" s="375"/>
      <c r="AE728" s="375"/>
      <c r="AF728" s="375"/>
    </row>
    <row r="729" spans="18:32">
      <c r="R729" s="389"/>
      <c r="S729" s="389"/>
      <c r="T729" s="389"/>
      <c r="U729" s="389"/>
      <c r="V729" s="389"/>
      <c r="W729" s="390"/>
      <c r="X729" s="390"/>
      <c r="Y729" s="390"/>
      <c r="Z729" s="390"/>
      <c r="AA729" s="390"/>
      <c r="AB729" s="390"/>
      <c r="AC729" s="375"/>
      <c r="AD729" s="375"/>
      <c r="AE729" s="375"/>
      <c r="AF729" s="375"/>
    </row>
    <row r="730" spans="18:32">
      <c r="R730" s="389"/>
      <c r="S730" s="389"/>
      <c r="T730" s="389"/>
      <c r="U730" s="389"/>
      <c r="V730" s="389"/>
      <c r="W730" s="390"/>
      <c r="X730" s="390"/>
      <c r="Y730" s="390"/>
      <c r="Z730" s="390"/>
      <c r="AA730" s="390"/>
      <c r="AB730" s="390"/>
      <c r="AC730" s="375"/>
      <c r="AD730" s="375"/>
      <c r="AE730" s="375"/>
      <c r="AF730" s="375"/>
    </row>
    <row r="731" spans="18:32">
      <c r="R731" s="389"/>
      <c r="S731" s="389"/>
      <c r="T731" s="389"/>
      <c r="U731" s="389"/>
      <c r="V731" s="389"/>
      <c r="W731" s="390"/>
      <c r="X731" s="390"/>
      <c r="Y731" s="390"/>
      <c r="Z731" s="390"/>
      <c r="AA731" s="390"/>
      <c r="AB731" s="390"/>
      <c r="AC731" s="375"/>
      <c r="AD731" s="375"/>
      <c r="AE731" s="375"/>
      <c r="AF731" s="375"/>
    </row>
    <row r="732" spans="18:32">
      <c r="R732" s="389"/>
      <c r="S732" s="389"/>
      <c r="T732" s="389"/>
      <c r="U732" s="389"/>
      <c r="V732" s="389"/>
      <c r="W732" s="390"/>
      <c r="X732" s="390"/>
      <c r="Y732" s="390"/>
      <c r="Z732" s="390"/>
      <c r="AA732" s="390"/>
      <c r="AB732" s="390"/>
      <c r="AC732" s="375"/>
      <c r="AD732" s="375"/>
      <c r="AE732" s="375"/>
      <c r="AF732" s="375"/>
    </row>
    <row r="733" spans="18:32">
      <c r="R733" s="389"/>
      <c r="S733" s="389"/>
      <c r="T733" s="389"/>
      <c r="U733" s="389"/>
      <c r="V733" s="389"/>
      <c r="W733" s="390"/>
      <c r="X733" s="390"/>
      <c r="Y733" s="390"/>
      <c r="Z733" s="390"/>
      <c r="AA733" s="390"/>
      <c r="AB733" s="390"/>
      <c r="AC733" s="375"/>
      <c r="AD733" s="375"/>
      <c r="AE733" s="375"/>
      <c r="AF733" s="375"/>
    </row>
    <row r="734" spans="18:32">
      <c r="R734" s="389"/>
      <c r="S734" s="389"/>
      <c r="T734" s="389"/>
      <c r="U734" s="389"/>
      <c r="V734" s="389"/>
      <c r="W734" s="390"/>
      <c r="X734" s="390"/>
      <c r="Y734" s="390"/>
      <c r="Z734" s="390"/>
      <c r="AA734" s="390"/>
      <c r="AB734" s="390"/>
      <c r="AC734" s="375"/>
      <c r="AD734" s="375"/>
      <c r="AE734" s="375"/>
      <c r="AF734" s="375"/>
    </row>
    <row r="735" spans="18:32">
      <c r="R735" s="389"/>
      <c r="S735" s="389"/>
      <c r="T735" s="389"/>
      <c r="U735" s="389"/>
      <c r="V735" s="389"/>
      <c r="W735" s="390"/>
      <c r="X735" s="390"/>
      <c r="Y735" s="390"/>
      <c r="Z735" s="390"/>
      <c r="AA735" s="390"/>
      <c r="AB735" s="390"/>
      <c r="AC735" s="375"/>
      <c r="AD735" s="375"/>
      <c r="AE735" s="375"/>
      <c r="AF735" s="375"/>
    </row>
    <row r="736" spans="18:32">
      <c r="R736" s="389"/>
      <c r="S736" s="389"/>
      <c r="T736" s="389"/>
      <c r="U736" s="389"/>
      <c r="V736" s="389"/>
      <c r="W736" s="390"/>
      <c r="X736" s="390"/>
      <c r="Y736" s="390"/>
      <c r="Z736" s="390"/>
      <c r="AA736" s="390"/>
      <c r="AB736" s="390"/>
      <c r="AC736" s="375"/>
      <c r="AD736" s="375"/>
      <c r="AE736" s="375"/>
      <c r="AF736" s="375"/>
    </row>
    <row r="737" spans="18:32">
      <c r="R737" s="389"/>
      <c r="S737" s="389"/>
      <c r="T737" s="389"/>
      <c r="U737" s="389"/>
      <c r="V737" s="389"/>
      <c r="W737" s="390"/>
      <c r="X737" s="390"/>
      <c r="Y737" s="390"/>
      <c r="Z737" s="390"/>
      <c r="AA737" s="390"/>
      <c r="AB737" s="390"/>
      <c r="AC737" s="375"/>
      <c r="AD737" s="375"/>
      <c r="AE737" s="375"/>
      <c r="AF737" s="375"/>
    </row>
    <row r="738" spans="18:32">
      <c r="R738" s="389"/>
      <c r="S738" s="389"/>
      <c r="T738" s="389"/>
      <c r="U738" s="389"/>
      <c r="V738" s="389"/>
      <c r="W738" s="390"/>
      <c r="X738" s="390"/>
      <c r="Y738" s="390"/>
      <c r="Z738" s="390"/>
      <c r="AA738" s="390"/>
      <c r="AB738" s="390"/>
      <c r="AC738" s="375"/>
      <c r="AD738" s="375"/>
      <c r="AE738" s="375"/>
      <c r="AF738" s="375"/>
    </row>
    <row r="739" spans="18:32">
      <c r="R739" s="389"/>
      <c r="S739" s="389"/>
      <c r="T739" s="389"/>
      <c r="U739" s="389"/>
      <c r="V739" s="389"/>
      <c r="W739" s="390"/>
      <c r="X739" s="390"/>
      <c r="Y739" s="390"/>
      <c r="Z739" s="390"/>
      <c r="AA739" s="390"/>
      <c r="AB739" s="390"/>
      <c r="AC739" s="375"/>
      <c r="AD739" s="375"/>
      <c r="AE739" s="375"/>
      <c r="AF739" s="375"/>
    </row>
    <row r="740" spans="18:32">
      <c r="R740" s="389"/>
      <c r="S740" s="389"/>
      <c r="T740" s="389"/>
      <c r="U740" s="389"/>
      <c r="V740" s="389"/>
      <c r="W740" s="390"/>
      <c r="X740" s="390"/>
      <c r="Y740" s="390"/>
      <c r="Z740" s="390"/>
      <c r="AA740" s="390"/>
      <c r="AB740" s="390"/>
      <c r="AC740" s="375"/>
      <c r="AD740" s="375"/>
      <c r="AE740" s="375"/>
      <c r="AF740" s="375"/>
    </row>
    <row r="741" spans="18:32">
      <c r="R741" s="389"/>
      <c r="S741" s="389"/>
      <c r="T741" s="389"/>
      <c r="U741" s="389"/>
      <c r="V741" s="389"/>
      <c r="W741" s="390"/>
      <c r="X741" s="390"/>
      <c r="Y741" s="390"/>
      <c r="Z741" s="390"/>
      <c r="AA741" s="390"/>
      <c r="AB741" s="390"/>
      <c r="AC741" s="375"/>
      <c r="AD741" s="375"/>
      <c r="AE741" s="375"/>
      <c r="AF741" s="375"/>
    </row>
    <row r="742" spans="18:32">
      <c r="R742" s="389"/>
      <c r="S742" s="389"/>
      <c r="T742" s="389"/>
      <c r="U742" s="389"/>
      <c r="V742" s="389"/>
      <c r="W742" s="390"/>
      <c r="X742" s="390"/>
      <c r="Y742" s="390"/>
      <c r="Z742" s="390"/>
      <c r="AA742" s="390"/>
      <c r="AB742" s="390"/>
      <c r="AC742" s="375"/>
      <c r="AD742" s="375"/>
      <c r="AE742" s="375"/>
      <c r="AF742" s="375"/>
    </row>
    <row r="743" spans="18:32">
      <c r="R743" s="389"/>
      <c r="S743" s="389"/>
      <c r="T743" s="389"/>
      <c r="U743" s="389"/>
      <c r="V743" s="389"/>
      <c r="W743" s="390"/>
      <c r="X743" s="390"/>
      <c r="Y743" s="390"/>
      <c r="Z743" s="390"/>
      <c r="AA743" s="390"/>
      <c r="AB743" s="390"/>
      <c r="AC743" s="375"/>
      <c r="AD743" s="375"/>
      <c r="AE743" s="375"/>
      <c r="AF743" s="375"/>
    </row>
    <row r="744" spans="18:32">
      <c r="R744" s="389"/>
      <c r="S744" s="389"/>
      <c r="T744" s="389"/>
      <c r="U744" s="389"/>
      <c r="V744" s="389"/>
      <c r="W744" s="390"/>
      <c r="X744" s="390"/>
      <c r="Y744" s="390"/>
      <c r="Z744" s="390"/>
      <c r="AA744" s="390"/>
      <c r="AB744" s="390"/>
      <c r="AC744" s="375"/>
      <c r="AD744" s="375"/>
      <c r="AE744" s="375"/>
      <c r="AF744" s="375"/>
    </row>
    <row r="745" spans="18:32">
      <c r="R745" s="389"/>
      <c r="S745" s="389"/>
      <c r="T745" s="389"/>
      <c r="U745" s="389"/>
      <c r="V745" s="389"/>
      <c r="W745" s="390"/>
      <c r="X745" s="390"/>
      <c r="Y745" s="390"/>
      <c r="Z745" s="390"/>
      <c r="AA745" s="390"/>
      <c r="AB745" s="390"/>
      <c r="AC745" s="375"/>
      <c r="AD745" s="375"/>
      <c r="AE745" s="375"/>
      <c r="AF745" s="375"/>
    </row>
    <row r="746" spans="18:32">
      <c r="R746" s="389"/>
      <c r="S746" s="389"/>
      <c r="T746" s="389"/>
      <c r="U746" s="389"/>
      <c r="V746" s="389"/>
      <c r="W746" s="390"/>
      <c r="X746" s="390"/>
      <c r="Y746" s="390"/>
      <c r="Z746" s="390"/>
      <c r="AA746" s="390"/>
      <c r="AB746" s="390"/>
      <c r="AC746" s="375"/>
      <c r="AD746" s="375"/>
      <c r="AE746" s="375"/>
      <c r="AF746" s="375"/>
    </row>
    <row r="747" spans="18:32">
      <c r="R747" s="389"/>
      <c r="S747" s="389"/>
      <c r="T747" s="389"/>
      <c r="U747" s="389"/>
      <c r="V747" s="389"/>
      <c r="W747" s="390"/>
      <c r="X747" s="390"/>
      <c r="Y747" s="390"/>
      <c r="Z747" s="390"/>
      <c r="AA747" s="390"/>
      <c r="AB747" s="390"/>
      <c r="AC747" s="375"/>
      <c r="AD747" s="375"/>
      <c r="AE747" s="375"/>
      <c r="AF747" s="375"/>
    </row>
    <row r="748" spans="18:32">
      <c r="R748" s="389"/>
      <c r="S748" s="389"/>
      <c r="T748" s="389"/>
      <c r="U748" s="389"/>
      <c r="V748" s="389"/>
      <c r="W748" s="390"/>
      <c r="X748" s="390"/>
      <c r="Y748" s="390"/>
      <c r="Z748" s="390"/>
      <c r="AA748" s="390"/>
      <c r="AB748" s="390"/>
      <c r="AC748" s="375"/>
      <c r="AD748" s="375"/>
      <c r="AE748" s="375"/>
      <c r="AF748" s="375"/>
    </row>
    <row r="749" spans="18:32">
      <c r="R749" s="389"/>
      <c r="S749" s="389"/>
      <c r="T749" s="389"/>
      <c r="U749" s="389"/>
      <c r="V749" s="389"/>
      <c r="W749" s="390"/>
      <c r="X749" s="390"/>
      <c r="Y749" s="390"/>
      <c r="Z749" s="390"/>
      <c r="AA749" s="390"/>
      <c r="AB749" s="390"/>
      <c r="AC749" s="375"/>
      <c r="AD749" s="375"/>
      <c r="AE749" s="375"/>
      <c r="AF749" s="375"/>
    </row>
    <row r="750" spans="18:32">
      <c r="R750" s="389"/>
      <c r="S750" s="389"/>
      <c r="T750" s="389"/>
      <c r="U750" s="389"/>
      <c r="V750" s="389"/>
      <c r="W750" s="390"/>
      <c r="X750" s="390"/>
      <c r="Y750" s="390"/>
      <c r="Z750" s="390"/>
      <c r="AA750" s="390"/>
      <c r="AB750" s="390"/>
      <c r="AC750" s="375"/>
      <c r="AD750" s="375"/>
      <c r="AE750" s="375"/>
      <c r="AF750" s="375"/>
    </row>
    <row r="751" spans="18:32">
      <c r="R751" s="389"/>
      <c r="S751" s="389"/>
      <c r="T751" s="389"/>
      <c r="U751" s="389"/>
      <c r="V751" s="389"/>
      <c r="W751" s="390"/>
      <c r="X751" s="390"/>
      <c r="Y751" s="390"/>
      <c r="Z751" s="390"/>
      <c r="AA751" s="390"/>
      <c r="AB751" s="390"/>
      <c r="AC751" s="375"/>
      <c r="AD751" s="375"/>
      <c r="AE751" s="375"/>
      <c r="AF751" s="375"/>
    </row>
    <row r="752" spans="18:32">
      <c r="R752" s="389"/>
      <c r="S752" s="389"/>
      <c r="T752" s="389"/>
      <c r="U752" s="389"/>
      <c r="V752" s="389"/>
      <c r="W752" s="390"/>
      <c r="X752" s="390"/>
      <c r="Y752" s="390"/>
      <c r="Z752" s="390"/>
      <c r="AA752" s="390"/>
      <c r="AB752" s="390"/>
      <c r="AC752" s="375"/>
      <c r="AD752" s="375"/>
      <c r="AE752" s="375"/>
      <c r="AF752" s="375"/>
    </row>
    <row r="753" spans="18:32">
      <c r="R753" s="389"/>
      <c r="S753" s="389"/>
      <c r="T753" s="389"/>
      <c r="U753" s="389"/>
      <c r="V753" s="389"/>
      <c r="W753" s="390"/>
      <c r="X753" s="390"/>
      <c r="Y753" s="390"/>
      <c r="Z753" s="390"/>
      <c r="AA753" s="390"/>
      <c r="AB753" s="390"/>
      <c r="AC753" s="375"/>
      <c r="AD753" s="375"/>
      <c r="AE753" s="375"/>
      <c r="AF753" s="375"/>
    </row>
    <row r="754" spans="18:32">
      <c r="R754" s="389"/>
      <c r="S754" s="389"/>
      <c r="T754" s="389"/>
      <c r="U754" s="389"/>
      <c r="V754" s="389"/>
      <c r="W754" s="390"/>
      <c r="X754" s="390"/>
      <c r="Y754" s="390"/>
      <c r="Z754" s="390"/>
      <c r="AA754" s="390"/>
      <c r="AB754" s="390"/>
      <c r="AC754" s="375"/>
      <c r="AD754" s="375"/>
      <c r="AE754" s="375"/>
      <c r="AF754" s="375"/>
    </row>
    <row r="755" spans="18:32">
      <c r="R755" s="389"/>
      <c r="S755" s="389"/>
      <c r="T755" s="389"/>
      <c r="U755" s="389"/>
      <c r="V755" s="389"/>
      <c r="W755" s="390"/>
      <c r="X755" s="390"/>
      <c r="Y755" s="390"/>
      <c r="Z755" s="390"/>
      <c r="AA755" s="390"/>
      <c r="AB755" s="390"/>
      <c r="AC755" s="375"/>
      <c r="AD755" s="375"/>
      <c r="AE755" s="375"/>
      <c r="AF755" s="375"/>
    </row>
    <row r="756" spans="18:32">
      <c r="R756" s="389"/>
      <c r="S756" s="389"/>
      <c r="T756" s="389"/>
      <c r="U756" s="389"/>
      <c r="V756" s="389"/>
      <c r="W756" s="390"/>
      <c r="X756" s="390"/>
      <c r="Y756" s="390"/>
      <c r="Z756" s="390"/>
      <c r="AA756" s="390"/>
      <c r="AB756" s="390"/>
      <c r="AC756" s="375"/>
      <c r="AD756" s="375"/>
      <c r="AE756" s="375"/>
      <c r="AF756" s="375"/>
    </row>
    <row r="757" spans="18:32">
      <c r="R757" s="389"/>
      <c r="S757" s="389"/>
      <c r="T757" s="389"/>
      <c r="U757" s="389"/>
      <c r="V757" s="389"/>
      <c r="W757" s="390"/>
      <c r="X757" s="390"/>
      <c r="Y757" s="390"/>
      <c r="Z757" s="390"/>
      <c r="AA757" s="390"/>
      <c r="AB757" s="390"/>
      <c r="AC757" s="375"/>
      <c r="AD757" s="375"/>
      <c r="AE757" s="375"/>
      <c r="AF757" s="375"/>
    </row>
    <row r="758" spans="18:32">
      <c r="R758" s="389"/>
      <c r="S758" s="389"/>
      <c r="T758" s="389"/>
      <c r="U758" s="389"/>
      <c r="V758" s="389"/>
      <c r="W758" s="390"/>
      <c r="X758" s="390"/>
      <c r="Y758" s="390"/>
      <c r="Z758" s="390"/>
      <c r="AA758" s="390"/>
      <c r="AB758" s="390"/>
      <c r="AC758" s="375"/>
      <c r="AD758" s="375"/>
      <c r="AE758" s="375"/>
      <c r="AF758" s="375"/>
    </row>
    <row r="759" spans="18:32">
      <c r="R759" s="389"/>
      <c r="S759" s="389"/>
      <c r="T759" s="389"/>
      <c r="U759" s="389"/>
      <c r="V759" s="389"/>
      <c r="W759" s="390"/>
      <c r="X759" s="390"/>
      <c r="Y759" s="390"/>
      <c r="Z759" s="390"/>
      <c r="AA759" s="390"/>
      <c r="AB759" s="390"/>
      <c r="AC759" s="375"/>
      <c r="AD759" s="375"/>
      <c r="AE759" s="375"/>
      <c r="AF759" s="375"/>
    </row>
    <row r="760" spans="18:32">
      <c r="R760" s="389"/>
      <c r="S760" s="389"/>
      <c r="T760" s="389"/>
      <c r="U760" s="389"/>
      <c r="V760" s="389"/>
      <c r="W760" s="390"/>
      <c r="X760" s="390"/>
      <c r="Y760" s="390"/>
      <c r="Z760" s="390"/>
      <c r="AA760" s="390"/>
      <c r="AB760" s="390"/>
      <c r="AC760" s="375"/>
      <c r="AD760" s="375"/>
      <c r="AE760" s="375"/>
      <c r="AF760" s="375"/>
    </row>
    <row r="761" spans="18:32">
      <c r="R761" s="389"/>
      <c r="S761" s="389"/>
      <c r="T761" s="389"/>
      <c r="U761" s="389"/>
      <c r="V761" s="389"/>
      <c r="W761" s="390"/>
      <c r="X761" s="390"/>
      <c r="Y761" s="390"/>
      <c r="Z761" s="390"/>
      <c r="AA761" s="390"/>
      <c r="AB761" s="390"/>
      <c r="AC761" s="375"/>
      <c r="AD761" s="375"/>
      <c r="AE761" s="375"/>
      <c r="AF761" s="375"/>
    </row>
    <row r="762" spans="18:32">
      <c r="R762" s="389"/>
      <c r="S762" s="389"/>
      <c r="T762" s="389"/>
      <c r="U762" s="389"/>
      <c r="V762" s="389"/>
      <c r="W762" s="390"/>
      <c r="X762" s="390"/>
      <c r="Y762" s="390"/>
      <c r="Z762" s="390"/>
      <c r="AA762" s="390"/>
      <c r="AB762" s="390"/>
      <c r="AC762" s="375"/>
      <c r="AD762" s="375"/>
      <c r="AE762" s="375"/>
      <c r="AF762" s="375"/>
    </row>
    <row r="763" spans="18:32">
      <c r="R763" s="389"/>
      <c r="S763" s="389"/>
      <c r="T763" s="389"/>
      <c r="U763" s="389"/>
      <c r="V763" s="389"/>
      <c r="W763" s="390"/>
      <c r="X763" s="390"/>
      <c r="Y763" s="390"/>
      <c r="Z763" s="390"/>
      <c r="AA763" s="390"/>
      <c r="AB763" s="390"/>
      <c r="AC763" s="375"/>
      <c r="AD763" s="375"/>
      <c r="AE763" s="375"/>
      <c r="AF763" s="375"/>
    </row>
    <row r="764" spans="18:32">
      <c r="R764" s="389"/>
      <c r="S764" s="389"/>
      <c r="T764" s="389"/>
      <c r="U764" s="389"/>
      <c r="V764" s="389"/>
      <c r="W764" s="390"/>
      <c r="X764" s="390"/>
      <c r="Y764" s="390"/>
      <c r="Z764" s="390"/>
      <c r="AA764" s="390"/>
      <c r="AB764" s="390"/>
      <c r="AC764" s="375"/>
      <c r="AD764" s="375"/>
      <c r="AE764" s="375"/>
      <c r="AF764" s="375"/>
    </row>
    <row r="765" spans="18:32">
      <c r="R765" s="389"/>
      <c r="S765" s="389"/>
      <c r="T765" s="389"/>
      <c r="U765" s="389"/>
      <c r="V765" s="389"/>
      <c r="W765" s="390"/>
      <c r="X765" s="390"/>
      <c r="Y765" s="390"/>
      <c r="Z765" s="390"/>
      <c r="AA765" s="390"/>
      <c r="AB765" s="390"/>
      <c r="AC765" s="375"/>
      <c r="AD765" s="375"/>
      <c r="AE765" s="375"/>
      <c r="AF765" s="375"/>
    </row>
    <row r="766" spans="18:32">
      <c r="R766" s="389"/>
      <c r="S766" s="389"/>
      <c r="T766" s="389"/>
      <c r="U766" s="389"/>
      <c r="V766" s="389"/>
      <c r="W766" s="390"/>
      <c r="X766" s="390"/>
      <c r="Y766" s="390"/>
      <c r="Z766" s="390"/>
      <c r="AA766" s="390"/>
      <c r="AB766" s="390"/>
      <c r="AC766" s="375"/>
      <c r="AD766" s="375"/>
      <c r="AE766" s="375"/>
      <c r="AF766" s="375"/>
    </row>
    <row r="767" spans="18:32">
      <c r="R767" s="389"/>
      <c r="S767" s="389"/>
      <c r="T767" s="389"/>
      <c r="U767" s="389"/>
      <c r="V767" s="389"/>
      <c r="W767" s="390"/>
      <c r="X767" s="390"/>
      <c r="Y767" s="390"/>
      <c r="Z767" s="390"/>
      <c r="AA767" s="390"/>
      <c r="AB767" s="390"/>
      <c r="AC767" s="375"/>
      <c r="AD767" s="375"/>
      <c r="AE767" s="375"/>
      <c r="AF767" s="375"/>
    </row>
    <row r="768" spans="18:32">
      <c r="R768" s="389"/>
      <c r="S768" s="389"/>
      <c r="T768" s="389"/>
      <c r="U768" s="389"/>
      <c r="V768" s="389"/>
      <c r="W768" s="390"/>
      <c r="X768" s="390"/>
      <c r="Y768" s="390"/>
      <c r="Z768" s="390"/>
      <c r="AA768" s="390"/>
      <c r="AB768" s="390"/>
      <c r="AC768" s="375"/>
      <c r="AD768" s="375"/>
      <c r="AE768" s="375"/>
      <c r="AF768" s="375"/>
    </row>
    <row r="769" spans="18:32">
      <c r="R769" s="389"/>
      <c r="S769" s="389"/>
      <c r="T769" s="389"/>
      <c r="U769" s="389"/>
      <c r="V769" s="389"/>
      <c r="W769" s="390"/>
      <c r="X769" s="390"/>
      <c r="Y769" s="390"/>
      <c r="Z769" s="390"/>
      <c r="AA769" s="390"/>
      <c r="AB769" s="390"/>
      <c r="AC769" s="375"/>
      <c r="AD769" s="375"/>
      <c r="AE769" s="375"/>
      <c r="AF769" s="375"/>
    </row>
    <row r="770" spans="18:32">
      <c r="R770" s="389"/>
      <c r="S770" s="389"/>
      <c r="T770" s="389"/>
      <c r="U770" s="389"/>
      <c r="V770" s="389"/>
      <c r="W770" s="390"/>
      <c r="X770" s="390"/>
      <c r="Y770" s="390"/>
      <c r="Z770" s="390"/>
      <c r="AA770" s="390"/>
      <c r="AB770" s="390"/>
      <c r="AC770" s="375"/>
      <c r="AD770" s="375"/>
      <c r="AE770" s="375"/>
      <c r="AF770" s="375"/>
    </row>
    <row r="771" spans="18:32">
      <c r="R771" s="389"/>
      <c r="S771" s="389"/>
      <c r="T771" s="389"/>
      <c r="U771" s="389"/>
      <c r="V771" s="389"/>
      <c r="W771" s="390"/>
      <c r="X771" s="390"/>
      <c r="Y771" s="390"/>
      <c r="Z771" s="390"/>
      <c r="AA771" s="390"/>
      <c r="AB771" s="390"/>
      <c r="AC771" s="375"/>
      <c r="AD771" s="375"/>
      <c r="AE771" s="375"/>
      <c r="AF771" s="375"/>
    </row>
    <row r="772" spans="18:32">
      <c r="R772" s="389"/>
      <c r="S772" s="389"/>
      <c r="T772" s="389"/>
      <c r="U772" s="389"/>
      <c r="V772" s="389"/>
      <c r="W772" s="390"/>
      <c r="X772" s="390"/>
      <c r="Y772" s="390"/>
      <c r="Z772" s="390"/>
      <c r="AA772" s="390"/>
      <c r="AB772" s="390"/>
      <c r="AC772" s="375"/>
      <c r="AD772" s="375"/>
      <c r="AE772" s="375"/>
      <c r="AF772" s="375"/>
    </row>
    <row r="773" spans="18:32">
      <c r="R773" s="389"/>
      <c r="S773" s="389"/>
      <c r="T773" s="389"/>
      <c r="U773" s="389"/>
      <c r="V773" s="389"/>
      <c r="W773" s="390"/>
      <c r="X773" s="390"/>
      <c r="Y773" s="390"/>
      <c r="Z773" s="390"/>
      <c r="AA773" s="390"/>
      <c r="AB773" s="390"/>
      <c r="AC773" s="375"/>
      <c r="AD773" s="375"/>
      <c r="AE773" s="375"/>
      <c r="AF773" s="375"/>
    </row>
    <row r="774" spans="18:32">
      <c r="R774" s="389"/>
      <c r="S774" s="389"/>
      <c r="T774" s="389"/>
      <c r="U774" s="389"/>
      <c r="V774" s="389"/>
      <c r="W774" s="390"/>
      <c r="X774" s="390"/>
      <c r="Y774" s="390"/>
      <c r="Z774" s="390"/>
      <c r="AA774" s="390"/>
      <c r="AB774" s="390"/>
      <c r="AC774" s="375"/>
      <c r="AD774" s="375"/>
      <c r="AE774" s="375"/>
      <c r="AF774" s="375"/>
    </row>
    <row r="775" spans="18:32">
      <c r="R775" s="389"/>
      <c r="S775" s="389"/>
      <c r="T775" s="389"/>
      <c r="U775" s="389"/>
      <c r="V775" s="389"/>
      <c r="W775" s="390"/>
      <c r="X775" s="390"/>
      <c r="Y775" s="390"/>
      <c r="Z775" s="390"/>
      <c r="AA775" s="390"/>
      <c r="AB775" s="390"/>
      <c r="AC775" s="375"/>
      <c r="AD775" s="375"/>
      <c r="AE775" s="375"/>
      <c r="AF775" s="375"/>
    </row>
    <row r="776" spans="18:32">
      <c r="R776" s="389"/>
      <c r="S776" s="389"/>
      <c r="T776" s="389"/>
      <c r="U776" s="389"/>
      <c r="V776" s="389"/>
      <c r="W776" s="390"/>
      <c r="X776" s="390"/>
      <c r="Y776" s="390"/>
      <c r="Z776" s="390"/>
      <c r="AA776" s="390"/>
      <c r="AB776" s="390"/>
      <c r="AC776" s="375"/>
      <c r="AD776" s="375"/>
      <c r="AE776" s="375"/>
      <c r="AF776" s="375"/>
    </row>
    <row r="777" spans="18:32">
      <c r="R777" s="389"/>
      <c r="S777" s="389"/>
      <c r="T777" s="389"/>
      <c r="U777" s="389"/>
      <c r="V777" s="389"/>
      <c r="W777" s="390"/>
      <c r="X777" s="390"/>
      <c r="Y777" s="390"/>
      <c r="Z777" s="390"/>
      <c r="AA777" s="390"/>
      <c r="AB777" s="390"/>
      <c r="AC777" s="375"/>
      <c r="AD777" s="375"/>
      <c r="AE777" s="375"/>
      <c r="AF777" s="375"/>
    </row>
    <row r="778" spans="18:32">
      <c r="R778" s="389"/>
      <c r="S778" s="389"/>
      <c r="T778" s="389"/>
      <c r="U778" s="389"/>
      <c r="V778" s="389"/>
      <c r="W778" s="390"/>
      <c r="X778" s="390"/>
      <c r="Y778" s="390"/>
      <c r="Z778" s="390"/>
      <c r="AA778" s="390"/>
      <c r="AB778" s="390"/>
      <c r="AC778" s="375"/>
      <c r="AD778" s="375"/>
      <c r="AE778" s="375"/>
      <c r="AF778" s="375"/>
    </row>
    <row r="779" spans="18:32">
      <c r="R779" s="389"/>
      <c r="S779" s="389"/>
      <c r="T779" s="389"/>
      <c r="U779" s="389"/>
      <c r="V779" s="389"/>
      <c r="W779" s="390"/>
      <c r="X779" s="390"/>
      <c r="Y779" s="390"/>
      <c r="Z779" s="390"/>
      <c r="AA779" s="390"/>
      <c r="AB779" s="390"/>
      <c r="AC779" s="375"/>
      <c r="AD779" s="375"/>
      <c r="AE779" s="375"/>
      <c r="AF779" s="375"/>
    </row>
    <row r="780" spans="18:32">
      <c r="R780" s="389"/>
      <c r="S780" s="389"/>
      <c r="T780" s="389"/>
      <c r="U780" s="389"/>
      <c r="V780" s="389"/>
      <c r="W780" s="390"/>
      <c r="X780" s="390"/>
      <c r="Y780" s="390"/>
      <c r="Z780" s="390"/>
      <c r="AA780" s="390"/>
      <c r="AB780" s="390"/>
      <c r="AC780" s="375"/>
      <c r="AD780" s="375"/>
      <c r="AE780" s="375"/>
      <c r="AF780" s="375"/>
    </row>
    <row r="781" spans="18:32">
      <c r="R781" s="389"/>
      <c r="S781" s="389"/>
      <c r="T781" s="389"/>
      <c r="U781" s="389"/>
      <c r="V781" s="389"/>
      <c r="W781" s="390"/>
      <c r="X781" s="390"/>
      <c r="Y781" s="390"/>
      <c r="Z781" s="390"/>
      <c r="AA781" s="390"/>
      <c r="AB781" s="390"/>
      <c r="AC781" s="375"/>
      <c r="AD781" s="375"/>
      <c r="AE781" s="375"/>
      <c r="AF781" s="375"/>
    </row>
    <row r="782" spans="18:32">
      <c r="R782" s="389"/>
      <c r="S782" s="389"/>
      <c r="T782" s="389"/>
      <c r="U782" s="389"/>
      <c r="V782" s="389"/>
      <c r="W782" s="390"/>
      <c r="X782" s="390"/>
      <c r="Y782" s="390"/>
      <c r="Z782" s="390"/>
      <c r="AA782" s="390"/>
      <c r="AB782" s="390"/>
      <c r="AC782" s="375"/>
      <c r="AD782" s="375"/>
      <c r="AE782" s="375"/>
      <c r="AF782" s="375"/>
    </row>
    <row r="783" spans="18:32">
      <c r="R783" s="389"/>
      <c r="S783" s="389"/>
      <c r="T783" s="389"/>
      <c r="U783" s="389"/>
      <c r="V783" s="389"/>
      <c r="W783" s="390"/>
      <c r="X783" s="390"/>
      <c r="Y783" s="390"/>
      <c r="Z783" s="390"/>
      <c r="AA783" s="390"/>
      <c r="AB783" s="390"/>
      <c r="AC783" s="375"/>
      <c r="AD783" s="375"/>
      <c r="AE783" s="375"/>
      <c r="AF783" s="375"/>
    </row>
    <row r="784" spans="18:32">
      <c r="R784" s="389"/>
      <c r="S784" s="389"/>
      <c r="T784" s="389"/>
      <c r="U784" s="389"/>
      <c r="V784" s="389"/>
      <c r="W784" s="390"/>
      <c r="X784" s="390"/>
      <c r="Y784" s="390"/>
      <c r="Z784" s="390"/>
      <c r="AA784" s="390"/>
      <c r="AB784" s="390"/>
      <c r="AC784" s="375"/>
      <c r="AD784" s="375"/>
      <c r="AE784" s="375"/>
      <c r="AF784" s="375"/>
    </row>
    <row r="785" spans="18:32">
      <c r="R785" s="389"/>
      <c r="S785" s="389"/>
      <c r="T785" s="389"/>
      <c r="U785" s="389"/>
      <c r="V785" s="389"/>
      <c r="W785" s="390"/>
      <c r="X785" s="390"/>
      <c r="Y785" s="390"/>
      <c r="Z785" s="390"/>
      <c r="AA785" s="390"/>
      <c r="AB785" s="390"/>
      <c r="AC785" s="375"/>
      <c r="AD785" s="375"/>
      <c r="AE785" s="375"/>
      <c r="AF785" s="375"/>
    </row>
    <row r="786" spans="18:32">
      <c r="R786" s="389"/>
      <c r="S786" s="389"/>
      <c r="T786" s="389"/>
      <c r="U786" s="389"/>
      <c r="V786" s="389"/>
      <c r="W786" s="390"/>
      <c r="X786" s="390"/>
      <c r="Y786" s="390"/>
      <c r="Z786" s="390"/>
      <c r="AA786" s="390"/>
      <c r="AB786" s="390"/>
      <c r="AC786" s="375"/>
      <c r="AD786" s="375"/>
      <c r="AE786" s="375"/>
      <c r="AF786" s="375"/>
    </row>
    <row r="787" spans="18:32">
      <c r="R787" s="389"/>
      <c r="S787" s="389"/>
      <c r="T787" s="389"/>
      <c r="U787" s="389"/>
      <c r="V787" s="389"/>
      <c r="W787" s="390"/>
      <c r="X787" s="390"/>
      <c r="Y787" s="390"/>
      <c r="Z787" s="390"/>
      <c r="AA787" s="390"/>
      <c r="AB787" s="390"/>
      <c r="AC787" s="375"/>
      <c r="AD787" s="375"/>
      <c r="AE787" s="375"/>
      <c r="AF787" s="375"/>
    </row>
    <row r="788" spans="18:32">
      <c r="R788" s="389"/>
      <c r="S788" s="389"/>
      <c r="T788" s="389"/>
      <c r="U788" s="389"/>
      <c r="V788" s="389"/>
      <c r="W788" s="390"/>
      <c r="X788" s="390"/>
      <c r="Y788" s="390"/>
      <c r="Z788" s="390"/>
      <c r="AA788" s="390"/>
      <c r="AB788" s="390"/>
      <c r="AC788" s="375"/>
      <c r="AD788" s="375"/>
      <c r="AE788" s="375"/>
      <c r="AF788" s="375"/>
    </row>
    <row r="789" spans="18:32">
      <c r="R789" s="389"/>
      <c r="S789" s="389"/>
      <c r="T789" s="389"/>
      <c r="U789" s="389"/>
      <c r="V789" s="389"/>
      <c r="W789" s="390"/>
      <c r="X789" s="390"/>
      <c r="Y789" s="390"/>
      <c r="Z789" s="390"/>
      <c r="AA789" s="390"/>
      <c r="AB789" s="390"/>
      <c r="AC789" s="375"/>
      <c r="AD789" s="375"/>
      <c r="AE789" s="375"/>
      <c r="AF789" s="375"/>
    </row>
    <row r="790" spans="18:32">
      <c r="R790" s="389"/>
      <c r="S790" s="389"/>
      <c r="T790" s="389"/>
      <c r="U790" s="389"/>
      <c r="V790" s="389"/>
      <c r="W790" s="390"/>
      <c r="X790" s="390"/>
      <c r="Y790" s="390"/>
      <c r="Z790" s="390"/>
      <c r="AA790" s="390"/>
      <c r="AB790" s="390"/>
      <c r="AC790" s="375"/>
      <c r="AD790" s="375"/>
      <c r="AE790" s="375"/>
      <c r="AF790" s="375"/>
    </row>
    <row r="791" spans="18:32">
      <c r="R791" s="389"/>
      <c r="S791" s="389"/>
      <c r="T791" s="389"/>
      <c r="U791" s="389"/>
      <c r="V791" s="389"/>
      <c r="W791" s="390"/>
      <c r="X791" s="390"/>
      <c r="Y791" s="390"/>
      <c r="Z791" s="390"/>
      <c r="AA791" s="390"/>
      <c r="AB791" s="390"/>
      <c r="AC791" s="375"/>
      <c r="AD791" s="375"/>
      <c r="AE791" s="375"/>
      <c r="AF791" s="375"/>
    </row>
    <row r="792" spans="18:32">
      <c r="R792" s="389"/>
      <c r="S792" s="389"/>
      <c r="T792" s="389"/>
      <c r="U792" s="389"/>
      <c r="V792" s="389"/>
      <c r="W792" s="390"/>
      <c r="X792" s="390"/>
      <c r="Y792" s="390"/>
      <c r="Z792" s="390"/>
      <c r="AA792" s="390"/>
      <c r="AB792" s="390"/>
      <c r="AC792" s="375"/>
      <c r="AD792" s="375"/>
      <c r="AE792" s="375"/>
      <c r="AF792" s="375"/>
    </row>
    <row r="793" spans="18:32">
      <c r="R793" s="389"/>
      <c r="S793" s="389"/>
      <c r="T793" s="389"/>
      <c r="U793" s="389"/>
      <c r="V793" s="389"/>
      <c r="W793" s="390"/>
      <c r="X793" s="390"/>
      <c r="Y793" s="390"/>
      <c r="Z793" s="390"/>
      <c r="AA793" s="390"/>
      <c r="AB793" s="390"/>
      <c r="AC793" s="375"/>
      <c r="AD793" s="375"/>
      <c r="AE793" s="375"/>
      <c r="AF793" s="375"/>
    </row>
    <row r="794" spans="18:32">
      <c r="R794" s="389"/>
      <c r="S794" s="389"/>
      <c r="T794" s="389"/>
      <c r="U794" s="389"/>
      <c r="V794" s="389"/>
      <c r="W794" s="390"/>
      <c r="X794" s="390"/>
      <c r="Y794" s="390"/>
      <c r="Z794" s="390"/>
      <c r="AA794" s="390"/>
      <c r="AB794" s="390"/>
      <c r="AC794" s="375"/>
      <c r="AD794" s="375"/>
      <c r="AE794" s="375"/>
      <c r="AF794" s="375"/>
    </row>
    <row r="795" spans="18:32">
      <c r="R795" s="389"/>
      <c r="S795" s="389"/>
      <c r="T795" s="389"/>
      <c r="U795" s="389"/>
      <c r="V795" s="389"/>
      <c r="W795" s="390"/>
      <c r="X795" s="390"/>
      <c r="Y795" s="390"/>
      <c r="Z795" s="390"/>
      <c r="AA795" s="390"/>
      <c r="AB795" s="390"/>
      <c r="AC795" s="375"/>
      <c r="AD795" s="375"/>
      <c r="AE795" s="375"/>
      <c r="AF795" s="375"/>
    </row>
    <row r="796" spans="18:32">
      <c r="R796" s="389"/>
      <c r="S796" s="389"/>
      <c r="T796" s="389"/>
      <c r="U796" s="389"/>
      <c r="V796" s="389"/>
      <c r="W796" s="390"/>
      <c r="X796" s="390"/>
      <c r="Y796" s="390"/>
      <c r="Z796" s="390"/>
      <c r="AA796" s="390"/>
      <c r="AB796" s="390"/>
      <c r="AC796" s="375"/>
      <c r="AD796" s="375"/>
      <c r="AE796" s="375"/>
      <c r="AF796" s="375"/>
    </row>
    <row r="797" spans="18:32">
      <c r="R797" s="389"/>
      <c r="S797" s="389"/>
      <c r="T797" s="389"/>
      <c r="U797" s="389"/>
      <c r="V797" s="389"/>
      <c r="W797" s="390"/>
      <c r="X797" s="390"/>
      <c r="Y797" s="390"/>
      <c r="Z797" s="390"/>
      <c r="AA797" s="390"/>
      <c r="AB797" s="390"/>
      <c r="AC797" s="375"/>
      <c r="AD797" s="375"/>
      <c r="AE797" s="375"/>
      <c r="AF797" s="375"/>
    </row>
    <row r="798" spans="18:32">
      <c r="R798" s="389"/>
      <c r="S798" s="389"/>
      <c r="T798" s="389"/>
      <c r="U798" s="389"/>
      <c r="V798" s="389"/>
      <c r="W798" s="390"/>
      <c r="X798" s="390"/>
      <c r="Y798" s="390"/>
      <c r="Z798" s="390"/>
      <c r="AA798" s="390"/>
      <c r="AB798" s="390"/>
      <c r="AC798" s="375"/>
      <c r="AD798" s="375"/>
      <c r="AE798" s="375"/>
      <c r="AF798" s="375"/>
    </row>
    <row r="799" spans="18:32">
      <c r="R799" s="389"/>
      <c r="S799" s="389"/>
      <c r="T799" s="389"/>
      <c r="U799" s="389"/>
      <c r="V799" s="389"/>
      <c r="W799" s="390"/>
      <c r="X799" s="390"/>
      <c r="Y799" s="390"/>
      <c r="Z799" s="390"/>
      <c r="AA799" s="390"/>
      <c r="AB799" s="390"/>
      <c r="AC799" s="375"/>
      <c r="AD799" s="375"/>
      <c r="AE799" s="375"/>
      <c r="AF799" s="375"/>
    </row>
    <row r="800" spans="18:32">
      <c r="R800" s="389"/>
      <c r="S800" s="389"/>
      <c r="T800" s="389"/>
      <c r="U800" s="389"/>
      <c r="V800" s="389"/>
      <c r="W800" s="390"/>
      <c r="X800" s="390"/>
      <c r="Y800" s="390"/>
      <c r="Z800" s="390"/>
      <c r="AA800" s="390"/>
      <c r="AB800" s="390"/>
      <c r="AC800" s="375"/>
      <c r="AD800" s="375"/>
      <c r="AE800" s="375"/>
      <c r="AF800" s="375"/>
    </row>
    <row r="801" spans="18:32">
      <c r="R801" s="389"/>
      <c r="S801" s="389"/>
      <c r="T801" s="389"/>
      <c r="U801" s="389"/>
      <c r="V801" s="389"/>
      <c r="W801" s="390"/>
      <c r="X801" s="390"/>
      <c r="Y801" s="390"/>
      <c r="Z801" s="390"/>
      <c r="AA801" s="390"/>
      <c r="AB801" s="390"/>
      <c r="AC801" s="375"/>
      <c r="AD801" s="375"/>
      <c r="AE801" s="375"/>
      <c r="AF801" s="375"/>
    </row>
    <row r="802" spans="18:32">
      <c r="R802" s="389"/>
      <c r="S802" s="389"/>
      <c r="T802" s="389"/>
      <c r="U802" s="389"/>
      <c r="V802" s="389"/>
      <c r="W802" s="390"/>
      <c r="X802" s="390"/>
      <c r="Y802" s="390"/>
      <c r="Z802" s="390"/>
      <c r="AA802" s="390"/>
      <c r="AB802" s="390"/>
      <c r="AC802" s="375"/>
      <c r="AD802" s="375"/>
      <c r="AE802" s="375"/>
      <c r="AF802" s="375"/>
    </row>
    <row r="803" spans="18:32">
      <c r="R803" s="389"/>
      <c r="S803" s="389"/>
      <c r="T803" s="389"/>
      <c r="U803" s="389"/>
      <c r="V803" s="389"/>
      <c r="W803" s="390"/>
      <c r="X803" s="390"/>
      <c r="Y803" s="390"/>
      <c r="Z803" s="390"/>
      <c r="AA803" s="390"/>
      <c r="AB803" s="390"/>
      <c r="AC803" s="375"/>
      <c r="AD803" s="375"/>
      <c r="AE803" s="375"/>
      <c r="AF803" s="375"/>
    </row>
    <row r="804" spans="18:32">
      <c r="R804" s="389"/>
      <c r="S804" s="389"/>
      <c r="T804" s="389"/>
      <c r="U804" s="389"/>
      <c r="V804" s="389"/>
      <c r="W804" s="390"/>
      <c r="X804" s="390"/>
      <c r="Y804" s="390"/>
      <c r="Z804" s="390"/>
      <c r="AA804" s="390"/>
      <c r="AB804" s="390"/>
      <c r="AC804" s="375"/>
      <c r="AD804" s="375"/>
      <c r="AE804" s="375"/>
      <c r="AF804" s="375"/>
    </row>
    <row r="805" spans="18:32">
      <c r="R805" s="389"/>
      <c r="S805" s="389"/>
      <c r="T805" s="389"/>
      <c r="U805" s="389"/>
      <c r="V805" s="389"/>
      <c r="W805" s="390"/>
      <c r="X805" s="390"/>
      <c r="Y805" s="390"/>
      <c r="Z805" s="390"/>
      <c r="AA805" s="390"/>
      <c r="AB805" s="390"/>
      <c r="AC805" s="375"/>
      <c r="AD805" s="375"/>
      <c r="AE805" s="375"/>
      <c r="AF805" s="375"/>
    </row>
    <row r="806" spans="18:32">
      <c r="R806" s="389"/>
      <c r="S806" s="389"/>
      <c r="T806" s="389"/>
      <c r="U806" s="389"/>
      <c r="V806" s="389"/>
      <c r="W806" s="390"/>
      <c r="X806" s="390"/>
      <c r="Y806" s="390"/>
      <c r="Z806" s="390"/>
      <c r="AA806" s="390"/>
      <c r="AB806" s="390"/>
      <c r="AC806" s="375"/>
      <c r="AD806" s="375"/>
      <c r="AE806" s="375"/>
      <c r="AF806" s="375"/>
    </row>
    <row r="807" spans="18:32">
      <c r="R807" s="389"/>
      <c r="S807" s="389"/>
      <c r="T807" s="389"/>
      <c r="U807" s="389"/>
      <c r="V807" s="389"/>
      <c r="W807" s="390"/>
      <c r="X807" s="390"/>
      <c r="Y807" s="390"/>
      <c r="Z807" s="390"/>
      <c r="AA807" s="390"/>
      <c r="AB807" s="390"/>
      <c r="AC807" s="375"/>
      <c r="AD807" s="375"/>
      <c r="AE807" s="375"/>
      <c r="AF807" s="375"/>
    </row>
    <row r="808" spans="18:32">
      <c r="R808" s="389"/>
      <c r="S808" s="389"/>
      <c r="T808" s="389"/>
      <c r="U808" s="389"/>
      <c r="V808" s="389"/>
      <c r="W808" s="390"/>
      <c r="X808" s="390"/>
      <c r="Y808" s="390"/>
      <c r="Z808" s="390"/>
      <c r="AA808" s="390"/>
      <c r="AB808" s="390"/>
      <c r="AC808" s="375"/>
      <c r="AD808" s="375"/>
      <c r="AE808" s="375"/>
      <c r="AF808" s="375"/>
    </row>
    <row r="809" spans="18:32">
      <c r="R809" s="389"/>
      <c r="S809" s="389"/>
      <c r="T809" s="389"/>
      <c r="U809" s="389"/>
      <c r="V809" s="389"/>
      <c r="W809" s="390"/>
      <c r="X809" s="390"/>
      <c r="Y809" s="390"/>
      <c r="Z809" s="390"/>
      <c r="AA809" s="390"/>
      <c r="AB809" s="390"/>
      <c r="AC809" s="375"/>
      <c r="AD809" s="375"/>
      <c r="AE809" s="375"/>
      <c r="AF809" s="375"/>
    </row>
    <row r="810" spans="18:32">
      <c r="R810" s="389"/>
      <c r="S810" s="389"/>
      <c r="T810" s="389"/>
      <c r="U810" s="389"/>
      <c r="V810" s="389"/>
      <c r="W810" s="390"/>
      <c r="X810" s="390"/>
      <c r="Y810" s="390"/>
      <c r="Z810" s="390"/>
      <c r="AA810" s="390"/>
      <c r="AB810" s="390"/>
      <c r="AC810" s="375"/>
      <c r="AD810" s="375"/>
      <c r="AE810" s="375"/>
      <c r="AF810" s="375"/>
    </row>
    <row r="811" spans="18:32">
      <c r="R811" s="389"/>
      <c r="S811" s="389"/>
      <c r="T811" s="389"/>
      <c r="U811" s="389"/>
      <c r="V811" s="389"/>
      <c r="W811" s="390"/>
      <c r="X811" s="390"/>
      <c r="Y811" s="390"/>
      <c r="Z811" s="390"/>
      <c r="AA811" s="390"/>
      <c r="AB811" s="390"/>
      <c r="AC811" s="375"/>
      <c r="AD811" s="375"/>
      <c r="AE811" s="375"/>
      <c r="AF811" s="375"/>
    </row>
    <row r="812" spans="18:32">
      <c r="R812" s="389"/>
      <c r="S812" s="389"/>
      <c r="T812" s="389"/>
      <c r="U812" s="389"/>
      <c r="V812" s="389"/>
      <c r="W812" s="390"/>
      <c r="X812" s="390"/>
      <c r="Y812" s="390"/>
      <c r="Z812" s="390"/>
      <c r="AA812" s="390"/>
      <c r="AB812" s="390"/>
      <c r="AC812" s="375"/>
      <c r="AD812" s="375"/>
      <c r="AE812" s="375"/>
      <c r="AF812" s="375"/>
    </row>
    <row r="813" spans="18:32">
      <c r="R813" s="389"/>
      <c r="S813" s="389"/>
      <c r="T813" s="389"/>
      <c r="U813" s="389"/>
      <c r="V813" s="389"/>
      <c r="W813" s="390"/>
      <c r="X813" s="390"/>
      <c r="Y813" s="390"/>
      <c r="Z813" s="390"/>
      <c r="AA813" s="390"/>
      <c r="AB813" s="390"/>
      <c r="AC813" s="375"/>
      <c r="AD813" s="375"/>
      <c r="AE813" s="375"/>
      <c r="AF813" s="375"/>
    </row>
    <row r="814" spans="18:32">
      <c r="R814" s="389"/>
      <c r="S814" s="389"/>
      <c r="T814" s="389"/>
      <c r="U814" s="389"/>
      <c r="V814" s="389"/>
      <c r="W814" s="390"/>
      <c r="X814" s="390"/>
      <c r="Y814" s="390"/>
      <c r="Z814" s="390"/>
      <c r="AA814" s="390"/>
      <c r="AB814" s="390"/>
      <c r="AC814" s="375"/>
      <c r="AD814" s="375"/>
      <c r="AE814" s="375"/>
      <c r="AF814" s="375"/>
    </row>
    <row r="815" spans="18:32">
      <c r="R815" s="389"/>
      <c r="S815" s="389"/>
      <c r="T815" s="389"/>
      <c r="U815" s="389"/>
      <c r="V815" s="389"/>
      <c r="W815" s="390"/>
      <c r="X815" s="390"/>
      <c r="Y815" s="390"/>
      <c r="Z815" s="390"/>
      <c r="AA815" s="390"/>
      <c r="AB815" s="390"/>
      <c r="AC815" s="375"/>
      <c r="AD815" s="375"/>
      <c r="AE815" s="375"/>
      <c r="AF815" s="375"/>
    </row>
    <row r="816" spans="18:32">
      <c r="R816" s="389"/>
      <c r="S816" s="389"/>
      <c r="T816" s="389"/>
      <c r="U816" s="389"/>
      <c r="V816" s="389"/>
      <c r="W816" s="390"/>
      <c r="X816" s="390"/>
      <c r="Y816" s="390"/>
      <c r="Z816" s="390"/>
      <c r="AA816" s="390"/>
      <c r="AB816" s="390"/>
      <c r="AC816" s="375"/>
      <c r="AD816" s="375"/>
      <c r="AE816" s="375"/>
      <c r="AF816" s="375"/>
    </row>
    <row r="817" spans="18:32">
      <c r="R817" s="389"/>
      <c r="S817" s="389"/>
      <c r="T817" s="389"/>
      <c r="U817" s="389"/>
      <c r="V817" s="389"/>
      <c r="W817" s="390"/>
      <c r="X817" s="390"/>
      <c r="Y817" s="390"/>
      <c r="Z817" s="390"/>
      <c r="AA817" s="390"/>
      <c r="AB817" s="390"/>
      <c r="AC817" s="375"/>
      <c r="AD817" s="375"/>
      <c r="AE817" s="375"/>
      <c r="AF817" s="375"/>
    </row>
    <row r="818" spans="18:32">
      <c r="R818" s="389"/>
      <c r="S818" s="389"/>
      <c r="T818" s="389"/>
      <c r="U818" s="389"/>
      <c r="V818" s="389"/>
      <c r="W818" s="390"/>
      <c r="X818" s="390"/>
      <c r="Y818" s="390"/>
      <c r="Z818" s="390"/>
      <c r="AA818" s="390"/>
      <c r="AB818" s="390"/>
      <c r="AC818" s="375"/>
      <c r="AD818" s="375"/>
      <c r="AE818" s="375"/>
      <c r="AF818" s="375"/>
    </row>
    <row r="819" spans="18:32">
      <c r="R819" s="389"/>
      <c r="S819" s="389"/>
      <c r="T819" s="389"/>
      <c r="U819" s="389"/>
      <c r="V819" s="389"/>
      <c r="W819" s="390"/>
      <c r="X819" s="390"/>
      <c r="Y819" s="390"/>
      <c r="Z819" s="390"/>
      <c r="AA819" s="390"/>
      <c r="AB819" s="390"/>
      <c r="AC819" s="375"/>
      <c r="AD819" s="375"/>
      <c r="AE819" s="375"/>
      <c r="AF819" s="375"/>
    </row>
    <row r="820" spans="18:32">
      <c r="R820" s="389"/>
      <c r="S820" s="389"/>
      <c r="T820" s="389"/>
      <c r="U820" s="389"/>
      <c r="V820" s="389"/>
      <c r="W820" s="390"/>
      <c r="X820" s="390"/>
      <c r="Y820" s="390"/>
      <c r="Z820" s="390"/>
      <c r="AA820" s="390"/>
      <c r="AB820" s="390"/>
      <c r="AC820" s="375"/>
      <c r="AD820" s="375"/>
      <c r="AE820" s="375"/>
      <c r="AF820" s="375"/>
    </row>
    <row r="821" spans="18:32">
      <c r="R821" s="389"/>
      <c r="S821" s="389"/>
      <c r="T821" s="389"/>
      <c r="U821" s="389"/>
      <c r="V821" s="389"/>
      <c r="W821" s="390"/>
      <c r="X821" s="390"/>
      <c r="Y821" s="390"/>
      <c r="Z821" s="390"/>
      <c r="AA821" s="390"/>
      <c r="AB821" s="390"/>
      <c r="AC821" s="375"/>
      <c r="AD821" s="375"/>
      <c r="AE821" s="375"/>
      <c r="AF821" s="375"/>
    </row>
    <row r="822" spans="18:32">
      <c r="R822" s="389"/>
      <c r="S822" s="389"/>
      <c r="T822" s="389"/>
      <c r="U822" s="389"/>
      <c r="V822" s="389"/>
      <c r="W822" s="390"/>
      <c r="X822" s="390"/>
      <c r="Y822" s="390"/>
      <c r="Z822" s="390"/>
      <c r="AA822" s="390"/>
      <c r="AB822" s="390"/>
      <c r="AC822" s="375"/>
      <c r="AD822" s="375"/>
      <c r="AE822" s="375"/>
      <c r="AF822" s="375"/>
    </row>
    <row r="823" spans="18:32">
      <c r="R823" s="389"/>
      <c r="S823" s="389"/>
      <c r="T823" s="389"/>
      <c r="U823" s="389"/>
      <c r="V823" s="389"/>
      <c r="W823" s="390"/>
      <c r="X823" s="390"/>
      <c r="Y823" s="390"/>
      <c r="Z823" s="390"/>
      <c r="AA823" s="390"/>
      <c r="AB823" s="390"/>
      <c r="AC823" s="375"/>
      <c r="AD823" s="375"/>
      <c r="AE823" s="375"/>
      <c r="AF823" s="375"/>
    </row>
    <row r="824" spans="18:32">
      <c r="R824" s="389"/>
      <c r="S824" s="389"/>
      <c r="T824" s="389"/>
      <c r="U824" s="389"/>
      <c r="V824" s="389"/>
      <c r="W824" s="390"/>
      <c r="X824" s="390"/>
      <c r="Y824" s="390"/>
      <c r="Z824" s="390"/>
      <c r="AA824" s="390"/>
      <c r="AB824" s="390"/>
      <c r="AC824" s="375"/>
      <c r="AD824" s="375"/>
      <c r="AE824" s="375"/>
      <c r="AF824" s="375"/>
    </row>
    <row r="825" spans="18:32">
      <c r="R825" s="389"/>
      <c r="S825" s="389"/>
      <c r="T825" s="389"/>
      <c r="U825" s="389"/>
      <c r="V825" s="389"/>
      <c r="W825" s="390"/>
      <c r="X825" s="390"/>
      <c r="Y825" s="390"/>
      <c r="Z825" s="390"/>
      <c r="AA825" s="390"/>
      <c r="AB825" s="390"/>
      <c r="AC825" s="375"/>
      <c r="AD825" s="375"/>
      <c r="AE825" s="375"/>
      <c r="AF825" s="375"/>
    </row>
    <row r="826" spans="18:32">
      <c r="R826" s="389"/>
      <c r="S826" s="389"/>
      <c r="T826" s="389"/>
      <c r="U826" s="389"/>
      <c r="V826" s="389"/>
      <c r="W826" s="390"/>
      <c r="X826" s="390"/>
      <c r="Y826" s="390"/>
      <c r="Z826" s="390"/>
      <c r="AA826" s="390"/>
      <c r="AB826" s="390"/>
      <c r="AC826" s="375"/>
      <c r="AD826" s="375"/>
      <c r="AE826" s="375"/>
      <c r="AF826" s="375"/>
    </row>
    <row r="827" spans="18:32">
      <c r="R827" s="389"/>
      <c r="S827" s="389"/>
      <c r="T827" s="389"/>
      <c r="U827" s="389"/>
      <c r="V827" s="389"/>
      <c r="W827" s="390"/>
      <c r="X827" s="390"/>
      <c r="Y827" s="390"/>
      <c r="Z827" s="390"/>
      <c r="AA827" s="390"/>
      <c r="AB827" s="390"/>
      <c r="AC827" s="375"/>
      <c r="AD827" s="375"/>
      <c r="AE827" s="375"/>
      <c r="AF827" s="375"/>
    </row>
    <row r="828" spans="18:32">
      <c r="R828" s="389"/>
      <c r="S828" s="389"/>
      <c r="T828" s="389"/>
      <c r="U828" s="389"/>
      <c r="V828" s="389"/>
      <c r="W828" s="390"/>
      <c r="X828" s="390"/>
      <c r="Y828" s="390"/>
      <c r="Z828" s="390"/>
      <c r="AA828" s="390"/>
      <c r="AB828" s="390"/>
      <c r="AC828" s="375"/>
      <c r="AD828" s="375"/>
      <c r="AE828" s="375"/>
      <c r="AF828" s="375"/>
    </row>
    <row r="829" spans="18:32">
      <c r="R829" s="389"/>
      <c r="S829" s="389"/>
      <c r="T829" s="389"/>
      <c r="U829" s="389"/>
      <c r="V829" s="389"/>
      <c r="W829" s="390"/>
      <c r="X829" s="390"/>
      <c r="Y829" s="390"/>
      <c r="Z829" s="390"/>
      <c r="AA829" s="390"/>
      <c r="AB829" s="390"/>
      <c r="AC829" s="375"/>
      <c r="AD829" s="375"/>
      <c r="AE829" s="375"/>
      <c r="AF829" s="375"/>
    </row>
    <row r="830" spans="18:32">
      <c r="R830" s="389"/>
      <c r="S830" s="389"/>
      <c r="T830" s="389"/>
      <c r="U830" s="389"/>
      <c r="V830" s="389"/>
      <c r="W830" s="390"/>
      <c r="X830" s="390"/>
      <c r="Y830" s="390"/>
      <c r="Z830" s="390"/>
      <c r="AA830" s="390"/>
      <c r="AB830" s="390"/>
      <c r="AC830" s="375"/>
      <c r="AD830" s="375"/>
      <c r="AE830" s="375"/>
      <c r="AF830" s="375"/>
    </row>
    <row r="831" spans="18:32">
      <c r="R831" s="389"/>
      <c r="S831" s="389"/>
      <c r="T831" s="389"/>
      <c r="U831" s="389"/>
      <c r="V831" s="389"/>
      <c r="W831" s="390"/>
      <c r="X831" s="390"/>
      <c r="Y831" s="390"/>
      <c r="Z831" s="390"/>
      <c r="AA831" s="390"/>
      <c r="AB831" s="390"/>
      <c r="AC831" s="375"/>
      <c r="AD831" s="375"/>
      <c r="AE831" s="375"/>
      <c r="AF831" s="375"/>
    </row>
    <row r="832" spans="18:32">
      <c r="R832" s="389"/>
      <c r="S832" s="389"/>
      <c r="T832" s="389"/>
      <c r="U832" s="389"/>
      <c r="V832" s="389"/>
      <c r="W832" s="390"/>
      <c r="X832" s="390"/>
      <c r="Y832" s="390"/>
      <c r="Z832" s="390"/>
      <c r="AA832" s="390"/>
      <c r="AB832" s="390"/>
      <c r="AC832" s="375"/>
      <c r="AD832" s="375"/>
      <c r="AE832" s="375"/>
      <c r="AF832" s="375"/>
    </row>
    <row r="833" spans="18:32">
      <c r="R833" s="389"/>
      <c r="S833" s="389"/>
      <c r="T833" s="389"/>
      <c r="U833" s="389"/>
      <c r="V833" s="389"/>
      <c r="W833" s="390"/>
      <c r="X833" s="390"/>
      <c r="Y833" s="390"/>
      <c r="Z833" s="390"/>
      <c r="AA833" s="390"/>
      <c r="AB833" s="390"/>
      <c r="AC833" s="375"/>
      <c r="AD833" s="375"/>
      <c r="AE833" s="375"/>
      <c r="AF833" s="375"/>
    </row>
    <row r="834" spans="18:32">
      <c r="R834" s="389"/>
      <c r="S834" s="389"/>
      <c r="T834" s="389"/>
      <c r="U834" s="389"/>
      <c r="V834" s="389"/>
      <c r="W834" s="390"/>
      <c r="X834" s="390"/>
      <c r="Y834" s="390"/>
      <c r="Z834" s="390"/>
      <c r="AA834" s="390"/>
      <c r="AB834" s="390"/>
      <c r="AC834" s="375"/>
      <c r="AD834" s="375"/>
      <c r="AE834" s="375"/>
      <c r="AF834" s="375"/>
    </row>
    <row r="835" spans="18:32">
      <c r="R835" s="389"/>
      <c r="S835" s="389"/>
      <c r="T835" s="389"/>
      <c r="U835" s="389"/>
      <c r="V835" s="389"/>
      <c r="W835" s="390"/>
      <c r="X835" s="390"/>
      <c r="Y835" s="390"/>
      <c r="Z835" s="390"/>
      <c r="AA835" s="390"/>
      <c r="AB835" s="390"/>
      <c r="AC835" s="375"/>
      <c r="AD835" s="375"/>
      <c r="AE835" s="375"/>
      <c r="AF835" s="375"/>
    </row>
    <row r="836" spans="18:32">
      <c r="R836" s="389"/>
      <c r="S836" s="389"/>
      <c r="T836" s="389"/>
      <c r="U836" s="389"/>
      <c r="V836" s="389"/>
      <c r="W836" s="390"/>
      <c r="X836" s="390"/>
      <c r="Y836" s="390"/>
      <c r="Z836" s="390"/>
      <c r="AA836" s="390"/>
      <c r="AB836" s="390"/>
      <c r="AC836" s="375"/>
      <c r="AD836" s="375"/>
      <c r="AE836" s="375"/>
      <c r="AF836" s="375"/>
    </row>
    <row r="837" spans="18:32">
      <c r="R837" s="389"/>
      <c r="S837" s="389"/>
      <c r="T837" s="389"/>
      <c r="U837" s="389"/>
      <c r="V837" s="389"/>
      <c r="W837" s="390"/>
      <c r="X837" s="390"/>
      <c r="Y837" s="390"/>
      <c r="Z837" s="390"/>
      <c r="AA837" s="390"/>
      <c r="AB837" s="390"/>
      <c r="AC837" s="375"/>
      <c r="AD837" s="375"/>
      <c r="AE837" s="375"/>
      <c r="AF837" s="375"/>
    </row>
    <row r="838" spans="18:32">
      <c r="R838" s="389"/>
      <c r="S838" s="389"/>
      <c r="T838" s="389"/>
      <c r="U838" s="389"/>
      <c r="V838" s="389"/>
      <c r="W838" s="390"/>
      <c r="X838" s="390"/>
      <c r="Y838" s="390"/>
      <c r="Z838" s="390"/>
      <c r="AA838" s="390"/>
      <c r="AB838" s="390"/>
      <c r="AC838" s="375"/>
      <c r="AD838" s="375"/>
      <c r="AE838" s="375"/>
      <c r="AF838" s="375"/>
    </row>
    <row r="839" spans="18:32">
      <c r="R839" s="389"/>
      <c r="S839" s="389"/>
      <c r="T839" s="389"/>
      <c r="U839" s="389"/>
      <c r="V839" s="389"/>
      <c r="W839" s="390"/>
      <c r="X839" s="390"/>
      <c r="Y839" s="390"/>
      <c r="Z839" s="390"/>
      <c r="AA839" s="390"/>
      <c r="AB839" s="390"/>
      <c r="AC839" s="375"/>
      <c r="AD839" s="375"/>
      <c r="AE839" s="375"/>
      <c r="AF839" s="375"/>
    </row>
    <row r="840" spans="18:32">
      <c r="R840" s="389"/>
      <c r="S840" s="389"/>
      <c r="T840" s="389"/>
      <c r="U840" s="389"/>
      <c r="V840" s="389"/>
      <c r="W840" s="390"/>
      <c r="X840" s="390"/>
      <c r="Y840" s="390"/>
      <c r="Z840" s="390"/>
      <c r="AA840" s="390"/>
      <c r="AB840" s="390"/>
      <c r="AC840" s="375"/>
      <c r="AD840" s="375"/>
      <c r="AE840" s="375"/>
      <c r="AF840" s="375"/>
    </row>
    <row r="841" spans="18:32">
      <c r="R841" s="389"/>
      <c r="S841" s="389"/>
      <c r="T841" s="389"/>
      <c r="U841" s="389"/>
      <c r="V841" s="389"/>
      <c r="W841" s="390"/>
      <c r="X841" s="390"/>
      <c r="Y841" s="390"/>
      <c r="Z841" s="390"/>
      <c r="AA841" s="390"/>
      <c r="AB841" s="390"/>
      <c r="AC841" s="375"/>
      <c r="AD841" s="375"/>
      <c r="AE841" s="375"/>
      <c r="AF841" s="375"/>
    </row>
    <row r="842" spans="18:32">
      <c r="R842" s="389"/>
      <c r="S842" s="389"/>
      <c r="T842" s="389"/>
      <c r="U842" s="389"/>
      <c r="V842" s="389"/>
      <c r="W842" s="390"/>
      <c r="X842" s="390"/>
      <c r="Y842" s="390"/>
      <c r="Z842" s="390"/>
      <c r="AA842" s="390"/>
      <c r="AB842" s="390"/>
      <c r="AC842" s="375"/>
      <c r="AD842" s="375"/>
      <c r="AE842" s="375"/>
      <c r="AF842" s="375"/>
    </row>
    <row r="843" spans="18:32">
      <c r="R843" s="389"/>
      <c r="S843" s="389"/>
      <c r="T843" s="389"/>
      <c r="U843" s="389"/>
      <c r="V843" s="389"/>
      <c r="W843" s="390"/>
      <c r="X843" s="390"/>
      <c r="Y843" s="390"/>
      <c r="Z843" s="390"/>
      <c r="AA843" s="390"/>
      <c r="AB843" s="390"/>
      <c r="AC843" s="375"/>
      <c r="AD843" s="375"/>
      <c r="AE843" s="375"/>
      <c r="AF843" s="375"/>
    </row>
    <row r="844" spans="18:32">
      <c r="R844" s="389"/>
      <c r="S844" s="389"/>
      <c r="T844" s="389"/>
      <c r="U844" s="389"/>
      <c r="V844" s="389"/>
      <c r="W844" s="390"/>
      <c r="X844" s="390"/>
      <c r="Y844" s="390"/>
      <c r="Z844" s="390"/>
      <c r="AA844" s="390"/>
      <c r="AB844" s="390"/>
      <c r="AC844" s="375"/>
      <c r="AD844" s="375"/>
      <c r="AE844" s="375"/>
      <c r="AF844" s="375"/>
    </row>
    <row r="845" spans="18:32">
      <c r="R845" s="389"/>
      <c r="S845" s="389"/>
      <c r="T845" s="389"/>
      <c r="U845" s="389"/>
      <c r="V845" s="389"/>
      <c r="W845" s="390"/>
      <c r="X845" s="390"/>
      <c r="Y845" s="390"/>
      <c r="Z845" s="390"/>
      <c r="AA845" s="390"/>
      <c r="AB845" s="390"/>
      <c r="AC845" s="375"/>
      <c r="AD845" s="375"/>
      <c r="AE845" s="375"/>
      <c r="AF845" s="375"/>
    </row>
    <row r="846" spans="18:32">
      <c r="R846" s="389"/>
      <c r="S846" s="389"/>
      <c r="T846" s="389"/>
      <c r="U846" s="389"/>
      <c r="V846" s="389"/>
      <c r="W846" s="390"/>
      <c r="X846" s="390"/>
      <c r="Y846" s="390"/>
      <c r="Z846" s="390"/>
      <c r="AA846" s="390"/>
      <c r="AB846" s="390"/>
      <c r="AC846" s="375"/>
      <c r="AD846" s="375"/>
      <c r="AE846" s="375"/>
      <c r="AF846" s="375"/>
    </row>
    <row r="847" spans="18:32">
      <c r="R847" s="389"/>
      <c r="S847" s="389"/>
      <c r="T847" s="389"/>
      <c r="U847" s="389"/>
      <c r="V847" s="389"/>
      <c r="W847" s="390"/>
      <c r="X847" s="390"/>
      <c r="Y847" s="390"/>
      <c r="Z847" s="390"/>
      <c r="AA847" s="390"/>
      <c r="AB847" s="390"/>
      <c r="AC847" s="375"/>
      <c r="AD847" s="375"/>
      <c r="AE847" s="375"/>
      <c r="AF847" s="375"/>
    </row>
    <row r="848" spans="18:32">
      <c r="R848" s="389"/>
      <c r="S848" s="389"/>
      <c r="T848" s="389"/>
      <c r="U848" s="389"/>
      <c r="V848" s="389"/>
      <c r="W848" s="390"/>
      <c r="X848" s="390"/>
      <c r="Y848" s="390"/>
      <c r="Z848" s="390"/>
      <c r="AA848" s="390"/>
      <c r="AB848" s="390"/>
      <c r="AC848" s="375"/>
      <c r="AD848" s="375"/>
      <c r="AE848" s="375"/>
      <c r="AF848" s="375"/>
    </row>
    <row r="849" spans="18:32">
      <c r="R849" s="389"/>
      <c r="S849" s="389"/>
      <c r="T849" s="389"/>
      <c r="U849" s="389"/>
      <c r="V849" s="389"/>
      <c r="W849" s="390"/>
      <c r="X849" s="390"/>
      <c r="Y849" s="390"/>
      <c r="Z849" s="390"/>
      <c r="AA849" s="390"/>
      <c r="AB849" s="390"/>
      <c r="AC849" s="375"/>
      <c r="AD849" s="375"/>
      <c r="AE849" s="375"/>
      <c r="AF849" s="375"/>
    </row>
    <row r="850" spans="18:32">
      <c r="R850" s="389"/>
      <c r="S850" s="389"/>
      <c r="T850" s="389"/>
      <c r="U850" s="389"/>
      <c r="V850" s="389"/>
      <c r="W850" s="390"/>
      <c r="X850" s="390"/>
      <c r="Y850" s="390"/>
      <c r="Z850" s="390"/>
      <c r="AA850" s="390"/>
      <c r="AB850" s="390"/>
      <c r="AC850" s="375"/>
      <c r="AD850" s="375"/>
      <c r="AE850" s="375"/>
      <c r="AF850" s="375"/>
    </row>
    <row r="851" spans="18:32">
      <c r="R851" s="389"/>
      <c r="S851" s="389"/>
      <c r="T851" s="389"/>
      <c r="U851" s="389"/>
      <c r="V851" s="389"/>
      <c r="W851" s="390"/>
      <c r="X851" s="390"/>
      <c r="Y851" s="390"/>
      <c r="Z851" s="390"/>
      <c r="AA851" s="390"/>
      <c r="AB851" s="390"/>
      <c r="AC851" s="375"/>
      <c r="AD851" s="375"/>
      <c r="AE851" s="375"/>
      <c r="AF851" s="375"/>
    </row>
    <row r="852" spans="18:32">
      <c r="R852" s="389"/>
      <c r="S852" s="389"/>
      <c r="T852" s="389"/>
      <c r="U852" s="389"/>
      <c r="V852" s="389"/>
      <c r="W852" s="390"/>
      <c r="X852" s="390"/>
      <c r="Y852" s="390"/>
      <c r="Z852" s="390"/>
      <c r="AA852" s="390"/>
      <c r="AB852" s="390"/>
      <c r="AC852" s="375"/>
      <c r="AD852" s="375"/>
      <c r="AE852" s="375"/>
      <c r="AF852" s="375"/>
    </row>
    <row r="853" spans="18:32">
      <c r="R853" s="389"/>
      <c r="S853" s="389"/>
      <c r="T853" s="389"/>
      <c r="U853" s="389"/>
      <c r="V853" s="389"/>
      <c r="W853" s="390"/>
      <c r="X853" s="390"/>
      <c r="Y853" s="390"/>
      <c r="Z853" s="390"/>
      <c r="AA853" s="390"/>
      <c r="AB853" s="390"/>
      <c r="AC853" s="375"/>
      <c r="AD853" s="375"/>
      <c r="AE853" s="375"/>
      <c r="AF853" s="375"/>
    </row>
    <row r="854" spans="18:32">
      <c r="R854" s="389"/>
      <c r="S854" s="389"/>
      <c r="T854" s="389"/>
      <c r="U854" s="389"/>
      <c r="V854" s="389"/>
      <c r="W854" s="390"/>
      <c r="X854" s="390"/>
      <c r="Y854" s="390"/>
      <c r="Z854" s="390"/>
      <c r="AA854" s="390"/>
      <c r="AB854" s="390"/>
      <c r="AC854" s="375"/>
      <c r="AD854" s="375"/>
      <c r="AE854" s="375"/>
      <c r="AF854" s="375"/>
    </row>
    <row r="855" spans="18:32">
      <c r="R855" s="389"/>
      <c r="S855" s="389"/>
      <c r="T855" s="389"/>
      <c r="U855" s="389"/>
      <c r="V855" s="389"/>
      <c r="W855" s="390"/>
      <c r="X855" s="390"/>
      <c r="Y855" s="390"/>
      <c r="Z855" s="390"/>
      <c r="AA855" s="390"/>
      <c r="AB855" s="390"/>
      <c r="AC855" s="375"/>
      <c r="AD855" s="375"/>
      <c r="AE855" s="375"/>
      <c r="AF855" s="375"/>
    </row>
    <row r="856" spans="18:32">
      <c r="R856" s="389"/>
      <c r="S856" s="389"/>
      <c r="T856" s="389"/>
      <c r="U856" s="389"/>
      <c r="V856" s="389"/>
      <c r="W856" s="390"/>
      <c r="X856" s="390"/>
      <c r="Y856" s="390"/>
      <c r="Z856" s="390"/>
      <c r="AA856" s="390"/>
      <c r="AB856" s="390"/>
      <c r="AC856" s="375"/>
      <c r="AD856" s="375"/>
      <c r="AE856" s="375"/>
      <c r="AF856" s="375"/>
    </row>
    <row r="857" spans="18:32">
      <c r="R857" s="389"/>
      <c r="S857" s="389"/>
      <c r="T857" s="389"/>
      <c r="U857" s="389"/>
      <c r="V857" s="389"/>
      <c r="W857" s="390"/>
      <c r="X857" s="390"/>
      <c r="Y857" s="390"/>
      <c r="Z857" s="390"/>
      <c r="AA857" s="390"/>
      <c r="AB857" s="390"/>
      <c r="AC857" s="375"/>
      <c r="AD857" s="375"/>
      <c r="AE857" s="375"/>
      <c r="AF857" s="375"/>
    </row>
    <row r="858" spans="18:32">
      <c r="R858" s="389"/>
      <c r="S858" s="389"/>
      <c r="T858" s="389"/>
      <c r="U858" s="389"/>
      <c r="V858" s="389"/>
      <c r="W858" s="390"/>
      <c r="X858" s="390"/>
      <c r="Y858" s="390"/>
      <c r="Z858" s="390"/>
      <c r="AA858" s="390"/>
      <c r="AB858" s="390"/>
      <c r="AC858" s="375"/>
      <c r="AD858" s="375"/>
      <c r="AE858" s="375"/>
      <c r="AF858" s="375"/>
    </row>
    <row r="859" spans="18:32">
      <c r="R859" s="389"/>
      <c r="S859" s="389"/>
      <c r="T859" s="389"/>
      <c r="U859" s="389"/>
      <c r="V859" s="389"/>
      <c r="W859" s="390"/>
      <c r="X859" s="390"/>
      <c r="Y859" s="390"/>
      <c r="Z859" s="390"/>
      <c r="AA859" s="390"/>
      <c r="AB859" s="390"/>
      <c r="AC859" s="375"/>
      <c r="AD859" s="375"/>
      <c r="AE859" s="375"/>
      <c r="AF859" s="375"/>
    </row>
    <row r="860" spans="18:32">
      <c r="R860" s="389"/>
      <c r="S860" s="389"/>
      <c r="T860" s="389"/>
      <c r="U860" s="389"/>
      <c r="V860" s="389"/>
      <c r="W860" s="390"/>
      <c r="X860" s="390"/>
      <c r="Y860" s="390"/>
      <c r="Z860" s="390"/>
      <c r="AA860" s="390"/>
      <c r="AB860" s="390"/>
      <c r="AC860" s="375"/>
      <c r="AD860" s="375"/>
      <c r="AE860" s="375"/>
      <c r="AF860" s="375"/>
    </row>
    <row r="861" spans="18:32">
      <c r="R861" s="389"/>
      <c r="S861" s="389"/>
      <c r="T861" s="389"/>
      <c r="U861" s="389"/>
      <c r="V861" s="389"/>
      <c r="W861" s="390"/>
      <c r="X861" s="390"/>
      <c r="Y861" s="390"/>
      <c r="Z861" s="390"/>
      <c r="AA861" s="390"/>
      <c r="AB861" s="390"/>
      <c r="AC861" s="375"/>
      <c r="AD861" s="375"/>
      <c r="AE861" s="375"/>
      <c r="AF861" s="375"/>
    </row>
    <row r="862" spans="18:32">
      <c r="R862" s="389"/>
      <c r="S862" s="389"/>
      <c r="T862" s="389"/>
      <c r="U862" s="389"/>
      <c r="V862" s="389"/>
      <c r="W862" s="390"/>
      <c r="X862" s="390"/>
      <c r="Y862" s="390"/>
      <c r="Z862" s="390"/>
      <c r="AA862" s="390"/>
      <c r="AB862" s="390"/>
      <c r="AC862" s="375"/>
      <c r="AD862" s="375"/>
      <c r="AE862" s="375"/>
      <c r="AF862" s="375"/>
    </row>
    <row r="863" spans="18:32">
      <c r="R863" s="389"/>
      <c r="S863" s="389"/>
      <c r="T863" s="389"/>
      <c r="U863" s="389"/>
      <c r="V863" s="389"/>
      <c r="W863" s="390"/>
      <c r="X863" s="390"/>
      <c r="Y863" s="390"/>
      <c r="Z863" s="390"/>
      <c r="AA863" s="390"/>
      <c r="AB863" s="390"/>
      <c r="AC863" s="375"/>
      <c r="AD863" s="375"/>
      <c r="AE863" s="375"/>
      <c r="AF863" s="375"/>
    </row>
    <row r="864" spans="18:32">
      <c r="R864" s="389"/>
      <c r="S864" s="389"/>
      <c r="T864" s="389"/>
      <c r="U864" s="389"/>
      <c r="V864" s="389"/>
      <c r="W864" s="390"/>
      <c r="X864" s="390"/>
      <c r="Y864" s="390"/>
      <c r="Z864" s="390"/>
      <c r="AA864" s="390"/>
      <c r="AB864" s="390"/>
      <c r="AC864" s="375"/>
      <c r="AD864" s="375"/>
      <c r="AE864" s="375"/>
      <c r="AF864" s="375"/>
    </row>
    <row r="865" spans="18:32">
      <c r="R865" s="389"/>
      <c r="S865" s="389"/>
      <c r="T865" s="389"/>
      <c r="U865" s="389"/>
      <c r="V865" s="389"/>
      <c r="W865" s="390"/>
      <c r="X865" s="390"/>
      <c r="Y865" s="390"/>
      <c r="Z865" s="390"/>
      <c r="AA865" s="390"/>
      <c r="AB865" s="390"/>
      <c r="AC865" s="375"/>
      <c r="AD865" s="375"/>
      <c r="AE865" s="375"/>
      <c r="AF865" s="375"/>
    </row>
    <row r="866" spans="18:32">
      <c r="R866" s="389"/>
      <c r="S866" s="389"/>
      <c r="T866" s="389"/>
      <c r="U866" s="389"/>
      <c r="V866" s="389"/>
      <c r="W866" s="390"/>
      <c r="X866" s="390"/>
      <c r="Y866" s="390"/>
      <c r="Z866" s="390"/>
      <c r="AA866" s="390"/>
      <c r="AB866" s="390"/>
      <c r="AC866" s="375"/>
      <c r="AD866" s="375"/>
      <c r="AE866" s="375"/>
      <c r="AF866" s="375"/>
    </row>
    <row r="867" spans="18:32">
      <c r="R867" s="389"/>
      <c r="S867" s="389"/>
      <c r="T867" s="389"/>
      <c r="U867" s="389"/>
      <c r="V867" s="389"/>
      <c r="W867" s="390"/>
      <c r="X867" s="390"/>
      <c r="Y867" s="390"/>
      <c r="Z867" s="390"/>
      <c r="AA867" s="390"/>
      <c r="AB867" s="390"/>
      <c r="AC867" s="375"/>
      <c r="AD867" s="375"/>
      <c r="AE867" s="375"/>
      <c r="AF867" s="375"/>
    </row>
    <row r="868" spans="18:32">
      <c r="R868" s="389"/>
      <c r="S868" s="389"/>
      <c r="T868" s="389"/>
      <c r="U868" s="389"/>
      <c r="V868" s="389"/>
      <c r="W868" s="390"/>
      <c r="X868" s="390"/>
      <c r="Y868" s="390"/>
      <c r="Z868" s="390"/>
      <c r="AA868" s="390"/>
      <c r="AB868" s="390"/>
      <c r="AC868" s="375"/>
      <c r="AD868" s="375"/>
      <c r="AE868" s="375"/>
      <c r="AF868" s="375"/>
    </row>
    <row r="869" spans="18:32">
      <c r="R869" s="389"/>
      <c r="S869" s="389"/>
      <c r="T869" s="389"/>
      <c r="U869" s="389"/>
      <c r="V869" s="389"/>
      <c r="W869" s="390"/>
      <c r="X869" s="390"/>
      <c r="Y869" s="390"/>
      <c r="Z869" s="390"/>
      <c r="AA869" s="390"/>
      <c r="AB869" s="390"/>
      <c r="AC869" s="375"/>
      <c r="AD869" s="375"/>
      <c r="AE869" s="375"/>
      <c r="AF869" s="375"/>
    </row>
    <row r="870" spans="18:32">
      <c r="R870" s="389"/>
      <c r="S870" s="389"/>
      <c r="T870" s="389"/>
      <c r="U870" s="389"/>
      <c r="V870" s="389"/>
      <c r="W870" s="390"/>
      <c r="X870" s="390"/>
      <c r="Y870" s="390"/>
      <c r="Z870" s="390"/>
      <c r="AA870" s="390"/>
      <c r="AB870" s="390"/>
      <c r="AC870" s="375"/>
      <c r="AD870" s="375"/>
      <c r="AE870" s="375"/>
      <c r="AF870" s="375"/>
    </row>
    <row r="871" spans="18:32">
      <c r="R871" s="389"/>
      <c r="S871" s="389"/>
      <c r="T871" s="389"/>
      <c r="U871" s="389"/>
      <c r="V871" s="389"/>
      <c r="W871" s="390"/>
      <c r="X871" s="390"/>
      <c r="Y871" s="390"/>
      <c r="Z871" s="390"/>
      <c r="AA871" s="390"/>
      <c r="AB871" s="390"/>
      <c r="AC871" s="375"/>
      <c r="AD871" s="375"/>
      <c r="AE871" s="375"/>
      <c r="AF871" s="375"/>
    </row>
    <row r="872" spans="18:32">
      <c r="R872" s="389"/>
      <c r="S872" s="389"/>
      <c r="T872" s="389"/>
      <c r="U872" s="389"/>
      <c r="V872" s="389"/>
      <c r="W872" s="390"/>
      <c r="X872" s="390"/>
      <c r="Y872" s="390"/>
      <c r="Z872" s="390"/>
      <c r="AA872" s="390"/>
      <c r="AB872" s="390"/>
      <c r="AC872" s="375"/>
      <c r="AD872" s="375"/>
      <c r="AE872" s="375"/>
      <c r="AF872" s="375"/>
    </row>
    <row r="873" spans="18:32">
      <c r="R873" s="389"/>
      <c r="S873" s="389"/>
      <c r="T873" s="389"/>
      <c r="U873" s="389"/>
      <c r="V873" s="389"/>
      <c r="W873" s="390"/>
      <c r="X873" s="390"/>
      <c r="Y873" s="390"/>
      <c r="Z873" s="390"/>
      <c r="AA873" s="390"/>
      <c r="AB873" s="390"/>
      <c r="AC873" s="375"/>
      <c r="AD873" s="375"/>
      <c r="AE873" s="375"/>
      <c r="AF873" s="375"/>
    </row>
    <row r="874" spans="18:32">
      <c r="R874" s="389"/>
      <c r="S874" s="389"/>
      <c r="T874" s="389"/>
      <c r="U874" s="389"/>
      <c r="V874" s="389"/>
      <c r="W874" s="390"/>
      <c r="X874" s="390"/>
      <c r="Y874" s="390"/>
      <c r="Z874" s="390"/>
      <c r="AA874" s="390"/>
      <c r="AB874" s="390"/>
      <c r="AC874" s="375"/>
      <c r="AD874" s="375"/>
      <c r="AE874" s="375"/>
      <c r="AF874" s="375"/>
    </row>
    <row r="875" spans="18:32">
      <c r="R875" s="389"/>
      <c r="S875" s="389"/>
      <c r="T875" s="389"/>
      <c r="U875" s="389"/>
      <c r="V875" s="389"/>
      <c r="W875" s="390"/>
      <c r="X875" s="390"/>
      <c r="Y875" s="390"/>
      <c r="Z875" s="390"/>
      <c r="AA875" s="390"/>
      <c r="AB875" s="390"/>
      <c r="AC875" s="375"/>
      <c r="AD875" s="375"/>
      <c r="AE875" s="375"/>
      <c r="AF875" s="375"/>
    </row>
    <row r="876" spans="18:32">
      <c r="R876" s="389"/>
      <c r="S876" s="389"/>
      <c r="T876" s="389"/>
      <c r="U876" s="389"/>
      <c r="V876" s="389"/>
      <c r="W876" s="390"/>
      <c r="X876" s="390"/>
      <c r="Y876" s="390"/>
      <c r="Z876" s="390"/>
      <c r="AA876" s="390"/>
      <c r="AB876" s="390"/>
      <c r="AC876" s="375"/>
      <c r="AD876" s="375"/>
      <c r="AE876" s="375"/>
      <c r="AF876" s="375"/>
    </row>
    <row r="877" spans="18:32">
      <c r="R877" s="389"/>
      <c r="S877" s="389"/>
      <c r="T877" s="389"/>
      <c r="U877" s="389"/>
      <c r="V877" s="389"/>
      <c r="W877" s="390"/>
      <c r="X877" s="390"/>
      <c r="Y877" s="390"/>
      <c r="Z877" s="390"/>
      <c r="AA877" s="390"/>
      <c r="AB877" s="390"/>
      <c r="AC877" s="375"/>
      <c r="AD877" s="375"/>
      <c r="AE877" s="375"/>
      <c r="AF877" s="375"/>
    </row>
    <row r="878" spans="18:32">
      <c r="R878" s="389"/>
      <c r="S878" s="389"/>
      <c r="T878" s="389"/>
      <c r="U878" s="389"/>
      <c r="V878" s="389"/>
      <c r="W878" s="390"/>
      <c r="X878" s="390"/>
      <c r="Y878" s="390"/>
      <c r="Z878" s="390"/>
      <c r="AA878" s="390"/>
      <c r="AB878" s="390"/>
      <c r="AC878" s="375"/>
      <c r="AD878" s="375"/>
      <c r="AE878" s="375"/>
      <c r="AF878" s="375"/>
    </row>
    <row r="879" spans="18:32">
      <c r="R879" s="389"/>
      <c r="S879" s="389"/>
      <c r="T879" s="389"/>
      <c r="U879" s="389"/>
      <c r="V879" s="389"/>
      <c r="W879" s="390"/>
      <c r="X879" s="390"/>
      <c r="Y879" s="390"/>
      <c r="Z879" s="390"/>
      <c r="AA879" s="390"/>
      <c r="AB879" s="390"/>
      <c r="AC879" s="375"/>
      <c r="AD879" s="375"/>
      <c r="AE879" s="375"/>
      <c r="AF879" s="375"/>
    </row>
    <row r="880" spans="18:32">
      <c r="R880" s="389"/>
      <c r="S880" s="389"/>
      <c r="T880" s="389"/>
      <c r="U880" s="389"/>
      <c r="V880" s="389"/>
      <c r="W880" s="390"/>
      <c r="X880" s="390"/>
      <c r="Y880" s="390"/>
      <c r="Z880" s="390"/>
      <c r="AA880" s="390"/>
      <c r="AB880" s="390"/>
      <c r="AC880" s="375"/>
      <c r="AD880" s="375"/>
      <c r="AE880" s="375"/>
      <c r="AF880" s="375"/>
    </row>
    <row r="881" spans="18:32">
      <c r="R881" s="389"/>
      <c r="S881" s="389"/>
      <c r="T881" s="389"/>
      <c r="U881" s="389"/>
      <c r="V881" s="389"/>
      <c r="W881" s="390"/>
      <c r="X881" s="390"/>
      <c r="Y881" s="390"/>
      <c r="Z881" s="390"/>
      <c r="AA881" s="390"/>
      <c r="AB881" s="390"/>
      <c r="AC881" s="375"/>
      <c r="AD881" s="375"/>
      <c r="AE881" s="375"/>
      <c r="AF881" s="375"/>
    </row>
    <row r="882" spans="18:32">
      <c r="R882" s="389"/>
      <c r="S882" s="389"/>
      <c r="T882" s="389"/>
      <c r="U882" s="389"/>
      <c r="V882" s="389"/>
      <c r="W882" s="390"/>
      <c r="X882" s="390"/>
      <c r="Y882" s="390"/>
      <c r="Z882" s="390"/>
      <c r="AA882" s="390"/>
      <c r="AB882" s="390"/>
      <c r="AC882" s="375"/>
      <c r="AD882" s="375"/>
      <c r="AE882" s="375"/>
      <c r="AF882" s="375"/>
    </row>
    <row r="883" spans="18:32">
      <c r="R883" s="389"/>
      <c r="S883" s="389"/>
      <c r="T883" s="389"/>
      <c r="U883" s="389"/>
      <c r="V883" s="389"/>
      <c r="W883" s="390"/>
      <c r="X883" s="390"/>
      <c r="Y883" s="390"/>
      <c r="Z883" s="390"/>
      <c r="AA883" s="390"/>
      <c r="AB883" s="390"/>
      <c r="AC883" s="375"/>
      <c r="AD883" s="375"/>
      <c r="AE883" s="375"/>
      <c r="AF883" s="375"/>
    </row>
    <row r="884" spans="18:32">
      <c r="R884" s="389"/>
      <c r="S884" s="389"/>
      <c r="T884" s="389"/>
      <c r="U884" s="389"/>
      <c r="V884" s="389"/>
      <c r="W884" s="390"/>
      <c r="X884" s="390"/>
      <c r="Y884" s="390"/>
      <c r="Z884" s="390"/>
      <c r="AA884" s="390"/>
      <c r="AB884" s="390"/>
      <c r="AC884" s="375"/>
      <c r="AD884" s="375"/>
      <c r="AE884" s="375"/>
      <c r="AF884" s="375"/>
    </row>
    <row r="885" spans="18:32">
      <c r="R885" s="389"/>
      <c r="S885" s="389"/>
      <c r="T885" s="389"/>
      <c r="U885" s="389"/>
      <c r="V885" s="389"/>
      <c r="W885" s="390"/>
      <c r="X885" s="390"/>
      <c r="Y885" s="390"/>
      <c r="Z885" s="390"/>
      <c r="AA885" s="390"/>
      <c r="AB885" s="390"/>
      <c r="AC885" s="375"/>
      <c r="AD885" s="375"/>
      <c r="AE885" s="375"/>
      <c r="AF885" s="375"/>
    </row>
    <row r="886" spans="18:32">
      <c r="R886" s="389"/>
      <c r="S886" s="389"/>
      <c r="T886" s="389"/>
      <c r="U886" s="389"/>
      <c r="V886" s="389"/>
      <c r="W886" s="390"/>
      <c r="X886" s="390"/>
      <c r="Y886" s="390"/>
      <c r="Z886" s="390"/>
      <c r="AA886" s="390"/>
      <c r="AB886" s="390"/>
      <c r="AC886" s="375"/>
      <c r="AD886" s="375"/>
      <c r="AE886" s="375"/>
      <c r="AF886" s="375"/>
    </row>
    <row r="887" spans="18:32">
      <c r="R887" s="389"/>
      <c r="S887" s="389"/>
      <c r="T887" s="389"/>
      <c r="U887" s="389"/>
      <c r="V887" s="389"/>
      <c r="W887" s="390"/>
      <c r="X887" s="390"/>
      <c r="Y887" s="390"/>
      <c r="Z887" s="390"/>
      <c r="AA887" s="390"/>
      <c r="AB887" s="390"/>
      <c r="AC887" s="375"/>
      <c r="AD887" s="375"/>
      <c r="AE887" s="375"/>
      <c r="AF887" s="375"/>
    </row>
    <row r="888" spans="18:32">
      <c r="R888" s="389"/>
      <c r="S888" s="389"/>
      <c r="T888" s="389"/>
      <c r="U888" s="389"/>
      <c r="V888" s="389"/>
      <c r="W888" s="390"/>
      <c r="X888" s="390"/>
      <c r="Y888" s="390"/>
      <c r="Z888" s="390"/>
      <c r="AA888" s="390"/>
      <c r="AB888" s="390"/>
      <c r="AC888" s="375"/>
      <c r="AD888" s="375"/>
      <c r="AE888" s="375"/>
      <c r="AF888" s="375"/>
    </row>
    <row r="889" spans="18:32">
      <c r="R889" s="389"/>
      <c r="S889" s="389"/>
      <c r="T889" s="389"/>
      <c r="U889" s="389"/>
      <c r="V889" s="389"/>
      <c r="W889" s="390"/>
      <c r="X889" s="390"/>
      <c r="Y889" s="390"/>
      <c r="Z889" s="390"/>
      <c r="AA889" s="390"/>
      <c r="AB889" s="390"/>
      <c r="AC889" s="375"/>
      <c r="AD889" s="375"/>
      <c r="AE889" s="375"/>
      <c r="AF889" s="375"/>
    </row>
    <row r="890" spans="18:32">
      <c r="R890" s="389"/>
      <c r="S890" s="389"/>
      <c r="T890" s="389"/>
      <c r="U890" s="389"/>
      <c r="V890" s="389"/>
      <c r="W890" s="390"/>
      <c r="X890" s="390"/>
      <c r="Y890" s="390"/>
      <c r="Z890" s="390"/>
      <c r="AA890" s="390"/>
      <c r="AB890" s="390"/>
      <c r="AC890" s="375"/>
      <c r="AD890" s="375"/>
      <c r="AE890" s="375"/>
      <c r="AF890" s="375"/>
    </row>
    <row r="891" spans="18:32">
      <c r="R891" s="389"/>
      <c r="S891" s="389"/>
      <c r="T891" s="389"/>
      <c r="U891" s="389"/>
      <c r="V891" s="389"/>
      <c r="W891" s="390"/>
      <c r="X891" s="390"/>
      <c r="Y891" s="390"/>
      <c r="Z891" s="390"/>
      <c r="AA891" s="390"/>
      <c r="AB891" s="390"/>
      <c r="AC891" s="375"/>
      <c r="AD891" s="375"/>
      <c r="AE891" s="375"/>
      <c r="AF891" s="375"/>
    </row>
    <row r="892" spans="18:32">
      <c r="R892" s="389"/>
      <c r="S892" s="389"/>
      <c r="T892" s="389"/>
      <c r="U892" s="389"/>
      <c r="V892" s="389"/>
      <c r="W892" s="390"/>
      <c r="X892" s="390"/>
      <c r="Y892" s="390"/>
      <c r="Z892" s="390"/>
      <c r="AA892" s="390"/>
      <c r="AB892" s="390"/>
      <c r="AC892" s="375"/>
      <c r="AD892" s="375"/>
      <c r="AE892" s="375"/>
      <c r="AF892" s="375"/>
    </row>
    <row r="893" spans="18:32">
      <c r="R893" s="389"/>
      <c r="S893" s="389"/>
      <c r="T893" s="389"/>
      <c r="U893" s="389"/>
      <c r="V893" s="389"/>
      <c r="W893" s="390"/>
      <c r="X893" s="390"/>
      <c r="Y893" s="390"/>
      <c r="Z893" s="390"/>
      <c r="AA893" s="390"/>
      <c r="AB893" s="390"/>
      <c r="AC893" s="375"/>
      <c r="AD893" s="375"/>
      <c r="AE893" s="375"/>
      <c r="AF893" s="375"/>
    </row>
    <row r="894" spans="18:32">
      <c r="R894" s="389"/>
      <c r="S894" s="389"/>
      <c r="T894" s="389"/>
      <c r="U894" s="389"/>
      <c r="V894" s="389"/>
      <c r="W894" s="390"/>
      <c r="X894" s="390"/>
      <c r="Y894" s="390"/>
      <c r="Z894" s="390"/>
      <c r="AA894" s="390"/>
      <c r="AB894" s="390"/>
      <c r="AC894" s="375"/>
      <c r="AD894" s="375"/>
      <c r="AE894" s="375"/>
      <c r="AF894" s="375"/>
    </row>
    <row r="895" spans="18:32">
      <c r="R895" s="389"/>
      <c r="S895" s="389"/>
      <c r="T895" s="389"/>
      <c r="U895" s="389"/>
      <c r="V895" s="389"/>
      <c r="W895" s="390"/>
      <c r="X895" s="390"/>
      <c r="Y895" s="390"/>
      <c r="Z895" s="390"/>
      <c r="AA895" s="390"/>
      <c r="AB895" s="390"/>
      <c r="AC895" s="375"/>
      <c r="AD895" s="375"/>
      <c r="AE895" s="375"/>
      <c r="AF895" s="375"/>
    </row>
    <row r="896" spans="18:32">
      <c r="R896" s="389"/>
      <c r="S896" s="389"/>
      <c r="T896" s="389"/>
      <c r="U896" s="389"/>
      <c r="V896" s="389"/>
      <c r="W896" s="390"/>
      <c r="X896" s="390"/>
      <c r="Y896" s="390"/>
      <c r="Z896" s="390"/>
      <c r="AA896" s="390"/>
      <c r="AB896" s="390"/>
      <c r="AC896" s="375"/>
      <c r="AD896" s="375"/>
      <c r="AE896" s="375"/>
      <c r="AF896" s="375"/>
    </row>
    <row r="897" spans="18:32">
      <c r="R897" s="389"/>
      <c r="S897" s="389"/>
      <c r="T897" s="389"/>
      <c r="U897" s="389"/>
      <c r="V897" s="389"/>
      <c r="W897" s="390"/>
      <c r="X897" s="390"/>
      <c r="Y897" s="390"/>
      <c r="Z897" s="390"/>
      <c r="AA897" s="390"/>
      <c r="AB897" s="390"/>
      <c r="AC897" s="375"/>
      <c r="AD897" s="375"/>
      <c r="AE897" s="375"/>
      <c r="AF897" s="375"/>
    </row>
    <row r="898" spans="18:32">
      <c r="R898" s="389"/>
      <c r="S898" s="389"/>
      <c r="T898" s="389"/>
      <c r="U898" s="389"/>
      <c r="V898" s="389"/>
      <c r="W898" s="390"/>
      <c r="X898" s="390"/>
      <c r="Y898" s="390"/>
      <c r="Z898" s="390"/>
      <c r="AA898" s="390"/>
      <c r="AB898" s="390"/>
      <c r="AC898" s="375"/>
      <c r="AD898" s="375"/>
      <c r="AE898" s="375"/>
      <c r="AF898" s="375"/>
    </row>
    <row r="899" spans="18:32">
      <c r="R899" s="389"/>
      <c r="S899" s="389"/>
      <c r="T899" s="389"/>
      <c r="U899" s="389"/>
      <c r="V899" s="389"/>
      <c r="W899" s="390"/>
      <c r="X899" s="390"/>
      <c r="Y899" s="390"/>
      <c r="Z899" s="390"/>
      <c r="AA899" s="390"/>
      <c r="AB899" s="390"/>
      <c r="AC899" s="375"/>
      <c r="AD899" s="375"/>
      <c r="AE899" s="375"/>
      <c r="AF899" s="375"/>
    </row>
    <row r="900" spans="18:32">
      <c r="R900" s="389"/>
      <c r="S900" s="389"/>
      <c r="T900" s="389"/>
      <c r="U900" s="389"/>
      <c r="V900" s="389"/>
      <c r="W900" s="390"/>
      <c r="X900" s="390"/>
      <c r="Y900" s="390"/>
      <c r="Z900" s="390"/>
      <c r="AA900" s="390"/>
      <c r="AB900" s="390"/>
      <c r="AC900" s="375"/>
      <c r="AD900" s="375"/>
      <c r="AE900" s="375"/>
      <c r="AF900" s="375"/>
    </row>
    <row r="901" spans="18:32">
      <c r="R901" s="389"/>
      <c r="S901" s="389"/>
      <c r="T901" s="389"/>
      <c r="U901" s="389"/>
      <c r="V901" s="389"/>
      <c r="W901" s="390"/>
      <c r="X901" s="390"/>
      <c r="Y901" s="390"/>
      <c r="Z901" s="390"/>
      <c r="AA901" s="390"/>
      <c r="AB901" s="390"/>
      <c r="AC901" s="375"/>
      <c r="AD901" s="375"/>
      <c r="AE901" s="375"/>
      <c r="AF901" s="375"/>
    </row>
    <row r="902" spans="18:32">
      <c r="R902" s="389"/>
      <c r="S902" s="389"/>
      <c r="T902" s="389"/>
      <c r="U902" s="389"/>
      <c r="V902" s="389"/>
      <c r="W902" s="390"/>
      <c r="X902" s="390"/>
      <c r="Y902" s="390"/>
      <c r="Z902" s="390"/>
      <c r="AA902" s="390"/>
      <c r="AB902" s="390"/>
      <c r="AC902" s="375"/>
      <c r="AD902" s="375"/>
      <c r="AE902" s="375"/>
      <c r="AF902" s="375"/>
    </row>
    <row r="903" spans="18:32">
      <c r="R903" s="389"/>
      <c r="S903" s="389"/>
      <c r="T903" s="389"/>
      <c r="U903" s="389"/>
      <c r="V903" s="389"/>
      <c r="W903" s="390"/>
      <c r="X903" s="390"/>
      <c r="Y903" s="390"/>
      <c r="Z903" s="390"/>
      <c r="AA903" s="390"/>
      <c r="AB903" s="390"/>
      <c r="AC903" s="375"/>
      <c r="AD903" s="375"/>
      <c r="AE903" s="375"/>
      <c r="AF903" s="375"/>
    </row>
    <row r="904" spans="18:32">
      <c r="R904" s="389"/>
      <c r="S904" s="389"/>
      <c r="T904" s="389"/>
      <c r="U904" s="389"/>
      <c r="V904" s="389"/>
      <c r="W904" s="390"/>
      <c r="X904" s="390"/>
      <c r="Y904" s="390"/>
      <c r="Z904" s="390"/>
      <c r="AA904" s="390"/>
      <c r="AB904" s="390"/>
      <c r="AC904" s="375"/>
      <c r="AD904" s="375"/>
      <c r="AE904" s="375"/>
      <c r="AF904" s="375"/>
    </row>
    <row r="905" spans="18:32">
      <c r="R905" s="389"/>
      <c r="S905" s="389"/>
      <c r="T905" s="389"/>
      <c r="U905" s="389"/>
      <c r="V905" s="389"/>
      <c r="W905" s="390"/>
      <c r="X905" s="390"/>
      <c r="Y905" s="390"/>
      <c r="Z905" s="390"/>
      <c r="AA905" s="390"/>
      <c r="AB905" s="390"/>
      <c r="AC905" s="375"/>
      <c r="AD905" s="375"/>
      <c r="AE905" s="375"/>
      <c r="AF905" s="375"/>
    </row>
    <row r="906" spans="18:32">
      <c r="R906" s="389"/>
      <c r="S906" s="389"/>
      <c r="T906" s="389"/>
      <c r="U906" s="389"/>
      <c r="V906" s="389"/>
      <c r="W906" s="390"/>
      <c r="X906" s="390"/>
      <c r="Y906" s="390"/>
      <c r="Z906" s="390"/>
      <c r="AA906" s="390"/>
      <c r="AB906" s="390"/>
      <c r="AC906" s="375"/>
      <c r="AD906" s="375"/>
      <c r="AE906" s="375"/>
      <c r="AF906" s="375"/>
    </row>
    <row r="907" spans="18:32">
      <c r="R907" s="389"/>
      <c r="S907" s="389"/>
      <c r="T907" s="389"/>
      <c r="U907" s="389"/>
      <c r="V907" s="389"/>
      <c r="W907" s="390"/>
      <c r="X907" s="390"/>
      <c r="Y907" s="390"/>
      <c r="Z907" s="390"/>
      <c r="AA907" s="390"/>
      <c r="AB907" s="390"/>
      <c r="AC907" s="375"/>
      <c r="AD907" s="375"/>
      <c r="AE907" s="375"/>
      <c r="AF907" s="375"/>
    </row>
    <row r="908" spans="18:32">
      <c r="R908" s="389"/>
      <c r="S908" s="389"/>
      <c r="T908" s="389"/>
      <c r="U908" s="389"/>
      <c r="V908" s="389"/>
      <c r="W908" s="390"/>
      <c r="X908" s="390"/>
      <c r="Y908" s="390"/>
      <c r="Z908" s="390"/>
      <c r="AA908" s="390"/>
      <c r="AB908" s="390"/>
      <c r="AC908" s="375"/>
      <c r="AD908" s="375"/>
      <c r="AE908" s="375"/>
      <c r="AF908" s="375"/>
    </row>
    <row r="909" spans="18:32">
      <c r="R909" s="389"/>
      <c r="S909" s="389"/>
      <c r="T909" s="389"/>
      <c r="U909" s="389"/>
      <c r="V909" s="389"/>
      <c r="W909" s="390"/>
      <c r="X909" s="390"/>
      <c r="Y909" s="390"/>
      <c r="Z909" s="390"/>
      <c r="AA909" s="390"/>
      <c r="AB909" s="390"/>
      <c r="AC909" s="375"/>
      <c r="AD909" s="375"/>
      <c r="AE909" s="375"/>
      <c r="AF909" s="375"/>
    </row>
    <row r="910" spans="18:32">
      <c r="R910" s="389"/>
      <c r="S910" s="389"/>
      <c r="T910" s="389"/>
      <c r="U910" s="389"/>
      <c r="V910" s="389"/>
      <c r="W910" s="390"/>
      <c r="X910" s="390"/>
      <c r="Y910" s="390"/>
      <c r="Z910" s="390"/>
      <c r="AA910" s="390"/>
      <c r="AB910" s="390"/>
      <c r="AC910" s="375"/>
      <c r="AD910" s="375"/>
      <c r="AE910" s="375"/>
      <c r="AF910" s="375"/>
    </row>
    <row r="911" spans="18:32">
      <c r="R911" s="389"/>
      <c r="S911" s="389"/>
      <c r="T911" s="389"/>
      <c r="U911" s="389"/>
      <c r="V911" s="389"/>
      <c r="W911" s="390"/>
      <c r="X911" s="390"/>
      <c r="Y911" s="390"/>
      <c r="Z911" s="390"/>
      <c r="AA911" s="390"/>
      <c r="AB911" s="390"/>
      <c r="AC911" s="375"/>
      <c r="AD911" s="375"/>
      <c r="AE911" s="375"/>
      <c r="AF911" s="375"/>
    </row>
    <row r="912" spans="18:32">
      <c r="R912" s="389"/>
      <c r="S912" s="389"/>
      <c r="T912" s="389"/>
      <c r="U912" s="389"/>
      <c r="V912" s="389"/>
      <c r="W912" s="390"/>
      <c r="X912" s="390"/>
      <c r="Y912" s="390"/>
      <c r="Z912" s="390"/>
      <c r="AA912" s="390"/>
      <c r="AB912" s="390"/>
      <c r="AC912" s="375"/>
      <c r="AD912" s="375"/>
      <c r="AE912" s="375"/>
      <c r="AF912" s="375"/>
    </row>
    <row r="913" spans="18:32">
      <c r="R913" s="389"/>
      <c r="S913" s="389"/>
      <c r="T913" s="389"/>
      <c r="U913" s="389"/>
      <c r="V913" s="389"/>
      <c r="W913" s="390"/>
      <c r="X913" s="390"/>
      <c r="Y913" s="390"/>
      <c r="Z913" s="390"/>
      <c r="AA913" s="390"/>
      <c r="AB913" s="390"/>
      <c r="AC913" s="375"/>
      <c r="AD913" s="375"/>
      <c r="AE913" s="375"/>
      <c r="AF913" s="375"/>
    </row>
    <row r="914" spans="18:32">
      <c r="R914" s="389"/>
      <c r="S914" s="389"/>
      <c r="T914" s="389"/>
      <c r="U914" s="389"/>
      <c r="V914" s="389"/>
      <c r="W914" s="390"/>
      <c r="X914" s="390"/>
      <c r="Y914" s="390"/>
      <c r="Z914" s="390"/>
      <c r="AA914" s="390"/>
      <c r="AB914" s="390"/>
      <c r="AC914" s="375"/>
      <c r="AD914" s="375"/>
      <c r="AE914" s="375"/>
      <c r="AF914" s="375"/>
    </row>
    <row r="915" spans="18:32">
      <c r="R915" s="389"/>
      <c r="S915" s="389"/>
      <c r="T915" s="389"/>
      <c r="U915" s="389"/>
      <c r="V915" s="389"/>
      <c r="W915" s="390"/>
      <c r="X915" s="390"/>
      <c r="Y915" s="390"/>
      <c r="Z915" s="390"/>
      <c r="AA915" s="390"/>
      <c r="AB915" s="390"/>
      <c r="AC915" s="375"/>
      <c r="AD915" s="375"/>
      <c r="AE915" s="375"/>
      <c r="AF915" s="375"/>
    </row>
    <row r="916" spans="18:32">
      <c r="R916" s="389"/>
      <c r="S916" s="389"/>
      <c r="T916" s="389"/>
      <c r="U916" s="389"/>
      <c r="V916" s="389"/>
      <c r="W916" s="390"/>
      <c r="X916" s="390"/>
      <c r="Y916" s="390"/>
      <c r="Z916" s="390"/>
      <c r="AA916" s="390"/>
      <c r="AB916" s="390"/>
      <c r="AC916" s="375"/>
      <c r="AD916" s="375"/>
      <c r="AE916" s="375"/>
      <c r="AF916" s="375"/>
    </row>
    <row r="917" spans="18:32">
      <c r="R917" s="389"/>
      <c r="S917" s="389"/>
      <c r="T917" s="389"/>
      <c r="U917" s="389"/>
      <c r="V917" s="389"/>
      <c r="W917" s="390"/>
      <c r="X917" s="390"/>
      <c r="Y917" s="390"/>
      <c r="Z917" s="390"/>
      <c r="AA917" s="390"/>
      <c r="AB917" s="390"/>
      <c r="AC917" s="375"/>
      <c r="AD917" s="375"/>
      <c r="AE917" s="375"/>
      <c r="AF917" s="375"/>
    </row>
    <row r="918" spans="18:32">
      <c r="R918" s="389"/>
      <c r="S918" s="389"/>
      <c r="T918" s="389"/>
      <c r="U918" s="389"/>
      <c r="V918" s="389"/>
      <c r="W918" s="390"/>
      <c r="X918" s="390"/>
      <c r="Y918" s="390"/>
      <c r="Z918" s="390"/>
      <c r="AA918" s="390"/>
      <c r="AB918" s="390"/>
      <c r="AC918" s="375"/>
      <c r="AD918" s="375"/>
      <c r="AE918" s="375"/>
      <c r="AF918" s="375"/>
    </row>
    <row r="919" spans="18:32">
      <c r="R919" s="389"/>
      <c r="S919" s="389"/>
      <c r="T919" s="389"/>
      <c r="U919" s="389"/>
      <c r="V919" s="389"/>
      <c r="W919" s="390"/>
      <c r="X919" s="390"/>
      <c r="Y919" s="390"/>
      <c r="Z919" s="390"/>
      <c r="AA919" s="390"/>
      <c r="AB919" s="390"/>
      <c r="AC919" s="375"/>
      <c r="AD919" s="375"/>
      <c r="AE919" s="375"/>
      <c r="AF919" s="375"/>
    </row>
    <row r="920" spans="18:32">
      <c r="R920" s="389"/>
      <c r="S920" s="389"/>
      <c r="T920" s="389"/>
      <c r="U920" s="389"/>
      <c r="V920" s="389"/>
      <c r="W920" s="390"/>
      <c r="X920" s="390"/>
      <c r="Y920" s="390"/>
      <c r="Z920" s="390"/>
      <c r="AA920" s="390"/>
      <c r="AB920" s="390"/>
      <c r="AC920" s="375"/>
      <c r="AD920" s="375"/>
      <c r="AE920" s="375"/>
      <c r="AF920" s="375"/>
    </row>
    <row r="921" spans="18:32">
      <c r="R921" s="389"/>
      <c r="S921" s="389"/>
      <c r="T921" s="389"/>
      <c r="U921" s="389"/>
      <c r="V921" s="389"/>
      <c r="W921" s="390"/>
      <c r="X921" s="390"/>
      <c r="Y921" s="390"/>
      <c r="Z921" s="390"/>
      <c r="AA921" s="390"/>
      <c r="AB921" s="390"/>
      <c r="AC921" s="375"/>
      <c r="AD921" s="375"/>
      <c r="AE921" s="375"/>
      <c r="AF921" s="375"/>
    </row>
    <row r="922" spans="18:32">
      <c r="R922" s="389"/>
      <c r="S922" s="389"/>
      <c r="T922" s="389"/>
      <c r="U922" s="389"/>
      <c r="V922" s="389"/>
      <c r="W922" s="390"/>
      <c r="X922" s="390"/>
      <c r="Y922" s="390"/>
      <c r="Z922" s="390"/>
      <c r="AA922" s="390"/>
      <c r="AB922" s="390"/>
      <c r="AC922" s="375"/>
      <c r="AD922" s="375"/>
      <c r="AE922" s="375"/>
      <c r="AF922" s="375"/>
    </row>
    <row r="923" spans="18:32">
      <c r="R923" s="389"/>
      <c r="S923" s="389"/>
      <c r="T923" s="389"/>
      <c r="U923" s="389"/>
      <c r="V923" s="389"/>
      <c r="W923" s="390"/>
      <c r="X923" s="390"/>
      <c r="Y923" s="390"/>
      <c r="Z923" s="390"/>
      <c r="AA923" s="390"/>
      <c r="AB923" s="390"/>
      <c r="AC923" s="375"/>
      <c r="AD923" s="375"/>
      <c r="AE923" s="375"/>
      <c r="AF923" s="375"/>
    </row>
    <row r="924" spans="18:32">
      <c r="R924" s="389"/>
      <c r="S924" s="389"/>
      <c r="T924" s="389"/>
      <c r="U924" s="389"/>
      <c r="V924" s="389"/>
      <c r="W924" s="390"/>
      <c r="X924" s="390"/>
      <c r="Y924" s="390"/>
      <c r="Z924" s="390"/>
      <c r="AA924" s="390"/>
      <c r="AB924" s="390"/>
      <c r="AC924" s="375"/>
      <c r="AD924" s="375"/>
      <c r="AE924" s="375"/>
      <c r="AF924" s="375"/>
    </row>
    <row r="925" spans="18:32">
      <c r="R925" s="389"/>
      <c r="S925" s="389"/>
      <c r="T925" s="389"/>
      <c r="U925" s="389"/>
      <c r="V925" s="389"/>
      <c r="W925" s="390"/>
      <c r="X925" s="390"/>
      <c r="Y925" s="390"/>
      <c r="Z925" s="390"/>
      <c r="AA925" s="390"/>
      <c r="AB925" s="390"/>
      <c r="AC925" s="375"/>
      <c r="AD925" s="375"/>
      <c r="AE925" s="375"/>
      <c r="AF925" s="375"/>
    </row>
    <row r="926" spans="18:32">
      <c r="R926" s="389"/>
      <c r="S926" s="389"/>
      <c r="T926" s="389"/>
      <c r="U926" s="389"/>
      <c r="V926" s="389"/>
      <c r="W926" s="390"/>
      <c r="X926" s="390"/>
      <c r="Y926" s="390"/>
      <c r="Z926" s="390"/>
      <c r="AA926" s="390"/>
      <c r="AB926" s="390"/>
      <c r="AC926" s="375"/>
      <c r="AD926" s="375"/>
      <c r="AE926" s="375"/>
      <c r="AF926" s="375"/>
    </row>
    <row r="927" spans="18:32">
      <c r="R927" s="389"/>
      <c r="S927" s="389"/>
      <c r="T927" s="389"/>
      <c r="U927" s="389"/>
      <c r="V927" s="389"/>
      <c r="W927" s="390"/>
      <c r="X927" s="390"/>
      <c r="Y927" s="390"/>
      <c r="Z927" s="390"/>
      <c r="AA927" s="390"/>
      <c r="AB927" s="390"/>
      <c r="AC927" s="375"/>
      <c r="AD927" s="375"/>
      <c r="AE927" s="375"/>
      <c r="AF927" s="375"/>
    </row>
    <row r="928" spans="18:32">
      <c r="R928" s="389"/>
      <c r="S928" s="389"/>
      <c r="T928" s="389"/>
      <c r="U928" s="389"/>
      <c r="V928" s="389"/>
      <c r="W928" s="390"/>
      <c r="X928" s="390"/>
      <c r="Y928" s="390"/>
      <c r="Z928" s="390"/>
      <c r="AA928" s="390"/>
      <c r="AB928" s="390"/>
      <c r="AC928" s="375"/>
      <c r="AD928" s="375"/>
      <c r="AE928" s="375"/>
      <c r="AF928" s="375"/>
    </row>
    <row r="929" spans="18:32">
      <c r="R929" s="389"/>
      <c r="S929" s="389"/>
      <c r="T929" s="389"/>
      <c r="U929" s="389"/>
      <c r="V929" s="389"/>
      <c r="W929" s="390"/>
      <c r="X929" s="390"/>
      <c r="Y929" s="390"/>
      <c r="Z929" s="390"/>
      <c r="AA929" s="390"/>
      <c r="AB929" s="390"/>
      <c r="AC929" s="375"/>
      <c r="AD929" s="375"/>
      <c r="AE929" s="375"/>
      <c r="AF929" s="375"/>
    </row>
    <row r="930" spans="18:32">
      <c r="R930" s="389"/>
      <c r="S930" s="389"/>
      <c r="T930" s="389"/>
      <c r="U930" s="389"/>
      <c r="V930" s="389"/>
      <c r="W930" s="390"/>
      <c r="X930" s="390"/>
      <c r="Y930" s="390"/>
      <c r="Z930" s="390"/>
      <c r="AA930" s="390"/>
      <c r="AB930" s="390"/>
      <c r="AC930" s="375"/>
      <c r="AD930" s="375"/>
      <c r="AE930" s="375"/>
      <c r="AF930" s="375"/>
    </row>
    <row r="931" spans="18:32">
      <c r="R931" s="389"/>
      <c r="S931" s="389"/>
      <c r="T931" s="389"/>
      <c r="U931" s="389"/>
      <c r="V931" s="389"/>
      <c r="W931" s="390"/>
      <c r="X931" s="390"/>
      <c r="Y931" s="390"/>
      <c r="Z931" s="390"/>
      <c r="AA931" s="390"/>
      <c r="AB931" s="390"/>
      <c r="AC931" s="375"/>
      <c r="AD931" s="375"/>
      <c r="AE931" s="375"/>
      <c r="AF931" s="375"/>
    </row>
    <row r="932" spans="18:32">
      <c r="R932" s="389"/>
      <c r="S932" s="389"/>
      <c r="T932" s="389"/>
      <c r="U932" s="389"/>
      <c r="V932" s="389"/>
      <c r="W932" s="390"/>
      <c r="X932" s="390"/>
      <c r="Y932" s="390"/>
      <c r="Z932" s="390"/>
      <c r="AA932" s="390"/>
      <c r="AB932" s="390"/>
      <c r="AC932" s="375"/>
      <c r="AD932" s="375"/>
      <c r="AE932" s="375"/>
      <c r="AF932" s="375"/>
    </row>
    <row r="933" spans="18:32">
      <c r="R933" s="389"/>
      <c r="S933" s="389"/>
      <c r="T933" s="389"/>
      <c r="U933" s="389"/>
      <c r="V933" s="389"/>
      <c r="W933" s="390"/>
      <c r="X933" s="390"/>
      <c r="Y933" s="390"/>
      <c r="Z933" s="390"/>
      <c r="AA933" s="390"/>
      <c r="AB933" s="390"/>
      <c r="AC933" s="375"/>
      <c r="AD933" s="375"/>
      <c r="AE933" s="375"/>
      <c r="AF933" s="375"/>
    </row>
    <row r="934" spans="18:32">
      <c r="R934" s="389"/>
      <c r="S934" s="389"/>
      <c r="T934" s="389"/>
      <c r="U934" s="389"/>
      <c r="V934" s="389"/>
      <c r="W934" s="390"/>
      <c r="X934" s="390"/>
      <c r="Y934" s="390"/>
      <c r="Z934" s="390"/>
      <c r="AA934" s="390"/>
      <c r="AB934" s="390"/>
      <c r="AC934" s="375"/>
      <c r="AD934" s="375"/>
      <c r="AE934" s="375"/>
      <c r="AF934" s="375"/>
    </row>
    <row r="935" spans="18:32">
      <c r="R935" s="389"/>
      <c r="S935" s="389"/>
      <c r="T935" s="389"/>
      <c r="U935" s="389"/>
      <c r="V935" s="389"/>
      <c r="W935" s="390"/>
      <c r="X935" s="390"/>
      <c r="Y935" s="390"/>
      <c r="Z935" s="390"/>
      <c r="AA935" s="390"/>
      <c r="AB935" s="390"/>
      <c r="AC935" s="375"/>
      <c r="AD935" s="375"/>
      <c r="AE935" s="375"/>
      <c r="AF935" s="375"/>
    </row>
    <row r="936" spans="18:32">
      <c r="R936" s="389"/>
      <c r="S936" s="389"/>
      <c r="T936" s="389"/>
      <c r="U936" s="389"/>
      <c r="V936" s="389"/>
      <c r="W936" s="390"/>
      <c r="X936" s="390"/>
      <c r="Y936" s="390"/>
      <c r="Z936" s="390"/>
      <c r="AA936" s="390"/>
      <c r="AB936" s="390"/>
      <c r="AC936" s="375"/>
      <c r="AD936" s="375"/>
      <c r="AE936" s="375"/>
      <c r="AF936" s="375"/>
    </row>
    <row r="937" spans="18:32">
      <c r="R937" s="389"/>
      <c r="S937" s="389"/>
      <c r="T937" s="389"/>
      <c r="U937" s="389"/>
      <c r="V937" s="389"/>
      <c r="W937" s="390"/>
      <c r="X937" s="390"/>
      <c r="Y937" s="390"/>
      <c r="Z937" s="390"/>
      <c r="AA937" s="390"/>
      <c r="AB937" s="390"/>
      <c r="AC937" s="375"/>
      <c r="AD937" s="375"/>
      <c r="AE937" s="375"/>
      <c r="AF937" s="375"/>
    </row>
    <row r="938" spans="18:32">
      <c r="R938" s="389"/>
      <c r="S938" s="389"/>
      <c r="T938" s="389"/>
      <c r="U938" s="389"/>
      <c r="V938" s="389"/>
      <c r="W938" s="390"/>
      <c r="X938" s="390"/>
      <c r="Y938" s="390"/>
      <c r="Z938" s="390"/>
      <c r="AA938" s="390"/>
      <c r="AB938" s="390"/>
      <c r="AC938" s="375"/>
      <c r="AD938" s="375"/>
      <c r="AE938" s="375"/>
      <c r="AF938" s="375"/>
    </row>
    <row r="939" spans="18:32">
      <c r="R939" s="389"/>
      <c r="S939" s="389"/>
      <c r="T939" s="389"/>
      <c r="U939" s="389"/>
      <c r="V939" s="389"/>
      <c r="W939" s="390"/>
      <c r="X939" s="390"/>
      <c r="Y939" s="390"/>
      <c r="Z939" s="390"/>
      <c r="AA939" s="390"/>
      <c r="AB939" s="390"/>
      <c r="AC939" s="375"/>
      <c r="AD939" s="375"/>
      <c r="AE939" s="375"/>
      <c r="AF939" s="375"/>
    </row>
    <row r="940" spans="18:32">
      <c r="R940" s="389"/>
      <c r="S940" s="389"/>
      <c r="T940" s="389"/>
      <c r="U940" s="389"/>
      <c r="V940" s="389"/>
      <c r="W940" s="390"/>
      <c r="X940" s="390"/>
      <c r="Y940" s="390"/>
      <c r="Z940" s="390"/>
      <c r="AA940" s="390"/>
      <c r="AB940" s="390"/>
      <c r="AC940" s="375"/>
      <c r="AD940" s="375"/>
      <c r="AE940" s="375"/>
      <c r="AF940" s="375"/>
    </row>
    <row r="941" spans="18:32">
      <c r="R941" s="389"/>
      <c r="S941" s="389"/>
      <c r="T941" s="389"/>
      <c r="U941" s="389"/>
      <c r="V941" s="389"/>
      <c r="W941" s="390"/>
      <c r="X941" s="390"/>
      <c r="Y941" s="390"/>
      <c r="Z941" s="390"/>
      <c r="AA941" s="390"/>
      <c r="AB941" s="390"/>
      <c r="AC941" s="375"/>
      <c r="AD941" s="375"/>
      <c r="AE941" s="375"/>
      <c r="AF941" s="375"/>
    </row>
    <row r="942" spans="18:32">
      <c r="R942" s="389"/>
      <c r="S942" s="389"/>
      <c r="T942" s="389"/>
      <c r="U942" s="389"/>
      <c r="V942" s="389"/>
      <c r="W942" s="390"/>
      <c r="X942" s="390"/>
      <c r="Y942" s="390"/>
      <c r="Z942" s="390"/>
      <c r="AA942" s="390"/>
      <c r="AB942" s="390"/>
      <c r="AC942" s="375"/>
      <c r="AD942" s="375"/>
      <c r="AE942" s="375"/>
      <c r="AF942" s="375"/>
    </row>
    <row r="943" spans="18:32">
      <c r="R943" s="389"/>
      <c r="S943" s="389"/>
      <c r="T943" s="389"/>
      <c r="U943" s="389"/>
      <c r="V943" s="389"/>
      <c r="W943" s="390"/>
      <c r="X943" s="390"/>
      <c r="Y943" s="390"/>
      <c r="Z943" s="390"/>
      <c r="AA943" s="390"/>
      <c r="AB943" s="390"/>
      <c r="AC943" s="375"/>
      <c r="AD943" s="375"/>
      <c r="AE943" s="375"/>
      <c r="AF943" s="375"/>
    </row>
    <row r="944" spans="18:32">
      <c r="R944" s="389"/>
      <c r="S944" s="389"/>
      <c r="T944" s="389"/>
      <c r="U944" s="389"/>
      <c r="V944" s="389"/>
      <c r="W944" s="390"/>
      <c r="X944" s="390"/>
      <c r="Y944" s="390"/>
      <c r="Z944" s="390"/>
      <c r="AA944" s="390"/>
      <c r="AB944" s="390"/>
      <c r="AC944" s="375"/>
      <c r="AD944" s="375"/>
      <c r="AE944" s="375"/>
      <c r="AF944" s="375"/>
    </row>
    <row r="945" spans="18:32">
      <c r="R945" s="389"/>
      <c r="S945" s="389"/>
      <c r="T945" s="389"/>
      <c r="U945" s="389"/>
      <c r="V945" s="389"/>
      <c r="W945" s="390"/>
      <c r="X945" s="390"/>
      <c r="Y945" s="390"/>
      <c r="Z945" s="390"/>
      <c r="AA945" s="390"/>
      <c r="AB945" s="390"/>
      <c r="AC945" s="375"/>
      <c r="AD945" s="375"/>
      <c r="AE945" s="375"/>
      <c r="AF945" s="375"/>
    </row>
    <row r="946" spans="18:32">
      <c r="R946" s="389"/>
      <c r="S946" s="389"/>
      <c r="T946" s="389"/>
      <c r="U946" s="389"/>
      <c r="V946" s="389"/>
      <c r="W946" s="390"/>
      <c r="X946" s="390"/>
      <c r="Y946" s="390"/>
      <c r="Z946" s="390"/>
      <c r="AA946" s="390"/>
      <c r="AB946" s="390"/>
      <c r="AC946" s="375"/>
      <c r="AD946" s="375"/>
      <c r="AE946" s="375"/>
      <c r="AF946" s="375"/>
    </row>
    <row r="947" spans="18:32">
      <c r="R947" s="389"/>
      <c r="S947" s="389"/>
      <c r="T947" s="389"/>
      <c r="U947" s="389"/>
      <c r="V947" s="389"/>
      <c r="W947" s="390"/>
      <c r="X947" s="390"/>
      <c r="Y947" s="390"/>
      <c r="Z947" s="390"/>
      <c r="AA947" s="390"/>
      <c r="AB947" s="390"/>
      <c r="AC947" s="375"/>
      <c r="AD947" s="375"/>
      <c r="AE947" s="375"/>
      <c r="AF947" s="375"/>
    </row>
    <row r="948" spans="18:32">
      <c r="R948" s="389"/>
      <c r="S948" s="389"/>
      <c r="T948" s="389"/>
      <c r="U948" s="389"/>
      <c r="V948" s="389"/>
      <c r="W948" s="390"/>
      <c r="X948" s="390"/>
      <c r="Y948" s="390"/>
      <c r="Z948" s="390"/>
      <c r="AA948" s="390"/>
      <c r="AB948" s="390"/>
      <c r="AC948" s="375"/>
      <c r="AD948" s="375"/>
      <c r="AE948" s="375"/>
      <c r="AF948" s="375"/>
    </row>
    <row r="949" spans="18:32">
      <c r="R949" s="389"/>
      <c r="S949" s="389"/>
      <c r="T949" s="389"/>
      <c r="U949" s="389"/>
      <c r="V949" s="389"/>
      <c r="W949" s="390"/>
      <c r="X949" s="390"/>
      <c r="Y949" s="390"/>
      <c r="Z949" s="390"/>
      <c r="AA949" s="390"/>
      <c r="AB949" s="390"/>
      <c r="AC949" s="375"/>
      <c r="AD949" s="375"/>
      <c r="AE949" s="375"/>
      <c r="AF949" s="375"/>
    </row>
    <row r="950" spans="18:32">
      <c r="R950" s="389"/>
      <c r="S950" s="389"/>
      <c r="T950" s="389"/>
      <c r="U950" s="389"/>
      <c r="V950" s="389"/>
      <c r="W950" s="390"/>
      <c r="X950" s="390"/>
      <c r="Y950" s="390"/>
      <c r="Z950" s="390"/>
      <c r="AA950" s="390"/>
      <c r="AB950" s="390"/>
      <c r="AC950" s="375"/>
      <c r="AD950" s="375"/>
      <c r="AE950" s="375"/>
      <c r="AF950" s="375"/>
    </row>
    <row r="951" spans="18:32">
      <c r="R951" s="389"/>
      <c r="S951" s="389"/>
      <c r="T951" s="389"/>
      <c r="U951" s="389"/>
      <c r="V951" s="389"/>
      <c r="W951" s="390"/>
      <c r="X951" s="390"/>
      <c r="Y951" s="390"/>
      <c r="Z951" s="390"/>
      <c r="AA951" s="390"/>
      <c r="AB951" s="390"/>
      <c r="AC951" s="375"/>
      <c r="AD951" s="375"/>
      <c r="AE951" s="375"/>
      <c r="AF951" s="375"/>
    </row>
    <row r="952" spans="18:32">
      <c r="R952" s="389"/>
      <c r="S952" s="389"/>
      <c r="T952" s="389"/>
      <c r="U952" s="389"/>
      <c r="V952" s="389"/>
      <c r="W952" s="390"/>
      <c r="X952" s="390"/>
      <c r="Y952" s="390"/>
      <c r="Z952" s="390"/>
      <c r="AA952" s="390"/>
      <c r="AB952" s="390"/>
      <c r="AC952" s="375"/>
      <c r="AD952" s="375"/>
      <c r="AE952" s="375"/>
      <c r="AF952" s="375"/>
    </row>
    <row r="953" spans="18:32">
      <c r="R953" s="389"/>
      <c r="S953" s="389"/>
      <c r="T953" s="389"/>
      <c r="U953" s="389"/>
      <c r="V953" s="389"/>
      <c r="W953" s="390"/>
      <c r="X953" s="390"/>
      <c r="Y953" s="390"/>
      <c r="Z953" s="390"/>
      <c r="AA953" s="390"/>
      <c r="AB953" s="390"/>
      <c r="AC953" s="375"/>
      <c r="AD953" s="375"/>
      <c r="AE953" s="375"/>
      <c r="AF953" s="375"/>
    </row>
    <row r="954" spans="18:32">
      <c r="R954" s="389"/>
      <c r="S954" s="389"/>
      <c r="T954" s="389"/>
      <c r="U954" s="389"/>
      <c r="V954" s="389"/>
      <c r="W954" s="390"/>
      <c r="X954" s="390"/>
      <c r="Y954" s="390"/>
      <c r="Z954" s="390"/>
      <c r="AA954" s="390"/>
      <c r="AB954" s="390"/>
      <c r="AC954" s="375"/>
      <c r="AD954" s="375"/>
      <c r="AE954" s="375"/>
      <c r="AF954" s="375"/>
    </row>
    <row r="955" spans="18:32">
      <c r="R955" s="389"/>
      <c r="S955" s="389"/>
      <c r="T955" s="389"/>
      <c r="U955" s="389"/>
      <c r="V955" s="389"/>
      <c r="W955" s="390"/>
      <c r="X955" s="390"/>
      <c r="Y955" s="390"/>
      <c r="Z955" s="390"/>
      <c r="AA955" s="390"/>
      <c r="AB955" s="390"/>
      <c r="AC955" s="375"/>
      <c r="AD955" s="375"/>
      <c r="AE955" s="375"/>
      <c r="AF955" s="375"/>
    </row>
    <row r="956" spans="18:32">
      <c r="R956" s="389"/>
      <c r="S956" s="389"/>
      <c r="T956" s="389"/>
      <c r="U956" s="389"/>
      <c r="V956" s="389"/>
      <c r="W956" s="390"/>
      <c r="X956" s="390"/>
      <c r="Y956" s="390"/>
      <c r="Z956" s="390"/>
      <c r="AA956" s="390"/>
      <c r="AB956" s="390"/>
      <c r="AC956" s="375"/>
      <c r="AD956" s="375"/>
      <c r="AE956" s="375"/>
      <c r="AF956" s="375"/>
    </row>
    <row r="957" spans="18:32">
      <c r="R957" s="389"/>
      <c r="S957" s="389"/>
      <c r="T957" s="389"/>
      <c r="U957" s="389"/>
      <c r="V957" s="389"/>
      <c r="W957" s="390"/>
      <c r="X957" s="390"/>
      <c r="Y957" s="390"/>
      <c r="Z957" s="390"/>
      <c r="AA957" s="390"/>
      <c r="AB957" s="390"/>
      <c r="AC957" s="375"/>
      <c r="AD957" s="375"/>
      <c r="AE957" s="375"/>
      <c r="AF957" s="375"/>
    </row>
    <row r="958" spans="18:32">
      <c r="R958" s="389"/>
      <c r="S958" s="389"/>
      <c r="T958" s="389"/>
      <c r="U958" s="389"/>
      <c r="V958" s="389"/>
      <c r="W958" s="390"/>
      <c r="X958" s="390"/>
      <c r="Y958" s="390"/>
      <c r="Z958" s="390"/>
      <c r="AA958" s="390"/>
      <c r="AB958" s="390"/>
      <c r="AC958" s="375"/>
      <c r="AD958" s="375"/>
      <c r="AE958" s="375"/>
      <c r="AF958" s="375"/>
    </row>
    <row r="959" spans="18:32">
      <c r="R959" s="389"/>
      <c r="S959" s="389"/>
      <c r="T959" s="389"/>
      <c r="U959" s="389"/>
      <c r="V959" s="389"/>
      <c r="W959" s="390"/>
      <c r="X959" s="390"/>
      <c r="Y959" s="390"/>
      <c r="Z959" s="390"/>
      <c r="AA959" s="390"/>
      <c r="AB959" s="390"/>
      <c r="AC959" s="375"/>
      <c r="AD959" s="375"/>
      <c r="AE959" s="375"/>
      <c r="AF959" s="375"/>
    </row>
    <row r="960" spans="18:32">
      <c r="R960" s="389"/>
      <c r="S960" s="389"/>
      <c r="T960" s="389"/>
      <c r="U960" s="389"/>
      <c r="V960" s="389"/>
      <c r="W960" s="390"/>
      <c r="X960" s="390"/>
      <c r="Y960" s="390"/>
      <c r="Z960" s="390"/>
      <c r="AA960" s="390"/>
      <c r="AB960" s="390"/>
      <c r="AC960" s="375"/>
      <c r="AD960" s="375"/>
      <c r="AE960" s="375"/>
      <c r="AF960" s="375"/>
    </row>
    <row r="961" spans="18:32">
      <c r="R961" s="389"/>
      <c r="S961" s="389"/>
      <c r="T961" s="389"/>
      <c r="U961" s="389"/>
      <c r="V961" s="389"/>
      <c r="W961" s="390"/>
      <c r="X961" s="390"/>
      <c r="Y961" s="390"/>
      <c r="Z961" s="390"/>
      <c r="AA961" s="390"/>
      <c r="AB961" s="390"/>
      <c r="AC961" s="375"/>
      <c r="AD961" s="375"/>
      <c r="AE961" s="375"/>
      <c r="AF961" s="375"/>
    </row>
    <row r="962" spans="18:32">
      <c r="R962" s="389"/>
      <c r="S962" s="389"/>
      <c r="T962" s="389"/>
      <c r="U962" s="389"/>
      <c r="V962" s="389"/>
      <c r="W962" s="390"/>
      <c r="X962" s="390"/>
      <c r="Y962" s="390"/>
      <c r="Z962" s="390"/>
      <c r="AA962" s="390"/>
      <c r="AB962" s="390"/>
      <c r="AC962" s="375"/>
      <c r="AD962" s="375"/>
      <c r="AE962" s="375"/>
      <c r="AF962" s="375"/>
    </row>
    <row r="963" spans="18:32">
      <c r="R963" s="389"/>
      <c r="S963" s="389"/>
      <c r="T963" s="389"/>
      <c r="U963" s="389"/>
      <c r="V963" s="389"/>
      <c r="W963" s="390"/>
      <c r="X963" s="390"/>
      <c r="Y963" s="390"/>
      <c r="Z963" s="390"/>
      <c r="AA963" s="390"/>
      <c r="AB963" s="390"/>
      <c r="AC963" s="375"/>
      <c r="AD963" s="375"/>
      <c r="AE963" s="375"/>
      <c r="AF963" s="375"/>
    </row>
    <row r="964" spans="18:32">
      <c r="R964" s="389"/>
      <c r="S964" s="389"/>
      <c r="T964" s="389"/>
      <c r="U964" s="389"/>
      <c r="V964" s="389"/>
      <c r="W964" s="390"/>
      <c r="X964" s="390"/>
      <c r="Y964" s="390"/>
      <c r="Z964" s="390"/>
      <c r="AA964" s="390"/>
      <c r="AB964" s="390"/>
      <c r="AC964" s="375"/>
      <c r="AD964" s="375"/>
      <c r="AE964" s="375"/>
      <c r="AF964" s="375"/>
    </row>
    <row r="965" spans="18:32">
      <c r="R965" s="389"/>
      <c r="S965" s="389"/>
      <c r="T965" s="389"/>
      <c r="U965" s="389"/>
      <c r="V965" s="389"/>
      <c r="W965" s="390"/>
      <c r="X965" s="390"/>
      <c r="Y965" s="390"/>
      <c r="Z965" s="390"/>
      <c r="AA965" s="390"/>
      <c r="AB965" s="390"/>
      <c r="AC965" s="375"/>
      <c r="AD965" s="375"/>
      <c r="AE965" s="375"/>
      <c r="AF965" s="375"/>
    </row>
    <row r="966" spans="18:32">
      <c r="R966" s="389"/>
      <c r="S966" s="389"/>
      <c r="T966" s="389"/>
      <c r="U966" s="389"/>
      <c r="V966" s="389"/>
      <c r="W966" s="390"/>
      <c r="X966" s="390"/>
      <c r="Y966" s="390"/>
      <c r="Z966" s="390"/>
      <c r="AA966" s="390"/>
      <c r="AB966" s="390"/>
      <c r="AC966" s="375"/>
      <c r="AD966" s="375"/>
      <c r="AE966" s="375"/>
      <c r="AF966" s="375"/>
    </row>
    <row r="967" spans="18:32">
      <c r="R967" s="389"/>
      <c r="S967" s="389"/>
      <c r="T967" s="389"/>
      <c r="U967" s="389"/>
      <c r="V967" s="389"/>
      <c r="W967" s="390"/>
      <c r="X967" s="390"/>
      <c r="Y967" s="390"/>
      <c r="Z967" s="390"/>
      <c r="AA967" s="390"/>
      <c r="AB967" s="390"/>
      <c r="AC967" s="375"/>
      <c r="AD967" s="375"/>
      <c r="AE967" s="375"/>
      <c r="AF967" s="375"/>
    </row>
    <row r="968" spans="18:32">
      <c r="R968" s="389"/>
      <c r="S968" s="389"/>
      <c r="T968" s="389"/>
      <c r="U968" s="389"/>
      <c r="V968" s="389"/>
      <c r="W968" s="390"/>
      <c r="X968" s="390"/>
      <c r="Y968" s="390"/>
      <c r="Z968" s="390"/>
      <c r="AA968" s="390"/>
      <c r="AB968" s="390"/>
      <c r="AC968" s="375"/>
      <c r="AD968" s="375"/>
      <c r="AE968" s="375"/>
      <c r="AF968" s="375"/>
    </row>
    <row r="969" spans="18:32">
      <c r="R969" s="389"/>
      <c r="S969" s="389"/>
      <c r="T969" s="389"/>
      <c r="U969" s="389"/>
      <c r="V969" s="389"/>
      <c r="W969" s="390"/>
      <c r="X969" s="390"/>
      <c r="Y969" s="390"/>
      <c r="Z969" s="390"/>
      <c r="AA969" s="390"/>
      <c r="AB969" s="390"/>
      <c r="AC969" s="375"/>
      <c r="AD969" s="375"/>
      <c r="AE969" s="375"/>
      <c r="AF969" s="375"/>
    </row>
    <row r="970" spans="18:32">
      <c r="R970" s="389"/>
      <c r="S970" s="389"/>
      <c r="T970" s="389"/>
      <c r="U970" s="389"/>
      <c r="V970" s="389"/>
      <c r="W970" s="390"/>
      <c r="X970" s="390"/>
      <c r="Y970" s="390"/>
      <c r="Z970" s="390"/>
      <c r="AA970" s="390"/>
      <c r="AB970" s="390"/>
      <c r="AC970" s="375"/>
      <c r="AD970" s="375"/>
      <c r="AE970" s="375"/>
      <c r="AF970" s="375"/>
    </row>
    <row r="971" spans="18:32">
      <c r="R971" s="389"/>
      <c r="S971" s="389"/>
      <c r="T971" s="389"/>
      <c r="U971" s="389"/>
      <c r="V971" s="389"/>
      <c r="W971" s="390"/>
      <c r="X971" s="390"/>
      <c r="Y971" s="390"/>
      <c r="Z971" s="390"/>
      <c r="AA971" s="390"/>
      <c r="AB971" s="390"/>
      <c r="AC971" s="375"/>
      <c r="AD971" s="375"/>
      <c r="AE971" s="375"/>
      <c r="AF971" s="375"/>
    </row>
    <row r="972" spans="18:32">
      <c r="R972" s="389"/>
      <c r="S972" s="389"/>
      <c r="T972" s="389"/>
      <c r="U972" s="389"/>
      <c r="V972" s="389"/>
      <c r="W972" s="390"/>
      <c r="X972" s="390"/>
      <c r="Y972" s="390"/>
      <c r="Z972" s="390"/>
      <c r="AA972" s="390"/>
      <c r="AB972" s="390"/>
      <c r="AC972" s="375"/>
      <c r="AD972" s="375"/>
      <c r="AE972" s="375"/>
      <c r="AF972" s="375"/>
    </row>
    <row r="973" spans="18:32">
      <c r="R973" s="389"/>
      <c r="S973" s="389"/>
      <c r="T973" s="389"/>
      <c r="U973" s="389"/>
      <c r="V973" s="389"/>
      <c r="W973" s="390"/>
      <c r="X973" s="390"/>
      <c r="Y973" s="390"/>
      <c r="Z973" s="390"/>
      <c r="AA973" s="390"/>
      <c r="AB973" s="390"/>
      <c r="AC973" s="375"/>
      <c r="AD973" s="375"/>
      <c r="AE973" s="375"/>
      <c r="AF973" s="375"/>
    </row>
    <row r="974" spans="18:32">
      <c r="R974" s="389"/>
      <c r="S974" s="389"/>
      <c r="T974" s="389"/>
      <c r="U974" s="389"/>
      <c r="V974" s="389"/>
      <c r="W974" s="390"/>
      <c r="X974" s="390"/>
      <c r="Y974" s="390"/>
      <c r="Z974" s="390"/>
      <c r="AA974" s="390"/>
      <c r="AB974" s="390"/>
      <c r="AC974" s="375"/>
      <c r="AD974" s="375"/>
      <c r="AE974" s="375"/>
      <c r="AF974" s="375"/>
    </row>
    <row r="975" spans="18:32">
      <c r="R975" s="389"/>
      <c r="S975" s="389"/>
      <c r="T975" s="389"/>
      <c r="U975" s="389"/>
      <c r="V975" s="389"/>
      <c r="W975" s="390"/>
      <c r="X975" s="390"/>
      <c r="Y975" s="390"/>
      <c r="Z975" s="390"/>
      <c r="AA975" s="390"/>
      <c r="AB975" s="390"/>
      <c r="AC975" s="375"/>
      <c r="AD975" s="375"/>
      <c r="AE975" s="375"/>
      <c r="AF975" s="375"/>
    </row>
    <row r="976" spans="18:32">
      <c r="R976" s="389"/>
      <c r="S976" s="389"/>
      <c r="T976" s="389"/>
      <c r="U976" s="389"/>
      <c r="V976" s="389"/>
      <c r="W976" s="390"/>
      <c r="X976" s="390"/>
      <c r="Y976" s="390"/>
      <c r="Z976" s="390"/>
      <c r="AA976" s="390"/>
      <c r="AB976" s="390"/>
      <c r="AC976" s="375"/>
      <c r="AD976" s="375"/>
      <c r="AE976" s="375"/>
      <c r="AF976" s="375"/>
    </row>
    <row r="977" spans="18:32">
      <c r="R977" s="389"/>
      <c r="S977" s="389"/>
      <c r="T977" s="389"/>
      <c r="U977" s="389"/>
      <c r="V977" s="389"/>
      <c r="W977" s="390"/>
      <c r="X977" s="390"/>
      <c r="Y977" s="390"/>
      <c r="Z977" s="390"/>
      <c r="AA977" s="390"/>
      <c r="AB977" s="390"/>
      <c r="AC977" s="375"/>
      <c r="AD977" s="375"/>
      <c r="AE977" s="375"/>
      <c r="AF977" s="375"/>
    </row>
    <row r="978" spans="18:32">
      <c r="R978" s="389"/>
      <c r="S978" s="389"/>
      <c r="T978" s="389"/>
      <c r="U978" s="389"/>
      <c r="V978" s="389"/>
      <c r="W978" s="390"/>
      <c r="X978" s="390"/>
      <c r="Y978" s="390"/>
      <c r="Z978" s="390"/>
      <c r="AA978" s="390"/>
      <c r="AB978" s="390"/>
      <c r="AC978" s="375"/>
      <c r="AD978" s="375"/>
      <c r="AE978" s="375"/>
      <c r="AF978" s="375"/>
    </row>
    <row r="979" spans="18:32">
      <c r="R979" s="389"/>
      <c r="S979" s="389"/>
      <c r="T979" s="389"/>
      <c r="U979" s="389"/>
      <c r="V979" s="389"/>
      <c r="W979" s="390"/>
      <c r="X979" s="390"/>
      <c r="Y979" s="390"/>
      <c r="Z979" s="390"/>
      <c r="AA979" s="390"/>
      <c r="AB979" s="390"/>
      <c r="AC979" s="375"/>
      <c r="AD979" s="375"/>
      <c r="AE979" s="375"/>
      <c r="AF979" s="375"/>
    </row>
    <row r="980" spans="18:32">
      <c r="R980" s="389"/>
      <c r="S980" s="389"/>
      <c r="T980" s="389"/>
      <c r="U980" s="389"/>
      <c r="V980" s="389"/>
      <c r="W980" s="390"/>
      <c r="X980" s="390"/>
      <c r="Y980" s="390"/>
      <c r="Z980" s="390"/>
      <c r="AA980" s="390"/>
      <c r="AB980" s="390"/>
      <c r="AC980" s="375"/>
      <c r="AD980" s="375"/>
      <c r="AE980" s="375"/>
      <c r="AF980" s="375"/>
    </row>
    <row r="981" spans="18:32">
      <c r="R981" s="389"/>
      <c r="S981" s="389"/>
      <c r="T981" s="389"/>
      <c r="U981" s="389"/>
      <c r="V981" s="389"/>
      <c r="W981" s="390"/>
      <c r="X981" s="390"/>
      <c r="Y981" s="390"/>
      <c r="Z981" s="390"/>
      <c r="AA981" s="390"/>
      <c r="AB981" s="390"/>
      <c r="AC981" s="375"/>
      <c r="AD981" s="375"/>
      <c r="AE981" s="375"/>
      <c r="AF981" s="375"/>
    </row>
    <row r="982" spans="18:32">
      <c r="R982" s="389"/>
      <c r="S982" s="389"/>
      <c r="T982" s="389"/>
      <c r="U982" s="389"/>
      <c r="V982" s="389"/>
      <c r="W982" s="390"/>
      <c r="X982" s="390"/>
      <c r="Y982" s="390"/>
      <c r="Z982" s="390"/>
      <c r="AA982" s="390"/>
      <c r="AB982" s="390"/>
      <c r="AC982" s="375"/>
      <c r="AD982" s="375"/>
      <c r="AE982" s="375"/>
      <c r="AF982" s="375"/>
    </row>
    <row r="983" spans="18:32">
      <c r="R983" s="389"/>
      <c r="S983" s="389"/>
      <c r="T983" s="389"/>
      <c r="U983" s="389"/>
      <c r="V983" s="389"/>
      <c r="W983" s="390"/>
      <c r="X983" s="390"/>
      <c r="Y983" s="390"/>
      <c r="Z983" s="390"/>
      <c r="AA983" s="390"/>
      <c r="AB983" s="390"/>
      <c r="AC983" s="375"/>
      <c r="AD983" s="375"/>
      <c r="AE983" s="375"/>
      <c r="AF983" s="375"/>
    </row>
    <row r="984" spans="18:32">
      <c r="R984" s="389"/>
      <c r="S984" s="389"/>
      <c r="T984" s="389"/>
      <c r="U984" s="389"/>
      <c r="V984" s="389"/>
      <c r="W984" s="390"/>
      <c r="X984" s="390"/>
      <c r="Y984" s="390"/>
      <c r="Z984" s="390"/>
      <c r="AA984" s="390"/>
      <c r="AB984" s="390"/>
      <c r="AC984" s="375"/>
      <c r="AD984" s="375"/>
      <c r="AE984" s="375"/>
      <c r="AF984" s="375"/>
    </row>
    <row r="985" spans="18:32">
      <c r="R985" s="389"/>
      <c r="S985" s="389"/>
      <c r="T985" s="389"/>
      <c r="U985" s="389"/>
      <c r="V985" s="389"/>
      <c r="W985" s="390"/>
      <c r="X985" s="390"/>
      <c r="Y985" s="390"/>
      <c r="Z985" s="390"/>
      <c r="AA985" s="390"/>
      <c r="AB985" s="390"/>
      <c r="AC985" s="375"/>
      <c r="AD985" s="375"/>
      <c r="AE985" s="375"/>
      <c r="AF985" s="375"/>
    </row>
    <row r="986" spans="18:32">
      <c r="R986" s="389"/>
      <c r="S986" s="389"/>
      <c r="T986" s="389"/>
      <c r="U986" s="389"/>
      <c r="V986" s="389"/>
      <c r="W986" s="390"/>
      <c r="X986" s="390"/>
      <c r="Y986" s="390"/>
      <c r="Z986" s="390"/>
      <c r="AA986" s="390"/>
      <c r="AB986" s="390"/>
      <c r="AC986" s="375"/>
      <c r="AD986" s="375"/>
      <c r="AE986" s="375"/>
      <c r="AF986" s="375"/>
    </row>
    <row r="987" spans="18:32">
      <c r="R987" s="389"/>
      <c r="S987" s="389"/>
      <c r="T987" s="389"/>
      <c r="U987" s="389"/>
      <c r="V987" s="389"/>
      <c r="W987" s="390"/>
      <c r="X987" s="390"/>
      <c r="Y987" s="390"/>
      <c r="Z987" s="390"/>
      <c r="AA987" s="390"/>
      <c r="AB987" s="390"/>
      <c r="AC987" s="375"/>
      <c r="AD987" s="375"/>
      <c r="AE987" s="375"/>
      <c r="AF987" s="375"/>
    </row>
    <row r="988" spans="18:32">
      <c r="R988" s="389"/>
      <c r="S988" s="389"/>
      <c r="T988" s="389"/>
      <c r="U988" s="389"/>
      <c r="V988" s="389"/>
      <c r="W988" s="390"/>
      <c r="X988" s="390"/>
      <c r="Y988" s="390"/>
      <c r="Z988" s="390"/>
      <c r="AA988" s="390"/>
      <c r="AB988" s="390"/>
      <c r="AC988" s="375"/>
      <c r="AD988" s="375"/>
      <c r="AE988" s="375"/>
      <c r="AF988" s="375"/>
    </row>
    <row r="989" spans="18:32">
      <c r="R989" s="389"/>
      <c r="S989" s="389"/>
      <c r="T989" s="389"/>
      <c r="U989" s="389"/>
      <c r="V989" s="389"/>
      <c r="W989" s="390"/>
      <c r="X989" s="390"/>
      <c r="Y989" s="390"/>
      <c r="Z989" s="390"/>
      <c r="AA989" s="390"/>
      <c r="AB989" s="390"/>
      <c r="AC989" s="375"/>
      <c r="AD989" s="375"/>
      <c r="AE989" s="375"/>
      <c r="AF989" s="375"/>
    </row>
    <row r="990" spans="18:32">
      <c r="R990" s="389"/>
      <c r="S990" s="389"/>
      <c r="T990" s="389"/>
      <c r="U990" s="389"/>
      <c r="V990" s="389"/>
      <c r="W990" s="390"/>
      <c r="X990" s="390"/>
      <c r="Y990" s="390"/>
      <c r="Z990" s="390"/>
      <c r="AA990" s="390"/>
      <c r="AB990" s="390"/>
      <c r="AC990" s="375"/>
      <c r="AD990" s="375"/>
      <c r="AE990" s="375"/>
      <c r="AF990" s="375"/>
    </row>
    <row r="991" spans="18:32">
      <c r="R991" s="389"/>
      <c r="S991" s="389"/>
      <c r="T991" s="389"/>
      <c r="U991" s="389"/>
      <c r="V991" s="389"/>
      <c r="W991" s="390"/>
      <c r="X991" s="390"/>
      <c r="Y991" s="390"/>
      <c r="Z991" s="390"/>
      <c r="AA991" s="390"/>
      <c r="AB991" s="390"/>
      <c r="AC991" s="375"/>
      <c r="AD991" s="375"/>
      <c r="AE991" s="375"/>
      <c r="AF991" s="375"/>
    </row>
    <row r="992" spans="18:32">
      <c r="R992" s="389"/>
      <c r="S992" s="389"/>
      <c r="T992" s="389"/>
      <c r="U992" s="389"/>
      <c r="V992" s="389"/>
      <c r="W992" s="390"/>
      <c r="X992" s="390"/>
      <c r="Y992" s="390"/>
      <c r="Z992" s="390"/>
      <c r="AA992" s="390"/>
      <c r="AB992" s="390"/>
      <c r="AC992" s="375"/>
      <c r="AD992" s="375"/>
      <c r="AE992" s="375"/>
      <c r="AF992" s="375"/>
    </row>
    <row r="993" spans="18:32">
      <c r="R993" s="389"/>
      <c r="S993" s="389"/>
      <c r="T993" s="389"/>
      <c r="U993" s="389"/>
      <c r="V993" s="389"/>
      <c r="W993" s="390"/>
      <c r="X993" s="390"/>
      <c r="Y993" s="390"/>
      <c r="Z993" s="390"/>
      <c r="AA993" s="390"/>
      <c r="AB993" s="390"/>
      <c r="AC993" s="375"/>
      <c r="AD993" s="375"/>
      <c r="AE993" s="375"/>
      <c r="AF993" s="375"/>
    </row>
    <row r="994" spans="18:32">
      <c r="R994" s="389"/>
      <c r="S994" s="389"/>
      <c r="T994" s="389"/>
      <c r="U994" s="389"/>
      <c r="V994" s="389"/>
      <c r="W994" s="390"/>
      <c r="X994" s="390"/>
      <c r="Y994" s="390"/>
      <c r="Z994" s="390"/>
      <c r="AA994" s="390"/>
      <c r="AB994" s="390"/>
      <c r="AC994" s="375"/>
      <c r="AD994" s="375"/>
      <c r="AE994" s="375"/>
      <c r="AF994" s="375"/>
    </row>
    <row r="995" spans="18:32">
      <c r="R995" s="389"/>
      <c r="S995" s="389"/>
      <c r="T995" s="389"/>
      <c r="U995" s="389"/>
      <c r="V995" s="389"/>
      <c r="W995" s="390"/>
      <c r="X995" s="390"/>
      <c r="Y995" s="390"/>
      <c r="Z995" s="390"/>
      <c r="AA995" s="390"/>
      <c r="AB995" s="390"/>
      <c r="AC995" s="375"/>
      <c r="AD995" s="375"/>
      <c r="AE995" s="375"/>
      <c r="AF995" s="375"/>
    </row>
    <row r="996" spans="18:32">
      <c r="R996" s="389"/>
      <c r="S996" s="389"/>
      <c r="T996" s="389"/>
      <c r="U996" s="389"/>
      <c r="V996" s="389"/>
      <c r="W996" s="390"/>
      <c r="X996" s="390"/>
      <c r="Y996" s="390"/>
      <c r="Z996" s="390"/>
      <c r="AA996" s="390"/>
      <c r="AB996" s="390"/>
      <c r="AC996" s="375"/>
      <c r="AD996" s="375"/>
      <c r="AE996" s="375"/>
      <c r="AF996" s="375"/>
    </row>
    <row r="997" spans="18:32">
      <c r="R997" s="389"/>
      <c r="S997" s="389"/>
      <c r="T997" s="389"/>
      <c r="U997" s="389"/>
      <c r="V997" s="389"/>
      <c r="W997" s="390"/>
      <c r="X997" s="390"/>
      <c r="Y997" s="390"/>
      <c r="Z997" s="390"/>
      <c r="AA997" s="390"/>
      <c r="AB997" s="390"/>
      <c r="AC997" s="375"/>
      <c r="AD997" s="375"/>
      <c r="AE997" s="375"/>
      <c r="AF997" s="375"/>
    </row>
    <row r="998" spans="18:32">
      <c r="R998" s="389"/>
      <c r="S998" s="389"/>
      <c r="T998" s="389"/>
      <c r="U998" s="389"/>
      <c r="V998" s="389"/>
      <c r="W998" s="390"/>
      <c r="X998" s="390"/>
      <c r="Y998" s="390"/>
      <c r="Z998" s="390"/>
      <c r="AA998" s="390"/>
      <c r="AB998" s="390"/>
      <c r="AC998" s="375"/>
      <c r="AD998" s="375"/>
      <c r="AE998" s="375"/>
      <c r="AF998" s="375"/>
    </row>
    <row r="999" spans="18:32">
      <c r="R999" s="389"/>
      <c r="S999" s="389"/>
      <c r="T999" s="389"/>
      <c r="U999" s="389"/>
      <c r="V999" s="389"/>
      <c r="W999" s="390"/>
      <c r="X999" s="390"/>
      <c r="Y999" s="390"/>
      <c r="Z999" s="390"/>
      <c r="AA999" s="390"/>
      <c r="AB999" s="390"/>
      <c r="AC999" s="375"/>
      <c r="AD999" s="375"/>
      <c r="AE999" s="375"/>
      <c r="AF999" s="375"/>
    </row>
    <row r="1000" spans="18:32">
      <c r="R1000" s="389"/>
      <c r="S1000" s="389"/>
      <c r="T1000" s="389"/>
      <c r="U1000" s="389"/>
      <c r="V1000" s="389"/>
      <c r="W1000" s="390"/>
      <c r="X1000" s="390"/>
      <c r="Y1000" s="390"/>
      <c r="Z1000" s="390"/>
      <c r="AA1000" s="390"/>
      <c r="AB1000" s="390"/>
      <c r="AC1000" s="375"/>
      <c r="AD1000" s="375"/>
      <c r="AE1000" s="375"/>
      <c r="AF1000" s="375"/>
    </row>
    <row r="1001" spans="18:32">
      <c r="R1001" s="389"/>
      <c r="S1001" s="389"/>
      <c r="T1001" s="389"/>
      <c r="U1001" s="389"/>
      <c r="V1001" s="389"/>
      <c r="W1001" s="390"/>
      <c r="X1001" s="390"/>
      <c r="Y1001" s="390"/>
      <c r="Z1001" s="390"/>
      <c r="AA1001" s="390"/>
      <c r="AB1001" s="390"/>
      <c r="AC1001" s="375"/>
      <c r="AD1001" s="375"/>
      <c r="AE1001" s="375"/>
      <c r="AF1001" s="375"/>
    </row>
    <row r="1002" spans="18:32">
      <c r="R1002" s="389"/>
      <c r="S1002" s="389"/>
      <c r="T1002" s="389"/>
      <c r="U1002" s="389"/>
      <c r="V1002" s="389"/>
      <c r="W1002" s="390"/>
      <c r="X1002" s="390"/>
      <c r="Y1002" s="390"/>
      <c r="Z1002" s="390"/>
      <c r="AA1002" s="390"/>
      <c r="AB1002" s="390"/>
      <c r="AC1002" s="375"/>
      <c r="AD1002" s="375"/>
      <c r="AE1002" s="375"/>
      <c r="AF1002" s="375"/>
    </row>
    <row r="1003" spans="18:32">
      <c r="R1003" s="389"/>
      <c r="S1003" s="389"/>
      <c r="T1003" s="389"/>
      <c r="U1003" s="389"/>
      <c r="V1003" s="389"/>
      <c r="W1003" s="390"/>
      <c r="X1003" s="390"/>
      <c r="Y1003" s="390"/>
      <c r="Z1003" s="390"/>
      <c r="AA1003" s="390"/>
      <c r="AB1003" s="390"/>
      <c r="AC1003" s="375"/>
      <c r="AD1003" s="375"/>
      <c r="AE1003" s="375"/>
      <c r="AF1003" s="375"/>
    </row>
    <row r="1004" spans="18:32">
      <c r="R1004" s="389"/>
      <c r="S1004" s="389"/>
      <c r="T1004" s="389"/>
      <c r="U1004" s="389"/>
      <c r="V1004" s="389"/>
      <c r="W1004" s="390"/>
      <c r="X1004" s="390"/>
      <c r="Y1004" s="390"/>
      <c r="Z1004" s="390"/>
      <c r="AA1004" s="390"/>
      <c r="AB1004" s="390"/>
      <c r="AC1004" s="375"/>
      <c r="AD1004" s="375"/>
      <c r="AE1004" s="375"/>
      <c r="AF1004" s="375"/>
    </row>
    <row r="1005" spans="18:32">
      <c r="R1005" s="389"/>
      <c r="S1005" s="389"/>
      <c r="T1005" s="389"/>
      <c r="U1005" s="389"/>
      <c r="V1005" s="389"/>
      <c r="W1005" s="390"/>
      <c r="X1005" s="390"/>
      <c r="Y1005" s="390"/>
      <c r="Z1005" s="390"/>
      <c r="AA1005" s="390"/>
      <c r="AB1005" s="390"/>
      <c r="AC1005" s="375"/>
      <c r="AD1005" s="375"/>
      <c r="AE1005" s="375"/>
      <c r="AF1005" s="375"/>
    </row>
    <row r="1006" spans="18:32">
      <c r="R1006" s="389"/>
      <c r="S1006" s="389"/>
      <c r="T1006" s="389"/>
      <c r="U1006" s="389"/>
      <c r="V1006" s="389"/>
      <c r="W1006" s="390"/>
      <c r="X1006" s="390"/>
      <c r="Y1006" s="390"/>
      <c r="Z1006" s="390"/>
      <c r="AA1006" s="390"/>
      <c r="AB1006" s="390"/>
      <c r="AC1006" s="375"/>
      <c r="AD1006" s="375"/>
      <c r="AE1006" s="375"/>
      <c r="AF1006" s="375"/>
    </row>
    <row r="1007" spans="18:32">
      <c r="R1007" s="389"/>
      <c r="S1007" s="389"/>
      <c r="T1007" s="389"/>
      <c r="U1007" s="389"/>
      <c r="V1007" s="389"/>
      <c r="W1007" s="390"/>
      <c r="X1007" s="390"/>
      <c r="Y1007" s="390"/>
      <c r="Z1007" s="390"/>
      <c r="AA1007" s="390"/>
      <c r="AB1007" s="390"/>
      <c r="AC1007" s="375"/>
      <c r="AD1007" s="375"/>
      <c r="AE1007" s="375"/>
      <c r="AF1007" s="375"/>
    </row>
    <row r="1008" spans="18:32">
      <c r="R1008" s="389"/>
      <c r="S1008" s="389"/>
      <c r="T1008" s="389"/>
      <c r="U1008" s="389"/>
      <c r="V1008" s="389"/>
      <c r="W1008" s="390"/>
      <c r="X1008" s="390"/>
      <c r="Y1008" s="390"/>
      <c r="Z1008" s="390"/>
      <c r="AA1008" s="390"/>
      <c r="AB1008" s="390"/>
      <c r="AC1008" s="375"/>
      <c r="AD1008" s="375"/>
      <c r="AE1008" s="375"/>
      <c r="AF1008" s="375"/>
    </row>
    <row r="1009" spans="18:32">
      <c r="R1009" s="389"/>
      <c r="S1009" s="389"/>
      <c r="T1009" s="389"/>
      <c r="U1009" s="389"/>
      <c r="V1009" s="389"/>
      <c r="W1009" s="390"/>
      <c r="X1009" s="390"/>
      <c r="Y1009" s="390"/>
      <c r="Z1009" s="390"/>
      <c r="AA1009" s="390"/>
      <c r="AB1009" s="390"/>
      <c r="AC1009" s="375"/>
      <c r="AD1009" s="375"/>
      <c r="AE1009" s="375"/>
      <c r="AF1009" s="375"/>
    </row>
    <row r="1010" spans="18:32">
      <c r="R1010" s="389"/>
      <c r="S1010" s="389"/>
      <c r="T1010" s="389"/>
      <c r="U1010" s="389"/>
      <c r="V1010" s="389"/>
      <c r="W1010" s="390"/>
      <c r="X1010" s="390"/>
      <c r="Y1010" s="390"/>
      <c r="Z1010" s="390"/>
      <c r="AA1010" s="390"/>
      <c r="AB1010" s="390"/>
      <c r="AC1010" s="375"/>
      <c r="AD1010" s="375"/>
      <c r="AE1010" s="375"/>
      <c r="AF1010" s="375"/>
    </row>
    <row r="1011" spans="18:32">
      <c r="R1011" s="389"/>
      <c r="S1011" s="389"/>
      <c r="T1011" s="389"/>
      <c r="U1011" s="389"/>
      <c r="V1011" s="389"/>
      <c r="W1011" s="390"/>
      <c r="X1011" s="390"/>
      <c r="Y1011" s="390"/>
      <c r="Z1011" s="390"/>
      <c r="AA1011" s="390"/>
      <c r="AB1011" s="390"/>
      <c r="AC1011" s="375"/>
      <c r="AD1011" s="375"/>
      <c r="AE1011" s="375"/>
      <c r="AF1011" s="375"/>
    </row>
    <row r="1012" spans="18:32">
      <c r="R1012" s="389"/>
      <c r="S1012" s="389"/>
      <c r="T1012" s="389"/>
      <c r="U1012" s="389"/>
      <c r="V1012" s="389"/>
      <c r="W1012" s="390"/>
      <c r="X1012" s="390"/>
      <c r="Y1012" s="390"/>
      <c r="Z1012" s="390"/>
      <c r="AA1012" s="390"/>
      <c r="AB1012" s="390"/>
      <c r="AC1012" s="375"/>
      <c r="AD1012" s="375"/>
      <c r="AE1012" s="375"/>
      <c r="AF1012" s="375"/>
    </row>
    <row r="1013" spans="18:32">
      <c r="R1013" s="389"/>
      <c r="S1013" s="389"/>
      <c r="T1013" s="389"/>
      <c r="U1013" s="389"/>
      <c r="V1013" s="389"/>
      <c r="W1013" s="390"/>
      <c r="X1013" s="390"/>
      <c r="Y1013" s="390"/>
      <c r="Z1013" s="390"/>
      <c r="AA1013" s="390"/>
      <c r="AB1013" s="390"/>
      <c r="AC1013" s="375"/>
      <c r="AD1013" s="375"/>
      <c r="AE1013" s="375"/>
      <c r="AF1013" s="375"/>
    </row>
    <row r="1014" spans="18:32">
      <c r="R1014" s="389"/>
      <c r="S1014" s="389"/>
      <c r="T1014" s="389"/>
      <c r="U1014" s="389"/>
      <c r="V1014" s="389"/>
      <c r="W1014" s="390"/>
      <c r="X1014" s="390"/>
      <c r="Y1014" s="390"/>
      <c r="Z1014" s="390"/>
      <c r="AA1014" s="390"/>
      <c r="AB1014" s="390"/>
      <c r="AC1014" s="375"/>
      <c r="AD1014" s="375"/>
      <c r="AE1014" s="375"/>
      <c r="AF1014" s="375"/>
    </row>
    <row r="1015" spans="18:32">
      <c r="R1015" s="389"/>
      <c r="S1015" s="389"/>
      <c r="T1015" s="389"/>
      <c r="U1015" s="389"/>
      <c r="V1015" s="389"/>
      <c r="W1015" s="390"/>
      <c r="X1015" s="390"/>
      <c r="Y1015" s="390"/>
      <c r="Z1015" s="390"/>
      <c r="AA1015" s="390"/>
      <c r="AB1015" s="390"/>
      <c r="AC1015" s="375"/>
      <c r="AD1015" s="375"/>
      <c r="AE1015" s="375"/>
      <c r="AF1015" s="375"/>
    </row>
    <row r="1016" spans="18:32">
      <c r="R1016" s="389"/>
      <c r="S1016" s="389"/>
      <c r="T1016" s="389"/>
      <c r="U1016" s="389"/>
      <c r="V1016" s="389"/>
      <c r="W1016" s="390"/>
      <c r="X1016" s="390"/>
      <c r="Y1016" s="390"/>
      <c r="Z1016" s="390"/>
      <c r="AA1016" s="390"/>
      <c r="AB1016" s="390"/>
      <c r="AC1016" s="375"/>
      <c r="AD1016" s="375"/>
      <c r="AE1016" s="375"/>
      <c r="AF1016" s="375"/>
    </row>
    <row r="1017" spans="18:32">
      <c r="R1017" s="389"/>
      <c r="S1017" s="389"/>
      <c r="T1017" s="389"/>
      <c r="U1017" s="389"/>
      <c r="V1017" s="389"/>
      <c r="W1017" s="390"/>
      <c r="X1017" s="390"/>
      <c r="Y1017" s="390"/>
      <c r="Z1017" s="390"/>
      <c r="AA1017" s="390"/>
      <c r="AB1017" s="390"/>
      <c r="AC1017" s="375"/>
      <c r="AD1017" s="375"/>
      <c r="AE1017" s="375"/>
      <c r="AF1017" s="375"/>
    </row>
    <row r="1018" spans="18:32">
      <c r="R1018" s="389"/>
      <c r="S1018" s="389"/>
      <c r="T1018" s="389"/>
      <c r="U1018" s="389"/>
      <c r="V1018" s="389"/>
      <c r="W1018" s="390"/>
      <c r="X1018" s="390"/>
      <c r="Y1018" s="390"/>
      <c r="Z1018" s="390"/>
      <c r="AA1018" s="390"/>
      <c r="AB1018" s="390"/>
      <c r="AC1018" s="375"/>
      <c r="AD1018" s="375"/>
      <c r="AE1018" s="375"/>
      <c r="AF1018" s="375"/>
    </row>
    <row r="1019" spans="18:32">
      <c r="R1019" s="389"/>
      <c r="S1019" s="389"/>
      <c r="T1019" s="389"/>
      <c r="U1019" s="389"/>
      <c r="V1019" s="389"/>
      <c r="W1019" s="390"/>
      <c r="X1019" s="390"/>
      <c r="Y1019" s="390"/>
      <c r="Z1019" s="390"/>
      <c r="AA1019" s="390"/>
      <c r="AB1019" s="390"/>
      <c r="AC1019" s="375"/>
      <c r="AD1019" s="375"/>
      <c r="AE1019" s="375"/>
      <c r="AF1019" s="375"/>
    </row>
    <row r="1020" spans="18:32">
      <c r="R1020" s="389"/>
      <c r="S1020" s="389"/>
      <c r="T1020" s="389"/>
      <c r="U1020" s="389"/>
      <c r="V1020" s="389"/>
      <c r="W1020" s="390"/>
      <c r="X1020" s="390"/>
      <c r="Y1020" s="390"/>
      <c r="Z1020" s="390"/>
      <c r="AA1020" s="390"/>
      <c r="AB1020" s="390"/>
      <c r="AC1020" s="375"/>
      <c r="AD1020" s="375"/>
      <c r="AE1020" s="375"/>
      <c r="AF1020" s="375"/>
    </row>
    <row r="1021" spans="18:32">
      <c r="R1021" s="389"/>
      <c r="S1021" s="389"/>
      <c r="T1021" s="389"/>
      <c r="U1021" s="389"/>
      <c r="V1021" s="389"/>
      <c r="W1021" s="390"/>
      <c r="X1021" s="390"/>
      <c r="Y1021" s="390"/>
      <c r="Z1021" s="390"/>
      <c r="AA1021" s="390"/>
      <c r="AB1021" s="390"/>
      <c r="AC1021" s="375"/>
      <c r="AD1021" s="375"/>
      <c r="AE1021" s="375"/>
      <c r="AF1021" s="375"/>
    </row>
    <row r="1022" spans="18:32">
      <c r="R1022" s="389"/>
      <c r="S1022" s="389"/>
      <c r="T1022" s="389"/>
      <c r="U1022" s="389"/>
      <c r="V1022" s="389"/>
      <c r="W1022" s="390"/>
      <c r="X1022" s="390"/>
      <c r="Y1022" s="390"/>
      <c r="Z1022" s="390"/>
      <c r="AA1022" s="390"/>
      <c r="AB1022" s="390"/>
      <c r="AC1022" s="375"/>
      <c r="AD1022" s="375"/>
      <c r="AE1022" s="375"/>
      <c r="AF1022" s="375"/>
    </row>
    <row r="1023" spans="18:32">
      <c r="R1023" s="389"/>
      <c r="S1023" s="389"/>
      <c r="T1023" s="389"/>
      <c r="U1023" s="389"/>
      <c r="V1023" s="389"/>
      <c r="W1023" s="390"/>
      <c r="X1023" s="390"/>
      <c r="Y1023" s="390"/>
      <c r="Z1023" s="390"/>
      <c r="AA1023" s="390"/>
      <c r="AB1023" s="390"/>
      <c r="AC1023" s="375"/>
      <c r="AD1023" s="375"/>
      <c r="AE1023" s="375"/>
      <c r="AF1023" s="375"/>
    </row>
    <row r="1024" spans="18:32">
      <c r="R1024" s="389"/>
      <c r="S1024" s="389"/>
      <c r="T1024" s="389"/>
      <c r="U1024" s="389"/>
      <c r="V1024" s="389"/>
      <c r="W1024" s="390"/>
      <c r="X1024" s="390"/>
      <c r="Y1024" s="390"/>
      <c r="Z1024" s="390"/>
      <c r="AA1024" s="390"/>
      <c r="AB1024" s="390"/>
      <c r="AC1024" s="375"/>
      <c r="AD1024" s="375"/>
      <c r="AE1024" s="375"/>
      <c r="AF1024" s="375"/>
    </row>
    <row r="1025" spans="18:32">
      <c r="R1025" s="389"/>
      <c r="S1025" s="389"/>
      <c r="T1025" s="389"/>
      <c r="U1025" s="389"/>
      <c r="V1025" s="389"/>
      <c r="W1025" s="390"/>
      <c r="X1025" s="390"/>
      <c r="Y1025" s="390"/>
      <c r="Z1025" s="390"/>
      <c r="AA1025" s="390"/>
      <c r="AB1025" s="390"/>
      <c r="AC1025" s="375"/>
      <c r="AD1025" s="375"/>
      <c r="AE1025" s="375"/>
      <c r="AF1025" s="375"/>
    </row>
    <row r="1026" spans="18:32">
      <c r="R1026" s="389"/>
      <c r="S1026" s="389"/>
      <c r="T1026" s="389"/>
      <c r="U1026" s="389"/>
      <c r="V1026" s="389"/>
      <c r="W1026" s="390"/>
      <c r="X1026" s="390"/>
      <c r="Y1026" s="390"/>
      <c r="Z1026" s="390"/>
      <c r="AA1026" s="390"/>
      <c r="AB1026" s="390"/>
      <c r="AC1026" s="375"/>
      <c r="AD1026" s="375"/>
      <c r="AE1026" s="375"/>
      <c r="AF1026" s="375"/>
    </row>
    <row r="1027" spans="18:32">
      <c r="R1027" s="389"/>
      <c r="S1027" s="389"/>
      <c r="T1027" s="389"/>
      <c r="U1027" s="389"/>
      <c r="V1027" s="389"/>
      <c r="W1027" s="390"/>
      <c r="X1027" s="390"/>
      <c r="Y1027" s="390"/>
      <c r="Z1027" s="390"/>
      <c r="AA1027" s="390"/>
      <c r="AB1027" s="390"/>
      <c r="AC1027" s="375"/>
      <c r="AD1027" s="375"/>
      <c r="AE1027" s="375"/>
      <c r="AF1027" s="375"/>
    </row>
    <row r="1028" spans="18:32">
      <c r="R1028" s="389"/>
      <c r="S1028" s="389"/>
      <c r="T1028" s="389"/>
      <c r="U1028" s="389"/>
      <c r="V1028" s="389"/>
      <c r="W1028" s="390"/>
      <c r="X1028" s="390"/>
      <c r="Y1028" s="390"/>
      <c r="Z1028" s="390"/>
      <c r="AA1028" s="390"/>
      <c r="AB1028" s="390"/>
      <c r="AC1028" s="375"/>
      <c r="AD1028" s="375"/>
      <c r="AE1028" s="375"/>
      <c r="AF1028" s="375"/>
    </row>
    <row r="1029" spans="18:32">
      <c r="R1029" s="389"/>
      <c r="S1029" s="389"/>
      <c r="T1029" s="389"/>
      <c r="U1029" s="389"/>
      <c r="V1029" s="389"/>
      <c r="W1029" s="390"/>
      <c r="X1029" s="390"/>
      <c r="Y1029" s="390"/>
      <c r="Z1029" s="390"/>
      <c r="AA1029" s="390"/>
      <c r="AB1029" s="390"/>
      <c r="AC1029" s="375"/>
      <c r="AD1029" s="375"/>
      <c r="AE1029" s="375"/>
      <c r="AF1029" s="375"/>
    </row>
    <row r="1030" spans="18:32">
      <c r="R1030" s="389"/>
      <c r="S1030" s="389"/>
      <c r="T1030" s="389"/>
      <c r="U1030" s="389"/>
      <c r="V1030" s="389"/>
      <c r="W1030" s="390"/>
      <c r="X1030" s="390"/>
      <c r="Y1030" s="390"/>
      <c r="Z1030" s="390"/>
      <c r="AA1030" s="390"/>
      <c r="AB1030" s="390"/>
      <c r="AC1030" s="375"/>
      <c r="AD1030" s="375"/>
      <c r="AE1030" s="375"/>
      <c r="AF1030" s="375"/>
    </row>
    <row r="1031" spans="18:32">
      <c r="R1031" s="389"/>
      <c r="S1031" s="389"/>
      <c r="T1031" s="389"/>
      <c r="U1031" s="389"/>
      <c r="V1031" s="389"/>
      <c r="W1031" s="390"/>
      <c r="X1031" s="390"/>
      <c r="Y1031" s="390"/>
      <c r="Z1031" s="390"/>
      <c r="AA1031" s="390"/>
      <c r="AB1031" s="390"/>
      <c r="AC1031" s="375"/>
      <c r="AD1031" s="375"/>
      <c r="AE1031" s="375"/>
      <c r="AF1031" s="375"/>
    </row>
    <row r="1032" spans="18:32">
      <c r="R1032" s="389"/>
      <c r="S1032" s="389"/>
      <c r="T1032" s="389"/>
      <c r="U1032" s="389"/>
      <c r="V1032" s="389"/>
      <c r="W1032" s="390"/>
      <c r="X1032" s="390"/>
      <c r="Y1032" s="390"/>
      <c r="Z1032" s="390"/>
      <c r="AA1032" s="390"/>
      <c r="AB1032" s="390"/>
      <c r="AC1032" s="375"/>
      <c r="AD1032" s="375"/>
      <c r="AE1032" s="375"/>
      <c r="AF1032" s="375"/>
    </row>
    <row r="1033" spans="18:32">
      <c r="R1033" s="389"/>
      <c r="S1033" s="389"/>
      <c r="T1033" s="389"/>
      <c r="U1033" s="389"/>
      <c r="V1033" s="389"/>
      <c r="W1033" s="390"/>
      <c r="X1033" s="390"/>
      <c r="Y1033" s="390"/>
      <c r="Z1033" s="390"/>
      <c r="AA1033" s="390"/>
      <c r="AB1033" s="390"/>
      <c r="AC1033" s="375"/>
      <c r="AD1033" s="375"/>
      <c r="AE1033" s="375"/>
      <c r="AF1033" s="375"/>
    </row>
    <row r="1034" spans="18:32">
      <c r="R1034" s="389"/>
      <c r="S1034" s="389"/>
      <c r="T1034" s="389"/>
      <c r="U1034" s="389"/>
      <c r="V1034" s="389"/>
      <c r="W1034" s="390"/>
      <c r="X1034" s="390"/>
      <c r="Y1034" s="390"/>
      <c r="Z1034" s="390"/>
      <c r="AA1034" s="390"/>
      <c r="AB1034" s="390"/>
      <c r="AC1034" s="375"/>
      <c r="AD1034" s="375"/>
      <c r="AE1034" s="375"/>
      <c r="AF1034" s="375"/>
    </row>
    <row r="1035" spans="18:32">
      <c r="R1035" s="389"/>
      <c r="S1035" s="389"/>
      <c r="T1035" s="389"/>
      <c r="U1035" s="389"/>
      <c r="V1035" s="389"/>
      <c r="W1035" s="390"/>
      <c r="X1035" s="390"/>
      <c r="Y1035" s="390"/>
      <c r="Z1035" s="390"/>
      <c r="AA1035" s="390"/>
      <c r="AB1035" s="390"/>
      <c r="AC1035" s="375"/>
      <c r="AD1035" s="375"/>
      <c r="AE1035" s="375"/>
      <c r="AF1035" s="375"/>
    </row>
    <row r="1036" spans="18:32">
      <c r="R1036" s="389"/>
      <c r="S1036" s="389"/>
      <c r="T1036" s="389"/>
      <c r="U1036" s="389"/>
      <c r="V1036" s="389"/>
      <c r="W1036" s="390"/>
      <c r="X1036" s="390"/>
      <c r="Y1036" s="390"/>
      <c r="Z1036" s="390"/>
      <c r="AA1036" s="390"/>
      <c r="AB1036" s="390"/>
      <c r="AC1036" s="375"/>
      <c r="AD1036" s="375"/>
      <c r="AE1036" s="375"/>
      <c r="AF1036" s="375"/>
    </row>
    <row r="1037" spans="18:32">
      <c r="R1037" s="389"/>
      <c r="S1037" s="389"/>
      <c r="T1037" s="389"/>
      <c r="U1037" s="389"/>
      <c r="V1037" s="389"/>
      <c r="W1037" s="390"/>
      <c r="X1037" s="390"/>
      <c r="Y1037" s="390"/>
      <c r="Z1037" s="390"/>
      <c r="AA1037" s="390"/>
      <c r="AB1037" s="390"/>
      <c r="AC1037" s="375"/>
      <c r="AD1037" s="375"/>
      <c r="AE1037" s="375"/>
      <c r="AF1037" s="375"/>
    </row>
    <row r="1038" spans="18:32">
      <c r="R1038" s="389"/>
      <c r="S1038" s="389"/>
      <c r="T1038" s="389"/>
      <c r="U1038" s="389"/>
      <c r="V1038" s="389"/>
      <c r="W1038" s="390"/>
      <c r="X1038" s="390"/>
      <c r="Y1038" s="390"/>
      <c r="Z1038" s="390"/>
      <c r="AA1038" s="390"/>
      <c r="AB1038" s="390"/>
      <c r="AC1038" s="375"/>
      <c r="AD1038" s="375"/>
      <c r="AE1038" s="375"/>
      <c r="AF1038" s="375"/>
    </row>
    <row r="1039" spans="18:32">
      <c r="R1039" s="389"/>
      <c r="S1039" s="389"/>
      <c r="T1039" s="389"/>
      <c r="U1039" s="389"/>
      <c r="V1039" s="389"/>
      <c r="W1039" s="390"/>
      <c r="X1039" s="390"/>
      <c r="Y1039" s="390"/>
      <c r="Z1039" s="390"/>
      <c r="AA1039" s="390"/>
      <c r="AB1039" s="390"/>
      <c r="AC1039" s="375"/>
      <c r="AD1039" s="375"/>
      <c r="AE1039" s="375"/>
      <c r="AF1039" s="375"/>
    </row>
    <row r="1040" spans="18:32">
      <c r="R1040" s="389"/>
      <c r="S1040" s="389"/>
      <c r="T1040" s="389"/>
      <c r="U1040" s="389"/>
      <c r="V1040" s="389"/>
      <c r="W1040" s="390"/>
      <c r="X1040" s="390"/>
      <c r="Y1040" s="390"/>
      <c r="Z1040" s="390"/>
      <c r="AA1040" s="390"/>
      <c r="AB1040" s="390"/>
      <c r="AC1040" s="375"/>
      <c r="AD1040" s="375"/>
      <c r="AE1040" s="375"/>
      <c r="AF1040" s="375"/>
    </row>
    <row r="1041" spans="18:32">
      <c r="R1041" s="389"/>
      <c r="S1041" s="389"/>
      <c r="T1041" s="389"/>
      <c r="U1041" s="389"/>
      <c r="V1041" s="389"/>
      <c r="W1041" s="390"/>
      <c r="X1041" s="390"/>
      <c r="Y1041" s="390"/>
      <c r="Z1041" s="390"/>
      <c r="AA1041" s="390"/>
      <c r="AB1041" s="390"/>
      <c r="AC1041" s="375"/>
      <c r="AD1041" s="375"/>
      <c r="AE1041" s="375"/>
      <c r="AF1041" s="375"/>
    </row>
    <row r="1042" spans="18:32">
      <c r="R1042" s="389"/>
      <c r="S1042" s="389"/>
      <c r="T1042" s="389"/>
      <c r="U1042" s="389"/>
      <c r="V1042" s="389"/>
      <c r="W1042" s="390"/>
      <c r="X1042" s="390"/>
      <c r="Y1042" s="390"/>
      <c r="Z1042" s="390"/>
      <c r="AA1042" s="390"/>
      <c r="AB1042" s="390"/>
      <c r="AC1042" s="375"/>
      <c r="AD1042" s="375"/>
      <c r="AE1042" s="375"/>
      <c r="AF1042" s="375"/>
    </row>
    <row r="1043" spans="18:32">
      <c r="R1043" s="389"/>
      <c r="S1043" s="389"/>
      <c r="T1043" s="389"/>
      <c r="U1043" s="389"/>
      <c r="V1043" s="389"/>
      <c r="W1043" s="390"/>
      <c r="X1043" s="390"/>
      <c r="Y1043" s="390"/>
      <c r="Z1043" s="390"/>
      <c r="AA1043" s="390"/>
      <c r="AB1043" s="390"/>
      <c r="AC1043" s="375"/>
      <c r="AD1043" s="375"/>
      <c r="AE1043" s="375"/>
      <c r="AF1043" s="375"/>
    </row>
    <row r="1044" spans="18:32">
      <c r="R1044" s="389"/>
      <c r="S1044" s="389"/>
      <c r="T1044" s="389"/>
      <c r="U1044" s="389"/>
      <c r="V1044" s="389"/>
      <c r="W1044" s="390"/>
      <c r="X1044" s="390"/>
      <c r="Y1044" s="390"/>
      <c r="Z1044" s="390"/>
      <c r="AA1044" s="390"/>
      <c r="AB1044" s="390"/>
      <c r="AC1044" s="375"/>
      <c r="AD1044" s="375"/>
      <c r="AE1044" s="375"/>
      <c r="AF1044" s="375"/>
    </row>
    <row r="1045" spans="18:32">
      <c r="R1045" s="389"/>
      <c r="S1045" s="389"/>
      <c r="T1045" s="389"/>
      <c r="U1045" s="389"/>
      <c r="V1045" s="389"/>
      <c r="W1045" s="390"/>
      <c r="X1045" s="390"/>
      <c r="Y1045" s="390"/>
      <c r="Z1045" s="390"/>
      <c r="AA1045" s="390"/>
      <c r="AB1045" s="390"/>
      <c r="AC1045" s="375"/>
      <c r="AD1045" s="375"/>
      <c r="AE1045" s="375"/>
      <c r="AF1045" s="375"/>
    </row>
    <row r="1046" spans="18:32">
      <c r="R1046" s="389"/>
      <c r="S1046" s="389"/>
      <c r="T1046" s="389"/>
      <c r="U1046" s="389"/>
      <c r="V1046" s="389"/>
      <c r="W1046" s="390"/>
      <c r="X1046" s="390"/>
      <c r="Y1046" s="390"/>
      <c r="Z1046" s="390"/>
      <c r="AA1046" s="390"/>
      <c r="AB1046" s="390"/>
      <c r="AC1046" s="375"/>
      <c r="AD1046" s="375"/>
      <c r="AE1046" s="375"/>
      <c r="AF1046" s="375"/>
    </row>
    <row r="1047" spans="18:32">
      <c r="R1047" s="389"/>
      <c r="S1047" s="389"/>
      <c r="T1047" s="389"/>
      <c r="U1047" s="389"/>
      <c r="V1047" s="389"/>
      <c r="W1047" s="390"/>
      <c r="X1047" s="390"/>
      <c r="Y1047" s="390"/>
      <c r="Z1047" s="390"/>
      <c r="AA1047" s="390"/>
      <c r="AB1047" s="390"/>
      <c r="AC1047" s="375"/>
      <c r="AD1047" s="375"/>
      <c r="AE1047" s="375"/>
      <c r="AF1047" s="375"/>
    </row>
    <row r="1048" spans="18:32">
      <c r="R1048" s="389"/>
      <c r="S1048" s="389"/>
      <c r="T1048" s="389"/>
      <c r="U1048" s="389"/>
      <c r="V1048" s="389"/>
      <c r="W1048" s="390"/>
      <c r="X1048" s="390"/>
      <c r="Y1048" s="390"/>
      <c r="Z1048" s="390"/>
      <c r="AA1048" s="390"/>
      <c r="AB1048" s="390"/>
      <c r="AC1048" s="375"/>
      <c r="AD1048" s="375"/>
      <c r="AE1048" s="375"/>
      <c r="AF1048" s="375"/>
    </row>
    <row r="1049" spans="18:32">
      <c r="R1049" s="389"/>
      <c r="S1049" s="389"/>
      <c r="T1049" s="389"/>
      <c r="U1049" s="389"/>
      <c r="V1049" s="389"/>
      <c r="W1049" s="390"/>
      <c r="X1049" s="390"/>
      <c r="Y1049" s="390"/>
      <c r="Z1049" s="390"/>
      <c r="AA1049" s="390"/>
      <c r="AB1049" s="390"/>
      <c r="AC1049" s="375"/>
      <c r="AD1049" s="375"/>
      <c r="AE1049" s="375"/>
      <c r="AF1049" s="375"/>
    </row>
    <row r="1050" spans="18:32">
      <c r="R1050" s="389"/>
      <c r="S1050" s="389"/>
      <c r="T1050" s="389"/>
      <c r="U1050" s="389"/>
      <c r="V1050" s="389"/>
      <c r="W1050" s="390"/>
      <c r="X1050" s="390"/>
      <c r="Y1050" s="390"/>
      <c r="Z1050" s="390"/>
      <c r="AA1050" s="390"/>
      <c r="AB1050" s="390"/>
      <c r="AC1050" s="375"/>
      <c r="AD1050" s="375"/>
      <c r="AE1050" s="375"/>
      <c r="AF1050" s="375"/>
    </row>
    <row r="1051" spans="18:32">
      <c r="R1051" s="389"/>
      <c r="S1051" s="389"/>
      <c r="T1051" s="389"/>
      <c r="U1051" s="389"/>
      <c r="V1051" s="389"/>
      <c r="W1051" s="390"/>
      <c r="X1051" s="390"/>
      <c r="Y1051" s="390"/>
      <c r="Z1051" s="390"/>
      <c r="AA1051" s="390"/>
      <c r="AB1051" s="390"/>
      <c r="AC1051" s="375"/>
      <c r="AD1051" s="375"/>
      <c r="AE1051" s="375"/>
      <c r="AF1051" s="375"/>
    </row>
    <row r="1052" spans="18:32">
      <c r="R1052" s="389"/>
      <c r="S1052" s="389"/>
      <c r="T1052" s="389"/>
      <c r="U1052" s="389"/>
      <c r="V1052" s="389"/>
      <c r="W1052" s="390"/>
      <c r="X1052" s="390"/>
      <c r="Y1052" s="390"/>
      <c r="Z1052" s="390"/>
      <c r="AA1052" s="390"/>
      <c r="AB1052" s="390"/>
      <c r="AC1052" s="375"/>
      <c r="AD1052" s="375"/>
      <c r="AE1052" s="375"/>
      <c r="AF1052" s="375"/>
    </row>
    <row r="1053" spans="18:32">
      <c r="R1053" s="389"/>
      <c r="S1053" s="389"/>
      <c r="T1053" s="389"/>
      <c r="U1053" s="389"/>
      <c r="V1053" s="389"/>
      <c r="W1053" s="390"/>
      <c r="X1053" s="390"/>
      <c r="Y1053" s="390"/>
      <c r="Z1053" s="390"/>
      <c r="AA1053" s="390"/>
      <c r="AB1053" s="390"/>
      <c r="AC1053" s="375"/>
      <c r="AD1053" s="375"/>
      <c r="AE1053" s="375"/>
      <c r="AF1053" s="375"/>
    </row>
    <row r="1054" spans="18:32">
      <c r="R1054" s="389"/>
      <c r="S1054" s="389"/>
      <c r="T1054" s="389"/>
      <c r="U1054" s="389"/>
      <c r="V1054" s="389"/>
      <c r="W1054" s="390"/>
      <c r="X1054" s="390"/>
      <c r="Y1054" s="390"/>
      <c r="Z1054" s="390"/>
      <c r="AA1054" s="390"/>
      <c r="AB1054" s="390"/>
      <c r="AC1054" s="375"/>
      <c r="AD1054" s="375"/>
      <c r="AE1054" s="375"/>
      <c r="AF1054" s="375"/>
    </row>
    <row r="1055" spans="18:32">
      <c r="R1055" s="389"/>
      <c r="S1055" s="389"/>
      <c r="T1055" s="389"/>
      <c r="U1055" s="389"/>
      <c r="V1055" s="389"/>
      <c r="W1055" s="390"/>
      <c r="X1055" s="390"/>
      <c r="Y1055" s="390"/>
      <c r="Z1055" s="390"/>
      <c r="AA1055" s="390"/>
      <c r="AB1055" s="390"/>
      <c r="AC1055" s="375"/>
      <c r="AD1055" s="375"/>
      <c r="AE1055" s="375"/>
      <c r="AF1055" s="375"/>
    </row>
    <row r="1056" spans="18:32">
      <c r="R1056" s="389"/>
      <c r="S1056" s="389"/>
      <c r="T1056" s="389"/>
      <c r="U1056" s="389"/>
      <c r="V1056" s="389"/>
      <c r="W1056" s="390"/>
      <c r="X1056" s="390"/>
      <c r="Y1056" s="390"/>
      <c r="Z1056" s="390"/>
      <c r="AA1056" s="390"/>
      <c r="AB1056" s="390"/>
      <c r="AC1056" s="375"/>
      <c r="AD1056" s="375"/>
      <c r="AE1056" s="375"/>
      <c r="AF1056" s="375"/>
    </row>
    <row r="1057" spans="18:32">
      <c r="R1057" s="389"/>
      <c r="S1057" s="389"/>
      <c r="T1057" s="389"/>
      <c r="U1057" s="389"/>
      <c r="V1057" s="389"/>
      <c r="W1057" s="390"/>
      <c r="X1057" s="390"/>
      <c r="Y1057" s="390"/>
      <c r="Z1057" s="390"/>
      <c r="AA1057" s="390"/>
      <c r="AB1057" s="390"/>
      <c r="AC1057" s="375"/>
      <c r="AD1057" s="375"/>
      <c r="AE1057" s="375"/>
      <c r="AF1057" s="375"/>
    </row>
    <row r="1058" spans="18:32">
      <c r="R1058" s="389"/>
      <c r="S1058" s="389"/>
      <c r="T1058" s="389"/>
      <c r="U1058" s="389"/>
      <c r="V1058" s="389"/>
      <c r="W1058" s="390"/>
      <c r="X1058" s="390"/>
      <c r="Y1058" s="390"/>
      <c r="Z1058" s="390"/>
      <c r="AA1058" s="390"/>
      <c r="AB1058" s="390"/>
      <c r="AC1058" s="375"/>
      <c r="AD1058" s="375"/>
      <c r="AE1058" s="375"/>
      <c r="AF1058" s="375"/>
    </row>
    <row r="1059" spans="18:32">
      <c r="R1059" s="389"/>
      <c r="S1059" s="389"/>
      <c r="T1059" s="389"/>
      <c r="U1059" s="389"/>
      <c r="V1059" s="389"/>
      <c r="W1059" s="390"/>
      <c r="X1059" s="390"/>
      <c r="Y1059" s="390"/>
      <c r="Z1059" s="390"/>
      <c r="AA1059" s="390"/>
      <c r="AB1059" s="390"/>
      <c r="AC1059" s="375"/>
      <c r="AD1059" s="375"/>
      <c r="AE1059" s="375"/>
      <c r="AF1059" s="375"/>
    </row>
    <row r="1060" spans="18:32">
      <c r="R1060" s="389"/>
      <c r="S1060" s="389"/>
      <c r="T1060" s="389"/>
      <c r="U1060" s="389"/>
      <c r="V1060" s="389"/>
      <c r="W1060" s="390"/>
      <c r="X1060" s="390"/>
      <c r="Y1060" s="390"/>
      <c r="Z1060" s="390"/>
      <c r="AA1060" s="390"/>
      <c r="AB1060" s="390"/>
      <c r="AC1060" s="375"/>
      <c r="AD1060" s="375"/>
      <c r="AE1060" s="375"/>
      <c r="AF1060" s="375"/>
    </row>
    <row r="1061" spans="18:32">
      <c r="R1061" s="389"/>
      <c r="S1061" s="389"/>
      <c r="T1061" s="389"/>
      <c r="U1061" s="389"/>
      <c r="V1061" s="389"/>
      <c r="W1061" s="390"/>
      <c r="X1061" s="390"/>
      <c r="Y1061" s="390"/>
      <c r="Z1061" s="390"/>
      <c r="AA1061" s="390"/>
      <c r="AB1061" s="390"/>
      <c r="AC1061" s="375"/>
      <c r="AD1061" s="375"/>
      <c r="AE1061" s="375"/>
      <c r="AF1061" s="375"/>
    </row>
    <row r="1062" spans="18:32">
      <c r="R1062" s="389"/>
      <c r="S1062" s="389"/>
      <c r="T1062" s="389"/>
      <c r="U1062" s="389"/>
      <c r="V1062" s="389"/>
      <c r="W1062" s="390"/>
      <c r="X1062" s="390"/>
      <c r="Y1062" s="390"/>
      <c r="Z1062" s="390"/>
      <c r="AA1062" s="390"/>
      <c r="AB1062" s="390"/>
      <c r="AC1062" s="375"/>
      <c r="AD1062" s="375"/>
      <c r="AE1062" s="375"/>
      <c r="AF1062" s="375"/>
    </row>
    <row r="1063" spans="18:32">
      <c r="R1063" s="389"/>
      <c r="S1063" s="389"/>
      <c r="T1063" s="389"/>
      <c r="U1063" s="389"/>
      <c r="V1063" s="389"/>
      <c r="W1063" s="390"/>
      <c r="X1063" s="390"/>
      <c r="Y1063" s="390"/>
      <c r="Z1063" s="390"/>
      <c r="AA1063" s="390"/>
      <c r="AB1063" s="390"/>
      <c r="AC1063" s="375"/>
      <c r="AD1063" s="375"/>
      <c r="AE1063" s="375"/>
      <c r="AF1063" s="375"/>
    </row>
    <row r="1064" spans="18:32">
      <c r="R1064" s="389"/>
      <c r="S1064" s="389"/>
      <c r="T1064" s="389"/>
      <c r="U1064" s="389"/>
      <c r="V1064" s="389"/>
      <c r="W1064" s="390"/>
      <c r="X1064" s="390"/>
      <c r="Y1064" s="390"/>
      <c r="Z1064" s="390"/>
      <c r="AA1064" s="390"/>
      <c r="AB1064" s="390"/>
      <c r="AC1064" s="375"/>
      <c r="AD1064" s="375"/>
      <c r="AE1064" s="375"/>
      <c r="AF1064" s="375"/>
    </row>
    <row r="1065" spans="18:32">
      <c r="R1065" s="389"/>
      <c r="S1065" s="389"/>
      <c r="T1065" s="389"/>
      <c r="U1065" s="389"/>
      <c r="V1065" s="389"/>
      <c r="W1065" s="390"/>
      <c r="X1065" s="390"/>
      <c r="Y1065" s="390"/>
      <c r="Z1065" s="390"/>
      <c r="AA1065" s="390"/>
      <c r="AB1065" s="390"/>
      <c r="AC1065" s="375"/>
      <c r="AD1065" s="375"/>
      <c r="AE1065" s="375"/>
      <c r="AF1065" s="375"/>
    </row>
    <row r="1066" spans="18:32">
      <c r="R1066" s="389"/>
      <c r="S1066" s="389"/>
      <c r="T1066" s="389"/>
      <c r="U1066" s="389"/>
      <c r="V1066" s="389"/>
      <c r="W1066" s="390"/>
      <c r="X1066" s="390"/>
      <c r="Y1066" s="390"/>
      <c r="Z1066" s="390"/>
      <c r="AA1066" s="390"/>
      <c r="AB1066" s="390"/>
      <c r="AC1066" s="375"/>
      <c r="AD1066" s="375"/>
      <c r="AE1066" s="375"/>
      <c r="AF1066" s="375"/>
    </row>
    <row r="1067" spans="18:32">
      <c r="R1067" s="389"/>
      <c r="S1067" s="389"/>
      <c r="T1067" s="389"/>
      <c r="U1067" s="389"/>
      <c r="V1067" s="389"/>
      <c r="W1067" s="390"/>
      <c r="X1067" s="390"/>
      <c r="Y1067" s="390"/>
      <c r="Z1067" s="390"/>
      <c r="AA1067" s="390"/>
      <c r="AB1067" s="390"/>
      <c r="AC1067" s="375"/>
      <c r="AD1067" s="375"/>
      <c r="AE1067" s="375"/>
      <c r="AF1067" s="375"/>
    </row>
    <row r="1068" spans="18:32">
      <c r="R1068" s="389"/>
      <c r="S1068" s="389"/>
      <c r="T1068" s="389"/>
      <c r="U1068" s="389"/>
      <c r="V1068" s="389"/>
      <c r="W1068" s="390"/>
      <c r="X1068" s="390"/>
      <c r="Y1068" s="390"/>
      <c r="Z1068" s="390"/>
      <c r="AA1068" s="390"/>
      <c r="AB1068" s="390"/>
      <c r="AC1068" s="375"/>
      <c r="AD1068" s="375"/>
      <c r="AE1068" s="375"/>
      <c r="AF1068" s="375"/>
    </row>
    <row r="1069" spans="18:32">
      <c r="R1069" s="389"/>
      <c r="S1069" s="389"/>
      <c r="T1069" s="389"/>
      <c r="U1069" s="389"/>
      <c r="V1069" s="389"/>
      <c r="W1069" s="390"/>
      <c r="X1069" s="390"/>
      <c r="Y1069" s="390"/>
      <c r="Z1069" s="390"/>
      <c r="AA1069" s="390"/>
      <c r="AB1069" s="390"/>
      <c r="AC1069" s="375"/>
      <c r="AD1069" s="375"/>
      <c r="AE1069" s="375"/>
      <c r="AF1069" s="375"/>
    </row>
    <row r="1070" spans="18:32">
      <c r="R1070" s="389"/>
      <c r="S1070" s="389"/>
      <c r="T1070" s="389"/>
      <c r="U1070" s="389"/>
      <c r="V1070" s="389"/>
      <c r="W1070" s="390"/>
      <c r="X1070" s="390"/>
      <c r="Y1070" s="390"/>
      <c r="Z1070" s="390"/>
      <c r="AA1070" s="390"/>
      <c r="AB1070" s="390"/>
      <c r="AC1070" s="375"/>
      <c r="AD1070" s="375"/>
      <c r="AE1070" s="375"/>
      <c r="AF1070" s="375"/>
    </row>
    <row r="1071" spans="18:32">
      <c r="R1071" s="389"/>
      <c r="S1071" s="389"/>
      <c r="T1071" s="389"/>
      <c r="U1071" s="389"/>
      <c r="V1071" s="389"/>
      <c r="W1071" s="390"/>
      <c r="X1071" s="390"/>
      <c r="Y1071" s="390"/>
      <c r="Z1071" s="390"/>
      <c r="AA1071" s="390"/>
      <c r="AB1071" s="390"/>
      <c r="AC1071" s="375"/>
      <c r="AD1071" s="375"/>
      <c r="AE1071" s="375"/>
      <c r="AF1071" s="375"/>
    </row>
    <row r="1072" spans="18:32">
      <c r="R1072" s="389"/>
      <c r="S1072" s="389"/>
      <c r="T1072" s="389"/>
      <c r="U1072" s="389"/>
      <c r="V1072" s="389"/>
      <c r="W1072" s="390"/>
      <c r="X1072" s="390"/>
      <c r="Y1072" s="390"/>
      <c r="Z1072" s="390"/>
      <c r="AA1072" s="390"/>
      <c r="AB1072" s="390"/>
      <c r="AC1072" s="375"/>
      <c r="AD1072" s="375"/>
      <c r="AE1072" s="375"/>
      <c r="AF1072" s="375"/>
    </row>
    <row r="1073" spans="18:32">
      <c r="R1073" s="389"/>
      <c r="S1073" s="389"/>
      <c r="T1073" s="389"/>
      <c r="U1073" s="389"/>
      <c r="V1073" s="389"/>
      <c r="W1073" s="390"/>
      <c r="X1073" s="390"/>
      <c r="Y1073" s="390"/>
      <c r="Z1073" s="390"/>
      <c r="AA1073" s="390"/>
      <c r="AB1073" s="390"/>
      <c r="AC1073" s="375"/>
      <c r="AD1073" s="375"/>
      <c r="AE1073" s="375"/>
      <c r="AF1073" s="375"/>
    </row>
    <row r="1074" spans="18:32">
      <c r="R1074" s="389"/>
      <c r="S1074" s="389"/>
      <c r="T1074" s="389"/>
      <c r="U1074" s="389"/>
      <c r="V1074" s="389"/>
      <c r="W1074" s="390"/>
      <c r="X1074" s="390"/>
      <c r="Y1074" s="390"/>
      <c r="Z1074" s="390"/>
      <c r="AA1074" s="390"/>
      <c r="AB1074" s="390"/>
      <c r="AC1074" s="375"/>
      <c r="AD1074" s="375"/>
      <c r="AE1074" s="375"/>
      <c r="AF1074" s="375"/>
    </row>
    <row r="1075" spans="18:32">
      <c r="R1075" s="389"/>
      <c r="S1075" s="389"/>
      <c r="T1075" s="389"/>
      <c r="U1075" s="389"/>
      <c r="V1075" s="389"/>
      <c r="W1075" s="390"/>
      <c r="X1075" s="390"/>
      <c r="Y1075" s="390"/>
      <c r="Z1075" s="390"/>
      <c r="AA1075" s="390"/>
      <c r="AB1075" s="390"/>
      <c r="AC1075" s="375"/>
      <c r="AD1075" s="375"/>
      <c r="AE1075" s="375"/>
      <c r="AF1075" s="375"/>
    </row>
    <row r="1076" spans="18:32">
      <c r="R1076" s="389"/>
      <c r="S1076" s="389"/>
      <c r="T1076" s="389"/>
      <c r="U1076" s="389"/>
      <c r="V1076" s="389"/>
      <c r="W1076" s="390"/>
      <c r="X1076" s="390"/>
      <c r="Y1076" s="390"/>
      <c r="Z1076" s="390"/>
      <c r="AA1076" s="390"/>
      <c r="AB1076" s="390"/>
      <c r="AC1076" s="375"/>
      <c r="AD1076" s="375"/>
      <c r="AE1076" s="375"/>
      <c r="AF1076" s="375"/>
    </row>
    <row r="1077" spans="18:32">
      <c r="R1077" s="389"/>
      <c r="S1077" s="389"/>
      <c r="T1077" s="389"/>
      <c r="U1077" s="389"/>
      <c r="V1077" s="389"/>
      <c r="W1077" s="390"/>
      <c r="X1077" s="390"/>
      <c r="Y1077" s="390"/>
      <c r="Z1077" s="390"/>
      <c r="AA1077" s="390"/>
      <c r="AB1077" s="390"/>
      <c r="AC1077" s="375"/>
      <c r="AD1077" s="375"/>
      <c r="AE1077" s="375"/>
      <c r="AF1077" s="375"/>
    </row>
    <row r="1078" spans="18:32">
      <c r="R1078" s="389"/>
      <c r="S1078" s="389"/>
      <c r="T1078" s="389"/>
      <c r="U1078" s="389"/>
      <c r="V1078" s="389"/>
      <c r="W1078" s="390"/>
      <c r="X1078" s="390"/>
      <c r="Y1078" s="390"/>
      <c r="Z1078" s="390"/>
      <c r="AA1078" s="390"/>
      <c r="AB1078" s="390"/>
      <c r="AC1078" s="375"/>
      <c r="AD1078" s="375"/>
      <c r="AE1078" s="375"/>
      <c r="AF1078" s="375"/>
    </row>
    <row r="1079" spans="18:32">
      <c r="R1079" s="389"/>
      <c r="S1079" s="389"/>
      <c r="T1079" s="389"/>
      <c r="U1079" s="389"/>
      <c r="V1079" s="389"/>
      <c r="W1079" s="390"/>
      <c r="X1079" s="390"/>
      <c r="Y1079" s="390"/>
      <c r="Z1079" s="390"/>
      <c r="AA1079" s="390"/>
      <c r="AB1079" s="390"/>
      <c r="AC1079" s="375"/>
      <c r="AD1079" s="375"/>
      <c r="AE1079" s="375"/>
      <c r="AF1079" s="375"/>
    </row>
    <row r="1080" spans="18:32">
      <c r="R1080" s="389"/>
      <c r="S1080" s="389"/>
      <c r="T1080" s="389"/>
      <c r="U1080" s="389"/>
      <c r="V1080" s="389"/>
      <c r="W1080" s="390"/>
      <c r="X1080" s="390"/>
      <c r="Y1080" s="390"/>
      <c r="Z1080" s="390"/>
      <c r="AA1080" s="390"/>
      <c r="AB1080" s="390"/>
      <c r="AC1080" s="375"/>
      <c r="AD1080" s="375"/>
      <c r="AE1080" s="375"/>
      <c r="AF1080" s="375"/>
    </row>
    <row r="1081" spans="18:32">
      <c r="R1081" s="389"/>
      <c r="S1081" s="389"/>
      <c r="T1081" s="389"/>
      <c r="U1081" s="389"/>
      <c r="V1081" s="389"/>
      <c r="W1081" s="390"/>
      <c r="X1081" s="390"/>
      <c r="Y1081" s="390"/>
      <c r="Z1081" s="390"/>
      <c r="AA1081" s="390"/>
      <c r="AB1081" s="390"/>
      <c r="AC1081" s="375"/>
      <c r="AD1081" s="375"/>
      <c r="AE1081" s="375"/>
      <c r="AF1081" s="375"/>
    </row>
    <row r="1082" spans="18:32">
      <c r="R1082" s="389"/>
      <c r="S1082" s="389"/>
      <c r="T1082" s="389"/>
      <c r="U1082" s="389"/>
      <c r="V1082" s="389"/>
      <c r="W1082" s="390"/>
      <c r="X1082" s="390"/>
      <c r="Y1082" s="390"/>
      <c r="Z1082" s="390"/>
      <c r="AA1082" s="390"/>
      <c r="AB1082" s="390"/>
      <c r="AC1082" s="375"/>
      <c r="AD1082" s="375"/>
      <c r="AE1082" s="375"/>
      <c r="AF1082" s="375"/>
    </row>
    <row r="1083" spans="18:32">
      <c r="R1083" s="389"/>
      <c r="S1083" s="389"/>
      <c r="T1083" s="389"/>
      <c r="U1083" s="389"/>
      <c r="V1083" s="389"/>
      <c r="W1083" s="390"/>
      <c r="X1083" s="390"/>
      <c r="Y1083" s="390"/>
      <c r="Z1083" s="390"/>
      <c r="AA1083" s="390"/>
      <c r="AB1083" s="390"/>
      <c r="AC1083" s="375"/>
      <c r="AD1083" s="375"/>
      <c r="AE1083" s="375"/>
      <c r="AF1083" s="375"/>
    </row>
    <row r="1084" spans="18:32">
      <c r="R1084" s="389"/>
      <c r="S1084" s="389"/>
      <c r="T1084" s="389"/>
      <c r="U1084" s="389"/>
      <c r="V1084" s="389"/>
      <c r="W1084" s="390"/>
      <c r="X1084" s="390"/>
      <c r="Y1084" s="390"/>
      <c r="Z1084" s="390"/>
      <c r="AA1084" s="390"/>
      <c r="AB1084" s="390"/>
      <c r="AC1084" s="375"/>
      <c r="AD1084" s="375"/>
      <c r="AE1084" s="375"/>
      <c r="AF1084" s="375"/>
    </row>
    <row r="1085" spans="18:32">
      <c r="R1085" s="389"/>
      <c r="S1085" s="389"/>
      <c r="T1085" s="389"/>
      <c r="U1085" s="389"/>
      <c r="V1085" s="389"/>
      <c r="W1085" s="390"/>
      <c r="X1085" s="390"/>
      <c r="Y1085" s="390"/>
      <c r="Z1085" s="390"/>
      <c r="AA1085" s="390"/>
      <c r="AB1085" s="390"/>
      <c r="AC1085" s="375"/>
      <c r="AD1085" s="375"/>
      <c r="AE1085" s="375"/>
      <c r="AF1085" s="375"/>
    </row>
    <row r="1086" spans="18:32">
      <c r="R1086" s="389"/>
      <c r="S1086" s="389"/>
      <c r="T1086" s="389"/>
      <c r="U1086" s="389"/>
      <c r="V1086" s="389"/>
      <c r="W1086" s="390"/>
      <c r="X1086" s="390"/>
      <c r="Y1086" s="390"/>
      <c r="Z1086" s="390"/>
      <c r="AA1086" s="390"/>
      <c r="AB1086" s="390"/>
      <c r="AC1086" s="375"/>
      <c r="AD1086" s="375"/>
      <c r="AE1086" s="375"/>
      <c r="AF1086" s="375"/>
    </row>
    <row r="1087" spans="18:32">
      <c r="R1087" s="389"/>
      <c r="S1087" s="389"/>
      <c r="T1087" s="389"/>
      <c r="U1087" s="389"/>
      <c r="V1087" s="389"/>
      <c r="W1087" s="390"/>
      <c r="X1087" s="390"/>
      <c r="Y1087" s="390"/>
      <c r="Z1087" s="390"/>
      <c r="AA1087" s="390"/>
      <c r="AB1087" s="390"/>
      <c r="AC1087" s="375"/>
      <c r="AD1087" s="375"/>
      <c r="AE1087" s="375"/>
      <c r="AF1087" s="375"/>
    </row>
    <row r="1088" spans="18:32">
      <c r="R1088" s="389"/>
      <c r="S1088" s="389"/>
      <c r="T1088" s="389"/>
      <c r="U1088" s="389"/>
      <c r="V1088" s="389"/>
      <c r="W1088" s="390"/>
      <c r="X1088" s="390"/>
      <c r="Y1088" s="390"/>
      <c r="Z1088" s="390"/>
      <c r="AA1088" s="390"/>
      <c r="AB1088" s="390"/>
      <c r="AC1088" s="375"/>
      <c r="AD1088" s="375"/>
      <c r="AE1088" s="375"/>
      <c r="AF1088" s="375"/>
    </row>
    <row r="1089" spans="18:32">
      <c r="R1089" s="389"/>
      <c r="S1089" s="389"/>
      <c r="T1089" s="389"/>
      <c r="U1089" s="389"/>
      <c r="V1089" s="389"/>
      <c r="W1089" s="390"/>
      <c r="X1089" s="390"/>
      <c r="Y1089" s="390"/>
      <c r="Z1089" s="390"/>
      <c r="AA1089" s="390"/>
      <c r="AB1089" s="390"/>
      <c r="AC1089" s="375"/>
      <c r="AD1089" s="375"/>
      <c r="AE1089" s="375"/>
      <c r="AF1089" s="375"/>
    </row>
    <row r="1090" spans="18:32">
      <c r="R1090" s="389"/>
      <c r="S1090" s="389"/>
      <c r="T1090" s="389"/>
      <c r="U1090" s="389"/>
      <c r="V1090" s="389"/>
      <c r="W1090" s="390"/>
      <c r="X1090" s="390"/>
      <c r="Y1090" s="390"/>
      <c r="Z1090" s="390"/>
      <c r="AA1090" s="390"/>
      <c r="AB1090" s="390"/>
      <c r="AC1090" s="375"/>
      <c r="AD1090" s="375"/>
      <c r="AE1090" s="375"/>
      <c r="AF1090" s="375"/>
    </row>
    <row r="1091" spans="18:32">
      <c r="R1091" s="389"/>
      <c r="S1091" s="389"/>
      <c r="T1091" s="389"/>
      <c r="U1091" s="389"/>
      <c r="V1091" s="389"/>
      <c r="W1091" s="390"/>
      <c r="X1091" s="390"/>
      <c r="Y1091" s="390"/>
      <c r="Z1091" s="390"/>
      <c r="AA1091" s="390"/>
      <c r="AB1091" s="390"/>
      <c r="AC1091" s="375"/>
      <c r="AD1091" s="375"/>
      <c r="AE1091" s="375"/>
      <c r="AF1091" s="375"/>
    </row>
    <row r="1092" spans="18:32">
      <c r="R1092" s="389"/>
      <c r="S1092" s="389"/>
      <c r="T1092" s="389"/>
      <c r="U1092" s="389"/>
      <c r="V1092" s="389"/>
      <c r="W1092" s="390"/>
      <c r="X1092" s="390"/>
      <c r="Y1092" s="390"/>
      <c r="Z1092" s="390"/>
      <c r="AA1092" s="390"/>
      <c r="AB1092" s="390"/>
      <c r="AC1092" s="375"/>
      <c r="AD1092" s="375"/>
      <c r="AE1092" s="375"/>
      <c r="AF1092" s="375"/>
    </row>
    <row r="1093" spans="18:32">
      <c r="R1093" s="389"/>
      <c r="S1093" s="389"/>
      <c r="T1093" s="389"/>
      <c r="U1093" s="389"/>
      <c r="V1093" s="389"/>
      <c r="W1093" s="390"/>
      <c r="X1093" s="390"/>
      <c r="Y1093" s="390"/>
      <c r="Z1093" s="390"/>
      <c r="AA1093" s="390"/>
      <c r="AB1093" s="390"/>
      <c r="AC1093" s="375"/>
      <c r="AD1093" s="375"/>
      <c r="AE1093" s="375"/>
      <c r="AF1093" s="375"/>
    </row>
    <row r="1094" spans="18:32">
      <c r="R1094" s="389"/>
      <c r="S1094" s="389"/>
      <c r="T1094" s="389"/>
      <c r="U1094" s="389"/>
      <c r="V1094" s="389"/>
      <c r="W1094" s="390"/>
      <c r="X1094" s="390"/>
      <c r="Y1094" s="390"/>
      <c r="Z1094" s="390"/>
      <c r="AA1094" s="390"/>
      <c r="AB1094" s="390"/>
      <c r="AC1094" s="375"/>
      <c r="AD1094" s="375"/>
      <c r="AE1094" s="375"/>
      <c r="AF1094" s="375"/>
    </row>
    <row r="1095" spans="18:32">
      <c r="R1095" s="389"/>
      <c r="S1095" s="389"/>
      <c r="T1095" s="389"/>
      <c r="U1095" s="389"/>
      <c r="V1095" s="389"/>
      <c r="W1095" s="390"/>
      <c r="X1095" s="390"/>
      <c r="Y1095" s="390"/>
      <c r="Z1095" s="390"/>
      <c r="AA1095" s="390"/>
      <c r="AB1095" s="390"/>
      <c r="AC1095" s="375"/>
      <c r="AD1095" s="375"/>
      <c r="AE1095" s="375"/>
      <c r="AF1095" s="375"/>
    </row>
    <row r="1096" spans="18:32">
      <c r="R1096" s="389"/>
      <c r="S1096" s="389"/>
      <c r="T1096" s="389"/>
      <c r="U1096" s="389"/>
      <c r="V1096" s="389"/>
      <c r="W1096" s="390"/>
      <c r="X1096" s="390"/>
      <c r="Y1096" s="390"/>
      <c r="Z1096" s="390"/>
      <c r="AA1096" s="390"/>
      <c r="AB1096" s="390"/>
      <c r="AC1096" s="375"/>
      <c r="AD1096" s="375"/>
      <c r="AE1096" s="375"/>
      <c r="AF1096" s="375"/>
    </row>
    <row r="1097" spans="18:32">
      <c r="R1097" s="389"/>
      <c r="S1097" s="389"/>
      <c r="T1097" s="389"/>
      <c r="U1097" s="389"/>
      <c r="V1097" s="389"/>
      <c r="W1097" s="390"/>
      <c r="X1097" s="390"/>
      <c r="Y1097" s="390"/>
      <c r="Z1097" s="390"/>
      <c r="AA1097" s="390"/>
      <c r="AB1097" s="390"/>
      <c r="AC1097" s="375"/>
      <c r="AD1097" s="375"/>
      <c r="AE1097" s="375"/>
      <c r="AF1097" s="375"/>
    </row>
    <row r="1098" spans="18:32">
      <c r="R1098" s="389"/>
      <c r="S1098" s="389"/>
      <c r="T1098" s="389"/>
      <c r="U1098" s="389"/>
      <c r="V1098" s="389"/>
      <c r="W1098" s="390"/>
      <c r="X1098" s="390"/>
      <c r="Y1098" s="390"/>
      <c r="Z1098" s="390"/>
      <c r="AA1098" s="390"/>
      <c r="AB1098" s="390"/>
      <c r="AC1098" s="375"/>
      <c r="AD1098" s="375"/>
      <c r="AE1098" s="375"/>
      <c r="AF1098" s="375"/>
    </row>
    <row r="1099" spans="18:32">
      <c r="R1099" s="389"/>
      <c r="S1099" s="389"/>
      <c r="T1099" s="389"/>
      <c r="U1099" s="389"/>
      <c r="V1099" s="389"/>
      <c r="W1099" s="390"/>
      <c r="X1099" s="390"/>
      <c r="Y1099" s="390"/>
      <c r="Z1099" s="390"/>
      <c r="AA1099" s="390"/>
      <c r="AB1099" s="390"/>
      <c r="AC1099" s="375"/>
      <c r="AD1099" s="375"/>
      <c r="AE1099" s="375"/>
      <c r="AF1099" s="375"/>
    </row>
    <row r="1100" spans="18:32">
      <c r="R1100" s="389"/>
      <c r="S1100" s="389"/>
      <c r="T1100" s="389"/>
      <c r="U1100" s="389"/>
      <c r="V1100" s="389"/>
      <c r="W1100" s="390"/>
      <c r="X1100" s="390"/>
      <c r="Y1100" s="390"/>
      <c r="Z1100" s="390"/>
      <c r="AA1100" s="390"/>
      <c r="AB1100" s="390"/>
      <c r="AC1100" s="375"/>
      <c r="AD1100" s="375"/>
      <c r="AE1100" s="375"/>
      <c r="AF1100" s="375"/>
    </row>
    <row r="1101" spans="18:32">
      <c r="R1101" s="389"/>
      <c r="S1101" s="389"/>
      <c r="T1101" s="389"/>
      <c r="U1101" s="389"/>
      <c r="V1101" s="389"/>
      <c r="W1101" s="390"/>
      <c r="X1101" s="390"/>
      <c r="Y1101" s="390"/>
      <c r="Z1101" s="390"/>
      <c r="AA1101" s="390"/>
      <c r="AB1101" s="390"/>
      <c r="AC1101" s="375"/>
      <c r="AD1101" s="375"/>
      <c r="AE1101" s="375"/>
      <c r="AF1101" s="375"/>
    </row>
    <row r="1102" spans="18:32">
      <c r="R1102" s="389"/>
      <c r="S1102" s="389"/>
      <c r="T1102" s="389"/>
      <c r="U1102" s="389"/>
      <c r="V1102" s="389"/>
      <c r="W1102" s="390"/>
      <c r="X1102" s="390"/>
      <c r="Y1102" s="390"/>
      <c r="Z1102" s="390"/>
      <c r="AA1102" s="390"/>
      <c r="AB1102" s="390"/>
      <c r="AC1102" s="375"/>
      <c r="AD1102" s="375"/>
      <c r="AE1102" s="375"/>
      <c r="AF1102" s="375"/>
    </row>
    <row r="1103" spans="18:32">
      <c r="R1103" s="389"/>
      <c r="S1103" s="389"/>
      <c r="T1103" s="389"/>
      <c r="U1103" s="389"/>
      <c r="V1103" s="389"/>
      <c r="W1103" s="390"/>
      <c r="X1103" s="390"/>
      <c r="Y1103" s="390"/>
      <c r="Z1103" s="390"/>
      <c r="AA1103" s="390"/>
      <c r="AB1103" s="390"/>
      <c r="AC1103" s="375"/>
      <c r="AD1103" s="375"/>
      <c r="AE1103" s="375"/>
      <c r="AF1103" s="375"/>
    </row>
    <row r="1104" spans="18:32">
      <c r="R1104" s="389"/>
      <c r="S1104" s="389"/>
      <c r="T1104" s="389"/>
      <c r="U1104" s="389"/>
      <c r="V1104" s="389"/>
      <c r="W1104" s="390"/>
      <c r="X1104" s="390"/>
      <c r="Y1104" s="390"/>
      <c r="Z1104" s="390"/>
      <c r="AA1104" s="390"/>
      <c r="AB1104" s="390"/>
      <c r="AC1104" s="375"/>
      <c r="AD1104" s="375"/>
      <c r="AE1104" s="375"/>
      <c r="AF1104" s="375"/>
    </row>
    <row r="1105" spans="18:32">
      <c r="R1105" s="389"/>
      <c r="S1105" s="389"/>
      <c r="T1105" s="389"/>
      <c r="U1105" s="389"/>
      <c r="V1105" s="389"/>
      <c r="W1105" s="390"/>
      <c r="X1105" s="390"/>
      <c r="Y1105" s="390"/>
      <c r="Z1105" s="390"/>
      <c r="AA1105" s="390"/>
      <c r="AB1105" s="390"/>
      <c r="AC1105" s="375"/>
      <c r="AD1105" s="375"/>
      <c r="AE1105" s="375"/>
      <c r="AF1105" s="375"/>
    </row>
    <row r="1106" spans="18:32">
      <c r="R1106" s="389"/>
      <c r="S1106" s="389"/>
      <c r="T1106" s="389"/>
      <c r="U1106" s="389"/>
      <c r="V1106" s="389"/>
      <c r="W1106" s="390"/>
      <c r="X1106" s="390"/>
      <c r="Y1106" s="390"/>
      <c r="Z1106" s="390"/>
      <c r="AA1106" s="390"/>
      <c r="AB1106" s="390"/>
      <c r="AC1106" s="375"/>
      <c r="AD1106" s="375"/>
      <c r="AE1106" s="375"/>
      <c r="AF1106" s="375"/>
    </row>
    <row r="1107" spans="18:32">
      <c r="R1107" s="389"/>
      <c r="S1107" s="389"/>
      <c r="T1107" s="389"/>
      <c r="U1107" s="389"/>
      <c r="V1107" s="389"/>
      <c r="W1107" s="390"/>
      <c r="X1107" s="390"/>
      <c r="Y1107" s="390"/>
      <c r="Z1107" s="390"/>
      <c r="AA1107" s="390"/>
      <c r="AB1107" s="390"/>
      <c r="AC1107" s="375"/>
      <c r="AD1107" s="375"/>
      <c r="AE1107" s="375"/>
      <c r="AF1107" s="375"/>
    </row>
    <row r="1108" spans="18:32">
      <c r="R1108" s="389"/>
      <c r="S1108" s="389"/>
      <c r="T1108" s="389"/>
      <c r="U1108" s="389"/>
      <c r="V1108" s="389"/>
      <c r="W1108" s="390"/>
      <c r="X1108" s="390"/>
      <c r="Y1108" s="390"/>
      <c r="Z1108" s="390"/>
      <c r="AA1108" s="390"/>
      <c r="AB1108" s="390"/>
      <c r="AC1108" s="375"/>
      <c r="AD1108" s="375"/>
      <c r="AE1108" s="375"/>
      <c r="AF1108" s="375"/>
    </row>
    <row r="1109" spans="18:32">
      <c r="R1109" s="389"/>
      <c r="S1109" s="389"/>
      <c r="T1109" s="389"/>
      <c r="U1109" s="389"/>
      <c r="V1109" s="389"/>
      <c r="W1109" s="390"/>
      <c r="X1109" s="390"/>
      <c r="Y1109" s="390"/>
      <c r="Z1109" s="390"/>
      <c r="AA1109" s="390"/>
      <c r="AB1109" s="390"/>
      <c r="AC1109" s="375"/>
      <c r="AD1109" s="375"/>
      <c r="AE1109" s="375"/>
      <c r="AF1109" s="375"/>
    </row>
    <row r="1110" spans="18:32">
      <c r="R1110" s="389"/>
      <c r="S1110" s="389"/>
      <c r="T1110" s="389"/>
      <c r="U1110" s="389"/>
      <c r="V1110" s="389"/>
      <c r="W1110" s="390"/>
      <c r="X1110" s="390"/>
      <c r="Y1110" s="390"/>
      <c r="Z1110" s="390"/>
      <c r="AA1110" s="390"/>
      <c r="AB1110" s="390"/>
      <c r="AC1110" s="375"/>
      <c r="AD1110" s="375"/>
      <c r="AE1110" s="375"/>
      <c r="AF1110" s="375"/>
    </row>
    <row r="1111" spans="18:32">
      <c r="R1111" s="389"/>
      <c r="S1111" s="389"/>
      <c r="T1111" s="389"/>
      <c r="U1111" s="389"/>
      <c r="V1111" s="389"/>
      <c r="W1111" s="390"/>
      <c r="X1111" s="390"/>
      <c r="Y1111" s="390"/>
      <c r="Z1111" s="390"/>
      <c r="AA1111" s="390"/>
      <c r="AB1111" s="390"/>
      <c r="AC1111" s="375"/>
      <c r="AD1111" s="375"/>
      <c r="AE1111" s="375"/>
      <c r="AF1111" s="375"/>
    </row>
    <row r="1112" spans="18:32">
      <c r="R1112" s="389"/>
      <c r="S1112" s="389"/>
      <c r="T1112" s="389"/>
      <c r="U1112" s="389"/>
      <c r="V1112" s="389"/>
      <c r="W1112" s="390"/>
      <c r="X1112" s="390"/>
      <c r="Y1112" s="390"/>
      <c r="Z1112" s="390"/>
      <c r="AA1112" s="390"/>
      <c r="AB1112" s="390"/>
      <c r="AC1112" s="375"/>
      <c r="AD1112" s="375"/>
      <c r="AE1112" s="375"/>
      <c r="AF1112" s="375"/>
    </row>
    <row r="1113" spans="18:32">
      <c r="R1113" s="389"/>
      <c r="S1113" s="389"/>
      <c r="T1113" s="389"/>
      <c r="U1113" s="389"/>
      <c r="V1113" s="389"/>
      <c r="W1113" s="390"/>
      <c r="X1113" s="390"/>
      <c r="Y1113" s="390"/>
      <c r="Z1113" s="390"/>
      <c r="AA1113" s="390"/>
      <c r="AB1113" s="390"/>
      <c r="AC1113" s="375"/>
      <c r="AD1113" s="375"/>
      <c r="AE1113" s="375"/>
      <c r="AF1113" s="375"/>
    </row>
    <row r="1114" spans="18:32">
      <c r="R1114" s="389"/>
      <c r="S1114" s="389"/>
      <c r="T1114" s="389"/>
      <c r="U1114" s="389"/>
      <c r="V1114" s="389"/>
      <c r="W1114" s="390"/>
      <c r="X1114" s="390"/>
      <c r="Y1114" s="390"/>
      <c r="Z1114" s="390"/>
      <c r="AA1114" s="390"/>
      <c r="AB1114" s="390"/>
      <c r="AC1114" s="375"/>
      <c r="AD1114" s="375"/>
      <c r="AE1114" s="375"/>
      <c r="AF1114" s="375"/>
    </row>
    <row r="1115" spans="18:32">
      <c r="R1115" s="389"/>
      <c r="S1115" s="389"/>
      <c r="T1115" s="389"/>
      <c r="U1115" s="389"/>
      <c r="V1115" s="389"/>
      <c r="W1115" s="390"/>
      <c r="X1115" s="390"/>
      <c r="Y1115" s="390"/>
      <c r="Z1115" s="390"/>
      <c r="AA1115" s="390"/>
      <c r="AB1115" s="390"/>
      <c r="AC1115" s="375"/>
      <c r="AD1115" s="375"/>
      <c r="AE1115" s="375"/>
      <c r="AF1115" s="375"/>
    </row>
    <row r="1116" spans="18:32">
      <c r="R1116" s="389"/>
      <c r="S1116" s="389"/>
      <c r="T1116" s="389"/>
      <c r="U1116" s="389"/>
      <c r="V1116" s="389"/>
      <c r="W1116" s="390"/>
      <c r="X1116" s="390"/>
      <c r="Y1116" s="390"/>
      <c r="Z1116" s="390"/>
      <c r="AA1116" s="390"/>
      <c r="AB1116" s="390"/>
      <c r="AC1116" s="375"/>
      <c r="AD1116" s="375"/>
      <c r="AE1116" s="375"/>
      <c r="AF1116" s="375"/>
    </row>
    <row r="1117" spans="18:32">
      <c r="R1117" s="389"/>
      <c r="S1117" s="389"/>
      <c r="T1117" s="389"/>
      <c r="U1117" s="389"/>
      <c r="V1117" s="389"/>
      <c r="W1117" s="390"/>
      <c r="X1117" s="390"/>
      <c r="Y1117" s="390"/>
      <c r="Z1117" s="390"/>
      <c r="AA1117" s="390"/>
      <c r="AB1117" s="390"/>
      <c r="AC1117" s="375"/>
      <c r="AD1117" s="375"/>
      <c r="AE1117" s="375"/>
      <c r="AF1117" s="375"/>
    </row>
    <row r="1118" spans="18:32">
      <c r="R1118" s="389"/>
      <c r="S1118" s="389"/>
      <c r="T1118" s="389"/>
      <c r="U1118" s="389"/>
      <c r="V1118" s="389"/>
      <c r="W1118" s="390"/>
      <c r="X1118" s="390"/>
      <c r="Y1118" s="390"/>
      <c r="Z1118" s="390"/>
      <c r="AA1118" s="390"/>
      <c r="AB1118" s="390"/>
      <c r="AC1118" s="375"/>
      <c r="AD1118" s="375"/>
      <c r="AE1118" s="375"/>
      <c r="AF1118" s="375"/>
    </row>
    <row r="1119" spans="18:32">
      <c r="R1119" s="389"/>
      <c r="S1119" s="389"/>
      <c r="T1119" s="389"/>
      <c r="U1119" s="389"/>
      <c r="V1119" s="389"/>
      <c r="W1119" s="390"/>
      <c r="X1119" s="390"/>
      <c r="Y1119" s="390"/>
      <c r="Z1119" s="390"/>
      <c r="AA1119" s="390"/>
      <c r="AB1119" s="390"/>
      <c r="AC1119" s="375"/>
      <c r="AD1119" s="375"/>
      <c r="AE1119" s="375"/>
      <c r="AF1119" s="375"/>
    </row>
    <row r="1120" spans="18:32">
      <c r="R1120" s="389"/>
      <c r="S1120" s="389"/>
      <c r="T1120" s="389"/>
      <c r="U1120" s="389"/>
      <c r="V1120" s="389"/>
      <c r="W1120" s="390"/>
      <c r="X1120" s="390"/>
      <c r="Y1120" s="390"/>
      <c r="Z1120" s="390"/>
      <c r="AA1120" s="390"/>
      <c r="AB1120" s="390"/>
      <c r="AC1120" s="375"/>
      <c r="AD1120" s="375"/>
      <c r="AE1120" s="375"/>
      <c r="AF1120" s="375"/>
    </row>
    <row r="1121" spans="18:32">
      <c r="R1121" s="389"/>
      <c r="S1121" s="389"/>
      <c r="T1121" s="389"/>
      <c r="U1121" s="389"/>
      <c r="V1121" s="389"/>
      <c r="W1121" s="390"/>
      <c r="X1121" s="390"/>
      <c r="Y1121" s="390"/>
      <c r="Z1121" s="390"/>
      <c r="AA1121" s="390"/>
      <c r="AB1121" s="390"/>
      <c r="AC1121" s="375"/>
      <c r="AD1121" s="375"/>
      <c r="AE1121" s="375"/>
      <c r="AF1121" s="375"/>
    </row>
    <row r="1122" spans="18:32">
      <c r="R1122" s="389"/>
      <c r="S1122" s="389"/>
      <c r="T1122" s="389"/>
      <c r="U1122" s="389"/>
      <c r="V1122" s="389"/>
      <c r="W1122" s="390"/>
      <c r="X1122" s="390"/>
      <c r="Y1122" s="390"/>
      <c r="Z1122" s="390"/>
      <c r="AA1122" s="390"/>
      <c r="AB1122" s="390"/>
      <c r="AC1122" s="375"/>
      <c r="AD1122" s="375"/>
      <c r="AE1122" s="375"/>
      <c r="AF1122" s="375"/>
    </row>
    <row r="1123" spans="18:32">
      <c r="R1123" s="389"/>
      <c r="S1123" s="389"/>
      <c r="T1123" s="389"/>
      <c r="U1123" s="389"/>
      <c r="V1123" s="389"/>
      <c r="W1123" s="390"/>
      <c r="X1123" s="390"/>
      <c r="Y1123" s="390"/>
      <c r="Z1123" s="390"/>
      <c r="AA1123" s="390"/>
      <c r="AB1123" s="390"/>
      <c r="AC1123" s="375"/>
      <c r="AD1123" s="375"/>
      <c r="AE1123" s="375"/>
      <c r="AF1123" s="375"/>
    </row>
    <row r="1124" spans="18:32">
      <c r="R1124" s="389"/>
      <c r="S1124" s="389"/>
      <c r="T1124" s="389"/>
      <c r="U1124" s="389"/>
      <c r="V1124" s="389"/>
      <c r="W1124" s="390"/>
      <c r="X1124" s="390"/>
      <c r="Y1124" s="390"/>
      <c r="Z1124" s="390"/>
      <c r="AA1124" s="390"/>
      <c r="AB1124" s="390"/>
      <c r="AC1124" s="375"/>
      <c r="AD1124" s="375"/>
      <c r="AE1124" s="375"/>
      <c r="AF1124" s="375"/>
    </row>
    <row r="1125" spans="18:32">
      <c r="R1125" s="389"/>
      <c r="S1125" s="389"/>
      <c r="T1125" s="389"/>
      <c r="U1125" s="389"/>
      <c r="V1125" s="389"/>
      <c r="W1125" s="390"/>
      <c r="X1125" s="390"/>
      <c r="Y1125" s="390"/>
      <c r="Z1125" s="390"/>
      <c r="AA1125" s="390"/>
      <c r="AB1125" s="390"/>
      <c r="AC1125" s="375"/>
      <c r="AD1125" s="375"/>
      <c r="AE1125" s="375"/>
      <c r="AF1125" s="375"/>
    </row>
    <row r="1126" spans="18:32">
      <c r="R1126" s="389"/>
      <c r="S1126" s="389"/>
      <c r="T1126" s="389"/>
      <c r="U1126" s="389"/>
      <c r="V1126" s="389"/>
      <c r="W1126" s="390"/>
      <c r="X1126" s="390"/>
      <c r="Y1126" s="390"/>
      <c r="Z1126" s="390"/>
      <c r="AA1126" s="390"/>
      <c r="AB1126" s="390"/>
      <c r="AC1126" s="375"/>
      <c r="AD1126" s="375"/>
      <c r="AE1126" s="375"/>
      <c r="AF1126" s="375"/>
    </row>
    <row r="1127" spans="18:32">
      <c r="R1127" s="389"/>
      <c r="S1127" s="389"/>
      <c r="T1127" s="389"/>
      <c r="U1127" s="389"/>
      <c r="V1127" s="389"/>
      <c r="W1127" s="390"/>
      <c r="X1127" s="390"/>
      <c r="Y1127" s="390"/>
      <c r="Z1127" s="390"/>
      <c r="AA1127" s="390"/>
      <c r="AB1127" s="390"/>
      <c r="AC1127" s="375"/>
      <c r="AD1127" s="375"/>
      <c r="AE1127" s="375"/>
      <c r="AF1127" s="375"/>
    </row>
    <row r="1128" spans="18:32">
      <c r="R1128" s="389"/>
      <c r="S1128" s="389"/>
      <c r="T1128" s="389"/>
      <c r="U1128" s="389"/>
      <c r="V1128" s="389"/>
      <c r="W1128" s="390"/>
      <c r="X1128" s="390"/>
      <c r="Y1128" s="390"/>
      <c r="Z1128" s="390"/>
      <c r="AA1128" s="390"/>
      <c r="AB1128" s="390"/>
      <c r="AC1128" s="375"/>
      <c r="AD1128" s="375"/>
      <c r="AE1128" s="375"/>
      <c r="AF1128" s="375"/>
    </row>
    <row r="1129" spans="18:32">
      <c r="R1129" s="389"/>
      <c r="S1129" s="389"/>
      <c r="T1129" s="389"/>
      <c r="U1129" s="389"/>
      <c r="V1129" s="389"/>
      <c r="W1129" s="390"/>
      <c r="X1129" s="390"/>
      <c r="Y1129" s="390"/>
      <c r="Z1129" s="390"/>
      <c r="AA1129" s="390"/>
      <c r="AB1129" s="390"/>
      <c r="AC1129" s="375"/>
      <c r="AD1129" s="375"/>
      <c r="AE1129" s="375"/>
      <c r="AF1129" s="375"/>
    </row>
    <row r="1130" spans="18:32">
      <c r="R1130" s="389"/>
      <c r="S1130" s="389"/>
      <c r="T1130" s="389"/>
      <c r="U1130" s="389"/>
      <c r="V1130" s="389"/>
      <c r="W1130" s="390"/>
      <c r="X1130" s="390"/>
      <c r="Y1130" s="390"/>
      <c r="Z1130" s="390"/>
      <c r="AA1130" s="390"/>
      <c r="AB1130" s="390"/>
      <c r="AC1130" s="375"/>
      <c r="AD1130" s="375"/>
      <c r="AE1130" s="375"/>
      <c r="AF1130" s="375"/>
    </row>
    <row r="1131" spans="18:32">
      <c r="R1131" s="389"/>
      <c r="S1131" s="389"/>
      <c r="T1131" s="389"/>
      <c r="U1131" s="389"/>
      <c r="V1131" s="389"/>
      <c r="W1131" s="390"/>
      <c r="X1131" s="390"/>
      <c r="Y1131" s="390"/>
      <c r="Z1131" s="390"/>
      <c r="AA1131" s="390"/>
      <c r="AB1131" s="390"/>
      <c r="AC1131" s="375"/>
      <c r="AD1131" s="375"/>
      <c r="AE1131" s="375"/>
      <c r="AF1131" s="375"/>
    </row>
    <row r="1132" spans="18:32">
      <c r="R1132" s="389"/>
      <c r="S1132" s="389"/>
      <c r="T1132" s="389"/>
      <c r="U1132" s="389"/>
      <c r="V1132" s="389"/>
      <c r="W1132" s="390"/>
      <c r="X1132" s="390"/>
      <c r="Y1132" s="390"/>
      <c r="Z1132" s="390"/>
      <c r="AA1132" s="390"/>
      <c r="AB1132" s="390"/>
      <c r="AC1132" s="375"/>
      <c r="AD1132" s="375"/>
      <c r="AE1132" s="375"/>
      <c r="AF1132" s="375"/>
    </row>
    <row r="1133" spans="18:32">
      <c r="R1133" s="389"/>
      <c r="S1133" s="389"/>
      <c r="T1133" s="389"/>
      <c r="U1133" s="389"/>
      <c r="V1133" s="389"/>
      <c r="W1133" s="390"/>
      <c r="X1133" s="390"/>
      <c r="Y1133" s="390"/>
      <c r="Z1133" s="390"/>
      <c r="AA1133" s="390"/>
      <c r="AB1133" s="390"/>
      <c r="AC1133" s="375"/>
      <c r="AD1133" s="375"/>
      <c r="AE1133" s="375"/>
      <c r="AF1133" s="375"/>
    </row>
    <row r="1134" spans="18:32">
      <c r="R1134" s="389"/>
      <c r="S1134" s="389"/>
      <c r="T1134" s="389"/>
      <c r="U1134" s="389"/>
      <c r="V1134" s="389"/>
      <c r="W1134" s="390"/>
      <c r="X1134" s="390"/>
      <c r="Y1134" s="390"/>
      <c r="Z1134" s="390"/>
      <c r="AA1134" s="390"/>
      <c r="AB1134" s="390"/>
      <c r="AC1134" s="375"/>
      <c r="AD1134" s="375"/>
      <c r="AE1134" s="375"/>
      <c r="AF1134" s="375"/>
    </row>
    <row r="1135" spans="18:32">
      <c r="R1135" s="389"/>
      <c r="S1135" s="389"/>
      <c r="T1135" s="389"/>
      <c r="U1135" s="389"/>
      <c r="V1135" s="389"/>
      <c r="W1135" s="390"/>
      <c r="X1135" s="390"/>
      <c r="Y1135" s="390"/>
      <c r="Z1135" s="390"/>
      <c r="AA1135" s="390"/>
      <c r="AB1135" s="390"/>
      <c r="AC1135" s="375"/>
      <c r="AD1135" s="375"/>
      <c r="AE1135" s="375"/>
      <c r="AF1135" s="375"/>
    </row>
    <row r="1136" spans="18:32">
      <c r="R1136" s="389"/>
      <c r="S1136" s="389"/>
      <c r="T1136" s="389"/>
      <c r="U1136" s="389"/>
      <c r="V1136" s="389"/>
      <c r="W1136" s="390"/>
      <c r="X1136" s="390"/>
      <c r="Y1136" s="390"/>
      <c r="Z1136" s="390"/>
      <c r="AA1136" s="390"/>
      <c r="AB1136" s="390"/>
      <c r="AC1136" s="375"/>
      <c r="AD1136" s="375"/>
      <c r="AE1136" s="375"/>
      <c r="AF1136" s="375"/>
    </row>
    <row r="1137" spans="18:32">
      <c r="R1137" s="389"/>
      <c r="S1137" s="389"/>
      <c r="T1137" s="389"/>
      <c r="U1137" s="389"/>
      <c r="V1137" s="389"/>
      <c r="W1137" s="390"/>
      <c r="X1137" s="390"/>
      <c r="Y1137" s="390"/>
      <c r="Z1137" s="390"/>
      <c r="AA1137" s="390"/>
      <c r="AB1137" s="390"/>
      <c r="AC1137" s="375"/>
      <c r="AD1137" s="375"/>
      <c r="AE1137" s="375"/>
      <c r="AF1137" s="375"/>
    </row>
    <row r="1138" spans="18:32">
      <c r="R1138" s="389"/>
      <c r="S1138" s="389"/>
      <c r="T1138" s="389"/>
      <c r="U1138" s="389"/>
      <c r="V1138" s="389"/>
      <c r="W1138" s="390"/>
      <c r="X1138" s="390"/>
      <c r="Y1138" s="390"/>
      <c r="Z1138" s="390"/>
      <c r="AA1138" s="390"/>
      <c r="AB1138" s="390"/>
      <c r="AC1138" s="375"/>
      <c r="AD1138" s="375"/>
      <c r="AE1138" s="375"/>
      <c r="AF1138" s="375"/>
    </row>
    <row r="1139" spans="18:32">
      <c r="R1139" s="389"/>
      <c r="S1139" s="389"/>
      <c r="T1139" s="389"/>
      <c r="U1139" s="389"/>
      <c r="V1139" s="389"/>
      <c r="W1139" s="390"/>
      <c r="X1139" s="390"/>
      <c r="Y1139" s="390"/>
      <c r="Z1139" s="390"/>
      <c r="AA1139" s="390"/>
      <c r="AB1139" s="390"/>
      <c r="AC1139" s="375"/>
      <c r="AD1139" s="375"/>
      <c r="AE1139" s="375"/>
      <c r="AF1139" s="375"/>
    </row>
    <row r="1140" spans="18:32">
      <c r="R1140" s="389"/>
      <c r="S1140" s="389"/>
      <c r="T1140" s="389"/>
      <c r="U1140" s="389"/>
      <c r="V1140" s="389"/>
      <c r="W1140" s="390"/>
      <c r="X1140" s="390"/>
      <c r="Y1140" s="390"/>
      <c r="Z1140" s="390"/>
      <c r="AA1140" s="390"/>
      <c r="AB1140" s="390"/>
      <c r="AC1140" s="375"/>
      <c r="AD1140" s="375"/>
      <c r="AE1140" s="375"/>
      <c r="AF1140" s="375"/>
    </row>
    <row r="1141" spans="18:32">
      <c r="R1141" s="389"/>
      <c r="S1141" s="389"/>
      <c r="T1141" s="389"/>
      <c r="U1141" s="389"/>
      <c r="V1141" s="389"/>
      <c r="W1141" s="390"/>
      <c r="X1141" s="390"/>
      <c r="Y1141" s="390"/>
      <c r="Z1141" s="390"/>
      <c r="AA1141" s="390"/>
      <c r="AB1141" s="390"/>
      <c r="AC1141" s="375"/>
      <c r="AD1141" s="375"/>
      <c r="AE1141" s="375"/>
      <c r="AF1141" s="375"/>
    </row>
    <row r="1142" spans="18:32">
      <c r="R1142" s="389"/>
      <c r="S1142" s="389"/>
      <c r="T1142" s="389"/>
      <c r="U1142" s="389"/>
      <c r="V1142" s="389"/>
      <c r="W1142" s="390"/>
      <c r="X1142" s="390"/>
      <c r="Y1142" s="390"/>
      <c r="Z1142" s="390"/>
      <c r="AA1142" s="390"/>
      <c r="AB1142" s="390"/>
      <c r="AC1142" s="375"/>
      <c r="AD1142" s="375"/>
      <c r="AE1142" s="375"/>
      <c r="AF1142" s="375"/>
    </row>
    <row r="1143" spans="18:32">
      <c r="R1143" s="389"/>
      <c r="S1143" s="389"/>
      <c r="T1143" s="389"/>
      <c r="U1143" s="389"/>
      <c r="V1143" s="389"/>
      <c r="W1143" s="390"/>
      <c r="X1143" s="390"/>
      <c r="Y1143" s="390"/>
      <c r="Z1143" s="390"/>
      <c r="AA1143" s="390"/>
      <c r="AB1143" s="390"/>
      <c r="AC1143" s="375"/>
      <c r="AD1143" s="375"/>
      <c r="AE1143" s="375"/>
      <c r="AF1143" s="375"/>
    </row>
    <row r="1144" spans="18:32">
      <c r="R1144" s="389"/>
      <c r="S1144" s="389"/>
      <c r="T1144" s="389"/>
      <c r="U1144" s="389"/>
      <c r="V1144" s="389"/>
      <c r="W1144" s="390"/>
      <c r="X1144" s="390"/>
      <c r="Y1144" s="390"/>
      <c r="Z1144" s="390"/>
      <c r="AA1144" s="390"/>
      <c r="AB1144" s="390"/>
      <c r="AC1144" s="375"/>
      <c r="AD1144" s="375"/>
      <c r="AE1144" s="375"/>
      <c r="AF1144" s="375"/>
    </row>
    <row r="1145" spans="18:32">
      <c r="R1145" s="389"/>
      <c r="S1145" s="389"/>
      <c r="T1145" s="389"/>
      <c r="U1145" s="389"/>
      <c r="V1145" s="389"/>
      <c r="W1145" s="390"/>
      <c r="X1145" s="390"/>
      <c r="Y1145" s="390"/>
      <c r="Z1145" s="390"/>
      <c r="AA1145" s="390"/>
      <c r="AB1145" s="390"/>
      <c r="AC1145" s="375"/>
      <c r="AD1145" s="375"/>
      <c r="AE1145" s="375"/>
      <c r="AF1145" s="375"/>
    </row>
    <row r="1146" spans="18:32">
      <c r="R1146" s="389"/>
      <c r="S1146" s="389"/>
      <c r="T1146" s="389"/>
      <c r="U1146" s="389"/>
      <c r="V1146" s="389"/>
      <c r="W1146" s="390"/>
      <c r="X1146" s="390"/>
      <c r="Y1146" s="390"/>
      <c r="Z1146" s="390"/>
      <c r="AA1146" s="390"/>
      <c r="AB1146" s="390"/>
      <c r="AC1146" s="375"/>
      <c r="AD1146" s="375"/>
      <c r="AE1146" s="375"/>
      <c r="AF1146" s="375"/>
    </row>
    <row r="1147" spans="18:32">
      <c r="R1147" s="389"/>
      <c r="S1147" s="389"/>
      <c r="T1147" s="389"/>
      <c r="U1147" s="389"/>
      <c r="V1147" s="389"/>
      <c r="W1147" s="390"/>
      <c r="X1147" s="390"/>
      <c r="Y1147" s="390"/>
      <c r="Z1147" s="390"/>
      <c r="AA1147" s="390"/>
      <c r="AB1147" s="390"/>
      <c r="AC1147" s="375"/>
      <c r="AD1147" s="375"/>
      <c r="AE1147" s="375"/>
      <c r="AF1147" s="375"/>
    </row>
    <row r="1148" spans="18:32">
      <c r="R1148" s="389"/>
      <c r="S1148" s="389"/>
      <c r="T1148" s="389"/>
      <c r="U1148" s="389"/>
      <c r="V1148" s="389"/>
      <c r="W1148" s="390"/>
      <c r="X1148" s="390"/>
      <c r="Y1148" s="390"/>
      <c r="Z1148" s="390"/>
      <c r="AA1148" s="390"/>
      <c r="AB1148" s="390"/>
      <c r="AC1148" s="375"/>
      <c r="AD1148" s="375"/>
      <c r="AE1148" s="375"/>
      <c r="AF1148" s="375"/>
    </row>
    <row r="1149" spans="18:32">
      <c r="R1149" s="389"/>
      <c r="S1149" s="389"/>
      <c r="T1149" s="389"/>
      <c r="U1149" s="389"/>
      <c r="V1149" s="389"/>
      <c r="W1149" s="390"/>
      <c r="X1149" s="390"/>
      <c r="Y1149" s="390"/>
      <c r="Z1149" s="390"/>
      <c r="AA1149" s="390"/>
      <c r="AB1149" s="390"/>
      <c r="AC1149" s="375"/>
      <c r="AD1149" s="375"/>
      <c r="AE1149" s="375"/>
      <c r="AF1149" s="375"/>
    </row>
    <row r="1150" spans="18:32">
      <c r="R1150" s="389"/>
      <c r="S1150" s="389"/>
      <c r="T1150" s="389"/>
      <c r="U1150" s="389"/>
      <c r="V1150" s="389"/>
      <c r="W1150" s="390"/>
      <c r="X1150" s="390"/>
      <c r="Y1150" s="390"/>
      <c r="Z1150" s="390"/>
      <c r="AA1150" s="390"/>
      <c r="AB1150" s="390"/>
      <c r="AC1150" s="375"/>
      <c r="AD1150" s="375"/>
      <c r="AE1150" s="375"/>
      <c r="AF1150" s="375"/>
    </row>
    <row r="1151" spans="18:32">
      <c r="R1151" s="389"/>
      <c r="S1151" s="389"/>
      <c r="T1151" s="389"/>
      <c r="U1151" s="389"/>
      <c r="V1151" s="389"/>
      <c r="W1151" s="390"/>
      <c r="X1151" s="390"/>
      <c r="Y1151" s="390"/>
      <c r="Z1151" s="390"/>
      <c r="AA1151" s="390"/>
      <c r="AB1151" s="390"/>
      <c r="AC1151" s="375"/>
      <c r="AD1151" s="375"/>
      <c r="AE1151" s="375"/>
      <c r="AF1151" s="375"/>
    </row>
    <row r="1152" spans="18:32">
      <c r="R1152" s="389"/>
      <c r="S1152" s="389"/>
      <c r="T1152" s="389"/>
      <c r="U1152" s="389"/>
      <c r="V1152" s="389"/>
      <c r="W1152" s="390"/>
      <c r="X1152" s="390"/>
      <c r="Y1152" s="390"/>
      <c r="Z1152" s="390"/>
      <c r="AA1152" s="390"/>
      <c r="AB1152" s="390"/>
      <c r="AC1152" s="375"/>
      <c r="AD1152" s="375"/>
      <c r="AE1152" s="375"/>
      <c r="AF1152" s="375"/>
    </row>
    <row r="1153" spans="18:32">
      <c r="R1153" s="389"/>
      <c r="S1153" s="389"/>
      <c r="T1153" s="389"/>
      <c r="U1153" s="389"/>
      <c r="V1153" s="389"/>
      <c r="W1153" s="390"/>
      <c r="X1153" s="390"/>
      <c r="Y1153" s="390"/>
      <c r="Z1153" s="390"/>
      <c r="AA1153" s="390"/>
      <c r="AB1153" s="390"/>
      <c r="AC1153" s="375"/>
      <c r="AD1153" s="375"/>
      <c r="AE1153" s="375"/>
      <c r="AF1153" s="375"/>
    </row>
    <row r="1154" spans="18:32">
      <c r="R1154" s="389"/>
      <c r="S1154" s="389"/>
      <c r="T1154" s="389"/>
      <c r="U1154" s="389"/>
      <c r="V1154" s="389"/>
      <c r="W1154" s="390"/>
      <c r="X1154" s="390"/>
      <c r="Y1154" s="390"/>
      <c r="Z1154" s="390"/>
      <c r="AA1154" s="390"/>
      <c r="AB1154" s="390"/>
      <c r="AC1154" s="375"/>
      <c r="AD1154" s="375"/>
      <c r="AE1154" s="375"/>
      <c r="AF1154" s="375"/>
    </row>
    <row r="1155" spans="18:32">
      <c r="R1155" s="389"/>
      <c r="S1155" s="389"/>
      <c r="T1155" s="389"/>
      <c r="U1155" s="389"/>
      <c r="V1155" s="389"/>
      <c r="W1155" s="390"/>
      <c r="X1155" s="390"/>
      <c r="Y1155" s="390"/>
      <c r="Z1155" s="390"/>
      <c r="AA1155" s="390"/>
      <c r="AB1155" s="390"/>
      <c r="AC1155" s="375"/>
      <c r="AD1155" s="375"/>
      <c r="AE1155" s="375"/>
      <c r="AF1155" s="375"/>
    </row>
    <row r="1156" spans="18:32">
      <c r="R1156" s="389"/>
      <c r="S1156" s="389"/>
      <c r="T1156" s="389"/>
      <c r="U1156" s="389"/>
      <c r="V1156" s="389"/>
      <c r="W1156" s="390"/>
      <c r="X1156" s="390"/>
      <c r="Y1156" s="390"/>
      <c r="Z1156" s="390"/>
      <c r="AA1156" s="390"/>
      <c r="AB1156" s="390"/>
      <c r="AC1156" s="375"/>
      <c r="AD1156" s="375"/>
      <c r="AE1156" s="375"/>
      <c r="AF1156" s="375"/>
    </row>
    <row r="1157" spans="18:32">
      <c r="R1157" s="389"/>
      <c r="S1157" s="389"/>
      <c r="T1157" s="389"/>
      <c r="U1157" s="389"/>
      <c r="V1157" s="389"/>
      <c r="W1157" s="390"/>
      <c r="X1157" s="390"/>
      <c r="Y1157" s="390"/>
      <c r="Z1157" s="390"/>
      <c r="AA1157" s="390"/>
      <c r="AB1157" s="390"/>
      <c r="AC1157" s="375"/>
      <c r="AD1157" s="375"/>
      <c r="AE1157" s="375"/>
      <c r="AF1157" s="375"/>
    </row>
    <row r="1158" spans="18:32">
      <c r="R1158" s="389"/>
      <c r="S1158" s="389"/>
      <c r="T1158" s="389"/>
      <c r="U1158" s="389"/>
      <c r="V1158" s="389"/>
      <c r="W1158" s="390"/>
      <c r="X1158" s="390"/>
      <c r="Y1158" s="390"/>
      <c r="Z1158" s="390"/>
      <c r="AA1158" s="390"/>
      <c r="AB1158" s="390"/>
      <c r="AC1158" s="375"/>
      <c r="AD1158" s="375"/>
      <c r="AE1158" s="375"/>
      <c r="AF1158" s="375"/>
    </row>
    <row r="1159" spans="18:32">
      <c r="R1159" s="389"/>
      <c r="S1159" s="389"/>
      <c r="T1159" s="389"/>
      <c r="U1159" s="389"/>
      <c r="V1159" s="389"/>
      <c r="W1159" s="390"/>
      <c r="X1159" s="390"/>
      <c r="Y1159" s="390"/>
      <c r="Z1159" s="390"/>
      <c r="AA1159" s="390"/>
      <c r="AB1159" s="390"/>
      <c r="AC1159" s="375"/>
      <c r="AD1159" s="375"/>
      <c r="AE1159" s="375"/>
      <c r="AF1159" s="375"/>
    </row>
    <row r="1160" spans="18:32">
      <c r="R1160" s="389"/>
      <c r="S1160" s="389"/>
      <c r="T1160" s="389"/>
      <c r="U1160" s="389"/>
      <c r="V1160" s="389"/>
      <c r="W1160" s="390"/>
      <c r="X1160" s="390"/>
      <c r="Y1160" s="390"/>
      <c r="Z1160" s="390"/>
      <c r="AA1160" s="390"/>
      <c r="AB1160" s="390"/>
      <c r="AC1160" s="375"/>
      <c r="AD1160" s="375"/>
      <c r="AE1160" s="375"/>
      <c r="AF1160" s="375"/>
    </row>
    <row r="1161" spans="18:32">
      <c r="R1161" s="389"/>
      <c r="S1161" s="389"/>
      <c r="T1161" s="389"/>
      <c r="U1161" s="389"/>
      <c r="V1161" s="389"/>
      <c r="W1161" s="390"/>
      <c r="X1161" s="390"/>
      <c r="Y1161" s="390"/>
      <c r="Z1161" s="390"/>
      <c r="AA1161" s="390"/>
      <c r="AB1161" s="390"/>
      <c r="AC1161" s="375"/>
      <c r="AD1161" s="375"/>
      <c r="AE1161" s="375"/>
      <c r="AF1161" s="375"/>
    </row>
    <row r="1162" spans="18:32">
      <c r="R1162" s="389"/>
      <c r="S1162" s="389"/>
      <c r="T1162" s="389"/>
      <c r="U1162" s="389"/>
      <c r="V1162" s="389"/>
      <c r="W1162" s="390"/>
      <c r="X1162" s="390"/>
      <c r="Y1162" s="390"/>
      <c r="Z1162" s="390"/>
      <c r="AA1162" s="390"/>
      <c r="AB1162" s="390"/>
      <c r="AC1162" s="375"/>
      <c r="AD1162" s="375"/>
      <c r="AE1162" s="375"/>
      <c r="AF1162" s="375"/>
    </row>
    <row r="1163" spans="18:32">
      <c r="R1163" s="389"/>
      <c r="S1163" s="389"/>
      <c r="T1163" s="389"/>
      <c r="U1163" s="389"/>
      <c r="V1163" s="389"/>
      <c r="W1163" s="390"/>
      <c r="X1163" s="390"/>
      <c r="Y1163" s="390"/>
      <c r="Z1163" s="390"/>
      <c r="AA1163" s="390"/>
      <c r="AB1163" s="390"/>
      <c r="AC1163" s="375"/>
      <c r="AD1163" s="375"/>
      <c r="AE1163" s="375"/>
      <c r="AF1163" s="375"/>
    </row>
    <row r="1164" spans="18:32">
      <c r="R1164" s="389"/>
      <c r="S1164" s="389"/>
      <c r="T1164" s="389"/>
      <c r="U1164" s="389"/>
      <c r="V1164" s="389"/>
      <c r="W1164" s="390"/>
      <c r="X1164" s="390"/>
      <c r="Y1164" s="390"/>
      <c r="Z1164" s="390"/>
      <c r="AA1164" s="390"/>
      <c r="AB1164" s="390"/>
      <c r="AC1164" s="375"/>
      <c r="AD1164" s="375"/>
      <c r="AE1164" s="375"/>
      <c r="AF1164" s="375"/>
    </row>
    <row r="1165" spans="18:32">
      <c r="R1165" s="389"/>
      <c r="S1165" s="389"/>
      <c r="T1165" s="389"/>
      <c r="U1165" s="389"/>
      <c r="V1165" s="389"/>
      <c r="W1165" s="390"/>
      <c r="X1165" s="390"/>
      <c r="Y1165" s="390"/>
      <c r="Z1165" s="390"/>
      <c r="AA1165" s="390"/>
      <c r="AB1165" s="390"/>
      <c r="AC1165" s="375"/>
      <c r="AD1165" s="375"/>
      <c r="AE1165" s="375"/>
      <c r="AF1165" s="375"/>
    </row>
    <row r="1166" spans="18:32">
      <c r="R1166" s="389"/>
      <c r="S1166" s="389"/>
      <c r="T1166" s="389"/>
      <c r="U1166" s="389"/>
      <c r="V1166" s="389"/>
      <c r="W1166" s="390"/>
      <c r="X1166" s="390"/>
      <c r="Y1166" s="390"/>
      <c r="Z1166" s="390"/>
      <c r="AA1166" s="390"/>
      <c r="AB1166" s="390"/>
      <c r="AC1166" s="375"/>
      <c r="AD1166" s="375"/>
      <c r="AE1166" s="375"/>
      <c r="AF1166" s="375"/>
    </row>
    <row r="1167" spans="18:32">
      <c r="R1167" s="389"/>
      <c r="S1167" s="389"/>
      <c r="T1167" s="389"/>
      <c r="U1167" s="389"/>
      <c r="V1167" s="389"/>
      <c r="W1167" s="390"/>
      <c r="X1167" s="390"/>
      <c r="Y1167" s="390"/>
      <c r="Z1167" s="390"/>
      <c r="AA1167" s="390"/>
      <c r="AB1167" s="390"/>
      <c r="AC1167" s="375"/>
      <c r="AD1167" s="375"/>
      <c r="AE1167" s="375"/>
      <c r="AF1167" s="375"/>
    </row>
    <row r="1168" spans="18:32">
      <c r="R1168" s="389"/>
      <c r="S1168" s="389"/>
      <c r="T1168" s="389"/>
      <c r="U1168" s="389"/>
      <c r="V1168" s="389"/>
      <c r="W1168" s="390"/>
      <c r="X1168" s="390"/>
      <c r="Y1168" s="390"/>
      <c r="Z1168" s="390"/>
      <c r="AA1168" s="390"/>
      <c r="AB1168" s="390"/>
      <c r="AC1168" s="375"/>
      <c r="AD1168" s="375"/>
      <c r="AE1168" s="375"/>
      <c r="AF1168" s="375"/>
    </row>
    <row r="1169" spans="18:32">
      <c r="R1169" s="389"/>
      <c r="S1169" s="389"/>
      <c r="T1169" s="389"/>
      <c r="U1169" s="389"/>
      <c r="V1169" s="389"/>
      <c r="W1169" s="390"/>
      <c r="X1169" s="390"/>
      <c r="Y1169" s="390"/>
      <c r="Z1169" s="390"/>
      <c r="AA1169" s="390"/>
      <c r="AB1169" s="390"/>
      <c r="AC1169" s="375"/>
      <c r="AD1169" s="375"/>
      <c r="AE1169" s="375"/>
      <c r="AF1169" s="375"/>
    </row>
    <row r="1170" spans="18:32">
      <c r="R1170" s="389"/>
      <c r="S1170" s="389"/>
      <c r="T1170" s="389"/>
      <c r="U1170" s="389"/>
      <c r="V1170" s="389"/>
      <c r="W1170" s="390"/>
      <c r="X1170" s="390"/>
      <c r="Y1170" s="390"/>
      <c r="Z1170" s="390"/>
      <c r="AA1170" s="390"/>
      <c r="AB1170" s="390"/>
      <c r="AC1170" s="375"/>
      <c r="AD1170" s="375"/>
      <c r="AE1170" s="375"/>
      <c r="AF1170" s="375"/>
    </row>
    <row r="1171" spans="18:32">
      <c r="R1171" s="389"/>
      <c r="S1171" s="389"/>
      <c r="T1171" s="389"/>
      <c r="U1171" s="389"/>
      <c r="V1171" s="389"/>
      <c r="W1171" s="390"/>
      <c r="X1171" s="390"/>
      <c r="Y1171" s="390"/>
      <c r="Z1171" s="390"/>
      <c r="AA1171" s="390"/>
      <c r="AB1171" s="390"/>
      <c r="AC1171" s="375"/>
      <c r="AD1171" s="375"/>
      <c r="AE1171" s="375"/>
      <c r="AF1171" s="375"/>
    </row>
    <row r="1172" spans="18:32">
      <c r="R1172" s="389"/>
      <c r="S1172" s="389"/>
      <c r="T1172" s="389"/>
      <c r="U1172" s="389"/>
      <c r="V1172" s="389"/>
      <c r="W1172" s="390"/>
      <c r="X1172" s="390"/>
      <c r="Y1172" s="390"/>
      <c r="Z1172" s="390"/>
      <c r="AA1172" s="390"/>
      <c r="AB1172" s="390"/>
      <c r="AC1172" s="375"/>
      <c r="AD1172" s="375"/>
      <c r="AE1172" s="375"/>
      <c r="AF1172" s="375"/>
    </row>
    <row r="1173" spans="18:32">
      <c r="R1173" s="389"/>
      <c r="S1173" s="389"/>
      <c r="T1173" s="389"/>
      <c r="U1173" s="389"/>
      <c r="V1173" s="389"/>
      <c r="W1173" s="390"/>
      <c r="X1173" s="390"/>
      <c r="Y1173" s="390"/>
      <c r="Z1173" s="390"/>
      <c r="AA1173" s="390"/>
      <c r="AB1173" s="390"/>
      <c r="AC1173" s="375"/>
      <c r="AD1173" s="375"/>
      <c r="AE1173" s="375"/>
      <c r="AF1173" s="375"/>
    </row>
    <row r="1174" spans="18:32">
      <c r="R1174" s="389"/>
      <c r="S1174" s="389"/>
      <c r="T1174" s="389"/>
      <c r="U1174" s="389"/>
      <c r="V1174" s="389"/>
      <c r="W1174" s="390"/>
      <c r="X1174" s="390"/>
      <c r="Y1174" s="390"/>
      <c r="Z1174" s="390"/>
      <c r="AA1174" s="390"/>
      <c r="AB1174" s="390"/>
      <c r="AC1174" s="375"/>
      <c r="AD1174" s="375"/>
      <c r="AE1174" s="375"/>
      <c r="AF1174" s="375"/>
    </row>
    <row r="1175" spans="18:32">
      <c r="R1175" s="389"/>
      <c r="S1175" s="389"/>
      <c r="T1175" s="389"/>
      <c r="U1175" s="389"/>
      <c r="V1175" s="389"/>
      <c r="W1175" s="390"/>
      <c r="X1175" s="390"/>
      <c r="Y1175" s="390"/>
      <c r="Z1175" s="390"/>
      <c r="AA1175" s="390"/>
      <c r="AB1175" s="390"/>
      <c r="AC1175" s="375"/>
      <c r="AD1175" s="375"/>
      <c r="AE1175" s="375"/>
      <c r="AF1175" s="375"/>
    </row>
    <row r="1176" spans="18:32">
      <c r="R1176" s="389"/>
      <c r="S1176" s="389"/>
      <c r="T1176" s="389"/>
      <c r="U1176" s="389"/>
      <c r="V1176" s="389"/>
      <c r="W1176" s="390"/>
      <c r="X1176" s="390"/>
      <c r="Y1176" s="390"/>
      <c r="Z1176" s="390"/>
      <c r="AA1176" s="390"/>
      <c r="AB1176" s="390"/>
      <c r="AC1176" s="375"/>
      <c r="AD1176" s="375"/>
      <c r="AE1176" s="375"/>
      <c r="AF1176" s="375"/>
    </row>
    <row r="1177" spans="18:32">
      <c r="R1177" s="389"/>
      <c r="S1177" s="389"/>
      <c r="T1177" s="389"/>
      <c r="U1177" s="389"/>
      <c r="V1177" s="389"/>
      <c r="W1177" s="390"/>
      <c r="X1177" s="390"/>
      <c r="Y1177" s="390"/>
      <c r="Z1177" s="390"/>
      <c r="AA1177" s="390"/>
      <c r="AB1177" s="390"/>
      <c r="AC1177" s="375"/>
      <c r="AD1177" s="375"/>
      <c r="AE1177" s="375"/>
      <c r="AF1177" s="375"/>
    </row>
    <row r="1178" spans="18:32">
      <c r="R1178" s="389"/>
      <c r="S1178" s="389"/>
      <c r="T1178" s="389"/>
      <c r="U1178" s="389"/>
      <c r="V1178" s="389"/>
      <c r="W1178" s="390"/>
      <c r="X1178" s="390"/>
      <c r="Y1178" s="390"/>
      <c r="Z1178" s="390"/>
      <c r="AA1178" s="390"/>
      <c r="AB1178" s="390"/>
      <c r="AC1178" s="375"/>
      <c r="AD1178" s="375"/>
      <c r="AE1178" s="375"/>
      <c r="AF1178" s="375"/>
    </row>
    <row r="1179" spans="18:32">
      <c r="R1179" s="389"/>
      <c r="S1179" s="389"/>
      <c r="T1179" s="389"/>
      <c r="U1179" s="389"/>
      <c r="V1179" s="389"/>
      <c r="W1179" s="390"/>
      <c r="X1179" s="390"/>
      <c r="Y1179" s="390"/>
      <c r="Z1179" s="390"/>
      <c r="AA1179" s="390"/>
      <c r="AB1179" s="390"/>
      <c r="AC1179" s="375"/>
      <c r="AD1179" s="375"/>
      <c r="AE1179" s="375"/>
      <c r="AF1179" s="375"/>
    </row>
    <row r="1180" spans="18:32">
      <c r="R1180" s="389"/>
      <c r="S1180" s="389"/>
      <c r="T1180" s="389"/>
      <c r="U1180" s="389"/>
      <c r="V1180" s="389"/>
      <c r="W1180" s="390"/>
      <c r="X1180" s="390"/>
      <c r="Y1180" s="390"/>
      <c r="Z1180" s="390"/>
      <c r="AA1180" s="390"/>
      <c r="AB1180" s="390"/>
      <c r="AC1180" s="375"/>
      <c r="AD1180" s="375"/>
      <c r="AE1180" s="375"/>
      <c r="AF1180" s="375"/>
    </row>
    <row r="1181" spans="18:32">
      <c r="R1181" s="389"/>
      <c r="S1181" s="389"/>
      <c r="T1181" s="389"/>
      <c r="U1181" s="389"/>
      <c r="V1181" s="389"/>
      <c r="W1181" s="390"/>
      <c r="X1181" s="390"/>
      <c r="Y1181" s="390"/>
      <c r="Z1181" s="390"/>
      <c r="AA1181" s="390"/>
      <c r="AB1181" s="390"/>
      <c r="AC1181" s="375"/>
      <c r="AD1181" s="375"/>
      <c r="AE1181" s="375"/>
      <c r="AF1181" s="375"/>
    </row>
    <row r="1182" spans="18:32">
      <c r="R1182" s="389"/>
      <c r="S1182" s="389"/>
      <c r="T1182" s="389"/>
      <c r="U1182" s="389"/>
      <c r="V1182" s="389"/>
      <c r="W1182" s="390"/>
      <c r="X1182" s="390"/>
      <c r="Y1182" s="390"/>
      <c r="Z1182" s="390"/>
      <c r="AA1182" s="390"/>
      <c r="AB1182" s="390"/>
      <c r="AC1182" s="375"/>
      <c r="AD1182" s="375"/>
      <c r="AE1182" s="375"/>
      <c r="AF1182" s="375"/>
    </row>
    <row r="1183" spans="18:32">
      <c r="R1183" s="389"/>
      <c r="S1183" s="389"/>
      <c r="T1183" s="389"/>
      <c r="U1183" s="389"/>
      <c r="V1183" s="389"/>
      <c r="W1183" s="390"/>
      <c r="X1183" s="390"/>
      <c r="Y1183" s="390"/>
      <c r="Z1183" s="390"/>
      <c r="AA1183" s="390"/>
      <c r="AB1183" s="390"/>
      <c r="AC1183" s="375"/>
      <c r="AD1183" s="375"/>
      <c r="AE1183" s="375"/>
      <c r="AF1183" s="375"/>
    </row>
    <row r="1184" spans="18:32">
      <c r="R1184" s="389"/>
      <c r="S1184" s="389"/>
      <c r="T1184" s="389"/>
      <c r="U1184" s="389"/>
      <c r="V1184" s="389"/>
      <c r="W1184" s="390"/>
      <c r="X1184" s="390"/>
      <c r="Y1184" s="390"/>
      <c r="Z1184" s="390"/>
      <c r="AA1184" s="390"/>
      <c r="AB1184" s="390"/>
      <c r="AC1184" s="375"/>
      <c r="AD1184" s="375"/>
      <c r="AE1184" s="375"/>
      <c r="AF1184" s="375"/>
    </row>
    <row r="1185" spans="18:32">
      <c r="R1185" s="389"/>
      <c r="S1185" s="389"/>
      <c r="T1185" s="389"/>
      <c r="U1185" s="389"/>
      <c r="V1185" s="389"/>
      <c r="W1185" s="390"/>
      <c r="X1185" s="390"/>
      <c r="Y1185" s="390"/>
      <c r="Z1185" s="390"/>
      <c r="AA1185" s="390"/>
      <c r="AB1185" s="390"/>
      <c r="AC1185" s="375"/>
      <c r="AD1185" s="375"/>
      <c r="AE1185" s="375"/>
      <c r="AF1185" s="375"/>
    </row>
    <row r="1186" spans="18:32">
      <c r="R1186" s="389"/>
      <c r="S1186" s="389"/>
      <c r="T1186" s="389"/>
      <c r="U1186" s="389"/>
      <c r="V1186" s="389"/>
      <c r="W1186" s="390"/>
      <c r="X1186" s="390"/>
      <c r="Y1186" s="390"/>
      <c r="Z1186" s="390"/>
      <c r="AA1186" s="390"/>
      <c r="AB1186" s="390"/>
      <c r="AC1186" s="375"/>
      <c r="AD1186" s="375"/>
      <c r="AE1186" s="375"/>
      <c r="AF1186" s="375"/>
    </row>
    <row r="1187" spans="18:32">
      <c r="R1187" s="389"/>
      <c r="S1187" s="389"/>
      <c r="T1187" s="389"/>
      <c r="U1187" s="389"/>
      <c r="V1187" s="389"/>
      <c r="W1187" s="390"/>
      <c r="X1187" s="390"/>
      <c r="Y1187" s="390"/>
      <c r="Z1187" s="390"/>
      <c r="AA1187" s="390"/>
      <c r="AB1187" s="390"/>
      <c r="AC1187" s="375"/>
      <c r="AD1187" s="375"/>
      <c r="AE1187" s="375"/>
      <c r="AF1187" s="375"/>
    </row>
    <row r="1188" spans="18:32">
      <c r="R1188" s="389"/>
      <c r="S1188" s="389"/>
      <c r="T1188" s="389"/>
      <c r="U1188" s="389"/>
      <c r="V1188" s="389"/>
      <c r="W1188" s="390"/>
      <c r="X1188" s="390"/>
      <c r="Y1188" s="390"/>
      <c r="Z1188" s="390"/>
      <c r="AA1188" s="390"/>
      <c r="AB1188" s="390"/>
      <c r="AC1188" s="375"/>
      <c r="AD1188" s="375"/>
      <c r="AE1188" s="375"/>
      <c r="AF1188" s="375"/>
    </row>
    <row r="1189" spans="18:32">
      <c r="R1189" s="389"/>
      <c r="S1189" s="389"/>
      <c r="T1189" s="389"/>
      <c r="U1189" s="389"/>
      <c r="V1189" s="389"/>
      <c r="W1189" s="390"/>
      <c r="X1189" s="390"/>
      <c r="Y1189" s="390"/>
      <c r="Z1189" s="390"/>
      <c r="AA1189" s="390"/>
      <c r="AB1189" s="390"/>
      <c r="AC1189" s="375"/>
      <c r="AD1189" s="375"/>
      <c r="AE1189" s="375"/>
      <c r="AF1189" s="375"/>
    </row>
    <row r="1190" spans="18:32">
      <c r="R1190" s="389"/>
      <c r="S1190" s="389"/>
      <c r="T1190" s="389"/>
      <c r="U1190" s="389"/>
      <c r="V1190" s="389"/>
      <c r="W1190" s="390"/>
      <c r="X1190" s="390"/>
      <c r="Y1190" s="390"/>
      <c r="Z1190" s="390"/>
      <c r="AA1190" s="390"/>
      <c r="AB1190" s="390"/>
      <c r="AC1190" s="375"/>
      <c r="AD1190" s="375"/>
      <c r="AE1190" s="375"/>
      <c r="AF1190" s="375"/>
    </row>
    <row r="1191" spans="18:32">
      <c r="R1191" s="389"/>
      <c r="S1191" s="389"/>
      <c r="T1191" s="389"/>
      <c r="U1191" s="389"/>
      <c r="V1191" s="389"/>
      <c r="W1191" s="390"/>
      <c r="X1191" s="390"/>
      <c r="Y1191" s="390"/>
      <c r="Z1191" s="390"/>
      <c r="AA1191" s="390"/>
      <c r="AB1191" s="390"/>
      <c r="AC1191" s="375"/>
      <c r="AD1191" s="375"/>
      <c r="AE1191" s="375"/>
      <c r="AF1191" s="375"/>
    </row>
    <row r="1192" spans="18:32">
      <c r="R1192" s="389"/>
      <c r="S1192" s="389"/>
      <c r="T1192" s="389"/>
      <c r="U1192" s="389"/>
      <c r="V1192" s="389"/>
      <c r="W1192" s="390"/>
      <c r="X1192" s="390"/>
      <c r="Y1192" s="390"/>
      <c r="Z1192" s="390"/>
      <c r="AA1192" s="390"/>
      <c r="AB1192" s="390"/>
      <c r="AC1192" s="375"/>
      <c r="AD1192" s="375"/>
      <c r="AE1192" s="375"/>
      <c r="AF1192" s="375"/>
    </row>
    <row r="1193" spans="18:32">
      <c r="R1193" s="389"/>
      <c r="S1193" s="389"/>
      <c r="T1193" s="389"/>
      <c r="U1193" s="389"/>
      <c r="V1193" s="389"/>
      <c r="W1193" s="390"/>
      <c r="X1193" s="390"/>
      <c r="Y1193" s="390"/>
      <c r="Z1193" s="390"/>
      <c r="AA1193" s="390"/>
      <c r="AB1193" s="390"/>
      <c r="AC1193" s="375"/>
      <c r="AD1193" s="375"/>
      <c r="AE1193" s="375"/>
      <c r="AF1193" s="375"/>
    </row>
    <row r="1194" spans="18:32">
      <c r="R1194" s="389"/>
      <c r="S1194" s="389"/>
      <c r="T1194" s="389"/>
      <c r="U1194" s="389"/>
      <c r="V1194" s="389"/>
      <c r="W1194" s="390"/>
      <c r="X1194" s="390"/>
      <c r="Y1194" s="390"/>
      <c r="Z1194" s="390"/>
      <c r="AA1194" s="390"/>
      <c r="AB1194" s="390"/>
      <c r="AC1194" s="375"/>
      <c r="AD1194" s="375"/>
      <c r="AE1194" s="375"/>
      <c r="AF1194" s="375"/>
    </row>
    <row r="1195" spans="18:32">
      <c r="R1195" s="389"/>
      <c r="S1195" s="389"/>
      <c r="T1195" s="389"/>
      <c r="U1195" s="389"/>
      <c r="V1195" s="389"/>
      <c r="W1195" s="390"/>
      <c r="X1195" s="390"/>
      <c r="Y1195" s="390"/>
      <c r="Z1195" s="390"/>
      <c r="AA1195" s="390"/>
      <c r="AB1195" s="390"/>
      <c r="AC1195" s="375"/>
      <c r="AD1195" s="375"/>
      <c r="AE1195" s="375"/>
      <c r="AF1195" s="375"/>
    </row>
    <row r="1196" spans="18:32">
      <c r="R1196" s="389"/>
      <c r="S1196" s="389"/>
      <c r="T1196" s="389"/>
      <c r="U1196" s="389"/>
      <c r="V1196" s="389"/>
      <c r="W1196" s="390"/>
      <c r="X1196" s="390"/>
      <c r="Y1196" s="390"/>
      <c r="Z1196" s="390"/>
      <c r="AA1196" s="390"/>
      <c r="AB1196" s="390"/>
      <c r="AC1196" s="375"/>
      <c r="AD1196" s="375"/>
      <c r="AE1196" s="375"/>
      <c r="AF1196" s="375"/>
    </row>
    <row r="1197" spans="18:32">
      <c r="R1197" s="389"/>
      <c r="S1197" s="389"/>
      <c r="T1197" s="389"/>
      <c r="U1197" s="389"/>
      <c r="V1197" s="389"/>
      <c r="W1197" s="390"/>
      <c r="X1197" s="390"/>
      <c r="Y1197" s="390"/>
      <c r="Z1197" s="390"/>
      <c r="AA1197" s="390"/>
      <c r="AB1197" s="390"/>
      <c r="AC1197" s="375"/>
      <c r="AD1197" s="375"/>
      <c r="AE1197" s="375"/>
      <c r="AF1197" s="375"/>
    </row>
    <row r="1198" spans="18:32">
      <c r="R1198" s="389"/>
      <c r="S1198" s="389"/>
      <c r="T1198" s="389"/>
      <c r="U1198" s="389"/>
      <c r="V1198" s="389"/>
      <c r="W1198" s="390"/>
      <c r="X1198" s="390"/>
      <c r="Y1198" s="390"/>
      <c r="Z1198" s="390"/>
      <c r="AA1198" s="390"/>
      <c r="AB1198" s="390"/>
      <c r="AC1198" s="375"/>
      <c r="AD1198" s="375"/>
      <c r="AE1198" s="375"/>
      <c r="AF1198" s="375"/>
    </row>
    <row r="1199" spans="18:32">
      <c r="R1199" s="389"/>
      <c r="S1199" s="389"/>
      <c r="T1199" s="389"/>
      <c r="U1199" s="389"/>
      <c r="V1199" s="389"/>
      <c r="W1199" s="390"/>
      <c r="X1199" s="390"/>
      <c r="Y1199" s="390"/>
      <c r="Z1199" s="390"/>
      <c r="AA1199" s="390"/>
      <c r="AB1199" s="390"/>
      <c r="AC1199" s="375"/>
      <c r="AD1199" s="375"/>
      <c r="AE1199" s="375"/>
      <c r="AF1199" s="375"/>
    </row>
    <row r="1200" spans="18:32">
      <c r="R1200" s="389"/>
      <c r="S1200" s="389"/>
      <c r="T1200" s="389"/>
      <c r="U1200" s="389"/>
      <c r="V1200" s="389"/>
      <c r="W1200" s="390"/>
      <c r="X1200" s="390"/>
      <c r="Y1200" s="390"/>
      <c r="Z1200" s="390"/>
      <c r="AA1200" s="390"/>
      <c r="AB1200" s="390"/>
      <c r="AC1200" s="375"/>
      <c r="AD1200" s="375"/>
      <c r="AE1200" s="375"/>
      <c r="AF1200" s="375"/>
    </row>
    <row r="1201" spans="18:32">
      <c r="R1201" s="389"/>
      <c r="S1201" s="389"/>
      <c r="T1201" s="389"/>
      <c r="U1201" s="389"/>
      <c r="V1201" s="389"/>
      <c r="W1201" s="390"/>
      <c r="X1201" s="390"/>
      <c r="Y1201" s="390"/>
      <c r="Z1201" s="390"/>
      <c r="AA1201" s="390"/>
      <c r="AB1201" s="390"/>
      <c r="AC1201" s="375"/>
      <c r="AD1201" s="375"/>
      <c r="AE1201" s="375"/>
      <c r="AF1201" s="375"/>
    </row>
    <row r="1202" spans="18:32">
      <c r="R1202" s="389"/>
      <c r="S1202" s="389"/>
      <c r="T1202" s="389"/>
      <c r="U1202" s="389"/>
      <c r="V1202" s="389"/>
      <c r="W1202" s="390"/>
      <c r="X1202" s="390"/>
      <c r="Y1202" s="390"/>
      <c r="Z1202" s="390"/>
      <c r="AA1202" s="390"/>
      <c r="AB1202" s="390"/>
      <c r="AC1202" s="375"/>
      <c r="AD1202" s="375"/>
      <c r="AE1202" s="375"/>
      <c r="AF1202" s="375"/>
    </row>
    <row r="1203" spans="18:32">
      <c r="R1203" s="389"/>
      <c r="S1203" s="389"/>
      <c r="T1203" s="389"/>
      <c r="U1203" s="389"/>
      <c r="V1203" s="389"/>
      <c r="W1203" s="390"/>
      <c r="X1203" s="390"/>
      <c r="Y1203" s="390"/>
      <c r="Z1203" s="390"/>
      <c r="AA1203" s="390"/>
      <c r="AB1203" s="390"/>
      <c r="AC1203" s="375"/>
      <c r="AD1203" s="375"/>
      <c r="AE1203" s="375"/>
      <c r="AF1203" s="375"/>
    </row>
    <row r="1204" spans="18:32">
      <c r="R1204" s="389"/>
      <c r="S1204" s="389"/>
      <c r="T1204" s="389"/>
      <c r="U1204" s="389"/>
      <c r="V1204" s="389"/>
      <c r="W1204" s="390"/>
      <c r="X1204" s="390"/>
      <c r="Y1204" s="390"/>
      <c r="Z1204" s="390"/>
      <c r="AA1204" s="390"/>
      <c r="AB1204" s="390"/>
      <c r="AC1204" s="375"/>
      <c r="AD1204" s="375"/>
      <c r="AE1204" s="375"/>
      <c r="AF1204" s="375"/>
    </row>
    <row r="1205" spans="18:32">
      <c r="R1205" s="389"/>
      <c r="S1205" s="389"/>
      <c r="T1205" s="389"/>
      <c r="U1205" s="389"/>
      <c r="V1205" s="389"/>
      <c r="W1205" s="390"/>
      <c r="X1205" s="390"/>
      <c r="Y1205" s="390"/>
      <c r="Z1205" s="390"/>
      <c r="AA1205" s="390"/>
      <c r="AB1205" s="390"/>
      <c r="AC1205" s="375"/>
      <c r="AD1205" s="375"/>
      <c r="AE1205" s="375"/>
      <c r="AF1205" s="375"/>
    </row>
    <row r="1206" spans="18:32">
      <c r="R1206" s="389"/>
      <c r="S1206" s="389"/>
      <c r="T1206" s="389"/>
      <c r="U1206" s="389"/>
      <c r="V1206" s="389"/>
      <c r="W1206" s="390"/>
      <c r="X1206" s="390"/>
      <c r="Y1206" s="390"/>
      <c r="Z1206" s="390"/>
      <c r="AA1206" s="390"/>
      <c r="AB1206" s="390"/>
      <c r="AC1206" s="375"/>
      <c r="AD1206" s="375"/>
      <c r="AE1206" s="375"/>
      <c r="AF1206" s="375"/>
    </row>
    <row r="1207" spans="18:32">
      <c r="R1207" s="389"/>
      <c r="S1207" s="389"/>
      <c r="T1207" s="389"/>
      <c r="U1207" s="389"/>
      <c r="V1207" s="389"/>
      <c r="W1207" s="390"/>
      <c r="X1207" s="390"/>
      <c r="Y1207" s="390"/>
      <c r="Z1207" s="390"/>
      <c r="AA1207" s="390"/>
      <c r="AB1207" s="390"/>
      <c r="AC1207" s="375"/>
      <c r="AD1207" s="375"/>
      <c r="AE1207" s="375"/>
      <c r="AF1207" s="375"/>
    </row>
    <row r="1208" spans="18:32">
      <c r="R1208" s="389"/>
      <c r="S1208" s="389"/>
      <c r="T1208" s="389"/>
      <c r="U1208" s="389"/>
      <c r="V1208" s="389"/>
      <c r="W1208" s="390"/>
      <c r="X1208" s="390"/>
      <c r="Y1208" s="390"/>
      <c r="Z1208" s="390"/>
      <c r="AA1208" s="390"/>
      <c r="AB1208" s="390"/>
      <c r="AC1208" s="375"/>
      <c r="AD1208" s="375"/>
      <c r="AE1208" s="375"/>
      <c r="AF1208" s="375"/>
    </row>
    <row r="1209" spans="18:32">
      <c r="R1209" s="389"/>
      <c r="S1209" s="389"/>
      <c r="T1209" s="389"/>
      <c r="U1209" s="389"/>
      <c r="V1209" s="389"/>
      <c r="W1209" s="390"/>
      <c r="X1209" s="390"/>
      <c r="Y1209" s="390"/>
      <c r="Z1209" s="390"/>
      <c r="AA1209" s="390"/>
      <c r="AB1209" s="390"/>
      <c r="AC1209" s="375"/>
      <c r="AD1209" s="375"/>
      <c r="AE1209" s="375"/>
      <c r="AF1209" s="375"/>
    </row>
    <row r="1210" spans="18:32">
      <c r="R1210" s="389"/>
      <c r="S1210" s="389"/>
      <c r="T1210" s="389"/>
      <c r="U1210" s="389"/>
      <c r="V1210" s="389"/>
      <c r="W1210" s="390"/>
      <c r="X1210" s="390"/>
      <c r="Y1210" s="390"/>
      <c r="Z1210" s="390"/>
      <c r="AA1210" s="390"/>
      <c r="AB1210" s="390"/>
      <c r="AC1210" s="375"/>
      <c r="AD1210" s="375"/>
      <c r="AE1210" s="375"/>
      <c r="AF1210" s="375"/>
    </row>
    <row r="1211" spans="18:32">
      <c r="R1211" s="389"/>
      <c r="S1211" s="389"/>
      <c r="T1211" s="389"/>
      <c r="U1211" s="389"/>
      <c r="V1211" s="389"/>
      <c r="W1211" s="390"/>
      <c r="X1211" s="390"/>
      <c r="Y1211" s="390"/>
      <c r="Z1211" s="390"/>
      <c r="AA1211" s="390"/>
      <c r="AB1211" s="390"/>
      <c r="AC1211" s="375"/>
      <c r="AD1211" s="375"/>
      <c r="AE1211" s="375"/>
      <c r="AF1211" s="375"/>
    </row>
    <row r="1212" spans="18:32">
      <c r="R1212" s="389"/>
      <c r="S1212" s="389"/>
      <c r="T1212" s="389"/>
      <c r="U1212" s="389"/>
      <c r="V1212" s="389"/>
      <c r="W1212" s="390"/>
      <c r="X1212" s="390"/>
      <c r="Y1212" s="390"/>
      <c r="Z1212" s="390"/>
      <c r="AA1212" s="390"/>
      <c r="AB1212" s="390"/>
      <c r="AC1212" s="375"/>
      <c r="AD1212" s="375"/>
      <c r="AE1212" s="375"/>
      <c r="AF1212" s="375"/>
    </row>
    <row r="1213" spans="18:32">
      <c r="R1213" s="389"/>
      <c r="S1213" s="389"/>
      <c r="T1213" s="389"/>
      <c r="U1213" s="389"/>
      <c r="V1213" s="389"/>
      <c r="W1213" s="390"/>
      <c r="X1213" s="390"/>
      <c r="Y1213" s="390"/>
      <c r="Z1213" s="390"/>
      <c r="AA1213" s="390"/>
      <c r="AB1213" s="390"/>
      <c r="AC1213" s="375"/>
      <c r="AD1213" s="375"/>
      <c r="AE1213" s="375"/>
      <c r="AF1213" s="375"/>
    </row>
    <row r="1214" spans="18:32">
      <c r="R1214" s="389"/>
      <c r="S1214" s="389"/>
      <c r="T1214" s="389"/>
      <c r="U1214" s="389"/>
      <c r="V1214" s="389"/>
      <c r="W1214" s="390"/>
      <c r="X1214" s="390"/>
      <c r="Y1214" s="390"/>
      <c r="Z1214" s="390"/>
      <c r="AA1214" s="390"/>
      <c r="AB1214" s="390"/>
      <c r="AC1214" s="375"/>
      <c r="AD1214" s="375"/>
      <c r="AE1214" s="375"/>
      <c r="AF1214" s="375"/>
    </row>
    <row r="1215" spans="18:32">
      <c r="R1215" s="389"/>
      <c r="S1215" s="389"/>
      <c r="T1215" s="389"/>
      <c r="U1215" s="389"/>
      <c r="V1215" s="389"/>
      <c r="W1215" s="390"/>
      <c r="X1215" s="390"/>
      <c r="Y1215" s="390"/>
      <c r="Z1215" s="390"/>
      <c r="AA1215" s="390"/>
      <c r="AB1215" s="390"/>
      <c r="AC1215" s="375"/>
      <c r="AD1215" s="375"/>
      <c r="AE1215" s="375"/>
      <c r="AF1215" s="375"/>
    </row>
    <row r="1216" spans="18:32">
      <c r="R1216" s="389"/>
      <c r="S1216" s="389"/>
      <c r="T1216" s="389"/>
      <c r="U1216" s="389"/>
      <c r="V1216" s="389"/>
      <c r="W1216" s="390"/>
      <c r="X1216" s="390"/>
      <c r="Y1216" s="390"/>
      <c r="Z1216" s="390"/>
      <c r="AA1216" s="390"/>
      <c r="AB1216" s="390"/>
      <c r="AC1216" s="375"/>
      <c r="AD1216" s="375"/>
      <c r="AE1216" s="375"/>
      <c r="AF1216" s="375"/>
    </row>
    <row r="1217" spans="18:32">
      <c r="R1217" s="389"/>
      <c r="S1217" s="389"/>
      <c r="T1217" s="389"/>
      <c r="U1217" s="389"/>
      <c r="V1217" s="389"/>
      <c r="W1217" s="390"/>
      <c r="X1217" s="390"/>
      <c r="Y1217" s="390"/>
      <c r="Z1217" s="390"/>
      <c r="AA1217" s="390"/>
      <c r="AB1217" s="390"/>
      <c r="AC1217" s="375"/>
      <c r="AD1217" s="375"/>
      <c r="AE1217" s="375"/>
      <c r="AF1217" s="375"/>
    </row>
    <row r="1218" spans="18:32">
      <c r="R1218" s="389"/>
      <c r="S1218" s="389"/>
      <c r="T1218" s="389"/>
      <c r="U1218" s="389"/>
      <c r="V1218" s="389"/>
      <c r="W1218" s="390"/>
      <c r="X1218" s="390"/>
      <c r="Y1218" s="390"/>
      <c r="Z1218" s="390"/>
      <c r="AA1218" s="390"/>
      <c r="AB1218" s="390"/>
      <c r="AC1218" s="375"/>
      <c r="AD1218" s="375"/>
      <c r="AE1218" s="375"/>
      <c r="AF1218" s="375"/>
    </row>
    <row r="1219" spans="18:32">
      <c r="R1219" s="389"/>
      <c r="S1219" s="389"/>
      <c r="T1219" s="389"/>
      <c r="U1219" s="389"/>
      <c r="V1219" s="389"/>
      <c r="W1219" s="390"/>
      <c r="X1219" s="390"/>
      <c r="Y1219" s="390"/>
      <c r="Z1219" s="390"/>
      <c r="AA1219" s="390"/>
      <c r="AB1219" s="390"/>
      <c r="AC1219" s="375"/>
      <c r="AD1219" s="375"/>
      <c r="AE1219" s="375"/>
      <c r="AF1219" s="375"/>
    </row>
    <row r="1220" spans="18:32">
      <c r="R1220" s="389"/>
      <c r="S1220" s="389"/>
      <c r="T1220" s="389"/>
      <c r="U1220" s="389"/>
      <c r="V1220" s="389"/>
      <c r="W1220" s="390"/>
      <c r="X1220" s="390"/>
      <c r="Y1220" s="390"/>
      <c r="Z1220" s="390"/>
      <c r="AA1220" s="390"/>
      <c r="AB1220" s="390"/>
      <c r="AC1220" s="375"/>
      <c r="AD1220" s="375"/>
      <c r="AE1220" s="375"/>
      <c r="AF1220" s="375"/>
    </row>
    <row r="1221" spans="18:32">
      <c r="R1221" s="389"/>
      <c r="S1221" s="389"/>
      <c r="T1221" s="389"/>
      <c r="U1221" s="389"/>
      <c r="V1221" s="389"/>
      <c r="W1221" s="390"/>
      <c r="X1221" s="390"/>
      <c r="Y1221" s="390"/>
      <c r="Z1221" s="390"/>
      <c r="AA1221" s="390"/>
      <c r="AB1221" s="390"/>
      <c r="AC1221" s="375"/>
      <c r="AD1221" s="375"/>
      <c r="AE1221" s="375"/>
      <c r="AF1221" s="375"/>
    </row>
    <row r="1222" spans="18:32">
      <c r="R1222" s="389"/>
      <c r="S1222" s="389"/>
      <c r="T1222" s="389"/>
      <c r="U1222" s="389"/>
      <c r="V1222" s="389"/>
      <c r="W1222" s="390"/>
      <c r="X1222" s="390"/>
      <c r="Y1222" s="390"/>
      <c r="Z1222" s="390"/>
      <c r="AA1222" s="390"/>
      <c r="AB1222" s="390"/>
      <c r="AC1222" s="375"/>
      <c r="AD1222" s="375"/>
      <c r="AE1222" s="375"/>
      <c r="AF1222" s="375"/>
    </row>
    <row r="1223" spans="18:32">
      <c r="R1223" s="389"/>
      <c r="S1223" s="389"/>
      <c r="T1223" s="389"/>
      <c r="U1223" s="389"/>
      <c r="V1223" s="389"/>
      <c r="W1223" s="390"/>
      <c r="X1223" s="390"/>
      <c r="Y1223" s="390"/>
      <c r="Z1223" s="390"/>
      <c r="AA1223" s="390"/>
      <c r="AB1223" s="390"/>
      <c r="AC1223" s="375"/>
      <c r="AD1223" s="375"/>
      <c r="AE1223" s="375"/>
      <c r="AF1223" s="375"/>
    </row>
    <row r="1224" spans="18:32">
      <c r="R1224" s="389"/>
      <c r="S1224" s="389"/>
      <c r="T1224" s="389"/>
      <c r="U1224" s="389"/>
      <c r="V1224" s="389"/>
      <c r="W1224" s="390"/>
      <c r="X1224" s="390"/>
      <c r="Y1224" s="390"/>
      <c r="Z1224" s="390"/>
      <c r="AA1224" s="390"/>
      <c r="AB1224" s="390"/>
      <c r="AC1224" s="375"/>
      <c r="AD1224" s="375"/>
      <c r="AE1224" s="375"/>
      <c r="AF1224" s="375"/>
    </row>
    <row r="1225" spans="18:32">
      <c r="R1225" s="389"/>
      <c r="S1225" s="389"/>
      <c r="T1225" s="389"/>
      <c r="U1225" s="389"/>
      <c r="V1225" s="389"/>
      <c r="W1225" s="390"/>
      <c r="X1225" s="390"/>
      <c r="Y1225" s="390"/>
      <c r="Z1225" s="390"/>
      <c r="AA1225" s="390"/>
      <c r="AB1225" s="390"/>
      <c r="AC1225" s="375"/>
      <c r="AD1225" s="375"/>
      <c r="AE1225" s="375"/>
      <c r="AF1225" s="375"/>
    </row>
    <row r="1226" spans="18:32">
      <c r="R1226" s="389"/>
      <c r="S1226" s="389"/>
      <c r="T1226" s="389"/>
      <c r="U1226" s="389"/>
      <c r="V1226" s="389"/>
      <c r="W1226" s="390"/>
      <c r="X1226" s="390"/>
      <c r="Y1226" s="390"/>
      <c r="Z1226" s="390"/>
      <c r="AA1226" s="390"/>
      <c r="AB1226" s="390"/>
      <c r="AC1226" s="375"/>
      <c r="AD1226" s="375"/>
      <c r="AE1226" s="375"/>
      <c r="AF1226" s="375"/>
    </row>
    <row r="1227" spans="18:32">
      <c r="R1227" s="389"/>
      <c r="S1227" s="389"/>
      <c r="T1227" s="389"/>
      <c r="U1227" s="389"/>
      <c r="V1227" s="389"/>
      <c r="W1227" s="390"/>
      <c r="X1227" s="390"/>
      <c r="Y1227" s="390"/>
      <c r="Z1227" s="390"/>
      <c r="AA1227" s="390"/>
      <c r="AB1227" s="390"/>
      <c r="AC1227" s="375"/>
      <c r="AD1227" s="375"/>
      <c r="AE1227" s="375"/>
      <c r="AF1227" s="375"/>
    </row>
    <row r="1228" spans="18:32">
      <c r="R1228" s="389"/>
      <c r="S1228" s="389"/>
      <c r="T1228" s="389"/>
      <c r="U1228" s="389"/>
      <c r="V1228" s="389"/>
      <c r="W1228" s="390"/>
      <c r="X1228" s="390"/>
      <c r="Y1228" s="390"/>
      <c r="Z1228" s="390"/>
      <c r="AA1228" s="390"/>
      <c r="AB1228" s="390"/>
      <c r="AC1228" s="375"/>
      <c r="AD1228" s="375"/>
      <c r="AE1228" s="375"/>
      <c r="AF1228" s="375"/>
    </row>
    <row r="1229" spans="18:32">
      <c r="R1229" s="389"/>
      <c r="S1229" s="389"/>
      <c r="T1229" s="389"/>
      <c r="U1229" s="389"/>
      <c r="V1229" s="389"/>
      <c r="W1229" s="390"/>
      <c r="X1229" s="390"/>
      <c r="Y1229" s="390"/>
      <c r="Z1229" s="390"/>
      <c r="AA1229" s="390"/>
      <c r="AB1229" s="390"/>
      <c r="AC1229" s="375"/>
      <c r="AD1229" s="375"/>
      <c r="AE1229" s="375"/>
      <c r="AF1229" s="375"/>
    </row>
    <row r="1230" spans="18:32">
      <c r="R1230" s="389"/>
      <c r="S1230" s="389"/>
      <c r="T1230" s="389"/>
      <c r="U1230" s="389"/>
      <c r="V1230" s="389"/>
      <c r="W1230" s="390"/>
      <c r="X1230" s="390"/>
      <c r="Y1230" s="390"/>
      <c r="Z1230" s="390"/>
      <c r="AA1230" s="390"/>
      <c r="AB1230" s="390"/>
      <c r="AC1230" s="375"/>
      <c r="AD1230" s="375"/>
      <c r="AE1230" s="375"/>
      <c r="AF1230" s="375"/>
    </row>
    <row r="1231" spans="18:32">
      <c r="R1231" s="389"/>
      <c r="S1231" s="389"/>
      <c r="T1231" s="389"/>
      <c r="U1231" s="389"/>
      <c r="V1231" s="389"/>
      <c r="W1231" s="390"/>
      <c r="X1231" s="390"/>
      <c r="Y1231" s="390"/>
      <c r="Z1231" s="390"/>
      <c r="AA1231" s="390"/>
      <c r="AB1231" s="390"/>
      <c r="AC1231" s="375"/>
      <c r="AD1231" s="375"/>
      <c r="AE1231" s="375"/>
      <c r="AF1231" s="375"/>
    </row>
    <row r="1232" spans="18:32">
      <c r="R1232" s="389"/>
      <c r="S1232" s="389"/>
      <c r="T1232" s="389"/>
      <c r="U1232" s="389"/>
      <c r="V1232" s="389"/>
      <c r="W1232" s="390"/>
      <c r="X1232" s="390"/>
      <c r="Y1232" s="390"/>
      <c r="Z1232" s="390"/>
      <c r="AA1232" s="390"/>
      <c r="AB1232" s="390"/>
      <c r="AC1232" s="375"/>
      <c r="AD1232" s="375"/>
      <c r="AE1232" s="375"/>
      <c r="AF1232" s="375"/>
    </row>
    <row r="1233" spans="18:32">
      <c r="R1233" s="389"/>
      <c r="S1233" s="389"/>
      <c r="T1233" s="389"/>
      <c r="U1233" s="389"/>
      <c r="V1233" s="389"/>
      <c r="W1233" s="390"/>
      <c r="X1233" s="390"/>
      <c r="Y1233" s="390"/>
      <c r="Z1233" s="390"/>
      <c r="AA1233" s="390"/>
      <c r="AB1233" s="390"/>
      <c r="AC1233" s="375"/>
      <c r="AD1233" s="375"/>
      <c r="AE1233" s="375"/>
      <c r="AF1233" s="375"/>
    </row>
    <row r="1234" spans="18:32">
      <c r="R1234" s="389"/>
      <c r="S1234" s="389"/>
      <c r="T1234" s="389"/>
      <c r="U1234" s="389"/>
      <c r="V1234" s="389"/>
      <c r="W1234" s="390"/>
      <c r="X1234" s="390"/>
      <c r="Y1234" s="390"/>
      <c r="Z1234" s="390"/>
      <c r="AA1234" s="390"/>
      <c r="AB1234" s="390"/>
      <c r="AC1234" s="375"/>
      <c r="AD1234" s="375"/>
      <c r="AE1234" s="375"/>
      <c r="AF1234" s="375"/>
    </row>
    <row r="1235" spans="18:32">
      <c r="R1235" s="389"/>
      <c r="S1235" s="389"/>
      <c r="T1235" s="389"/>
      <c r="U1235" s="389"/>
      <c r="V1235" s="389"/>
      <c r="W1235" s="390"/>
      <c r="X1235" s="390"/>
      <c r="Y1235" s="390"/>
      <c r="Z1235" s="390"/>
      <c r="AA1235" s="390"/>
      <c r="AB1235" s="390"/>
      <c r="AC1235" s="375"/>
      <c r="AD1235" s="375"/>
      <c r="AE1235" s="375"/>
      <c r="AF1235" s="375"/>
    </row>
    <row r="1236" spans="18:32">
      <c r="R1236" s="389"/>
      <c r="S1236" s="389"/>
      <c r="T1236" s="389"/>
      <c r="U1236" s="389"/>
      <c r="V1236" s="389"/>
      <c r="W1236" s="390"/>
      <c r="X1236" s="390"/>
      <c r="Y1236" s="390"/>
      <c r="Z1236" s="390"/>
      <c r="AA1236" s="390"/>
      <c r="AB1236" s="390"/>
      <c r="AC1236" s="375"/>
      <c r="AD1236" s="375"/>
      <c r="AE1236" s="375"/>
      <c r="AF1236" s="375"/>
    </row>
    <row r="1237" spans="18:32">
      <c r="R1237" s="389"/>
      <c r="S1237" s="389"/>
      <c r="T1237" s="389"/>
      <c r="U1237" s="389"/>
      <c r="V1237" s="389"/>
      <c r="W1237" s="390"/>
      <c r="X1237" s="390"/>
      <c r="Y1237" s="390"/>
      <c r="Z1237" s="390"/>
      <c r="AA1237" s="390"/>
      <c r="AB1237" s="390"/>
      <c r="AC1237" s="375"/>
      <c r="AD1237" s="375"/>
      <c r="AE1237" s="375"/>
      <c r="AF1237" s="375"/>
    </row>
    <row r="1238" spans="18:32">
      <c r="R1238" s="389"/>
      <c r="S1238" s="389"/>
      <c r="T1238" s="389"/>
      <c r="U1238" s="389"/>
      <c r="V1238" s="389"/>
      <c r="W1238" s="390"/>
      <c r="X1238" s="390"/>
      <c r="Y1238" s="390"/>
      <c r="Z1238" s="390"/>
      <c r="AA1238" s="390"/>
      <c r="AB1238" s="390"/>
      <c r="AC1238" s="375"/>
      <c r="AD1238" s="375"/>
      <c r="AE1238" s="375"/>
      <c r="AF1238" s="375"/>
    </row>
    <row r="1239" spans="18:32">
      <c r="R1239" s="389"/>
      <c r="S1239" s="389"/>
      <c r="T1239" s="389"/>
      <c r="U1239" s="389"/>
      <c r="V1239" s="389"/>
      <c r="W1239" s="390"/>
      <c r="X1239" s="390"/>
      <c r="Y1239" s="390"/>
      <c r="Z1239" s="390"/>
      <c r="AA1239" s="390"/>
      <c r="AB1239" s="390"/>
      <c r="AC1239" s="375"/>
      <c r="AD1239" s="375"/>
      <c r="AE1239" s="375"/>
      <c r="AF1239" s="375"/>
    </row>
    <row r="1240" spans="18:32">
      <c r="R1240" s="389"/>
      <c r="S1240" s="389"/>
      <c r="T1240" s="389"/>
      <c r="U1240" s="389"/>
      <c r="V1240" s="389"/>
      <c r="W1240" s="390"/>
      <c r="X1240" s="390"/>
      <c r="Y1240" s="390"/>
      <c r="Z1240" s="390"/>
      <c r="AA1240" s="390"/>
      <c r="AB1240" s="390"/>
      <c r="AC1240" s="375"/>
      <c r="AD1240" s="375"/>
      <c r="AE1240" s="375"/>
      <c r="AF1240" s="375"/>
    </row>
    <row r="1241" spans="18:32">
      <c r="R1241" s="389"/>
      <c r="S1241" s="389"/>
      <c r="T1241" s="389"/>
      <c r="U1241" s="389"/>
      <c r="V1241" s="389"/>
      <c r="W1241" s="390"/>
      <c r="X1241" s="390"/>
      <c r="Y1241" s="390"/>
      <c r="Z1241" s="390"/>
      <c r="AA1241" s="390"/>
      <c r="AB1241" s="390"/>
      <c r="AC1241" s="375"/>
      <c r="AD1241" s="375"/>
      <c r="AE1241" s="375"/>
      <c r="AF1241" s="375"/>
    </row>
    <row r="1242" spans="18:32">
      <c r="R1242" s="389"/>
      <c r="S1242" s="389"/>
      <c r="T1242" s="389"/>
      <c r="U1242" s="389"/>
      <c r="V1242" s="389"/>
      <c r="W1242" s="390"/>
      <c r="X1242" s="390"/>
      <c r="Y1242" s="390"/>
      <c r="Z1242" s="390"/>
      <c r="AA1242" s="390"/>
      <c r="AB1242" s="390"/>
      <c r="AC1242" s="375"/>
      <c r="AD1242" s="375"/>
      <c r="AE1242" s="375"/>
      <c r="AF1242" s="375"/>
    </row>
    <row r="1243" spans="18:32">
      <c r="R1243" s="389"/>
      <c r="S1243" s="389"/>
      <c r="T1243" s="389"/>
      <c r="U1243" s="389"/>
      <c r="V1243" s="389"/>
      <c r="W1243" s="390"/>
      <c r="X1243" s="390"/>
      <c r="Y1243" s="390"/>
      <c r="Z1243" s="390"/>
      <c r="AA1243" s="390"/>
      <c r="AB1243" s="390"/>
      <c r="AC1243" s="375"/>
      <c r="AD1243" s="375"/>
      <c r="AE1243" s="375"/>
      <c r="AF1243" s="375"/>
    </row>
    <row r="1244" spans="18:32">
      <c r="R1244" s="389"/>
      <c r="S1244" s="389"/>
      <c r="T1244" s="389"/>
      <c r="U1244" s="389"/>
      <c r="V1244" s="389"/>
      <c r="W1244" s="390"/>
      <c r="X1244" s="390"/>
      <c r="Y1244" s="390"/>
      <c r="Z1244" s="390"/>
      <c r="AA1244" s="390"/>
      <c r="AB1244" s="390"/>
      <c r="AC1244" s="375"/>
      <c r="AD1244" s="375"/>
      <c r="AE1244" s="375"/>
      <c r="AF1244" s="375"/>
    </row>
    <row r="1245" spans="18:32">
      <c r="R1245" s="389"/>
      <c r="S1245" s="389"/>
      <c r="T1245" s="389"/>
      <c r="U1245" s="389"/>
      <c r="V1245" s="389"/>
      <c r="W1245" s="390"/>
      <c r="X1245" s="390"/>
      <c r="Y1245" s="390"/>
      <c r="Z1245" s="390"/>
      <c r="AA1245" s="390"/>
      <c r="AB1245" s="390"/>
      <c r="AC1245" s="375"/>
      <c r="AD1245" s="375"/>
      <c r="AE1245" s="375"/>
      <c r="AF1245" s="375"/>
    </row>
    <row r="1246" spans="18:32">
      <c r="R1246" s="389"/>
      <c r="S1246" s="389"/>
      <c r="T1246" s="389"/>
      <c r="U1246" s="389"/>
      <c r="V1246" s="389"/>
      <c r="W1246" s="390"/>
      <c r="X1246" s="390"/>
      <c r="Y1246" s="390"/>
      <c r="Z1246" s="390"/>
      <c r="AA1246" s="390"/>
      <c r="AB1246" s="390"/>
      <c r="AC1246" s="375"/>
      <c r="AD1246" s="375"/>
      <c r="AE1246" s="375"/>
      <c r="AF1246" s="375"/>
    </row>
    <row r="1247" spans="18:32">
      <c r="R1247" s="389"/>
      <c r="S1247" s="389"/>
      <c r="T1247" s="389"/>
      <c r="U1247" s="389"/>
      <c r="V1247" s="389"/>
      <c r="W1247" s="390"/>
      <c r="X1247" s="390"/>
      <c r="Y1247" s="390"/>
      <c r="Z1247" s="390"/>
      <c r="AA1247" s="390"/>
      <c r="AB1247" s="390"/>
      <c r="AC1247" s="375"/>
      <c r="AD1247" s="375"/>
      <c r="AE1247" s="375"/>
      <c r="AF1247" s="375"/>
    </row>
    <row r="1248" spans="18:32">
      <c r="R1248" s="389"/>
      <c r="S1248" s="389"/>
      <c r="T1248" s="389"/>
      <c r="U1248" s="389"/>
      <c r="V1248" s="389"/>
      <c r="W1248" s="390"/>
      <c r="X1248" s="390"/>
      <c r="Y1248" s="390"/>
      <c r="Z1248" s="390"/>
      <c r="AA1248" s="390"/>
      <c r="AB1248" s="390"/>
      <c r="AC1248" s="375"/>
      <c r="AD1248" s="375"/>
      <c r="AE1248" s="375"/>
      <c r="AF1248" s="375"/>
    </row>
    <row r="1249" spans="18:32">
      <c r="R1249" s="389"/>
      <c r="S1249" s="389"/>
      <c r="T1249" s="389"/>
      <c r="U1249" s="389"/>
      <c r="V1249" s="389"/>
      <c r="W1249" s="390"/>
      <c r="X1249" s="390"/>
      <c r="Y1249" s="390"/>
      <c r="Z1249" s="390"/>
      <c r="AA1249" s="390"/>
      <c r="AB1249" s="390"/>
      <c r="AC1249" s="375"/>
      <c r="AD1249" s="375"/>
      <c r="AE1249" s="375"/>
      <c r="AF1249" s="375"/>
    </row>
    <row r="1250" spans="18:32">
      <c r="R1250" s="389"/>
      <c r="S1250" s="389"/>
      <c r="T1250" s="389"/>
      <c r="U1250" s="389"/>
      <c r="V1250" s="389"/>
      <c r="W1250" s="390"/>
      <c r="X1250" s="390"/>
      <c r="Y1250" s="390"/>
      <c r="Z1250" s="390"/>
      <c r="AA1250" s="390"/>
      <c r="AB1250" s="390"/>
      <c r="AC1250" s="375"/>
      <c r="AD1250" s="375"/>
      <c r="AE1250" s="375"/>
      <c r="AF1250" s="375"/>
    </row>
    <row r="1251" spans="18:32">
      <c r="R1251" s="389"/>
      <c r="S1251" s="389"/>
      <c r="T1251" s="389"/>
      <c r="U1251" s="389"/>
      <c r="V1251" s="389"/>
      <c r="W1251" s="390"/>
      <c r="X1251" s="390"/>
      <c r="Y1251" s="390"/>
      <c r="Z1251" s="390"/>
      <c r="AA1251" s="390"/>
      <c r="AB1251" s="390"/>
      <c r="AC1251" s="375"/>
      <c r="AD1251" s="375"/>
      <c r="AE1251" s="375"/>
      <c r="AF1251" s="375"/>
    </row>
    <row r="1252" spans="18:32">
      <c r="R1252" s="389"/>
      <c r="S1252" s="389"/>
      <c r="T1252" s="389"/>
      <c r="U1252" s="389"/>
      <c r="V1252" s="389"/>
      <c r="W1252" s="390"/>
      <c r="X1252" s="390"/>
      <c r="Y1252" s="390"/>
      <c r="Z1252" s="390"/>
      <c r="AA1252" s="390"/>
      <c r="AB1252" s="390"/>
      <c r="AC1252" s="375"/>
      <c r="AD1252" s="375"/>
      <c r="AE1252" s="375"/>
      <c r="AF1252" s="375"/>
    </row>
    <row r="1253" spans="18:32">
      <c r="R1253" s="389"/>
      <c r="S1253" s="389"/>
      <c r="T1253" s="389"/>
      <c r="U1253" s="389"/>
      <c r="V1253" s="389"/>
      <c r="W1253" s="390"/>
      <c r="X1253" s="390"/>
      <c r="Y1253" s="390"/>
      <c r="Z1253" s="390"/>
      <c r="AA1253" s="390"/>
      <c r="AB1253" s="390"/>
      <c r="AC1253" s="375"/>
      <c r="AD1253" s="375"/>
      <c r="AE1253" s="375"/>
      <c r="AF1253" s="375"/>
    </row>
    <row r="1254" spans="18:32">
      <c r="R1254" s="389"/>
      <c r="S1254" s="389"/>
      <c r="T1254" s="389"/>
      <c r="U1254" s="389"/>
      <c r="V1254" s="389"/>
      <c r="W1254" s="390"/>
      <c r="X1254" s="390"/>
      <c r="Y1254" s="390"/>
      <c r="Z1254" s="390"/>
      <c r="AA1254" s="390"/>
      <c r="AB1254" s="390"/>
      <c r="AC1254" s="375"/>
      <c r="AD1254" s="375"/>
      <c r="AE1254" s="375"/>
      <c r="AF1254" s="375"/>
    </row>
    <row r="1255" spans="18:32">
      <c r="R1255" s="389"/>
      <c r="S1255" s="389"/>
      <c r="T1255" s="389"/>
      <c r="U1255" s="389"/>
      <c r="V1255" s="389"/>
      <c r="W1255" s="390"/>
      <c r="X1255" s="390"/>
      <c r="Y1255" s="390"/>
      <c r="Z1255" s="390"/>
      <c r="AA1255" s="390"/>
      <c r="AB1255" s="390"/>
      <c r="AC1255" s="375"/>
      <c r="AD1255" s="375"/>
      <c r="AE1255" s="375"/>
      <c r="AF1255" s="375"/>
    </row>
    <row r="1256" spans="18:32">
      <c r="R1256" s="389"/>
      <c r="S1256" s="389"/>
      <c r="T1256" s="389"/>
      <c r="U1256" s="389"/>
      <c r="V1256" s="389"/>
      <c r="W1256" s="390"/>
      <c r="X1256" s="390"/>
      <c r="Y1256" s="390"/>
      <c r="Z1256" s="390"/>
      <c r="AA1256" s="390"/>
      <c r="AB1256" s="390"/>
      <c r="AC1256" s="375"/>
      <c r="AD1256" s="375"/>
      <c r="AE1256" s="375"/>
      <c r="AF1256" s="375"/>
    </row>
    <row r="1257" spans="18:32">
      <c r="R1257" s="389"/>
      <c r="S1257" s="389"/>
      <c r="T1257" s="389"/>
      <c r="U1257" s="389"/>
      <c r="V1257" s="389"/>
      <c r="W1257" s="390"/>
      <c r="X1257" s="390"/>
      <c r="Y1257" s="390"/>
      <c r="Z1257" s="390"/>
      <c r="AA1257" s="390"/>
      <c r="AB1257" s="390"/>
      <c r="AC1257" s="375"/>
      <c r="AD1257" s="375"/>
      <c r="AE1257" s="375"/>
      <c r="AF1257" s="375"/>
    </row>
    <row r="1258" spans="18:32">
      <c r="R1258" s="389"/>
      <c r="S1258" s="389"/>
      <c r="T1258" s="389"/>
      <c r="U1258" s="389"/>
      <c r="V1258" s="389"/>
      <c r="W1258" s="390"/>
      <c r="X1258" s="390"/>
      <c r="Y1258" s="390"/>
      <c r="Z1258" s="390"/>
      <c r="AA1258" s="390"/>
      <c r="AB1258" s="390"/>
      <c r="AC1258" s="375"/>
      <c r="AD1258" s="375"/>
      <c r="AE1258" s="375"/>
      <c r="AF1258" s="375"/>
    </row>
    <row r="1259" spans="18:32">
      <c r="R1259" s="389"/>
      <c r="S1259" s="389"/>
      <c r="T1259" s="389"/>
      <c r="U1259" s="389"/>
      <c r="V1259" s="389"/>
      <c r="W1259" s="390"/>
      <c r="X1259" s="390"/>
      <c r="Y1259" s="390"/>
      <c r="Z1259" s="390"/>
      <c r="AA1259" s="390"/>
      <c r="AB1259" s="390"/>
      <c r="AC1259" s="375"/>
      <c r="AD1259" s="375"/>
      <c r="AE1259" s="375"/>
      <c r="AF1259" s="375"/>
    </row>
    <row r="1260" spans="18:32">
      <c r="R1260" s="389"/>
      <c r="S1260" s="389"/>
      <c r="T1260" s="389"/>
      <c r="U1260" s="389"/>
      <c r="V1260" s="389"/>
      <c r="W1260" s="390"/>
      <c r="X1260" s="390"/>
      <c r="Y1260" s="390"/>
      <c r="Z1260" s="390"/>
      <c r="AA1260" s="390"/>
      <c r="AB1260" s="390"/>
      <c r="AC1260" s="375"/>
      <c r="AD1260" s="375"/>
      <c r="AE1260" s="375"/>
      <c r="AF1260" s="375"/>
    </row>
    <row r="1261" spans="18:32">
      <c r="R1261" s="389"/>
      <c r="S1261" s="389"/>
      <c r="T1261" s="389"/>
      <c r="U1261" s="389"/>
      <c r="V1261" s="389"/>
      <c r="W1261" s="390"/>
      <c r="X1261" s="390"/>
      <c r="Y1261" s="390"/>
      <c r="Z1261" s="390"/>
      <c r="AA1261" s="390"/>
      <c r="AB1261" s="390"/>
      <c r="AC1261" s="375"/>
      <c r="AD1261" s="375"/>
      <c r="AE1261" s="375"/>
      <c r="AF1261" s="375"/>
    </row>
    <row r="1262" spans="18:32">
      <c r="R1262" s="389"/>
      <c r="S1262" s="389"/>
      <c r="T1262" s="389"/>
      <c r="U1262" s="389"/>
      <c r="V1262" s="389"/>
      <c r="W1262" s="390"/>
      <c r="X1262" s="390"/>
      <c r="Y1262" s="390"/>
      <c r="Z1262" s="390"/>
      <c r="AA1262" s="390"/>
      <c r="AB1262" s="390"/>
      <c r="AC1262" s="375"/>
      <c r="AD1262" s="375"/>
      <c r="AE1262" s="375"/>
      <c r="AF1262" s="375"/>
    </row>
    <row r="1263" spans="18:32">
      <c r="R1263" s="389"/>
      <c r="S1263" s="389"/>
      <c r="T1263" s="389"/>
      <c r="U1263" s="389"/>
      <c r="V1263" s="389"/>
      <c r="W1263" s="390"/>
      <c r="X1263" s="390"/>
      <c r="Y1263" s="390"/>
      <c r="Z1263" s="390"/>
      <c r="AA1263" s="390"/>
      <c r="AB1263" s="390"/>
      <c r="AC1263" s="375"/>
      <c r="AD1263" s="375"/>
      <c r="AE1263" s="375"/>
      <c r="AF1263" s="375"/>
    </row>
    <row r="1264" spans="18:32">
      <c r="R1264" s="389"/>
      <c r="S1264" s="389"/>
      <c r="T1264" s="389"/>
      <c r="U1264" s="389"/>
      <c r="V1264" s="389"/>
      <c r="W1264" s="390"/>
      <c r="X1264" s="390"/>
      <c r="Y1264" s="390"/>
      <c r="Z1264" s="390"/>
      <c r="AA1264" s="390"/>
      <c r="AB1264" s="390"/>
      <c r="AC1264" s="375"/>
      <c r="AD1264" s="375"/>
      <c r="AE1264" s="375"/>
      <c r="AF1264" s="375"/>
    </row>
    <row r="1265" spans="18:32">
      <c r="R1265" s="389"/>
      <c r="S1265" s="389"/>
      <c r="T1265" s="389"/>
      <c r="U1265" s="389"/>
      <c r="V1265" s="389"/>
      <c r="W1265" s="390"/>
      <c r="X1265" s="390"/>
      <c r="Y1265" s="390"/>
      <c r="Z1265" s="390"/>
      <c r="AA1265" s="390"/>
      <c r="AB1265" s="390"/>
      <c r="AC1265" s="375"/>
      <c r="AD1265" s="375"/>
      <c r="AE1265" s="375"/>
      <c r="AF1265" s="375"/>
    </row>
    <row r="1266" spans="18:32">
      <c r="R1266" s="389"/>
      <c r="S1266" s="389"/>
      <c r="T1266" s="389"/>
      <c r="U1266" s="389"/>
      <c r="V1266" s="389"/>
      <c r="W1266" s="390"/>
      <c r="X1266" s="390"/>
      <c r="Y1266" s="390"/>
      <c r="Z1266" s="390"/>
      <c r="AA1266" s="390"/>
      <c r="AB1266" s="390"/>
      <c r="AC1266" s="375"/>
      <c r="AD1266" s="375"/>
      <c r="AE1266" s="375"/>
      <c r="AF1266" s="375"/>
    </row>
    <row r="1267" spans="18:32">
      <c r="R1267" s="389"/>
      <c r="S1267" s="389"/>
      <c r="T1267" s="389"/>
      <c r="U1267" s="389"/>
      <c r="V1267" s="389"/>
      <c r="W1267" s="390"/>
      <c r="X1267" s="390"/>
      <c r="Y1267" s="390"/>
      <c r="Z1267" s="390"/>
      <c r="AA1267" s="390"/>
      <c r="AB1267" s="390"/>
      <c r="AC1267" s="375"/>
      <c r="AD1267" s="375"/>
      <c r="AE1267" s="375"/>
      <c r="AF1267" s="375"/>
    </row>
    <row r="1268" spans="18:32">
      <c r="R1268" s="389"/>
      <c r="S1268" s="389"/>
      <c r="T1268" s="389"/>
      <c r="U1268" s="389"/>
      <c r="V1268" s="389"/>
      <c r="W1268" s="390"/>
      <c r="X1268" s="390"/>
      <c r="Y1268" s="390"/>
      <c r="Z1268" s="390"/>
      <c r="AA1268" s="390"/>
      <c r="AB1268" s="390"/>
      <c r="AC1268" s="375"/>
      <c r="AD1268" s="375"/>
      <c r="AE1268" s="375"/>
      <c r="AF1268" s="375"/>
    </row>
    <row r="1269" spans="18:32">
      <c r="R1269" s="389"/>
      <c r="S1269" s="389"/>
      <c r="T1269" s="389"/>
      <c r="U1269" s="389"/>
      <c r="V1269" s="389"/>
      <c r="W1269" s="390"/>
      <c r="X1269" s="390"/>
      <c r="Y1269" s="390"/>
      <c r="Z1269" s="390"/>
      <c r="AA1269" s="390"/>
      <c r="AB1269" s="390"/>
      <c r="AC1269" s="375"/>
      <c r="AD1269" s="375"/>
      <c r="AE1269" s="375"/>
      <c r="AF1269" s="375"/>
    </row>
    <row r="1270" spans="18:32">
      <c r="R1270" s="389"/>
      <c r="S1270" s="389"/>
      <c r="T1270" s="389"/>
      <c r="U1270" s="389"/>
      <c r="V1270" s="389"/>
      <c r="W1270" s="390"/>
      <c r="X1270" s="390"/>
      <c r="Y1270" s="390"/>
      <c r="Z1270" s="390"/>
      <c r="AA1270" s="390"/>
      <c r="AB1270" s="390"/>
      <c r="AC1270" s="375"/>
      <c r="AD1270" s="375"/>
      <c r="AE1270" s="375"/>
      <c r="AF1270" s="375"/>
    </row>
    <row r="1271" spans="18:32">
      <c r="R1271" s="389"/>
      <c r="S1271" s="389"/>
      <c r="T1271" s="389"/>
      <c r="U1271" s="389"/>
      <c r="V1271" s="389"/>
      <c r="W1271" s="390"/>
      <c r="X1271" s="390"/>
      <c r="Y1271" s="390"/>
      <c r="Z1271" s="390"/>
      <c r="AA1271" s="390"/>
      <c r="AB1271" s="390"/>
      <c r="AC1271" s="375"/>
      <c r="AD1271" s="375"/>
      <c r="AE1271" s="375"/>
      <c r="AF1271" s="375"/>
    </row>
    <row r="1272" spans="18:32">
      <c r="R1272" s="389"/>
      <c r="S1272" s="389"/>
      <c r="T1272" s="389"/>
      <c r="U1272" s="389"/>
      <c r="V1272" s="389"/>
      <c r="W1272" s="390"/>
      <c r="X1272" s="390"/>
      <c r="Y1272" s="390"/>
      <c r="Z1272" s="390"/>
      <c r="AA1272" s="390"/>
      <c r="AB1272" s="390"/>
      <c r="AC1272" s="375"/>
      <c r="AD1272" s="375"/>
      <c r="AE1272" s="375"/>
      <c r="AF1272" s="375"/>
    </row>
    <row r="1273" spans="18:32">
      <c r="R1273" s="389"/>
      <c r="S1273" s="389"/>
      <c r="T1273" s="389"/>
      <c r="U1273" s="389"/>
      <c r="V1273" s="389"/>
      <c r="W1273" s="390"/>
      <c r="X1273" s="390"/>
      <c r="Y1273" s="390"/>
      <c r="Z1273" s="390"/>
      <c r="AA1273" s="390"/>
      <c r="AB1273" s="390"/>
      <c r="AC1273" s="375"/>
      <c r="AD1273" s="375"/>
      <c r="AE1273" s="375"/>
      <c r="AF1273" s="375"/>
    </row>
    <row r="1274" spans="18:32">
      <c r="R1274" s="389"/>
      <c r="S1274" s="389"/>
      <c r="T1274" s="389"/>
      <c r="U1274" s="389"/>
      <c r="V1274" s="389"/>
      <c r="W1274" s="390"/>
      <c r="X1274" s="390"/>
      <c r="Y1274" s="390"/>
      <c r="Z1274" s="390"/>
      <c r="AA1274" s="390"/>
      <c r="AB1274" s="390"/>
      <c r="AC1274" s="375"/>
      <c r="AD1274" s="375"/>
      <c r="AE1274" s="375"/>
      <c r="AF1274" s="375"/>
    </row>
    <row r="1275" spans="18:32">
      <c r="R1275" s="389"/>
      <c r="S1275" s="389"/>
      <c r="T1275" s="389"/>
      <c r="U1275" s="389"/>
      <c r="V1275" s="389"/>
      <c r="W1275" s="390"/>
      <c r="X1275" s="390"/>
      <c r="Y1275" s="390"/>
      <c r="Z1275" s="390"/>
      <c r="AA1275" s="390"/>
      <c r="AB1275" s="390"/>
      <c r="AC1275" s="375"/>
      <c r="AD1275" s="375"/>
      <c r="AE1275" s="375"/>
      <c r="AF1275" s="375"/>
    </row>
    <row r="1276" spans="18:32">
      <c r="R1276" s="389"/>
      <c r="S1276" s="389"/>
      <c r="T1276" s="389"/>
      <c r="U1276" s="389"/>
      <c r="V1276" s="389"/>
      <c r="W1276" s="390"/>
      <c r="X1276" s="390"/>
      <c r="Y1276" s="390"/>
      <c r="Z1276" s="390"/>
      <c r="AA1276" s="390"/>
      <c r="AB1276" s="390"/>
      <c r="AC1276" s="375"/>
      <c r="AD1276" s="375"/>
      <c r="AE1276" s="375"/>
      <c r="AF1276" s="375"/>
    </row>
    <row r="1277" spans="18:32">
      <c r="R1277" s="389"/>
      <c r="S1277" s="389"/>
      <c r="T1277" s="389"/>
      <c r="U1277" s="389"/>
      <c r="V1277" s="389"/>
      <c r="W1277" s="390"/>
      <c r="X1277" s="390"/>
      <c r="Y1277" s="390"/>
      <c r="Z1277" s="390"/>
      <c r="AA1277" s="390"/>
      <c r="AB1277" s="390"/>
      <c r="AC1277" s="375"/>
      <c r="AD1277" s="375"/>
      <c r="AE1277" s="375"/>
      <c r="AF1277" s="375"/>
    </row>
    <row r="1278" spans="18:32">
      <c r="R1278" s="389"/>
      <c r="S1278" s="389"/>
      <c r="T1278" s="389"/>
      <c r="U1278" s="389"/>
      <c r="V1278" s="389"/>
      <c r="W1278" s="390"/>
      <c r="X1278" s="390"/>
      <c r="Y1278" s="390"/>
      <c r="Z1278" s="390"/>
      <c r="AA1278" s="390"/>
      <c r="AB1278" s="390"/>
      <c r="AC1278" s="375"/>
      <c r="AD1278" s="375"/>
      <c r="AE1278" s="375"/>
      <c r="AF1278" s="375"/>
    </row>
    <row r="1279" spans="18:32">
      <c r="R1279" s="389"/>
      <c r="S1279" s="389"/>
      <c r="T1279" s="389"/>
      <c r="U1279" s="389"/>
      <c r="V1279" s="389"/>
      <c r="W1279" s="390"/>
      <c r="X1279" s="390"/>
      <c r="Y1279" s="390"/>
      <c r="Z1279" s="390"/>
      <c r="AA1279" s="390"/>
      <c r="AB1279" s="390"/>
      <c r="AC1279" s="375"/>
      <c r="AD1279" s="375"/>
      <c r="AE1279" s="375"/>
      <c r="AF1279" s="375"/>
    </row>
    <row r="1280" spans="18:32">
      <c r="R1280" s="389"/>
      <c r="S1280" s="389"/>
      <c r="T1280" s="389"/>
      <c r="U1280" s="389"/>
      <c r="V1280" s="389"/>
      <c r="W1280" s="390"/>
      <c r="X1280" s="390"/>
      <c r="Y1280" s="390"/>
      <c r="Z1280" s="390"/>
      <c r="AA1280" s="390"/>
      <c r="AB1280" s="390"/>
      <c r="AC1280" s="375"/>
      <c r="AD1280" s="375"/>
      <c r="AE1280" s="375"/>
      <c r="AF1280" s="375"/>
    </row>
    <row r="1281" spans="18:32">
      <c r="R1281" s="389"/>
      <c r="S1281" s="389"/>
      <c r="T1281" s="389"/>
      <c r="U1281" s="389"/>
      <c r="V1281" s="389"/>
      <c r="W1281" s="390"/>
      <c r="X1281" s="390"/>
      <c r="Y1281" s="390"/>
      <c r="Z1281" s="390"/>
      <c r="AA1281" s="390"/>
      <c r="AB1281" s="390"/>
      <c r="AC1281" s="375"/>
      <c r="AD1281" s="375"/>
      <c r="AE1281" s="375"/>
      <c r="AF1281" s="375"/>
    </row>
    <row r="1282" spans="18:32">
      <c r="R1282" s="389"/>
      <c r="S1282" s="389"/>
      <c r="T1282" s="389"/>
      <c r="U1282" s="389"/>
      <c r="V1282" s="389"/>
      <c r="W1282" s="390"/>
      <c r="X1282" s="390"/>
      <c r="Y1282" s="390"/>
      <c r="Z1282" s="390"/>
      <c r="AA1282" s="390"/>
      <c r="AB1282" s="390"/>
      <c r="AC1282" s="375"/>
      <c r="AD1282" s="375"/>
      <c r="AE1282" s="375"/>
      <c r="AF1282" s="375"/>
    </row>
    <row r="1283" spans="18:32">
      <c r="R1283" s="389"/>
      <c r="S1283" s="389"/>
      <c r="T1283" s="389"/>
      <c r="U1283" s="389"/>
      <c r="V1283" s="389"/>
      <c r="W1283" s="390"/>
      <c r="X1283" s="390"/>
      <c r="Y1283" s="390"/>
      <c r="Z1283" s="390"/>
      <c r="AA1283" s="390"/>
      <c r="AB1283" s="390"/>
      <c r="AC1283" s="375"/>
      <c r="AD1283" s="375"/>
      <c r="AE1283" s="375"/>
      <c r="AF1283" s="375"/>
    </row>
    <row r="1284" spans="18:32">
      <c r="R1284" s="389"/>
      <c r="S1284" s="389"/>
      <c r="T1284" s="389"/>
      <c r="U1284" s="389"/>
      <c r="V1284" s="389"/>
      <c r="W1284" s="390"/>
      <c r="X1284" s="390"/>
      <c r="Y1284" s="390"/>
      <c r="Z1284" s="390"/>
      <c r="AA1284" s="390"/>
      <c r="AB1284" s="390"/>
      <c r="AC1284" s="375"/>
      <c r="AD1284" s="375"/>
      <c r="AE1284" s="375"/>
      <c r="AF1284" s="375"/>
    </row>
    <row r="1285" spans="18:32">
      <c r="R1285" s="389"/>
      <c r="S1285" s="389"/>
      <c r="T1285" s="389"/>
      <c r="U1285" s="389"/>
      <c r="V1285" s="389"/>
      <c r="W1285" s="390"/>
      <c r="X1285" s="390"/>
      <c r="Y1285" s="390"/>
      <c r="Z1285" s="390"/>
      <c r="AA1285" s="390"/>
      <c r="AB1285" s="390"/>
      <c r="AC1285" s="375"/>
      <c r="AD1285" s="375"/>
      <c r="AE1285" s="375"/>
      <c r="AF1285" s="375"/>
    </row>
    <row r="1286" spans="18:32">
      <c r="R1286" s="389"/>
      <c r="S1286" s="389"/>
      <c r="T1286" s="389"/>
      <c r="U1286" s="389"/>
      <c r="V1286" s="389"/>
      <c r="W1286" s="390"/>
      <c r="X1286" s="390"/>
      <c r="Y1286" s="390"/>
      <c r="Z1286" s="390"/>
      <c r="AA1286" s="390"/>
      <c r="AB1286" s="390"/>
      <c r="AC1286" s="375"/>
      <c r="AD1286" s="375"/>
      <c r="AE1286" s="375"/>
      <c r="AF1286" s="375"/>
    </row>
    <row r="1287" spans="18:32">
      <c r="R1287" s="389"/>
      <c r="S1287" s="389"/>
      <c r="T1287" s="389"/>
      <c r="U1287" s="389"/>
      <c r="V1287" s="389"/>
      <c r="W1287" s="390"/>
      <c r="X1287" s="390"/>
      <c r="Y1287" s="390"/>
      <c r="Z1287" s="390"/>
      <c r="AA1287" s="390"/>
      <c r="AB1287" s="390"/>
      <c r="AC1287" s="375"/>
      <c r="AD1287" s="375"/>
      <c r="AE1287" s="375"/>
      <c r="AF1287" s="375"/>
    </row>
    <row r="1288" spans="18:32">
      <c r="R1288" s="389"/>
      <c r="S1288" s="389"/>
      <c r="T1288" s="389"/>
      <c r="U1288" s="389"/>
      <c r="V1288" s="389"/>
      <c r="W1288" s="390"/>
      <c r="X1288" s="390"/>
      <c r="Y1288" s="390"/>
      <c r="Z1288" s="390"/>
      <c r="AA1288" s="390"/>
      <c r="AB1288" s="390"/>
      <c r="AC1288" s="375"/>
      <c r="AD1288" s="375"/>
      <c r="AE1288" s="375"/>
      <c r="AF1288" s="375"/>
    </row>
    <row r="1289" spans="18:32">
      <c r="R1289" s="389"/>
      <c r="S1289" s="389"/>
      <c r="T1289" s="389"/>
      <c r="U1289" s="389"/>
      <c r="V1289" s="389"/>
      <c r="W1289" s="390"/>
      <c r="X1289" s="390"/>
      <c r="Y1289" s="390"/>
      <c r="Z1289" s="390"/>
      <c r="AA1289" s="390"/>
      <c r="AB1289" s="390"/>
      <c r="AC1289" s="375"/>
      <c r="AD1289" s="375"/>
      <c r="AE1289" s="375"/>
      <c r="AF1289" s="375"/>
    </row>
    <row r="1290" spans="18:32">
      <c r="R1290" s="389"/>
      <c r="S1290" s="389"/>
      <c r="T1290" s="389"/>
      <c r="U1290" s="389"/>
      <c r="V1290" s="389"/>
      <c r="W1290" s="390"/>
      <c r="X1290" s="390"/>
      <c r="Y1290" s="390"/>
      <c r="Z1290" s="390"/>
      <c r="AA1290" s="390"/>
      <c r="AB1290" s="390"/>
      <c r="AC1290" s="375"/>
      <c r="AD1290" s="375"/>
      <c r="AE1290" s="375"/>
      <c r="AF1290" s="375"/>
    </row>
    <row r="1291" spans="18:32">
      <c r="R1291" s="389"/>
      <c r="S1291" s="389"/>
      <c r="T1291" s="389"/>
      <c r="U1291" s="389"/>
      <c r="V1291" s="389"/>
      <c r="W1291" s="390"/>
      <c r="X1291" s="390"/>
      <c r="Y1291" s="390"/>
      <c r="Z1291" s="390"/>
      <c r="AA1291" s="390"/>
      <c r="AB1291" s="390"/>
      <c r="AC1291" s="375"/>
      <c r="AD1291" s="375"/>
      <c r="AE1291" s="375"/>
      <c r="AF1291" s="375"/>
    </row>
    <row r="1292" spans="18:32">
      <c r="R1292" s="389"/>
      <c r="S1292" s="389"/>
      <c r="T1292" s="389"/>
      <c r="U1292" s="389"/>
      <c r="V1292" s="389"/>
      <c r="W1292" s="390"/>
      <c r="X1292" s="390"/>
      <c r="Y1292" s="390"/>
      <c r="Z1292" s="390"/>
      <c r="AA1292" s="390"/>
      <c r="AB1292" s="390"/>
      <c r="AC1292" s="375"/>
      <c r="AD1292" s="375"/>
      <c r="AE1292" s="375"/>
      <c r="AF1292" s="375"/>
    </row>
    <row r="1293" spans="18:32">
      <c r="R1293" s="389"/>
      <c r="S1293" s="389"/>
      <c r="T1293" s="389"/>
      <c r="U1293" s="389"/>
      <c r="V1293" s="389"/>
      <c r="W1293" s="390"/>
      <c r="X1293" s="390"/>
      <c r="Y1293" s="390"/>
      <c r="Z1293" s="390"/>
      <c r="AA1293" s="390"/>
      <c r="AB1293" s="390"/>
      <c r="AC1293" s="375"/>
      <c r="AD1293" s="375"/>
      <c r="AE1293" s="375"/>
      <c r="AF1293" s="375"/>
    </row>
    <row r="1294" spans="18:32">
      <c r="R1294" s="389"/>
      <c r="S1294" s="389"/>
      <c r="T1294" s="389"/>
      <c r="U1294" s="389"/>
      <c r="V1294" s="389"/>
      <c r="W1294" s="390"/>
      <c r="X1294" s="390"/>
      <c r="Y1294" s="390"/>
      <c r="Z1294" s="390"/>
      <c r="AA1294" s="390"/>
      <c r="AB1294" s="390"/>
      <c r="AC1294" s="375"/>
      <c r="AD1294" s="375"/>
      <c r="AE1294" s="375"/>
      <c r="AF1294" s="375"/>
    </row>
    <row r="1295" spans="18:32">
      <c r="R1295" s="389"/>
      <c r="S1295" s="389"/>
      <c r="T1295" s="389"/>
      <c r="U1295" s="389"/>
      <c r="V1295" s="389"/>
      <c r="W1295" s="390"/>
      <c r="X1295" s="390"/>
      <c r="Y1295" s="390"/>
      <c r="Z1295" s="390"/>
      <c r="AA1295" s="390"/>
      <c r="AB1295" s="390"/>
      <c r="AC1295" s="375"/>
      <c r="AD1295" s="375"/>
      <c r="AE1295" s="375"/>
      <c r="AF1295" s="375"/>
    </row>
    <row r="1296" spans="18:32">
      <c r="R1296" s="389"/>
      <c r="S1296" s="389"/>
      <c r="T1296" s="389"/>
      <c r="U1296" s="389"/>
      <c r="V1296" s="389"/>
      <c r="W1296" s="390"/>
      <c r="X1296" s="390"/>
      <c r="Y1296" s="390"/>
      <c r="Z1296" s="390"/>
      <c r="AA1296" s="390"/>
      <c r="AB1296" s="390"/>
      <c r="AC1296" s="375"/>
      <c r="AD1296" s="375"/>
      <c r="AE1296" s="375"/>
      <c r="AF1296" s="375"/>
    </row>
    <row r="1297" spans="18:32">
      <c r="R1297" s="389"/>
      <c r="S1297" s="389"/>
      <c r="T1297" s="389"/>
      <c r="U1297" s="389"/>
      <c r="V1297" s="389"/>
      <c r="W1297" s="390"/>
      <c r="X1297" s="390"/>
      <c r="Y1297" s="390"/>
      <c r="Z1297" s="390"/>
      <c r="AA1297" s="390"/>
      <c r="AB1297" s="390"/>
      <c r="AC1297" s="375"/>
      <c r="AD1297" s="375"/>
      <c r="AE1297" s="375"/>
      <c r="AF1297" s="375"/>
    </row>
    <row r="1298" spans="18:32">
      <c r="R1298" s="389"/>
      <c r="S1298" s="389"/>
      <c r="T1298" s="389"/>
      <c r="U1298" s="389"/>
      <c r="V1298" s="389"/>
      <c r="W1298" s="390"/>
      <c r="X1298" s="390"/>
      <c r="Y1298" s="390"/>
      <c r="Z1298" s="390"/>
      <c r="AA1298" s="390"/>
      <c r="AB1298" s="390"/>
      <c r="AC1298" s="375"/>
      <c r="AD1298" s="375"/>
      <c r="AE1298" s="375"/>
      <c r="AF1298" s="375"/>
    </row>
    <row r="1299" spans="18:32">
      <c r="R1299" s="389"/>
      <c r="S1299" s="389"/>
      <c r="T1299" s="389"/>
      <c r="U1299" s="389"/>
      <c r="V1299" s="389"/>
      <c r="W1299" s="390"/>
      <c r="X1299" s="390"/>
      <c r="Y1299" s="390"/>
      <c r="Z1299" s="390"/>
      <c r="AA1299" s="390"/>
      <c r="AB1299" s="390"/>
      <c r="AC1299" s="375"/>
      <c r="AD1299" s="375"/>
      <c r="AE1299" s="375"/>
      <c r="AF1299" s="375"/>
    </row>
    <row r="1300" spans="18:32">
      <c r="R1300" s="389"/>
      <c r="S1300" s="389"/>
      <c r="T1300" s="389"/>
      <c r="U1300" s="389"/>
      <c r="V1300" s="389"/>
      <c r="W1300" s="390"/>
      <c r="X1300" s="390"/>
      <c r="Y1300" s="390"/>
      <c r="Z1300" s="390"/>
      <c r="AA1300" s="390"/>
      <c r="AB1300" s="390"/>
      <c r="AC1300" s="375"/>
      <c r="AD1300" s="375"/>
      <c r="AE1300" s="375"/>
      <c r="AF1300" s="375"/>
    </row>
    <row r="1301" spans="18:32">
      <c r="R1301" s="389"/>
      <c r="S1301" s="389"/>
      <c r="T1301" s="389"/>
      <c r="U1301" s="389"/>
      <c r="V1301" s="389"/>
      <c r="W1301" s="390"/>
      <c r="X1301" s="390"/>
      <c r="Y1301" s="390"/>
      <c r="Z1301" s="390"/>
      <c r="AA1301" s="390"/>
      <c r="AB1301" s="390"/>
      <c r="AC1301" s="375"/>
      <c r="AD1301" s="375"/>
      <c r="AE1301" s="375"/>
      <c r="AF1301" s="375"/>
    </row>
    <row r="1302" spans="18:32">
      <c r="R1302" s="389"/>
      <c r="S1302" s="389"/>
      <c r="T1302" s="389"/>
      <c r="U1302" s="389"/>
      <c r="V1302" s="389"/>
      <c r="W1302" s="390"/>
      <c r="X1302" s="390"/>
      <c r="Y1302" s="390"/>
      <c r="Z1302" s="390"/>
      <c r="AA1302" s="390"/>
      <c r="AB1302" s="390"/>
      <c r="AC1302" s="375"/>
      <c r="AD1302" s="375"/>
      <c r="AE1302" s="375"/>
      <c r="AF1302" s="375"/>
    </row>
    <row r="1303" spans="18:32">
      <c r="R1303" s="389"/>
      <c r="S1303" s="389"/>
      <c r="T1303" s="389"/>
      <c r="U1303" s="389"/>
      <c r="V1303" s="389"/>
      <c r="W1303" s="390"/>
      <c r="X1303" s="390"/>
      <c r="Y1303" s="390"/>
      <c r="Z1303" s="390"/>
      <c r="AA1303" s="390"/>
      <c r="AB1303" s="390"/>
      <c r="AC1303" s="375"/>
      <c r="AD1303" s="375"/>
      <c r="AE1303" s="375"/>
      <c r="AF1303" s="375"/>
    </row>
    <row r="1304" spans="18:32">
      <c r="R1304" s="389"/>
      <c r="S1304" s="389"/>
      <c r="T1304" s="389"/>
      <c r="U1304" s="389"/>
      <c r="V1304" s="389"/>
      <c r="W1304" s="390"/>
      <c r="X1304" s="390"/>
      <c r="Y1304" s="390"/>
      <c r="Z1304" s="390"/>
      <c r="AA1304" s="390"/>
      <c r="AB1304" s="390"/>
      <c r="AC1304" s="375"/>
      <c r="AD1304" s="375"/>
      <c r="AE1304" s="375"/>
      <c r="AF1304" s="375"/>
    </row>
    <row r="1305" spans="18:32">
      <c r="R1305" s="389"/>
      <c r="S1305" s="389"/>
      <c r="T1305" s="389"/>
      <c r="U1305" s="389"/>
      <c r="V1305" s="389"/>
      <c r="W1305" s="390"/>
      <c r="X1305" s="390"/>
      <c r="Y1305" s="390"/>
      <c r="Z1305" s="390"/>
      <c r="AA1305" s="390"/>
      <c r="AB1305" s="390"/>
      <c r="AC1305" s="375"/>
      <c r="AD1305" s="375"/>
      <c r="AE1305" s="375"/>
      <c r="AF1305" s="375"/>
    </row>
    <row r="1306" spans="18:32">
      <c r="R1306" s="389"/>
      <c r="S1306" s="389"/>
      <c r="T1306" s="389"/>
      <c r="U1306" s="389"/>
      <c r="V1306" s="389"/>
      <c r="W1306" s="390"/>
      <c r="X1306" s="390"/>
      <c r="Y1306" s="390"/>
      <c r="Z1306" s="390"/>
      <c r="AA1306" s="390"/>
      <c r="AB1306" s="390"/>
      <c r="AC1306" s="375"/>
      <c r="AD1306" s="375"/>
      <c r="AE1306" s="375"/>
      <c r="AF1306" s="375"/>
    </row>
    <row r="1307" spans="18:32">
      <c r="R1307" s="389"/>
      <c r="S1307" s="389"/>
      <c r="T1307" s="389"/>
      <c r="U1307" s="389"/>
      <c r="V1307" s="389"/>
      <c r="W1307" s="390"/>
      <c r="X1307" s="390"/>
      <c r="Y1307" s="390"/>
      <c r="Z1307" s="390"/>
      <c r="AA1307" s="390"/>
      <c r="AB1307" s="390"/>
      <c r="AC1307" s="375"/>
      <c r="AD1307" s="375"/>
      <c r="AE1307" s="375"/>
      <c r="AF1307" s="375"/>
    </row>
    <row r="1308" spans="18:32">
      <c r="R1308" s="389"/>
      <c r="S1308" s="389"/>
      <c r="T1308" s="389"/>
      <c r="U1308" s="389"/>
      <c r="V1308" s="389"/>
      <c r="W1308" s="390"/>
      <c r="X1308" s="390"/>
      <c r="Y1308" s="390"/>
      <c r="Z1308" s="390"/>
      <c r="AA1308" s="390"/>
      <c r="AB1308" s="390"/>
      <c r="AC1308" s="375"/>
      <c r="AD1308" s="375"/>
      <c r="AE1308" s="375"/>
      <c r="AF1308" s="375"/>
    </row>
    <row r="1309" spans="18:32">
      <c r="R1309" s="389"/>
      <c r="S1309" s="389"/>
      <c r="T1309" s="389"/>
      <c r="U1309" s="389"/>
      <c r="V1309" s="389"/>
      <c r="W1309" s="390"/>
      <c r="X1309" s="390"/>
      <c r="Y1309" s="390"/>
      <c r="Z1309" s="390"/>
      <c r="AA1309" s="390"/>
      <c r="AB1309" s="390"/>
      <c r="AC1309" s="375"/>
      <c r="AD1309" s="375"/>
      <c r="AE1309" s="375"/>
      <c r="AF1309" s="375"/>
    </row>
    <row r="1310" spans="18:32">
      <c r="R1310" s="389"/>
      <c r="S1310" s="389"/>
      <c r="T1310" s="389"/>
      <c r="U1310" s="389"/>
      <c r="V1310" s="389"/>
      <c r="W1310" s="390"/>
      <c r="X1310" s="390"/>
      <c r="Y1310" s="390"/>
      <c r="Z1310" s="390"/>
      <c r="AA1310" s="390"/>
      <c r="AB1310" s="390"/>
      <c r="AC1310" s="375"/>
      <c r="AD1310" s="375"/>
      <c r="AE1310" s="375"/>
      <c r="AF1310" s="375"/>
    </row>
    <row r="1311" spans="18:32">
      <c r="R1311" s="389"/>
      <c r="S1311" s="389"/>
      <c r="T1311" s="389"/>
      <c r="U1311" s="389"/>
      <c r="V1311" s="389"/>
      <c r="W1311" s="390"/>
      <c r="X1311" s="390"/>
      <c r="Y1311" s="390"/>
      <c r="Z1311" s="390"/>
      <c r="AA1311" s="390"/>
      <c r="AB1311" s="390"/>
      <c r="AC1311" s="375"/>
      <c r="AD1311" s="375"/>
      <c r="AE1311" s="375"/>
      <c r="AF1311" s="375"/>
    </row>
    <row r="1312" spans="18:32">
      <c r="R1312" s="389"/>
      <c r="S1312" s="389"/>
      <c r="T1312" s="389"/>
      <c r="U1312" s="389"/>
      <c r="V1312" s="389"/>
      <c r="W1312" s="390"/>
      <c r="X1312" s="390"/>
      <c r="Y1312" s="390"/>
      <c r="Z1312" s="390"/>
      <c r="AA1312" s="390"/>
      <c r="AB1312" s="390"/>
      <c r="AC1312" s="375"/>
      <c r="AD1312" s="375"/>
      <c r="AE1312" s="375"/>
      <c r="AF1312" s="375"/>
    </row>
    <row r="1313" spans="18:32">
      <c r="R1313" s="389"/>
      <c r="S1313" s="389"/>
      <c r="T1313" s="389"/>
      <c r="U1313" s="389"/>
      <c r="V1313" s="389"/>
      <c r="W1313" s="390"/>
      <c r="X1313" s="390"/>
      <c r="Y1313" s="390"/>
      <c r="Z1313" s="390"/>
      <c r="AA1313" s="390"/>
      <c r="AB1313" s="390"/>
      <c r="AC1313" s="375"/>
      <c r="AD1313" s="375"/>
      <c r="AE1313" s="375"/>
      <c r="AF1313" s="375"/>
    </row>
    <row r="1314" spans="18:32">
      <c r="R1314" s="389"/>
      <c r="S1314" s="389"/>
      <c r="T1314" s="389"/>
      <c r="U1314" s="389"/>
      <c r="V1314" s="389"/>
      <c r="W1314" s="390"/>
      <c r="X1314" s="390"/>
      <c r="Y1314" s="390"/>
      <c r="Z1314" s="390"/>
      <c r="AA1314" s="390"/>
      <c r="AB1314" s="390"/>
      <c r="AC1314" s="375"/>
      <c r="AD1314" s="375"/>
      <c r="AE1314" s="375"/>
      <c r="AF1314" s="375"/>
    </row>
    <row r="1315" spans="18:32">
      <c r="R1315" s="389"/>
      <c r="S1315" s="389"/>
      <c r="T1315" s="389"/>
      <c r="U1315" s="389"/>
      <c r="V1315" s="389"/>
      <c r="W1315" s="390"/>
      <c r="X1315" s="390"/>
      <c r="Y1315" s="390"/>
      <c r="Z1315" s="390"/>
      <c r="AA1315" s="390"/>
      <c r="AB1315" s="390"/>
      <c r="AC1315" s="375"/>
      <c r="AD1315" s="375"/>
      <c r="AE1315" s="375"/>
      <c r="AF1315" s="375"/>
    </row>
    <row r="1316" spans="18:32">
      <c r="R1316" s="389"/>
      <c r="S1316" s="389"/>
      <c r="T1316" s="389"/>
      <c r="U1316" s="389"/>
      <c r="V1316" s="389"/>
      <c r="W1316" s="390"/>
      <c r="X1316" s="390"/>
      <c r="Y1316" s="390"/>
      <c r="Z1316" s="390"/>
      <c r="AA1316" s="390"/>
      <c r="AB1316" s="390"/>
      <c r="AC1316" s="375"/>
      <c r="AD1316" s="375"/>
      <c r="AE1316" s="375"/>
      <c r="AF1316" s="375"/>
    </row>
    <row r="1317" spans="18:32">
      <c r="R1317" s="389"/>
      <c r="S1317" s="389"/>
      <c r="T1317" s="389"/>
      <c r="U1317" s="389"/>
      <c r="V1317" s="389"/>
      <c r="W1317" s="390"/>
      <c r="X1317" s="390"/>
      <c r="Y1317" s="390"/>
      <c r="Z1317" s="390"/>
      <c r="AA1317" s="390"/>
      <c r="AB1317" s="390"/>
      <c r="AC1317" s="375"/>
      <c r="AD1317" s="375"/>
      <c r="AE1317" s="375"/>
      <c r="AF1317" s="375"/>
    </row>
    <row r="1318" spans="18:32">
      <c r="R1318" s="389"/>
      <c r="S1318" s="389"/>
      <c r="T1318" s="389"/>
      <c r="U1318" s="389"/>
      <c r="V1318" s="389"/>
      <c r="W1318" s="390"/>
      <c r="X1318" s="390"/>
      <c r="Y1318" s="390"/>
      <c r="Z1318" s="390"/>
      <c r="AA1318" s="390"/>
      <c r="AB1318" s="390"/>
      <c r="AC1318" s="375"/>
      <c r="AD1318" s="375"/>
      <c r="AE1318" s="375"/>
      <c r="AF1318" s="375"/>
    </row>
    <row r="1319" spans="18:32">
      <c r="R1319" s="389"/>
      <c r="S1319" s="389"/>
      <c r="T1319" s="389"/>
      <c r="U1319" s="389"/>
      <c r="V1319" s="389"/>
      <c r="W1319" s="390"/>
      <c r="X1319" s="390"/>
      <c r="Y1319" s="390"/>
      <c r="Z1319" s="390"/>
      <c r="AA1319" s="390"/>
      <c r="AB1319" s="390"/>
      <c r="AC1319" s="375"/>
      <c r="AD1319" s="375"/>
      <c r="AE1319" s="375"/>
      <c r="AF1319" s="375"/>
    </row>
    <row r="1320" spans="18:32">
      <c r="R1320" s="389"/>
      <c r="S1320" s="389"/>
      <c r="T1320" s="389"/>
      <c r="U1320" s="389"/>
      <c r="V1320" s="389"/>
      <c r="W1320" s="390"/>
      <c r="X1320" s="390"/>
      <c r="Y1320" s="390"/>
      <c r="Z1320" s="390"/>
      <c r="AA1320" s="390"/>
      <c r="AB1320" s="390"/>
      <c r="AC1320" s="375"/>
      <c r="AD1320" s="375"/>
      <c r="AE1320" s="375"/>
      <c r="AF1320" s="375"/>
    </row>
    <row r="1321" spans="18:32">
      <c r="R1321" s="389"/>
      <c r="S1321" s="389"/>
      <c r="T1321" s="389"/>
      <c r="U1321" s="389"/>
      <c r="V1321" s="389"/>
      <c r="W1321" s="390"/>
      <c r="X1321" s="390"/>
      <c r="Y1321" s="390"/>
      <c r="Z1321" s="390"/>
      <c r="AA1321" s="390"/>
      <c r="AB1321" s="390"/>
      <c r="AC1321" s="375"/>
      <c r="AD1321" s="375"/>
      <c r="AE1321" s="375"/>
      <c r="AF1321" s="375"/>
    </row>
    <row r="1322" spans="18:32">
      <c r="R1322" s="389"/>
      <c r="S1322" s="389"/>
      <c r="T1322" s="389"/>
      <c r="U1322" s="389"/>
      <c r="V1322" s="389"/>
      <c r="W1322" s="390"/>
      <c r="X1322" s="390"/>
      <c r="Y1322" s="390"/>
      <c r="Z1322" s="390"/>
      <c r="AA1322" s="390"/>
      <c r="AB1322" s="390"/>
      <c r="AC1322" s="375"/>
      <c r="AD1322" s="375"/>
      <c r="AE1322" s="375"/>
      <c r="AF1322" s="375"/>
    </row>
    <row r="1323" spans="18:32">
      <c r="R1323" s="389"/>
      <c r="S1323" s="389"/>
      <c r="T1323" s="389"/>
      <c r="U1323" s="389"/>
      <c r="V1323" s="389"/>
      <c r="W1323" s="390"/>
      <c r="X1323" s="390"/>
      <c r="Y1323" s="390"/>
      <c r="Z1323" s="390"/>
      <c r="AA1323" s="390"/>
      <c r="AB1323" s="390"/>
      <c r="AC1323" s="375"/>
      <c r="AD1323" s="375"/>
      <c r="AE1323" s="375"/>
      <c r="AF1323" s="375"/>
    </row>
    <row r="1324" spans="18:32">
      <c r="R1324" s="389"/>
      <c r="S1324" s="389"/>
      <c r="T1324" s="389"/>
      <c r="U1324" s="389"/>
      <c r="V1324" s="389"/>
      <c r="W1324" s="390"/>
      <c r="X1324" s="390"/>
      <c r="Y1324" s="390"/>
      <c r="Z1324" s="390"/>
      <c r="AA1324" s="390"/>
      <c r="AB1324" s="390"/>
      <c r="AC1324" s="375"/>
      <c r="AD1324" s="375"/>
      <c r="AE1324" s="375"/>
      <c r="AF1324" s="375"/>
    </row>
    <row r="1325" spans="18:32">
      <c r="R1325" s="389"/>
      <c r="S1325" s="389"/>
      <c r="T1325" s="389"/>
      <c r="U1325" s="389"/>
      <c r="V1325" s="389"/>
      <c r="W1325" s="390"/>
      <c r="X1325" s="390"/>
      <c r="Y1325" s="390"/>
      <c r="Z1325" s="390"/>
      <c r="AA1325" s="390"/>
      <c r="AB1325" s="390"/>
      <c r="AC1325" s="375"/>
      <c r="AD1325" s="375"/>
      <c r="AE1325" s="375"/>
      <c r="AF1325" s="375"/>
    </row>
    <row r="1326" spans="18:32">
      <c r="R1326" s="389"/>
      <c r="S1326" s="389"/>
      <c r="T1326" s="389"/>
      <c r="U1326" s="389"/>
      <c r="V1326" s="389"/>
      <c r="W1326" s="390"/>
      <c r="X1326" s="390"/>
      <c r="Y1326" s="390"/>
      <c r="Z1326" s="390"/>
      <c r="AA1326" s="390"/>
      <c r="AB1326" s="390"/>
      <c r="AC1326" s="375"/>
      <c r="AD1326" s="375"/>
      <c r="AE1326" s="375"/>
      <c r="AF1326" s="375"/>
    </row>
    <row r="1327" spans="18:32">
      <c r="R1327" s="389"/>
      <c r="S1327" s="389"/>
      <c r="T1327" s="389"/>
      <c r="U1327" s="389"/>
      <c r="V1327" s="389"/>
      <c r="W1327" s="390"/>
      <c r="X1327" s="390"/>
      <c r="Y1327" s="390"/>
      <c r="Z1327" s="390"/>
      <c r="AA1327" s="390"/>
      <c r="AB1327" s="390"/>
      <c r="AC1327" s="375"/>
      <c r="AD1327" s="375"/>
      <c r="AE1327" s="375"/>
      <c r="AF1327" s="375"/>
    </row>
    <row r="1328" spans="18:32">
      <c r="R1328" s="389"/>
      <c r="S1328" s="389"/>
      <c r="T1328" s="389"/>
      <c r="U1328" s="389"/>
      <c r="V1328" s="389"/>
      <c r="W1328" s="390"/>
      <c r="X1328" s="390"/>
      <c r="Y1328" s="390"/>
      <c r="Z1328" s="390"/>
      <c r="AA1328" s="390"/>
      <c r="AB1328" s="390"/>
      <c r="AC1328" s="375"/>
      <c r="AD1328" s="375"/>
      <c r="AE1328" s="375"/>
      <c r="AF1328" s="375"/>
    </row>
    <row r="1329" spans="18:32">
      <c r="R1329" s="389"/>
      <c r="S1329" s="389"/>
      <c r="T1329" s="389"/>
      <c r="U1329" s="389"/>
      <c r="V1329" s="389"/>
      <c r="W1329" s="390"/>
      <c r="X1329" s="390"/>
      <c r="Y1329" s="390"/>
      <c r="Z1329" s="390"/>
      <c r="AA1329" s="390"/>
      <c r="AB1329" s="390"/>
      <c r="AC1329" s="375"/>
      <c r="AD1329" s="375"/>
      <c r="AE1329" s="375"/>
      <c r="AF1329" s="375"/>
    </row>
    <row r="1330" spans="18:32">
      <c r="R1330" s="389"/>
      <c r="S1330" s="389"/>
      <c r="T1330" s="389"/>
      <c r="U1330" s="389"/>
      <c r="V1330" s="389"/>
      <c r="W1330" s="390"/>
      <c r="X1330" s="390"/>
      <c r="Y1330" s="390"/>
      <c r="Z1330" s="390"/>
      <c r="AA1330" s="390"/>
      <c r="AB1330" s="390"/>
      <c r="AC1330" s="375"/>
      <c r="AD1330" s="375"/>
      <c r="AE1330" s="375"/>
      <c r="AF1330" s="375"/>
    </row>
    <row r="1331" spans="18:32">
      <c r="R1331" s="389"/>
      <c r="S1331" s="389"/>
      <c r="T1331" s="389"/>
      <c r="U1331" s="389"/>
      <c r="V1331" s="389"/>
      <c r="W1331" s="390"/>
      <c r="X1331" s="390"/>
      <c r="Y1331" s="390"/>
      <c r="Z1331" s="390"/>
      <c r="AA1331" s="390"/>
      <c r="AB1331" s="390"/>
      <c r="AC1331" s="375"/>
      <c r="AD1331" s="375"/>
      <c r="AE1331" s="375"/>
      <c r="AF1331" s="375"/>
    </row>
    <row r="1332" spans="18:32">
      <c r="R1332" s="389"/>
      <c r="S1332" s="389"/>
      <c r="T1332" s="389"/>
      <c r="U1332" s="389"/>
      <c r="V1332" s="389"/>
      <c r="W1332" s="390"/>
      <c r="X1332" s="390"/>
      <c r="Y1332" s="390"/>
      <c r="Z1332" s="390"/>
      <c r="AA1332" s="390"/>
      <c r="AB1332" s="390"/>
      <c r="AC1332" s="375"/>
      <c r="AD1332" s="375"/>
      <c r="AE1332" s="375"/>
      <c r="AF1332" s="375"/>
    </row>
    <row r="1333" spans="18:32">
      <c r="R1333" s="389"/>
      <c r="S1333" s="389"/>
      <c r="T1333" s="389"/>
      <c r="U1333" s="389"/>
      <c r="V1333" s="389"/>
      <c r="W1333" s="390"/>
      <c r="X1333" s="390"/>
      <c r="Y1333" s="390"/>
      <c r="Z1333" s="390"/>
      <c r="AA1333" s="390"/>
      <c r="AB1333" s="390"/>
      <c r="AC1333" s="375"/>
      <c r="AD1333" s="375"/>
      <c r="AE1333" s="375"/>
      <c r="AF1333" s="375"/>
    </row>
    <row r="1334" spans="18:32">
      <c r="R1334" s="389"/>
      <c r="S1334" s="389"/>
      <c r="T1334" s="389"/>
      <c r="U1334" s="389"/>
      <c r="V1334" s="389"/>
      <c r="W1334" s="390"/>
      <c r="X1334" s="390"/>
      <c r="Y1334" s="390"/>
      <c r="Z1334" s="390"/>
      <c r="AA1334" s="390"/>
      <c r="AB1334" s="390"/>
      <c r="AC1334" s="375"/>
      <c r="AD1334" s="375"/>
      <c r="AE1334" s="375"/>
      <c r="AF1334" s="375"/>
    </row>
    <row r="1335" spans="18:32">
      <c r="R1335" s="389"/>
      <c r="S1335" s="389"/>
      <c r="T1335" s="389"/>
      <c r="U1335" s="389"/>
      <c r="V1335" s="389"/>
      <c r="W1335" s="390"/>
      <c r="X1335" s="390"/>
      <c r="Y1335" s="390"/>
      <c r="Z1335" s="390"/>
      <c r="AA1335" s="390"/>
      <c r="AB1335" s="390"/>
      <c r="AC1335" s="375"/>
      <c r="AD1335" s="375"/>
      <c r="AE1335" s="375"/>
      <c r="AF1335" s="375"/>
    </row>
    <row r="1336" spans="18:32">
      <c r="R1336" s="389"/>
      <c r="S1336" s="389"/>
      <c r="T1336" s="389"/>
      <c r="U1336" s="389"/>
      <c r="V1336" s="389"/>
      <c r="W1336" s="390"/>
      <c r="X1336" s="390"/>
      <c r="Y1336" s="390"/>
      <c r="Z1336" s="390"/>
      <c r="AA1336" s="390"/>
      <c r="AB1336" s="390"/>
      <c r="AC1336" s="375"/>
      <c r="AD1336" s="375"/>
      <c r="AE1336" s="375"/>
      <c r="AF1336" s="375"/>
    </row>
    <row r="1337" spans="18:32">
      <c r="R1337" s="389"/>
      <c r="S1337" s="389"/>
      <c r="T1337" s="389"/>
      <c r="U1337" s="389"/>
      <c r="V1337" s="389"/>
      <c r="W1337" s="390"/>
      <c r="X1337" s="390"/>
      <c r="Y1337" s="390"/>
      <c r="Z1337" s="390"/>
      <c r="AA1337" s="390"/>
      <c r="AB1337" s="390"/>
      <c r="AC1337" s="375"/>
      <c r="AD1337" s="375"/>
      <c r="AE1337" s="375"/>
      <c r="AF1337" s="375"/>
    </row>
    <row r="1338" spans="18:32">
      <c r="R1338" s="389"/>
      <c r="S1338" s="389"/>
      <c r="T1338" s="389"/>
      <c r="U1338" s="389"/>
      <c r="V1338" s="389"/>
      <c r="W1338" s="390"/>
      <c r="X1338" s="390"/>
      <c r="Y1338" s="390"/>
      <c r="Z1338" s="390"/>
      <c r="AA1338" s="390"/>
      <c r="AB1338" s="390"/>
      <c r="AC1338" s="375"/>
      <c r="AD1338" s="375"/>
      <c r="AE1338" s="375"/>
      <c r="AF1338" s="375"/>
    </row>
    <row r="1339" spans="18:32">
      <c r="R1339" s="389"/>
      <c r="S1339" s="389"/>
      <c r="T1339" s="389"/>
      <c r="U1339" s="389"/>
      <c r="V1339" s="389"/>
      <c r="W1339" s="390"/>
      <c r="X1339" s="390"/>
      <c r="Y1339" s="390"/>
      <c r="Z1339" s="390"/>
      <c r="AA1339" s="390"/>
      <c r="AB1339" s="390"/>
      <c r="AC1339" s="375"/>
      <c r="AD1339" s="375"/>
      <c r="AE1339" s="375"/>
      <c r="AF1339" s="375"/>
    </row>
    <row r="1340" spans="18:32">
      <c r="R1340" s="389"/>
      <c r="S1340" s="389"/>
      <c r="T1340" s="389"/>
      <c r="U1340" s="389"/>
      <c r="V1340" s="389"/>
      <c r="W1340" s="390"/>
      <c r="X1340" s="390"/>
      <c r="Y1340" s="390"/>
      <c r="Z1340" s="390"/>
      <c r="AA1340" s="390"/>
      <c r="AB1340" s="390"/>
      <c r="AC1340" s="375"/>
      <c r="AD1340" s="375"/>
      <c r="AE1340" s="375"/>
      <c r="AF1340" s="375"/>
    </row>
    <row r="1341" spans="18:32">
      <c r="R1341" s="389"/>
      <c r="S1341" s="389"/>
      <c r="T1341" s="389"/>
      <c r="U1341" s="389"/>
      <c r="V1341" s="389"/>
      <c r="W1341" s="390"/>
      <c r="X1341" s="390"/>
      <c r="Y1341" s="390"/>
      <c r="Z1341" s="390"/>
      <c r="AA1341" s="390"/>
      <c r="AB1341" s="390"/>
      <c r="AC1341" s="375"/>
      <c r="AD1341" s="375"/>
      <c r="AE1341" s="375"/>
      <c r="AF1341" s="375"/>
    </row>
    <row r="1342" spans="18:32">
      <c r="R1342" s="389"/>
      <c r="S1342" s="389"/>
      <c r="T1342" s="389"/>
      <c r="U1342" s="389"/>
      <c r="V1342" s="389"/>
      <c r="W1342" s="390"/>
      <c r="X1342" s="390"/>
      <c r="Y1342" s="390"/>
      <c r="Z1342" s="390"/>
      <c r="AA1342" s="390"/>
      <c r="AB1342" s="390"/>
      <c r="AC1342" s="375"/>
      <c r="AD1342" s="375"/>
      <c r="AE1342" s="375"/>
      <c r="AF1342" s="375"/>
    </row>
    <row r="1343" spans="18:32">
      <c r="R1343" s="389"/>
      <c r="S1343" s="389"/>
      <c r="T1343" s="389"/>
      <c r="U1343" s="389"/>
      <c r="V1343" s="389"/>
      <c r="W1343" s="390"/>
      <c r="X1343" s="390"/>
      <c r="Y1343" s="390"/>
      <c r="Z1343" s="390"/>
      <c r="AA1343" s="390"/>
      <c r="AB1343" s="390"/>
      <c r="AC1343" s="375"/>
      <c r="AD1343" s="375"/>
      <c r="AE1343" s="375"/>
      <c r="AF1343" s="375"/>
    </row>
    <row r="1344" spans="18:32">
      <c r="R1344" s="389"/>
      <c r="S1344" s="389"/>
      <c r="T1344" s="389"/>
      <c r="U1344" s="389"/>
      <c r="V1344" s="389"/>
      <c r="W1344" s="390"/>
      <c r="X1344" s="390"/>
      <c r="Y1344" s="390"/>
      <c r="Z1344" s="390"/>
      <c r="AA1344" s="390"/>
      <c r="AB1344" s="390"/>
      <c r="AC1344" s="375"/>
      <c r="AD1344" s="375"/>
      <c r="AE1344" s="375"/>
      <c r="AF1344" s="375"/>
    </row>
    <row r="1345" spans="18:32">
      <c r="R1345" s="389"/>
      <c r="S1345" s="389"/>
      <c r="T1345" s="389"/>
      <c r="U1345" s="389"/>
      <c r="V1345" s="389"/>
      <c r="W1345" s="390"/>
      <c r="X1345" s="390"/>
      <c r="Y1345" s="390"/>
      <c r="Z1345" s="390"/>
      <c r="AA1345" s="390"/>
      <c r="AB1345" s="390"/>
      <c r="AC1345" s="375"/>
      <c r="AD1345" s="375"/>
      <c r="AE1345" s="375"/>
      <c r="AF1345" s="375"/>
    </row>
    <row r="1346" spans="18:32">
      <c r="R1346" s="389"/>
      <c r="S1346" s="389"/>
      <c r="T1346" s="389"/>
      <c r="U1346" s="389"/>
      <c r="V1346" s="389"/>
      <c r="W1346" s="390"/>
      <c r="X1346" s="390"/>
      <c r="Y1346" s="390"/>
      <c r="Z1346" s="390"/>
      <c r="AA1346" s="390"/>
      <c r="AB1346" s="390"/>
      <c r="AC1346" s="375"/>
      <c r="AD1346" s="375"/>
      <c r="AE1346" s="375"/>
      <c r="AF1346" s="375"/>
    </row>
    <row r="1347" spans="18:32">
      <c r="R1347" s="389"/>
      <c r="S1347" s="389"/>
      <c r="T1347" s="389"/>
      <c r="U1347" s="389"/>
      <c r="V1347" s="389"/>
      <c r="W1347" s="390"/>
      <c r="X1347" s="390"/>
      <c r="Y1347" s="390"/>
      <c r="Z1347" s="390"/>
      <c r="AA1347" s="390"/>
      <c r="AB1347" s="390"/>
      <c r="AC1347" s="375"/>
      <c r="AD1347" s="375"/>
      <c r="AE1347" s="375"/>
      <c r="AF1347" s="375"/>
    </row>
    <row r="1348" spans="18:32">
      <c r="R1348" s="389"/>
      <c r="S1348" s="389"/>
      <c r="T1348" s="389"/>
      <c r="U1348" s="389"/>
      <c r="V1348" s="389"/>
      <c r="W1348" s="390"/>
      <c r="X1348" s="390"/>
      <c r="Y1348" s="390"/>
      <c r="Z1348" s="390"/>
      <c r="AA1348" s="390"/>
      <c r="AB1348" s="390"/>
      <c r="AC1348" s="375"/>
      <c r="AD1348" s="375"/>
      <c r="AE1348" s="375"/>
      <c r="AF1348" s="375"/>
    </row>
    <row r="1349" spans="18:32">
      <c r="R1349" s="389"/>
      <c r="S1349" s="389"/>
      <c r="T1349" s="389"/>
      <c r="U1349" s="389"/>
      <c r="V1349" s="389"/>
      <c r="W1349" s="390"/>
      <c r="X1349" s="390"/>
      <c r="Y1349" s="390"/>
      <c r="Z1349" s="390"/>
      <c r="AA1349" s="390"/>
      <c r="AB1349" s="390"/>
      <c r="AC1349" s="375"/>
      <c r="AD1349" s="375"/>
      <c r="AE1349" s="375"/>
      <c r="AF1349" s="375"/>
    </row>
    <row r="1350" spans="18:32">
      <c r="R1350" s="389"/>
      <c r="S1350" s="389"/>
      <c r="T1350" s="389"/>
      <c r="U1350" s="389"/>
      <c r="V1350" s="389"/>
      <c r="W1350" s="390"/>
      <c r="X1350" s="390"/>
      <c r="Y1350" s="390"/>
      <c r="Z1350" s="390"/>
      <c r="AA1350" s="390"/>
      <c r="AB1350" s="390"/>
      <c r="AC1350" s="375"/>
      <c r="AD1350" s="375"/>
      <c r="AE1350" s="375"/>
      <c r="AF1350" s="375"/>
    </row>
    <row r="1351" spans="18:32">
      <c r="R1351" s="389"/>
      <c r="S1351" s="389"/>
      <c r="T1351" s="389"/>
      <c r="U1351" s="389"/>
      <c r="V1351" s="389"/>
      <c r="W1351" s="390"/>
      <c r="X1351" s="390"/>
      <c r="Y1351" s="390"/>
      <c r="Z1351" s="390"/>
      <c r="AA1351" s="390"/>
      <c r="AB1351" s="390"/>
      <c r="AC1351" s="375"/>
      <c r="AD1351" s="375"/>
      <c r="AE1351" s="375"/>
      <c r="AF1351" s="375"/>
    </row>
    <row r="1352" spans="18:32">
      <c r="R1352" s="389"/>
      <c r="S1352" s="389"/>
      <c r="T1352" s="389"/>
      <c r="U1352" s="389"/>
      <c r="V1352" s="389"/>
      <c r="W1352" s="390"/>
      <c r="X1352" s="390"/>
      <c r="Y1352" s="390"/>
      <c r="Z1352" s="390"/>
      <c r="AA1352" s="390"/>
      <c r="AB1352" s="390"/>
      <c r="AC1352" s="375"/>
      <c r="AD1352" s="375"/>
      <c r="AE1352" s="375"/>
      <c r="AF1352" s="375"/>
    </row>
    <row r="1353" spans="18:32">
      <c r="R1353" s="389"/>
      <c r="S1353" s="389"/>
      <c r="T1353" s="389"/>
      <c r="U1353" s="389"/>
      <c r="V1353" s="389"/>
      <c r="W1353" s="390"/>
      <c r="X1353" s="390"/>
      <c r="Y1353" s="390"/>
      <c r="Z1353" s="390"/>
      <c r="AA1353" s="390"/>
      <c r="AB1353" s="390"/>
      <c r="AC1353" s="375"/>
      <c r="AD1353" s="375"/>
      <c r="AE1353" s="375"/>
      <c r="AF1353" s="375"/>
    </row>
    <row r="1354" spans="18:32">
      <c r="R1354" s="389"/>
      <c r="S1354" s="389"/>
      <c r="T1354" s="389"/>
      <c r="U1354" s="389"/>
      <c r="V1354" s="389"/>
      <c r="W1354" s="390"/>
      <c r="X1354" s="390"/>
      <c r="Y1354" s="390"/>
      <c r="Z1354" s="390"/>
      <c r="AA1354" s="390"/>
      <c r="AB1354" s="390"/>
      <c r="AC1354" s="375"/>
      <c r="AD1354" s="375"/>
      <c r="AE1354" s="375"/>
      <c r="AF1354" s="375"/>
    </row>
    <row r="1355" spans="18:32">
      <c r="R1355" s="389"/>
      <c r="S1355" s="389"/>
      <c r="T1355" s="389"/>
      <c r="U1355" s="389"/>
      <c r="V1355" s="389"/>
      <c r="W1355" s="390"/>
      <c r="X1355" s="390"/>
      <c r="Y1355" s="390"/>
      <c r="Z1355" s="390"/>
      <c r="AA1355" s="390"/>
      <c r="AB1355" s="390"/>
      <c r="AC1355" s="375"/>
      <c r="AD1355" s="375"/>
      <c r="AE1355" s="375"/>
      <c r="AF1355" s="375"/>
    </row>
    <row r="1356" spans="18:32">
      <c r="R1356" s="389"/>
      <c r="S1356" s="389"/>
      <c r="T1356" s="389"/>
      <c r="U1356" s="389"/>
      <c r="V1356" s="389"/>
      <c r="W1356" s="390"/>
      <c r="X1356" s="390"/>
      <c r="Y1356" s="390"/>
      <c r="Z1356" s="390"/>
      <c r="AA1356" s="390"/>
      <c r="AB1356" s="390"/>
      <c r="AC1356" s="375"/>
      <c r="AD1356" s="375"/>
      <c r="AE1356" s="375"/>
      <c r="AF1356" s="375"/>
    </row>
    <row r="1357" spans="18:32">
      <c r="R1357" s="389"/>
      <c r="S1357" s="389"/>
      <c r="T1357" s="389"/>
      <c r="U1357" s="389"/>
      <c r="V1357" s="389"/>
      <c r="W1357" s="390"/>
      <c r="X1357" s="390"/>
      <c r="Y1357" s="390"/>
      <c r="Z1357" s="390"/>
      <c r="AA1357" s="390"/>
      <c r="AB1357" s="390"/>
      <c r="AC1357" s="375"/>
      <c r="AD1357" s="375"/>
      <c r="AE1357" s="375"/>
      <c r="AF1357" s="375"/>
    </row>
    <row r="1358" spans="18:32">
      <c r="R1358" s="389"/>
      <c r="S1358" s="389"/>
      <c r="T1358" s="389"/>
      <c r="U1358" s="389"/>
      <c r="V1358" s="389"/>
      <c r="W1358" s="390"/>
      <c r="X1358" s="390"/>
      <c r="Y1358" s="390"/>
      <c r="Z1358" s="390"/>
      <c r="AA1358" s="390"/>
      <c r="AB1358" s="390"/>
      <c r="AC1358" s="375"/>
      <c r="AD1358" s="375"/>
      <c r="AE1358" s="375"/>
      <c r="AF1358" s="375"/>
    </row>
    <row r="1359" spans="18:32">
      <c r="R1359" s="389"/>
      <c r="S1359" s="389"/>
      <c r="T1359" s="389"/>
      <c r="U1359" s="389"/>
      <c r="V1359" s="389"/>
      <c r="W1359" s="390"/>
      <c r="X1359" s="390"/>
      <c r="Y1359" s="390"/>
      <c r="Z1359" s="390"/>
      <c r="AA1359" s="390"/>
      <c r="AB1359" s="390"/>
      <c r="AC1359" s="375"/>
      <c r="AD1359" s="375"/>
      <c r="AE1359" s="375"/>
      <c r="AF1359" s="375"/>
    </row>
    <row r="1360" spans="18:32">
      <c r="R1360" s="389"/>
      <c r="S1360" s="389"/>
      <c r="T1360" s="389"/>
      <c r="U1360" s="389"/>
      <c r="V1360" s="389"/>
      <c r="W1360" s="390"/>
      <c r="X1360" s="390"/>
      <c r="Y1360" s="390"/>
      <c r="Z1360" s="390"/>
      <c r="AA1360" s="390"/>
      <c r="AB1360" s="390"/>
      <c r="AC1360" s="375"/>
      <c r="AD1360" s="375"/>
      <c r="AE1360" s="375"/>
      <c r="AF1360" s="375"/>
    </row>
    <row r="1361" spans="18:32">
      <c r="R1361" s="389"/>
      <c r="S1361" s="389"/>
      <c r="T1361" s="389"/>
      <c r="U1361" s="389"/>
      <c r="V1361" s="389"/>
      <c r="W1361" s="390"/>
      <c r="X1361" s="390"/>
      <c r="Y1361" s="390"/>
      <c r="Z1361" s="390"/>
      <c r="AA1361" s="390"/>
      <c r="AB1361" s="390"/>
      <c r="AC1361" s="375"/>
      <c r="AD1361" s="375"/>
      <c r="AE1361" s="375"/>
      <c r="AF1361" s="375"/>
    </row>
    <row r="1362" spans="18:32">
      <c r="R1362" s="389"/>
      <c r="S1362" s="389"/>
      <c r="T1362" s="389"/>
      <c r="U1362" s="389"/>
      <c r="V1362" s="389"/>
      <c r="W1362" s="390"/>
      <c r="X1362" s="390"/>
      <c r="Y1362" s="390"/>
      <c r="Z1362" s="390"/>
      <c r="AA1362" s="390"/>
      <c r="AB1362" s="390"/>
      <c r="AC1362" s="375"/>
      <c r="AD1362" s="375"/>
      <c r="AE1362" s="375"/>
      <c r="AF1362" s="375"/>
    </row>
    <row r="1363" spans="18:32">
      <c r="R1363" s="389"/>
      <c r="S1363" s="389"/>
      <c r="T1363" s="389"/>
      <c r="U1363" s="389"/>
      <c r="V1363" s="389"/>
      <c r="W1363" s="390"/>
      <c r="X1363" s="390"/>
      <c r="Y1363" s="390"/>
      <c r="Z1363" s="390"/>
      <c r="AA1363" s="390"/>
      <c r="AB1363" s="390"/>
      <c r="AC1363" s="375"/>
      <c r="AD1363" s="375"/>
      <c r="AE1363" s="375"/>
      <c r="AF1363" s="375"/>
    </row>
    <row r="1364" spans="18:32">
      <c r="R1364" s="389"/>
      <c r="S1364" s="389"/>
      <c r="T1364" s="389"/>
      <c r="U1364" s="389"/>
      <c r="V1364" s="389"/>
      <c r="W1364" s="390"/>
      <c r="X1364" s="390"/>
      <c r="Y1364" s="390"/>
      <c r="Z1364" s="390"/>
      <c r="AA1364" s="390"/>
      <c r="AB1364" s="390"/>
      <c r="AC1364" s="375"/>
      <c r="AD1364" s="375"/>
      <c r="AE1364" s="375"/>
      <c r="AF1364" s="375"/>
    </row>
    <row r="1365" spans="18:32">
      <c r="R1365" s="389"/>
      <c r="S1365" s="389"/>
      <c r="T1365" s="389"/>
      <c r="U1365" s="389"/>
      <c r="V1365" s="389"/>
      <c r="W1365" s="390"/>
      <c r="X1365" s="390"/>
      <c r="Y1365" s="390"/>
      <c r="Z1365" s="390"/>
      <c r="AA1365" s="390"/>
      <c r="AB1365" s="390"/>
      <c r="AC1365" s="375"/>
      <c r="AD1365" s="375"/>
      <c r="AE1365" s="375"/>
      <c r="AF1365" s="375"/>
    </row>
    <row r="1366" spans="18:32">
      <c r="R1366" s="389"/>
      <c r="S1366" s="389"/>
      <c r="T1366" s="389"/>
      <c r="U1366" s="389"/>
      <c r="V1366" s="389"/>
      <c r="W1366" s="390"/>
      <c r="X1366" s="390"/>
      <c r="Y1366" s="390"/>
      <c r="Z1366" s="390"/>
      <c r="AA1366" s="390"/>
      <c r="AB1366" s="390"/>
      <c r="AC1366" s="375"/>
      <c r="AD1366" s="375"/>
      <c r="AE1366" s="375"/>
      <c r="AF1366" s="375"/>
    </row>
    <row r="1367" spans="18:32">
      <c r="R1367" s="389"/>
      <c r="S1367" s="389"/>
      <c r="T1367" s="389"/>
      <c r="U1367" s="389"/>
      <c r="V1367" s="389"/>
      <c r="W1367" s="390"/>
      <c r="X1367" s="390"/>
      <c r="Y1367" s="390"/>
      <c r="Z1367" s="390"/>
      <c r="AA1367" s="390"/>
      <c r="AB1367" s="390"/>
      <c r="AC1367" s="375"/>
      <c r="AD1367" s="375"/>
      <c r="AE1367" s="375"/>
      <c r="AF1367" s="375"/>
    </row>
    <row r="1368" spans="18:32">
      <c r="R1368" s="389"/>
      <c r="S1368" s="389"/>
      <c r="T1368" s="389"/>
      <c r="U1368" s="389"/>
      <c r="V1368" s="389"/>
      <c r="W1368" s="390"/>
      <c r="X1368" s="390"/>
      <c r="Y1368" s="390"/>
      <c r="Z1368" s="390"/>
      <c r="AA1368" s="390"/>
      <c r="AB1368" s="390"/>
      <c r="AC1368" s="375"/>
      <c r="AD1368" s="375"/>
      <c r="AE1368" s="375"/>
      <c r="AF1368" s="375"/>
    </row>
    <row r="1369" spans="18:32">
      <c r="R1369" s="389"/>
      <c r="S1369" s="389"/>
      <c r="T1369" s="389"/>
      <c r="U1369" s="389"/>
      <c r="V1369" s="389"/>
      <c r="W1369" s="390"/>
      <c r="X1369" s="390"/>
      <c r="Y1369" s="390"/>
      <c r="Z1369" s="390"/>
      <c r="AA1369" s="390"/>
      <c r="AB1369" s="390"/>
      <c r="AC1369" s="375"/>
      <c r="AD1369" s="375"/>
      <c r="AE1369" s="375"/>
      <c r="AF1369" s="375"/>
    </row>
    <row r="1370" spans="18:32">
      <c r="R1370" s="389"/>
      <c r="S1370" s="389"/>
      <c r="T1370" s="389"/>
      <c r="U1370" s="389"/>
      <c r="V1370" s="389"/>
      <c r="W1370" s="390"/>
      <c r="X1370" s="390"/>
      <c r="Y1370" s="390"/>
      <c r="Z1370" s="390"/>
      <c r="AA1370" s="390"/>
      <c r="AB1370" s="390"/>
      <c r="AC1370" s="375"/>
      <c r="AD1370" s="375"/>
      <c r="AE1370" s="375"/>
      <c r="AF1370" s="375"/>
    </row>
    <row r="1371" spans="18:32">
      <c r="R1371" s="389"/>
      <c r="S1371" s="389"/>
      <c r="T1371" s="389"/>
      <c r="U1371" s="389"/>
      <c r="V1371" s="389"/>
      <c r="W1371" s="390"/>
      <c r="X1371" s="390"/>
      <c r="Y1371" s="390"/>
      <c r="Z1371" s="390"/>
      <c r="AA1371" s="390"/>
      <c r="AB1371" s="390"/>
      <c r="AC1371" s="375"/>
      <c r="AD1371" s="375"/>
      <c r="AE1371" s="375"/>
      <c r="AF1371" s="375"/>
    </row>
    <row r="1372" spans="18:32">
      <c r="R1372" s="389"/>
      <c r="S1372" s="389"/>
      <c r="T1372" s="389"/>
      <c r="U1372" s="389"/>
      <c r="V1372" s="389"/>
      <c r="W1372" s="390"/>
      <c r="X1372" s="390"/>
      <c r="Y1372" s="390"/>
      <c r="Z1372" s="390"/>
      <c r="AA1372" s="390"/>
      <c r="AB1372" s="390"/>
      <c r="AC1372" s="375"/>
      <c r="AD1372" s="375"/>
      <c r="AE1372" s="375"/>
      <c r="AF1372" s="375"/>
    </row>
    <row r="1373" spans="18:32">
      <c r="R1373" s="389"/>
      <c r="S1373" s="389"/>
      <c r="T1373" s="389"/>
      <c r="U1373" s="389"/>
      <c r="V1373" s="389"/>
      <c r="W1373" s="390"/>
      <c r="X1373" s="390"/>
      <c r="Y1373" s="390"/>
      <c r="Z1373" s="390"/>
      <c r="AA1373" s="390"/>
      <c r="AB1373" s="390"/>
      <c r="AC1373" s="375"/>
      <c r="AD1373" s="375"/>
      <c r="AE1373" s="375"/>
      <c r="AF1373" s="375"/>
    </row>
    <row r="1374" spans="18:32">
      <c r="R1374" s="389"/>
      <c r="S1374" s="389"/>
      <c r="T1374" s="389"/>
      <c r="U1374" s="389"/>
      <c r="V1374" s="389"/>
      <c r="W1374" s="390"/>
      <c r="X1374" s="390"/>
      <c r="Y1374" s="390"/>
      <c r="Z1374" s="390"/>
      <c r="AA1374" s="390"/>
      <c r="AB1374" s="390"/>
      <c r="AC1374" s="375"/>
      <c r="AD1374" s="375"/>
      <c r="AE1374" s="375"/>
      <c r="AF1374" s="375"/>
    </row>
    <row r="1375" spans="18:32">
      <c r="R1375" s="389"/>
      <c r="S1375" s="389"/>
      <c r="T1375" s="389"/>
      <c r="U1375" s="389"/>
      <c r="V1375" s="389"/>
      <c r="W1375" s="390"/>
      <c r="X1375" s="390"/>
      <c r="Y1375" s="390"/>
      <c r="Z1375" s="390"/>
      <c r="AA1375" s="390"/>
      <c r="AB1375" s="390"/>
      <c r="AC1375" s="375"/>
      <c r="AD1375" s="375"/>
      <c r="AE1375" s="375"/>
      <c r="AF1375" s="375"/>
    </row>
    <row r="1376" spans="18:32">
      <c r="R1376" s="389"/>
      <c r="S1376" s="389"/>
      <c r="T1376" s="389"/>
      <c r="U1376" s="389"/>
      <c r="V1376" s="389"/>
      <c r="W1376" s="390"/>
      <c r="X1376" s="390"/>
      <c r="Y1376" s="390"/>
      <c r="Z1376" s="390"/>
      <c r="AA1376" s="390"/>
      <c r="AB1376" s="390"/>
      <c r="AC1376" s="375"/>
      <c r="AD1376" s="375"/>
      <c r="AE1376" s="375"/>
      <c r="AF1376" s="375"/>
    </row>
    <row r="1377" spans="18:32">
      <c r="R1377" s="389"/>
      <c r="S1377" s="389"/>
      <c r="T1377" s="389"/>
      <c r="U1377" s="389"/>
      <c r="V1377" s="389"/>
      <c r="W1377" s="390"/>
      <c r="X1377" s="390"/>
      <c r="Y1377" s="390"/>
      <c r="Z1377" s="390"/>
      <c r="AA1377" s="390"/>
      <c r="AB1377" s="390"/>
      <c r="AC1377" s="375"/>
      <c r="AD1377" s="375"/>
      <c r="AE1377" s="375"/>
      <c r="AF1377" s="375"/>
    </row>
    <row r="1378" spans="18:32">
      <c r="R1378" s="389"/>
      <c r="S1378" s="389"/>
      <c r="T1378" s="389"/>
      <c r="U1378" s="389"/>
      <c r="V1378" s="389"/>
      <c r="W1378" s="390"/>
      <c r="X1378" s="390"/>
      <c r="Y1378" s="390"/>
      <c r="Z1378" s="390"/>
      <c r="AA1378" s="390"/>
      <c r="AB1378" s="390"/>
      <c r="AC1378" s="375"/>
      <c r="AD1378" s="375"/>
      <c r="AE1378" s="375"/>
      <c r="AF1378" s="375"/>
    </row>
    <row r="1379" spans="18:32">
      <c r="R1379" s="389"/>
      <c r="S1379" s="389"/>
      <c r="T1379" s="389"/>
      <c r="U1379" s="389"/>
      <c r="V1379" s="389"/>
      <c r="W1379" s="390"/>
      <c r="X1379" s="390"/>
      <c r="Y1379" s="390"/>
      <c r="Z1379" s="390"/>
      <c r="AA1379" s="390"/>
      <c r="AB1379" s="390"/>
      <c r="AC1379" s="375"/>
      <c r="AD1379" s="375"/>
      <c r="AE1379" s="375"/>
      <c r="AF1379" s="375"/>
    </row>
    <row r="1380" spans="18:32">
      <c r="R1380" s="389"/>
      <c r="S1380" s="389"/>
      <c r="T1380" s="389"/>
      <c r="U1380" s="389"/>
      <c r="V1380" s="389"/>
      <c r="W1380" s="390"/>
      <c r="X1380" s="390"/>
      <c r="Y1380" s="390"/>
      <c r="Z1380" s="390"/>
      <c r="AA1380" s="390"/>
      <c r="AB1380" s="390"/>
      <c r="AC1380" s="375"/>
      <c r="AD1380" s="375"/>
      <c r="AE1380" s="375"/>
      <c r="AF1380" s="375"/>
    </row>
    <row r="1381" spans="18:32">
      <c r="R1381" s="389"/>
      <c r="S1381" s="389"/>
      <c r="T1381" s="389"/>
      <c r="U1381" s="389"/>
      <c r="V1381" s="389"/>
      <c r="W1381" s="390"/>
      <c r="X1381" s="390"/>
      <c r="Y1381" s="390"/>
      <c r="Z1381" s="390"/>
      <c r="AA1381" s="390"/>
      <c r="AB1381" s="390"/>
      <c r="AC1381" s="375"/>
      <c r="AD1381" s="375"/>
      <c r="AE1381" s="375"/>
      <c r="AF1381" s="375"/>
    </row>
    <row r="1382" spans="18:32">
      <c r="R1382" s="389"/>
      <c r="S1382" s="389"/>
      <c r="T1382" s="389"/>
      <c r="U1382" s="389"/>
      <c r="V1382" s="389"/>
      <c r="W1382" s="390"/>
      <c r="X1382" s="390"/>
      <c r="Y1382" s="390"/>
      <c r="Z1382" s="390"/>
      <c r="AA1382" s="390"/>
      <c r="AB1382" s="390"/>
      <c r="AC1382" s="375"/>
      <c r="AD1382" s="375"/>
      <c r="AE1382" s="375"/>
      <c r="AF1382" s="375"/>
    </row>
    <row r="1383" spans="18:32">
      <c r="R1383" s="389"/>
      <c r="S1383" s="389"/>
      <c r="T1383" s="389"/>
      <c r="U1383" s="389"/>
      <c r="V1383" s="389"/>
      <c r="W1383" s="390"/>
      <c r="X1383" s="390"/>
      <c r="Y1383" s="390"/>
      <c r="Z1383" s="390"/>
      <c r="AA1383" s="390"/>
      <c r="AB1383" s="390"/>
      <c r="AC1383" s="375"/>
      <c r="AD1383" s="375"/>
      <c r="AE1383" s="375"/>
      <c r="AF1383" s="375"/>
    </row>
    <row r="1384" spans="18:32">
      <c r="R1384" s="389"/>
      <c r="S1384" s="389"/>
      <c r="T1384" s="389"/>
      <c r="U1384" s="389"/>
      <c r="V1384" s="389"/>
      <c r="W1384" s="390"/>
      <c r="X1384" s="390"/>
      <c r="Y1384" s="390"/>
      <c r="Z1384" s="390"/>
      <c r="AA1384" s="390"/>
      <c r="AB1384" s="390"/>
      <c r="AC1384" s="375"/>
      <c r="AD1384" s="375"/>
      <c r="AE1384" s="375"/>
      <c r="AF1384" s="375"/>
    </row>
    <row r="1385" spans="18:32">
      <c r="R1385" s="389"/>
      <c r="S1385" s="389"/>
      <c r="T1385" s="389"/>
      <c r="U1385" s="389"/>
      <c r="V1385" s="389"/>
      <c r="W1385" s="390"/>
      <c r="X1385" s="390"/>
      <c r="Y1385" s="390"/>
      <c r="Z1385" s="390"/>
      <c r="AA1385" s="390"/>
      <c r="AB1385" s="390"/>
      <c r="AC1385" s="375"/>
      <c r="AD1385" s="375"/>
      <c r="AE1385" s="375"/>
      <c r="AF1385" s="375"/>
    </row>
    <row r="1386" spans="18:32">
      <c r="R1386" s="389"/>
      <c r="S1386" s="389"/>
      <c r="T1386" s="389"/>
      <c r="U1386" s="389"/>
      <c r="V1386" s="389"/>
      <c r="W1386" s="390"/>
      <c r="X1386" s="390"/>
      <c r="Y1386" s="390"/>
      <c r="Z1386" s="390"/>
      <c r="AA1386" s="390"/>
      <c r="AB1386" s="390"/>
      <c r="AC1386" s="375"/>
      <c r="AD1386" s="375"/>
      <c r="AE1386" s="375"/>
      <c r="AF1386" s="375"/>
    </row>
    <row r="1387" spans="18:32">
      <c r="R1387" s="389"/>
      <c r="S1387" s="389"/>
      <c r="T1387" s="389"/>
      <c r="U1387" s="389"/>
      <c r="V1387" s="389"/>
      <c r="W1387" s="390"/>
      <c r="X1387" s="390"/>
      <c r="Y1387" s="390"/>
      <c r="Z1387" s="390"/>
      <c r="AA1387" s="390"/>
      <c r="AB1387" s="390"/>
      <c r="AC1387" s="375"/>
      <c r="AD1387" s="375"/>
      <c r="AE1387" s="375"/>
      <c r="AF1387" s="375"/>
    </row>
    <row r="1388" spans="18:32">
      <c r="R1388" s="389"/>
      <c r="S1388" s="389"/>
      <c r="T1388" s="389"/>
      <c r="U1388" s="389"/>
      <c r="V1388" s="389"/>
      <c r="W1388" s="390"/>
      <c r="X1388" s="390"/>
      <c r="Y1388" s="390"/>
      <c r="Z1388" s="390"/>
      <c r="AA1388" s="390"/>
      <c r="AB1388" s="390"/>
      <c r="AC1388" s="375"/>
      <c r="AD1388" s="375"/>
      <c r="AE1388" s="375"/>
      <c r="AF1388" s="375"/>
    </row>
    <row r="1389" spans="18:32">
      <c r="R1389" s="389"/>
      <c r="S1389" s="389"/>
      <c r="T1389" s="389"/>
      <c r="U1389" s="389"/>
      <c r="V1389" s="389"/>
      <c r="W1389" s="390"/>
      <c r="X1389" s="390"/>
      <c r="Y1389" s="390"/>
      <c r="Z1389" s="390"/>
      <c r="AA1389" s="390"/>
      <c r="AB1389" s="390"/>
      <c r="AC1389" s="375"/>
      <c r="AD1389" s="375"/>
      <c r="AE1389" s="375"/>
      <c r="AF1389" s="375"/>
    </row>
    <row r="1390" spans="18:32">
      <c r="R1390" s="389"/>
      <c r="S1390" s="389"/>
      <c r="T1390" s="389"/>
      <c r="U1390" s="389"/>
      <c r="V1390" s="389"/>
      <c r="W1390" s="390"/>
      <c r="X1390" s="390"/>
      <c r="Y1390" s="390"/>
      <c r="Z1390" s="390"/>
      <c r="AA1390" s="390"/>
      <c r="AB1390" s="390"/>
      <c r="AC1390" s="375"/>
      <c r="AD1390" s="375"/>
      <c r="AE1390" s="375"/>
      <c r="AF1390" s="375"/>
    </row>
    <row r="1391" spans="18:32">
      <c r="R1391" s="389"/>
      <c r="S1391" s="389"/>
      <c r="T1391" s="389"/>
      <c r="U1391" s="389"/>
      <c r="V1391" s="389"/>
      <c r="W1391" s="390"/>
      <c r="X1391" s="390"/>
      <c r="Y1391" s="390"/>
      <c r="Z1391" s="390"/>
      <c r="AA1391" s="390"/>
      <c r="AB1391" s="390"/>
      <c r="AC1391" s="375"/>
      <c r="AD1391" s="375"/>
      <c r="AE1391" s="375"/>
      <c r="AF1391" s="375"/>
    </row>
    <row r="1392" spans="18:32">
      <c r="R1392" s="389"/>
      <c r="S1392" s="389"/>
      <c r="T1392" s="389"/>
      <c r="U1392" s="389"/>
      <c r="V1392" s="389"/>
      <c r="W1392" s="390"/>
      <c r="X1392" s="390"/>
      <c r="Y1392" s="390"/>
      <c r="Z1392" s="390"/>
      <c r="AA1392" s="390"/>
      <c r="AB1392" s="390"/>
      <c r="AC1392" s="375"/>
      <c r="AD1392" s="375"/>
      <c r="AE1392" s="375"/>
      <c r="AF1392" s="375"/>
    </row>
    <row r="1393" spans="18:32">
      <c r="R1393" s="389"/>
      <c r="S1393" s="389"/>
      <c r="T1393" s="389"/>
      <c r="U1393" s="389"/>
      <c r="V1393" s="389"/>
      <c r="W1393" s="390"/>
      <c r="X1393" s="390"/>
      <c r="Y1393" s="390"/>
      <c r="Z1393" s="390"/>
      <c r="AA1393" s="390"/>
      <c r="AB1393" s="390"/>
      <c r="AC1393" s="375"/>
      <c r="AD1393" s="375"/>
      <c r="AE1393" s="375"/>
      <c r="AF1393" s="375"/>
    </row>
    <row r="1394" spans="18:32">
      <c r="R1394" s="389"/>
      <c r="S1394" s="389"/>
      <c r="T1394" s="389"/>
      <c r="U1394" s="389"/>
      <c r="V1394" s="389"/>
      <c r="W1394" s="390"/>
      <c r="X1394" s="390"/>
      <c r="Y1394" s="390"/>
      <c r="Z1394" s="390"/>
      <c r="AA1394" s="390"/>
      <c r="AB1394" s="390"/>
      <c r="AC1394" s="375"/>
      <c r="AD1394" s="375"/>
      <c r="AE1394" s="375"/>
      <c r="AF1394" s="375"/>
    </row>
    <row r="1395" spans="18:32">
      <c r="R1395" s="389"/>
      <c r="S1395" s="389"/>
      <c r="T1395" s="389"/>
      <c r="U1395" s="389"/>
      <c r="V1395" s="389"/>
      <c r="W1395" s="390"/>
      <c r="X1395" s="390"/>
      <c r="Y1395" s="390"/>
      <c r="Z1395" s="390"/>
      <c r="AA1395" s="390"/>
      <c r="AB1395" s="390"/>
      <c r="AC1395" s="375"/>
      <c r="AD1395" s="375"/>
      <c r="AE1395" s="375"/>
      <c r="AF1395" s="375"/>
    </row>
    <row r="1396" spans="18:32">
      <c r="R1396" s="389"/>
      <c r="S1396" s="389"/>
      <c r="T1396" s="389"/>
      <c r="U1396" s="389"/>
      <c r="V1396" s="389"/>
      <c r="W1396" s="390"/>
      <c r="X1396" s="390"/>
      <c r="Y1396" s="390"/>
      <c r="Z1396" s="390"/>
      <c r="AA1396" s="390"/>
      <c r="AB1396" s="390"/>
      <c r="AC1396" s="375"/>
      <c r="AD1396" s="375"/>
      <c r="AE1396" s="375"/>
      <c r="AF1396" s="375"/>
    </row>
    <row r="1397" spans="18:32">
      <c r="R1397" s="389"/>
      <c r="S1397" s="389"/>
      <c r="T1397" s="389"/>
      <c r="U1397" s="389"/>
      <c r="V1397" s="389"/>
      <c r="W1397" s="390"/>
      <c r="X1397" s="390"/>
      <c r="Y1397" s="390"/>
      <c r="Z1397" s="390"/>
      <c r="AA1397" s="390"/>
      <c r="AB1397" s="390"/>
      <c r="AC1397" s="375"/>
      <c r="AD1397" s="375"/>
      <c r="AE1397" s="375"/>
      <c r="AF1397" s="375"/>
    </row>
    <row r="1398" spans="18:32">
      <c r="R1398" s="389"/>
      <c r="S1398" s="389"/>
      <c r="T1398" s="389"/>
      <c r="U1398" s="389"/>
      <c r="V1398" s="389"/>
      <c r="W1398" s="390"/>
      <c r="X1398" s="390"/>
      <c r="Y1398" s="390"/>
      <c r="Z1398" s="390"/>
      <c r="AA1398" s="390"/>
      <c r="AB1398" s="390"/>
      <c r="AC1398" s="375"/>
      <c r="AD1398" s="375"/>
      <c r="AE1398" s="375"/>
      <c r="AF1398" s="375"/>
    </row>
    <row r="1399" spans="18:32">
      <c r="R1399" s="389"/>
      <c r="S1399" s="389"/>
      <c r="T1399" s="389"/>
      <c r="U1399" s="389"/>
      <c r="V1399" s="389"/>
      <c r="W1399" s="390"/>
      <c r="X1399" s="390"/>
      <c r="Y1399" s="390"/>
      <c r="Z1399" s="390"/>
      <c r="AA1399" s="390"/>
      <c r="AB1399" s="390"/>
      <c r="AC1399" s="375"/>
      <c r="AD1399" s="375"/>
      <c r="AE1399" s="375"/>
      <c r="AF1399" s="375"/>
    </row>
    <row r="1400" spans="18:32">
      <c r="R1400" s="389"/>
      <c r="S1400" s="389"/>
      <c r="T1400" s="389"/>
      <c r="U1400" s="389"/>
      <c r="V1400" s="389"/>
      <c r="W1400" s="390"/>
      <c r="X1400" s="390"/>
      <c r="Y1400" s="390"/>
      <c r="Z1400" s="390"/>
      <c r="AA1400" s="390"/>
      <c r="AB1400" s="390"/>
      <c r="AC1400" s="375"/>
      <c r="AD1400" s="375"/>
      <c r="AE1400" s="375"/>
      <c r="AF1400" s="375"/>
    </row>
    <row r="1401" spans="18:32">
      <c r="R1401" s="389"/>
      <c r="S1401" s="389"/>
      <c r="T1401" s="389"/>
      <c r="U1401" s="389"/>
      <c r="V1401" s="389"/>
      <c r="W1401" s="390"/>
      <c r="X1401" s="390"/>
      <c r="Y1401" s="390"/>
      <c r="Z1401" s="390"/>
      <c r="AA1401" s="390"/>
      <c r="AB1401" s="390"/>
      <c r="AC1401" s="375"/>
      <c r="AD1401" s="375"/>
      <c r="AE1401" s="375"/>
      <c r="AF1401" s="375"/>
    </row>
    <row r="1402" spans="18:32">
      <c r="R1402" s="389"/>
      <c r="S1402" s="389"/>
      <c r="T1402" s="389"/>
      <c r="U1402" s="389"/>
      <c r="V1402" s="389"/>
      <c r="W1402" s="390"/>
      <c r="X1402" s="390"/>
      <c r="Y1402" s="390"/>
      <c r="Z1402" s="390"/>
      <c r="AA1402" s="390"/>
      <c r="AB1402" s="390"/>
      <c r="AC1402" s="375"/>
      <c r="AD1402" s="375"/>
      <c r="AE1402" s="375"/>
      <c r="AF1402" s="375"/>
    </row>
    <row r="1403" spans="18:32">
      <c r="R1403" s="389"/>
      <c r="S1403" s="389"/>
      <c r="T1403" s="389"/>
      <c r="U1403" s="389"/>
      <c r="V1403" s="389"/>
      <c r="W1403" s="390"/>
      <c r="X1403" s="390"/>
      <c r="Y1403" s="390"/>
      <c r="Z1403" s="390"/>
      <c r="AA1403" s="390"/>
      <c r="AB1403" s="390"/>
      <c r="AC1403" s="375"/>
      <c r="AD1403" s="375"/>
      <c r="AE1403" s="375"/>
      <c r="AF1403" s="375"/>
    </row>
    <row r="1404" spans="18:32">
      <c r="R1404" s="389"/>
      <c r="S1404" s="389"/>
      <c r="T1404" s="389"/>
      <c r="U1404" s="389"/>
      <c r="V1404" s="389"/>
      <c r="W1404" s="390"/>
      <c r="X1404" s="390"/>
      <c r="Y1404" s="390"/>
      <c r="Z1404" s="390"/>
      <c r="AA1404" s="390"/>
      <c r="AB1404" s="390"/>
      <c r="AC1404" s="375"/>
      <c r="AD1404" s="375"/>
      <c r="AE1404" s="375"/>
      <c r="AF1404" s="375"/>
    </row>
    <row r="1405" spans="18:32">
      <c r="R1405" s="389"/>
      <c r="S1405" s="389"/>
      <c r="T1405" s="389"/>
      <c r="U1405" s="389"/>
      <c r="V1405" s="389"/>
      <c r="W1405" s="390"/>
      <c r="X1405" s="390"/>
      <c r="Y1405" s="390"/>
      <c r="Z1405" s="390"/>
      <c r="AA1405" s="390"/>
      <c r="AB1405" s="390"/>
      <c r="AC1405" s="375"/>
      <c r="AD1405" s="375"/>
      <c r="AE1405" s="375"/>
      <c r="AF1405" s="375"/>
    </row>
    <row r="1406" spans="18:32">
      <c r="R1406" s="389"/>
      <c r="S1406" s="389"/>
      <c r="T1406" s="389"/>
      <c r="U1406" s="389"/>
      <c r="V1406" s="389"/>
      <c r="W1406" s="390"/>
      <c r="X1406" s="390"/>
      <c r="Y1406" s="390"/>
      <c r="Z1406" s="390"/>
      <c r="AA1406" s="390"/>
      <c r="AB1406" s="390"/>
      <c r="AC1406" s="375"/>
      <c r="AD1406" s="375"/>
      <c r="AE1406" s="375"/>
      <c r="AF1406" s="375"/>
    </row>
    <row r="1407" spans="18:32">
      <c r="R1407" s="389"/>
      <c r="S1407" s="389"/>
      <c r="T1407" s="389"/>
      <c r="U1407" s="389"/>
      <c r="V1407" s="389"/>
      <c r="W1407" s="390"/>
      <c r="X1407" s="390"/>
      <c r="Y1407" s="390"/>
      <c r="Z1407" s="390"/>
      <c r="AA1407" s="390"/>
      <c r="AB1407" s="390"/>
      <c r="AC1407" s="375"/>
      <c r="AD1407" s="375"/>
      <c r="AE1407" s="375"/>
      <c r="AF1407" s="375"/>
    </row>
    <row r="1408" spans="18:32">
      <c r="R1408" s="389"/>
      <c r="S1408" s="389"/>
      <c r="T1408" s="389"/>
      <c r="U1408" s="389"/>
      <c r="V1408" s="389"/>
      <c r="W1408" s="390"/>
      <c r="X1408" s="390"/>
      <c r="Y1408" s="390"/>
      <c r="Z1408" s="390"/>
      <c r="AA1408" s="390"/>
      <c r="AB1408" s="390"/>
      <c r="AC1408" s="375"/>
      <c r="AD1408" s="375"/>
      <c r="AE1408" s="375"/>
      <c r="AF1408" s="375"/>
    </row>
    <row r="1409" spans="18:32">
      <c r="R1409" s="389"/>
      <c r="S1409" s="389"/>
      <c r="T1409" s="389"/>
      <c r="U1409" s="389"/>
      <c r="V1409" s="389"/>
      <c r="W1409" s="390"/>
      <c r="X1409" s="390"/>
      <c r="Y1409" s="390"/>
      <c r="Z1409" s="390"/>
      <c r="AA1409" s="390"/>
      <c r="AB1409" s="390"/>
      <c r="AC1409" s="375"/>
      <c r="AD1409" s="375"/>
      <c r="AE1409" s="375"/>
      <c r="AF1409" s="375"/>
    </row>
    <row r="1410" spans="18:32">
      <c r="R1410" s="389"/>
      <c r="S1410" s="389"/>
      <c r="T1410" s="389"/>
      <c r="U1410" s="389"/>
      <c r="V1410" s="389"/>
      <c r="W1410" s="390"/>
      <c r="X1410" s="390"/>
      <c r="Y1410" s="390"/>
      <c r="Z1410" s="390"/>
      <c r="AA1410" s="390"/>
      <c r="AB1410" s="390"/>
      <c r="AC1410" s="375"/>
      <c r="AD1410" s="375"/>
      <c r="AE1410" s="375"/>
      <c r="AF1410" s="375"/>
    </row>
    <row r="1411" spans="18:32">
      <c r="R1411" s="389"/>
      <c r="S1411" s="389"/>
      <c r="T1411" s="389"/>
      <c r="U1411" s="389"/>
      <c r="V1411" s="389"/>
      <c r="W1411" s="390"/>
      <c r="X1411" s="390"/>
      <c r="Y1411" s="390"/>
      <c r="Z1411" s="390"/>
      <c r="AA1411" s="390"/>
      <c r="AB1411" s="390"/>
      <c r="AC1411" s="375"/>
      <c r="AD1411" s="375"/>
      <c r="AE1411" s="375"/>
      <c r="AF1411" s="375"/>
    </row>
    <row r="1412" spans="18:32">
      <c r="R1412" s="389"/>
      <c r="S1412" s="389"/>
      <c r="T1412" s="389"/>
      <c r="U1412" s="389"/>
      <c r="V1412" s="389"/>
      <c r="W1412" s="390"/>
      <c r="X1412" s="390"/>
      <c r="Y1412" s="390"/>
      <c r="Z1412" s="390"/>
      <c r="AA1412" s="390"/>
      <c r="AB1412" s="390"/>
      <c r="AC1412" s="375"/>
      <c r="AD1412" s="375"/>
      <c r="AE1412" s="375"/>
      <c r="AF1412" s="375"/>
    </row>
    <row r="1413" spans="18:32">
      <c r="R1413" s="389"/>
      <c r="S1413" s="389"/>
      <c r="T1413" s="389"/>
      <c r="U1413" s="389"/>
      <c r="V1413" s="389"/>
      <c r="W1413" s="390"/>
      <c r="X1413" s="390"/>
      <c r="Y1413" s="390"/>
      <c r="Z1413" s="390"/>
      <c r="AA1413" s="390"/>
      <c r="AB1413" s="390"/>
      <c r="AC1413" s="375"/>
      <c r="AD1413" s="375"/>
      <c r="AE1413" s="375"/>
      <c r="AF1413" s="375"/>
    </row>
    <row r="1414" spans="18:32">
      <c r="R1414" s="389"/>
      <c r="S1414" s="389"/>
      <c r="T1414" s="389"/>
      <c r="U1414" s="389"/>
      <c r="V1414" s="389"/>
      <c r="W1414" s="390"/>
      <c r="X1414" s="390"/>
      <c r="Y1414" s="390"/>
      <c r="Z1414" s="390"/>
      <c r="AA1414" s="390"/>
      <c r="AB1414" s="390"/>
      <c r="AC1414" s="375"/>
      <c r="AD1414" s="375"/>
      <c r="AE1414" s="375"/>
      <c r="AF1414" s="375"/>
    </row>
    <row r="1415" spans="18:32">
      <c r="R1415" s="389"/>
      <c r="S1415" s="389"/>
      <c r="T1415" s="389"/>
      <c r="U1415" s="389"/>
      <c r="V1415" s="389"/>
      <c r="W1415" s="390"/>
      <c r="X1415" s="390"/>
      <c r="Y1415" s="390"/>
      <c r="Z1415" s="390"/>
      <c r="AA1415" s="390"/>
      <c r="AB1415" s="390"/>
      <c r="AC1415" s="375"/>
      <c r="AD1415" s="375"/>
      <c r="AE1415" s="375"/>
      <c r="AF1415" s="375"/>
    </row>
    <row r="1416" spans="18:32">
      <c r="R1416" s="389"/>
      <c r="S1416" s="389"/>
      <c r="T1416" s="389"/>
      <c r="U1416" s="389"/>
      <c r="V1416" s="389"/>
      <c r="W1416" s="390"/>
      <c r="X1416" s="390"/>
      <c r="Y1416" s="390"/>
      <c r="Z1416" s="390"/>
      <c r="AA1416" s="390"/>
      <c r="AB1416" s="390"/>
      <c r="AC1416" s="375"/>
      <c r="AD1416" s="375"/>
      <c r="AE1416" s="375"/>
      <c r="AF1416" s="375"/>
    </row>
    <row r="1417" spans="18:32">
      <c r="R1417" s="389"/>
      <c r="S1417" s="389"/>
      <c r="T1417" s="389"/>
      <c r="U1417" s="389"/>
      <c r="V1417" s="389"/>
      <c r="W1417" s="390"/>
      <c r="X1417" s="390"/>
      <c r="Y1417" s="390"/>
      <c r="Z1417" s="390"/>
      <c r="AA1417" s="390"/>
      <c r="AB1417" s="390"/>
      <c r="AC1417" s="375"/>
      <c r="AD1417" s="375"/>
      <c r="AE1417" s="375"/>
      <c r="AF1417" s="375"/>
    </row>
    <row r="1418" spans="18:32">
      <c r="R1418" s="389"/>
      <c r="S1418" s="389"/>
      <c r="T1418" s="389"/>
      <c r="U1418" s="389"/>
      <c r="V1418" s="389"/>
      <c r="W1418" s="390"/>
      <c r="X1418" s="390"/>
      <c r="Y1418" s="390"/>
      <c r="Z1418" s="390"/>
      <c r="AA1418" s="390"/>
      <c r="AB1418" s="390"/>
      <c r="AC1418" s="375"/>
      <c r="AD1418" s="375"/>
      <c r="AE1418" s="375"/>
      <c r="AF1418" s="375"/>
    </row>
    <row r="1419" spans="18:32">
      <c r="R1419" s="389"/>
      <c r="S1419" s="389"/>
      <c r="T1419" s="389"/>
      <c r="U1419" s="389"/>
      <c r="V1419" s="389"/>
      <c r="W1419" s="390"/>
      <c r="X1419" s="390"/>
      <c r="Y1419" s="390"/>
      <c r="Z1419" s="390"/>
      <c r="AA1419" s="390"/>
      <c r="AB1419" s="390"/>
      <c r="AC1419" s="375"/>
      <c r="AD1419" s="375"/>
      <c r="AE1419" s="375"/>
      <c r="AF1419" s="375"/>
    </row>
    <row r="1420" spans="18:32">
      <c r="R1420" s="389"/>
      <c r="S1420" s="389"/>
      <c r="T1420" s="389"/>
      <c r="U1420" s="389"/>
      <c r="V1420" s="389"/>
      <c r="W1420" s="390"/>
      <c r="X1420" s="390"/>
      <c r="Y1420" s="390"/>
      <c r="Z1420" s="390"/>
      <c r="AA1420" s="390"/>
      <c r="AB1420" s="390"/>
      <c r="AC1420" s="375"/>
      <c r="AD1420" s="375"/>
      <c r="AE1420" s="375"/>
      <c r="AF1420" s="375"/>
    </row>
    <row r="1421" spans="18:32">
      <c r="R1421" s="389"/>
      <c r="S1421" s="389"/>
      <c r="T1421" s="389"/>
      <c r="U1421" s="389"/>
      <c r="V1421" s="389"/>
      <c r="W1421" s="390"/>
      <c r="X1421" s="390"/>
      <c r="Y1421" s="390"/>
      <c r="Z1421" s="390"/>
      <c r="AA1421" s="390"/>
      <c r="AB1421" s="390"/>
      <c r="AC1421" s="375"/>
      <c r="AD1421" s="375"/>
      <c r="AE1421" s="375"/>
      <c r="AF1421" s="375"/>
    </row>
    <row r="1422" spans="18:32">
      <c r="R1422" s="389"/>
      <c r="S1422" s="389"/>
      <c r="T1422" s="389"/>
      <c r="U1422" s="389"/>
      <c r="V1422" s="389"/>
      <c r="W1422" s="390"/>
      <c r="X1422" s="390"/>
      <c r="Y1422" s="390"/>
      <c r="Z1422" s="390"/>
      <c r="AA1422" s="390"/>
      <c r="AB1422" s="390"/>
      <c r="AC1422" s="375"/>
      <c r="AD1422" s="375"/>
      <c r="AE1422" s="375"/>
      <c r="AF1422" s="375"/>
    </row>
    <row r="1423" spans="18:32">
      <c r="R1423" s="389"/>
      <c r="S1423" s="389"/>
      <c r="T1423" s="389"/>
      <c r="U1423" s="389"/>
      <c r="V1423" s="389"/>
      <c r="W1423" s="390"/>
      <c r="X1423" s="390"/>
      <c r="Y1423" s="390"/>
      <c r="Z1423" s="390"/>
      <c r="AA1423" s="390"/>
      <c r="AB1423" s="390"/>
      <c r="AC1423" s="375"/>
      <c r="AD1423" s="375"/>
      <c r="AE1423" s="375"/>
      <c r="AF1423" s="375"/>
    </row>
    <row r="1424" spans="18:32">
      <c r="R1424" s="389"/>
      <c r="S1424" s="389"/>
      <c r="T1424" s="389"/>
      <c r="U1424" s="389"/>
      <c r="V1424" s="389"/>
      <c r="W1424" s="390"/>
      <c r="X1424" s="390"/>
      <c r="Y1424" s="390"/>
      <c r="Z1424" s="390"/>
      <c r="AA1424" s="390"/>
      <c r="AB1424" s="390"/>
      <c r="AC1424" s="375"/>
      <c r="AD1424" s="375"/>
      <c r="AE1424" s="375"/>
      <c r="AF1424" s="375"/>
    </row>
    <row r="1425" spans="18:32">
      <c r="R1425" s="389"/>
      <c r="S1425" s="389"/>
      <c r="T1425" s="389"/>
      <c r="U1425" s="389"/>
      <c r="V1425" s="389"/>
      <c r="W1425" s="390"/>
      <c r="X1425" s="390"/>
      <c r="Y1425" s="390"/>
      <c r="Z1425" s="390"/>
      <c r="AA1425" s="390"/>
      <c r="AB1425" s="390"/>
      <c r="AC1425" s="375"/>
      <c r="AD1425" s="375"/>
      <c r="AE1425" s="375"/>
      <c r="AF1425" s="375"/>
    </row>
    <row r="1426" spans="18:32">
      <c r="R1426" s="389"/>
      <c r="S1426" s="389"/>
      <c r="T1426" s="389"/>
      <c r="U1426" s="389"/>
      <c r="V1426" s="389"/>
      <c r="W1426" s="390"/>
      <c r="X1426" s="390"/>
      <c r="Y1426" s="390"/>
      <c r="Z1426" s="390"/>
      <c r="AA1426" s="390"/>
      <c r="AB1426" s="390"/>
      <c r="AC1426" s="375"/>
      <c r="AD1426" s="375"/>
      <c r="AE1426" s="375"/>
      <c r="AF1426" s="375"/>
    </row>
    <row r="1427" spans="18:32">
      <c r="R1427" s="389"/>
      <c r="S1427" s="389"/>
      <c r="T1427" s="389"/>
      <c r="U1427" s="389"/>
      <c r="V1427" s="389"/>
      <c r="W1427" s="390"/>
      <c r="X1427" s="390"/>
      <c r="Y1427" s="390"/>
      <c r="Z1427" s="390"/>
      <c r="AA1427" s="390"/>
      <c r="AB1427" s="390"/>
      <c r="AC1427" s="375"/>
      <c r="AD1427" s="375"/>
      <c r="AE1427" s="375"/>
      <c r="AF1427" s="375"/>
    </row>
    <row r="1428" spans="18:32">
      <c r="R1428" s="389"/>
      <c r="S1428" s="389"/>
      <c r="T1428" s="389"/>
      <c r="U1428" s="389"/>
      <c r="V1428" s="389"/>
      <c r="W1428" s="390"/>
      <c r="X1428" s="390"/>
      <c r="Y1428" s="390"/>
      <c r="Z1428" s="390"/>
      <c r="AA1428" s="390"/>
      <c r="AB1428" s="390"/>
      <c r="AC1428" s="375"/>
      <c r="AD1428" s="375"/>
      <c r="AE1428" s="375"/>
      <c r="AF1428" s="375"/>
    </row>
    <row r="1429" spans="18:32">
      <c r="R1429" s="389"/>
      <c r="S1429" s="389"/>
      <c r="T1429" s="389"/>
      <c r="U1429" s="389"/>
      <c r="V1429" s="389"/>
      <c r="W1429" s="390"/>
      <c r="X1429" s="390"/>
      <c r="Y1429" s="390"/>
      <c r="Z1429" s="390"/>
      <c r="AA1429" s="390"/>
      <c r="AB1429" s="390"/>
      <c r="AC1429" s="375"/>
      <c r="AD1429" s="375"/>
      <c r="AE1429" s="375"/>
      <c r="AF1429" s="375"/>
    </row>
    <row r="1430" spans="18:32">
      <c r="R1430" s="389"/>
      <c r="S1430" s="389"/>
      <c r="T1430" s="389"/>
      <c r="U1430" s="389"/>
      <c r="V1430" s="389"/>
      <c r="W1430" s="390"/>
      <c r="X1430" s="390"/>
      <c r="Y1430" s="390"/>
      <c r="Z1430" s="390"/>
      <c r="AA1430" s="390"/>
      <c r="AB1430" s="390"/>
      <c r="AC1430" s="375"/>
      <c r="AD1430" s="375"/>
      <c r="AE1430" s="375"/>
      <c r="AF1430" s="375"/>
    </row>
    <row r="1431" spans="18:32">
      <c r="R1431" s="389"/>
      <c r="S1431" s="389"/>
      <c r="T1431" s="389"/>
      <c r="U1431" s="389"/>
      <c r="V1431" s="389"/>
      <c r="W1431" s="390"/>
      <c r="X1431" s="390"/>
      <c r="Y1431" s="390"/>
      <c r="Z1431" s="390"/>
      <c r="AA1431" s="390"/>
      <c r="AB1431" s="390"/>
      <c r="AC1431" s="375"/>
      <c r="AD1431" s="375"/>
      <c r="AE1431" s="375"/>
      <c r="AF1431" s="375"/>
    </row>
    <row r="1432" spans="18:32">
      <c r="R1432" s="389"/>
      <c r="S1432" s="389"/>
      <c r="T1432" s="389"/>
      <c r="U1432" s="389"/>
      <c r="V1432" s="389"/>
      <c r="W1432" s="390"/>
      <c r="X1432" s="390"/>
      <c r="Y1432" s="390"/>
      <c r="Z1432" s="390"/>
      <c r="AA1432" s="390"/>
      <c r="AB1432" s="390"/>
      <c r="AC1432" s="375"/>
      <c r="AD1432" s="375"/>
      <c r="AE1432" s="375"/>
      <c r="AF1432" s="375"/>
    </row>
    <row r="1433" spans="18:32">
      <c r="R1433" s="389"/>
      <c r="S1433" s="389"/>
      <c r="T1433" s="389"/>
      <c r="U1433" s="389"/>
      <c r="V1433" s="389"/>
      <c r="W1433" s="390"/>
      <c r="X1433" s="390"/>
      <c r="Y1433" s="390"/>
      <c r="Z1433" s="390"/>
      <c r="AA1433" s="390"/>
      <c r="AB1433" s="390"/>
      <c r="AC1433" s="375"/>
      <c r="AD1433" s="375"/>
      <c r="AE1433" s="375"/>
      <c r="AF1433" s="375"/>
    </row>
    <row r="1434" spans="18:32">
      <c r="R1434" s="389"/>
      <c r="S1434" s="389"/>
      <c r="T1434" s="389"/>
      <c r="U1434" s="389"/>
      <c r="V1434" s="389"/>
      <c r="W1434" s="390"/>
      <c r="X1434" s="390"/>
      <c r="Y1434" s="390"/>
      <c r="Z1434" s="390"/>
      <c r="AA1434" s="390"/>
      <c r="AB1434" s="390"/>
      <c r="AC1434" s="375"/>
      <c r="AD1434" s="375"/>
      <c r="AE1434" s="375"/>
      <c r="AF1434" s="375"/>
    </row>
    <row r="1435" spans="18:32">
      <c r="R1435" s="389"/>
      <c r="S1435" s="389"/>
      <c r="T1435" s="389"/>
      <c r="U1435" s="389"/>
      <c r="V1435" s="389"/>
      <c r="W1435" s="390"/>
      <c r="X1435" s="390"/>
      <c r="Y1435" s="390"/>
      <c r="Z1435" s="390"/>
      <c r="AA1435" s="390"/>
      <c r="AB1435" s="390"/>
      <c r="AC1435" s="375"/>
      <c r="AD1435" s="375"/>
      <c r="AE1435" s="375"/>
      <c r="AF1435" s="375"/>
    </row>
    <row r="1436" spans="18:32">
      <c r="R1436" s="389"/>
      <c r="S1436" s="389"/>
      <c r="T1436" s="389"/>
      <c r="U1436" s="389"/>
      <c r="V1436" s="389"/>
      <c r="W1436" s="390"/>
      <c r="X1436" s="390"/>
      <c r="Y1436" s="390"/>
      <c r="Z1436" s="390"/>
      <c r="AA1436" s="390"/>
      <c r="AB1436" s="390"/>
      <c r="AC1436" s="375"/>
      <c r="AD1436" s="375"/>
      <c r="AE1436" s="375"/>
      <c r="AF1436" s="375"/>
    </row>
    <row r="1437" spans="18:32">
      <c r="R1437" s="389"/>
      <c r="S1437" s="389"/>
      <c r="T1437" s="389"/>
      <c r="U1437" s="389"/>
      <c r="V1437" s="389"/>
      <c r="W1437" s="390"/>
      <c r="X1437" s="390"/>
      <c r="Y1437" s="390"/>
      <c r="Z1437" s="390"/>
      <c r="AA1437" s="390"/>
      <c r="AB1437" s="390"/>
      <c r="AC1437" s="375"/>
      <c r="AD1437" s="375"/>
      <c r="AE1437" s="375"/>
      <c r="AF1437" s="375"/>
    </row>
    <row r="1438" spans="18:32">
      <c r="R1438" s="389"/>
      <c r="S1438" s="389"/>
      <c r="T1438" s="389"/>
      <c r="U1438" s="389"/>
      <c r="V1438" s="389"/>
      <c r="W1438" s="390"/>
      <c r="X1438" s="390"/>
      <c r="Y1438" s="390"/>
      <c r="Z1438" s="390"/>
      <c r="AA1438" s="390"/>
      <c r="AB1438" s="390"/>
      <c r="AC1438" s="375"/>
      <c r="AD1438" s="375"/>
      <c r="AE1438" s="375"/>
      <c r="AF1438" s="375"/>
    </row>
    <row r="1439" spans="18:32">
      <c r="R1439" s="389"/>
      <c r="S1439" s="389"/>
      <c r="T1439" s="389"/>
      <c r="U1439" s="389"/>
      <c r="V1439" s="389"/>
      <c r="W1439" s="390"/>
      <c r="X1439" s="390"/>
      <c r="Y1439" s="390"/>
      <c r="Z1439" s="390"/>
      <c r="AA1439" s="390"/>
      <c r="AB1439" s="390"/>
      <c r="AC1439" s="375"/>
      <c r="AD1439" s="375"/>
      <c r="AE1439" s="375"/>
      <c r="AF1439" s="375"/>
    </row>
    <row r="1440" spans="18:32">
      <c r="R1440" s="389"/>
      <c r="S1440" s="389"/>
      <c r="T1440" s="389"/>
      <c r="U1440" s="389"/>
      <c r="V1440" s="389"/>
      <c r="W1440" s="390"/>
      <c r="X1440" s="390"/>
      <c r="Y1440" s="390"/>
      <c r="Z1440" s="390"/>
      <c r="AA1440" s="390"/>
      <c r="AB1440" s="390"/>
      <c r="AC1440" s="375"/>
      <c r="AD1440" s="375"/>
      <c r="AE1440" s="375"/>
      <c r="AF1440" s="375"/>
    </row>
    <row r="1441" spans="18:32">
      <c r="R1441" s="389"/>
      <c r="S1441" s="389"/>
      <c r="T1441" s="389"/>
      <c r="U1441" s="389"/>
      <c r="V1441" s="389"/>
      <c r="W1441" s="390"/>
      <c r="X1441" s="390"/>
      <c r="Y1441" s="390"/>
      <c r="Z1441" s="390"/>
      <c r="AA1441" s="390"/>
      <c r="AB1441" s="390"/>
      <c r="AC1441" s="375"/>
      <c r="AD1441" s="375"/>
      <c r="AE1441" s="375"/>
      <c r="AF1441" s="375"/>
    </row>
    <row r="1442" spans="18:32">
      <c r="R1442" s="389"/>
      <c r="S1442" s="389"/>
      <c r="T1442" s="389"/>
      <c r="U1442" s="389"/>
      <c r="V1442" s="389"/>
      <c r="W1442" s="390"/>
      <c r="X1442" s="390"/>
      <c r="Y1442" s="390"/>
      <c r="Z1442" s="390"/>
      <c r="AA1442" s="390"/>
      <c r="AB1442" s="390"/>
      <c r="AC1442" s="375"/>
      <c r="AD1442" s="375"/>
      <c r="AE1442" s="375"/>
      <c r="AF1442" s="375"/>
    </row>
    <row r="1443" spans="18:32">
      <c r="R1443" s="389"/>
      <c r="S1443" s="389"/>
      <c r="T1443" s="389"/>
      <c r="U1443" s="389"/>
      <c r="V1443" s="389"/>
      <c r="W1443" s="390"/>
      <c r="X1443" s="390"/>
      <c r="Y1443" s="390"/>
      <c r="Z1443" s="390"/>
      <c r="AA1443" s="390"/>
      <c r="AB1443" s="390"/>
      <c r="AC1443" s="375"/>
      <c r="AD1443" s="375"/>
      <c r="AE1443" s="375"/>
      <c r="AF1443" s="375"/>
    </row>
    <row r="1444" spans="18:32">
      <c r="R1444" s="389"/>
      <c r="S1444" s="389"/>
      <c r="T1444" s="389"/>
      <c r="U1444" s="389"/>
      <c r="V1444" s="389"/>
      <c r="W1444" s="390"/>
      <c r="X1444" s="390"/>
      <c r="Y1444" s="390"/>
      <c r="Z1444" s="390"/>
      <c r="AA1444" s="390"/>
      <c r="AB1444" s="390"/>
      <c r="AC1444" s="375"/>
      <c r="AD1444" s="375"/>
      <c r="AE1444" s="375"/>
      <c r="AF1444" s="375"/>
    </row>
    <row r="1445" spans="18:32">
      <c r="R1445" s="389"/>
      <c r="S1445" s="389"/>
      <c r="T1445" s="389"/>
      <c r="U1445" s="389"/>
      <c r="V1445" s="389"/>
      <c r="W1445" s="390"/>
      <c r="X1445" s="390"/>
      <c r="Y1445" s="390"/>
      <c r="Z1445" s="390"/>
      <c r="AA1445" s="390"/>
      <c r="AB1445" s="390"/>
      <c r="AC1445" s="375"/>
      <c r="AD1445" s="375"/>
      <c r="AE1445" s="375"/>
      <c r="AF1445" s="375"/>
    </row>
    <row r="1446" spans="18:32">
      <c r="R1446" s="389"/>
      <c r="S1446" s="389"/>
      <c r="T1446" s="389"/>
      <c r="U1446" s="389"/>
      <c r="V1446" s="389"/>
      <c r="W1446" s="390"/>
      <c r="X1446" s="390"/>
      <c r="Y1446" s="390"/>
      <c r="Z1446" s="390"/>
      <c r="AA1446" s="390"/>
      <c r="AB1446" s="390"/>
      <c r="AC1446" s="375"/>
      <c r="AD1446" s="375"/>
      <c r="AE1446" s="375"/>
      <c r="AF1446" s="375"/>
    </row>
    <row r="1447" spans="18:32">
      <c r="R1447" s="389"/>
      <c r="S1447" s="389"/>
      <c r="T1447" s="389"/>
      <c r="U1447" s="389"/>
      <c r="V1447" s="389"/>
      <c r="W1447" s="390"/>
      <c r="X1447" s="390"/>
      <c r="Y1447" s="390"/>
      <c r="Z1447" s="390"/>
      <c r="AA1447" s="390"/>
      <c r="AB1447" s="390"/>
      <c r="AC1447" s="375"/>
      <c r="AD1447" s="375"/>
      <c r="AE1447" s="375"/>
      <c r="AF1447" s="375"/>
    </row>
    <row r="1448" spans="18:32">
      <c r="R1448" s="389"/>
      <c r="S1448" s="389"/>
      <c r="T1448" s="389"/>
      <c r="U1448" s="389"/>
      <c r="V1448" s="389"/>
      <c r="W1448" s="390"/>
      <c r="X1448" s="390"/>
      <c r="Y1448" s="390"/>
      <c r="Z1448" s="390"/>
      <c r="AA1448" s="390"/>
      <c r="AB1448" s="390"/>
      <c r="AC1448" s="375"/>
      <c r="AD1448" s="375"/>
      <c r="AE1448" s="375"/>
      <c r="AF1448" s="375"/>
    </row>
    <row r="1449" spans="18:32">
      <c r="R1449" s="389"/>
      <c r="S1449" s="389"/>
      <c r="T1449" s="389"/>
      <c r="U1449" s="389"/>
      <c r="V1449" s="389"/>
      <c r="W1449" s="390"/>
      <c r="X1449" s="390"/>
      <c r="Y1449" s="390"/>
      <c r="Z1449" s="390"/>
      <c r="AA1449" s="390"/>
      <c r="AB1449" s="390"/>
      <c r="AC1449" s="375"/>
      <c r="AD1449" s="375"/>
      <c r="AE1449" s="375"/>
      <c r="AF1449" s="375"/>
    </row>
    <row r="1450" spans="18:32">
      <c r="R1450" s="389"/>
      <c r="S1450" s="389"/>
      <c r="T1450" s="389"/>
      <c r="U1450" s="389"/>
      <c r="V1450" s="389"/>
      <c r="W1450" s="390"/>
      <c r="X1450" s="390"/>
      <c r="Y1450" s="390"/>
      <c r="Z1450" s="390"/>
      <c r="AA1450" s="390"/>
      <c r="AB1450" s="390"/>
      <c r="AC1450" s="375"/>
      <c r="AD1450" s="375"/>
      <c r="AE1450" s="375"/>
      <c r="AF1450" s="375"/>
    </row>
    <row r="1451" spans="18:32">
      <c r="R1451" s="389"/>
      <c r="S1451" s="389"/>
      <c r="T1451" s="389"/>
      <c r="U1451" s="389"/>
      <c r="V1451" s="389"/>
      <c r="W1451" s="390"/>
      <c r="X1451" s="390"/>
      <c r="Y1451" s="390"/>
      <c r="Z1451" s="390"/>
      <c r="AA1451" s="390"/>
      <c r="AB1451" s="390"/>
      <c r="AC1451" s="375"/>
      <c r="AD1451" s="375"/>
      <c r="AE1451" s="375"/>
      <c r="AF1451" s="375"/>
    </row>
    <row r="1452" spans="18:32">
      <c r="R1452" s="389"/>
      <c r="S1452" s="389"/>
      <c r="T1452" s="389"/>
      <c r="U1452" s="389"/>
      <c r="V1452" s="389"/>
      <c r="W1452" s="390"/>
      <c r="X1452" s="390"/>
      <c r="Y1452" s="390"/>
      <c r="Z1452" s="390"/>
      <c r="AA1452" s="390"/>
      <c r="AB1452" s="390"/>
      <c r="AC1452" s="375"/>
      <c r="AD1452" s="375"/>
      <c r="AE1452" s="375"/>
      <c r="AF1452" s="375"/>
    </row>
    <row r="1453" spans="18:32">
      <c r="R1453" s="389"/>
      <c r="S1453" s="389"/>
      <c r="T1453" s="389"/>
      <c r="U1453" s="389"/>
      <c r="V1453" s="389"/>
      <c r="W1453" s="390"/>
      <c r="X1453" s="390"/>
      <c r="Y1453" s="390"/>
      <c r="Z1453" s="390"/>
      <c r="AA1453" s="390"/>
      <c r="AB1453" s="390"/>
      <c r="AC1453" s="375"/>
      <c r="AD1453" s="375"/>
      <c r="AE1453" s="375"/>
      <c r="AF1453" s="375"/>
    </row>
    <row r="1454" spans="18:32">
      <c r="R1454" s="389"/>
      <c r="S1454" s="389"/>
      <c r="T1454" s="389"/>
      <c r="U1454" s="389"/>
      <c r="V1454" s="389"/>
      <c r="W1454" s="390"/>
      <c r="X1454" s="390"/>
      <c r="Y1454" s="390"/>
      <c r="Z1454" s="390"/>
      <c r="AA1454" s="390"/>
      <c r="AB1454" s="390"/>
      <c r="AC1454" s="375"/>
      <c r="AD1454" s="375"/>
      <c r="AE1454" s="375"/>
      <c r="AF1454" s="375"/>
    </row>
    <row r="1455" spans="18:32">
      <c r="R1455" s="389"/>
      <c r="S1455" s="389"/>
      <c r="T1455" s="389"/>
      <c r="U1455" s="389"/>
      <c r="V1455" s="389"/>
      <c r="W1455" s="390"/>
      <c r="X1455" s="390"/>
      <c r="Y1455" s="390"/>
      <c r="Z1455" s="390"/>
      <c r="AA1455" s="390"/>
      <c r="AB1455" s="390"/>
      <c r="AC1455" s="375"/>
      <c r="AD1455" s="375"/>
      <c r="AE1455" s="375"/>
      <c r="AF1455" s="375"/>
    </row>
    <row r="1456" spans="18:32">
      <c r="R1456" s="389"/>
      <c r="S1456" s="389"/>
      <c r="T1456" s="389"/>
      <c r="U1456" s="389"/>
      <c r="V1456" s="389"/>
      <c r="W1456" s="390"/>
      <c r="X1456" s="390"/>
      <c r="Y1456" s="390"/>
      <c r="Z1456" s="390"/>
      <c r="AA1456" s="390"/>
      <c r="AB1456" s="390"/>
      <c r="AC1456" s="375"/>
      <c r="AD1456" s="375"/>
      <c r="AE1456" s="375"/>
      <c r="AF1456" s="375"/>
    </row>
    <row r="1457" spans="18:32">
      <c r="R1457" s="389"/>
      <c r="S1457" s="389"/>
      <c r="T1457" s="389"/>
      <c r="U1457" s="389"/>
      <c r="V1457" s="389"/>
      <c r="W1457" s="390"/>
      <c r="X1457" s="390"/>
      <c r="Y1457" s="390"/>
      <c r="Z1457" s="390"/>
      <c r="AA1457" s="390"/>
      <c r="AB1457" s="390"/>
      <c r="AC1457" s="375"/>
      <c r="AD1457" s="375"/>
      <c r="AE1457" s="375"/>
      <c r="AF1457" s="375"/>
    </row>
    <row r="1458" spans="18:32">
      <c r="R1458" s="389"/>
      <c r="S1458" s="389"/>
      <c r="T1458" s="389"/>
      <c r="U1458" s="389"/>
      <c r="V1458" s="389"/>
      <c r="W1458" s="390"/>
      <c r="X1458" s="390"/>
      <c r="Y1458" s="390"/>
      <c r="Z1458" s="390"/>
      <c r="AA1458" s="390"/>
      <c r="AB1458" s="390"/>
      <c r="AC1458" s="375"/>
      <c r="AD1458" s="375"/>
      <c r="AE1458" s="375"/>
      <c r="AF1458" s="375"/>
    </row>
    <row r="1459" spans="18:32">
      <c r="R1459" s="389"/>
      <c r="S1459" s="389"/>
      <c r="T1459" s="389"/>
      <c r="U1459" s="389"/>
      <c r="V1459" s="389"/>
      <c r="W1459" s="390"/>
      <c r="X1459" s="390"/>
      <c r="Y1459" s="390"/>
      <c r="Z1459" s="390"/>
      <c r="AA1459" s="390"/>
      <c r="AB1459" s="390"/>
      <c r="AC1459" s="375"/>
      <c r="AD1459" s="375"/>
      <c r="AE1459" s="375"/>
      <c r="AF1459" s="375"/>
    </row>
    <row r="1460" spans="18:32">
      <c r="R1460" s="389"/>
      <c r="S1460" s="389"/>
      <c r="T1460" s="389"/>
      <c r="U1460" s="389"/>
      <c r="V1460" s="389"/>
      <c r="W1460" s="390"/>
      <c r="X1460" s="390"/>
      <c r="Y1460" s="390"/>
      <c r="Z1460" s="390"/>
      <c r="AA1460" s="390"/>
      <c r="AB1460" s="390"/>
      <c r="AC1460" s="375"/>
      <c r="AD1460" s="375"/>
      <c r="AE1460" s="375"/>
      <c r="AF1460" s="375"/>
    </row>
    <row r="1461" spans="18:32">
      <c r="R1461" s="389"/>
      <c r="S1461" s="389"/>
      <c r="T1461" s="389"/>
      <c r="U1461" s="389"/>
      <c r="V1461" s="389"/>
      <c r="W1461" s="390"/>
      <c r="X1461" s="390"/>
      <c r="Y1461" s="390"/>
      <c r="Z1461" s="390"/>
      <c r="AA1461" s="390"/>
      <c r="AB1461" s="390"/>
      <c r="AC1461" s="375"/>
      <c r="AD1461" s="375"/>
      <c r="AE1461" s="375"/>
      <c r="AF1461" s="375"/>
    </row>
    <row r="1462" spans="18:32">
      <c r="R1462" s="389"/>
      <c r="S1462" s="389"/>
      <c r="T1462" s="389"/>
      <c r="U1462" s="389"/>
      <c r="V1462" s="389"/>
      <c r="W1462" s="390"/>
      <c r="X1462" s="390"/>
      <c r="Y1462" s="390"/>
      <c r="Z1462" s="390"/>
      <c r="AA1462" s="390"/>
      <c r="AB1462" s="390"/>
      <c r="AC1462" s="375"/>
      <c r="AD1462" s="375"/>
      <c r="AE1462" s="375"/>
      <c r="AF1462" s="375"/>
    </row>
    <row r="1463" spans="18:32">
      <c r="R1463" s="389"/>
      <c r="S1463" s="389"/>
      <c r="T1463" s="389"/>
      <c r="U1463" s="389"/>
      <c r="V1463" s="389"/>
      <c r="W1463" s="390"/>
      <c r="X1463" s="390"/>
      <c r="Y1463" s="390"/>
      <c r="Z1463" s="390"/>
      <c r="AA1463" s="390"/>
      <c r="AB1463" s="390"/>
      <c r="AC1463" s="375"/>
      <c r="AD1463" s="375"/>
      <c r="AE1463" s="375"/>
      <c r="AF1463" s="375"/>
    </row>
    <row r="1464" spans="18:32">
      <c r="R1464" s="389"/>
      <c r="S1464" s="389"/>
      <c r="T1464" s="389"/>
      <c r="U1464" s="389"/>
      <c r="V1464" s="389"/>
      <c r="W1464" s="390"/>
      <c r="X1464" s="390"/>
      <c r="Y1464" s="390"/>
      <c r="Z1464" s="390"/>
      <c r="AA1464" s="390"/>
      <c r="AB1464" s="390"/>
      <c r="AC1464" s="375"/>
      <c r="AD1464" s="375"/>
      <c r="AE1464" s="375"/>
      <c r="AF1464" s="375"/>
    </row>
    <row r="1465" spans="18:32">
      <c r="R1465" s="389"/>
      <c r="S1465" s="389"/>
      <c r="T1465" s="389"/>
      <c r="U1465" s="389"/>
      <c r="V1465" s="389"/>
      <c r="W1465" s="390"/>
      <c r="X1465" s="390"/>
      <c r="Y1465" s="390"/>
      <c r="Z1465" s="390"/>
      <c r="AA1465" s="390"/>
      <c r="AB1465" s="390"/>
      <c r="AC1465" s="375"/>
      <c r="AD1465" s="375"/>
      <c r="AE1465" s="375"/>
      <c r="AF1465" s="375"/>
    </row>
    <row r="1466" spans="18:32">
      <c r="R1466" s="389"/>
      <c r="S1466" s="389"/>
      <c r="T1466" s="389"/>
      <c r="U1466" s="389"/>
      <c r="V1466" s="389"/>
      <c r="W1466" s="390"/>
      <c r="X1466" s="390"/>
      <c r="Y1466" s="390"/>
      <c r="Z1466" s="390"/>
      <c r="AA1466" s="390"/>
      <c r="AB1466" s="390"/>
      <c r="AC1466" s="375"/>
      <c r="AD1466" s="375"/>
      <c r="AE1466" s="375"/>
      <c r="AF1466" s="375"/>
    </row>
    <row r="1467" spans="18:32">
      <c r="R1467" s="389"/>
      <c r="S1467" s="389"/>
      <c r="T1467" s="389"/>
      <c r="U1467" s="389"/>
      <c r="V1467" s="389"/>
      <c r="W1467" s="390"/>
      <c r="X1467" s="390"/>
      <c r="Y1467" s="390"/>
      <c r="Z1467" s="390"/>
      <c r="AA1467" s="390"/>
      <c r="AB1467" s="390"/>
      <c r="AC1467" s="375"/>
      <c r="AD1467" s="375"/>
      <c r="AE1467" s="375"/>
      <c r="AF1467" s="375"/>
    </row>
    <row r="1468" spans="18:32">
      <c r="R1468" s="389"/>
      <c r="S1468" s="389"/>
      <c r="T1468" s="389"/>
      <c r="U1468" s="389"/>
      <c r="V1468" s="389"/>
      <c r="W1468" s="390"/>
      <c r="X1468" s="390"/>
      <c r="Y1468" s="390"/>
      <c r="Z1468" s="390"/>
      <c r="AA1468" s="390"/>
      <c r="AB1468" s="390"/>
      <c r="AC1468" s="375"/>
      <c r="AD1468" s="375"/>
      <c r="AE1468" s="375"/>
      <c r="AF1468" s="375"/>
    </row>
    <row r="1469" spans="18:32">
      <c r="R1469" s="389"/>
      <c r="S1469" s="389"/>
      <c r="T1469" s="389"/>
      <c r="U1469" s="389"/>
      <c r="V1469" s="389"/>
      <c r="W1469" s="390"/>
      <c r="X1469" s="390"/>
      <c r="Y1469" s="390"/>
      <c r="Z1469" s="390"/>
      <c r="AA1469" s="390"/>
      <c r="AB1469" s="390"/>
      <c r="AC1469" s="375"/>
      <c r="AD1469" s="375"/>
      <c r="AE1469" s="375"/>
      <c r="AF1469" s="375"/>
    </row>
    <row r="1470" spans="18:32">
      <c r="R1470" s="389"/>
      <c r="S1470" s="389"/>
      <c r="T1470" s="389"/>
      <c r="U1470" s="389"/>
      <c r="V1470" s="389"/>
      <c r="W1470" s="390"/>
      <c r="X1470" s="390"/>
      <c r="Y1470" s="390"/>
      <c r="Z1470" s="390"/>
      <c r="AA1470" s="390"/>
      <c r="AB1470" s="390"/>
      <c r="AC1470" s="375"/>
      <c r="AD1470" s="375"/>
      <c r="AE1470" s="375"/>
      <c r="AF1470" s="375"/>
    </row>
    <row r="1471" spans="18:32">
      <c r="R1471" s="389"/>
      <c r="S1471" s="389"/>
      <c r="T1471" s="389"/>
      <c r="U1471" s="389"/>
      <c r="V1471" s="389"/>
      <c r="W1471" s="390"/>
      <c r="X1471" s="390"/>
      <c r="Y1471" s="390"/>
      <c r="Z1471" s="390"/>
      <c r="AA1471" s="390"/>
      <c r="AB1471" s="390"/>
      <c r="AC1471" s="375"/>
      <c r="AD1471" s="375"/>
      <c r="AE1471" s="375"/>
      <c r="AF1471" s="375"/>
    </row>
    <row r="1472" spans="18:32">
      <c r="R1472" s="389"/>
      <c r="S1472" s="389"/>
      <c r="T1472" s="389"/>
      <c r="U1472" s="389"/>
      <c r="V1472" s="389"/>
      <c r="W1472" s="390"/>
      <c r="X1472" s="390"/>
      <c r="Y1472" s="390"/>
      <c r="Z1472" s="390"/>
      <c r="AA1472" s="390"/>
      <c r="AB1472" s="390"/>
      <c r="AC1472" s="375"/>
      <c r="AD1472" s="375"/>
      <c r="AE1472" s="375"/>
      <c r="AF1472" s="375"/>
    </row>
    <row r="1473" spans="18:32">
      <c r="R1473" s="389"/>
      <c r="S1473" s="389"/>
      <c r="T1473" s="389"/>
      <c r="U1473" s="389"/>
      <c r="V1473" s="389"/>
      <c r="W1473" s="390"/>
      <c r="X1473" s="390"/>
      <c r="Y1473" s="390"/>
      <c r="Z1473" s="390"/>
      <c r="AA1473" s="390"/>
      <c r="AB1473" s="390"/>
      <c r="AC1473" s="375"/>
      <c r="AD1473" s="375"/>
      <c r="AE1473" s="375"/>
      <c r="AF1473" s="375"/>
    </row>
    <row r="1474" spans="18:32">
      <c r="R1474" s="389"/>
      <c r="S1474" s="389"/>
      <c r="T1474" s="389"/>
      <c r="U1474" s="389"/>
      <c r="V1474" s="389"/>
      <c r="W1474" s="390"/>
      <c r="X1474" s="390"/>
      <c r="Y1474" s="390"/>
      <c r="Z1474" s="390"/>
      <c r="AA1474" s="390"/>
      <c r="AB1474" s="390"/>
      <c r="AC1474" s="375"/>
      <c r="AD1474" s="375"/>
      <c r="AE1474" s="375"/>
      <c r="AF1474" s="375"/>
    </row>
    <row r="1475" spans="18:32">
      <c r="R1475" s="389"/>
      <c r="S1475" s="389"/>
      <c r="T1475" s="389"/>
      <c r="U1475" s="389"/>
      <c r="V1475" s="389"/>
      <c r="W1475" s="390"/>
      <c r="X1475" s="390"/>
      <c r="Y1475" s="390"/>
      <c r="Z1475" s="390"/>
      <c r="AA1475" s="390"/>
      <c r="AB1475" s="390"/>
      <c r="AC1475" s="375"/>
      <c r="AD1475" s="375"/>
      <c r="AE1475" s="375"/>
      <c r="AF1475" s="375"/>
    </row>
    <row r="1476" spans="18:32">
      <c r="R1476" s="389"/>
      <c r="S1476" s="389"/>
      <c r="T1476" s="389"/>
      <c r="U1476" s="389"/>
      <c r="V1476" s="389"/>
      <c r="W1476" s="390"/>
      <c r="X1476" s="390"/>
      <c r="Y1476" s="390"/>
      <c r="Z1476" s="390"/>
      <c r="AA1476" s="390"/>
      <c r="AB1476" s="390"/>
      <c r="AC1476" s="375"/>
      <c r="AD1476" s="375"/>
      <c r="AE1476" s="375"/>
      <c r="AF1476" s="375"/>
    </row>
    <row r="1477" spans="18:32">
      <c r="R1477" s="389"/>
      <c r="S1477" s="389"/>
      <c r="T1477" s="389"/>
      <c r="U1477" s="389"/>
      <c r="V1477" s="389"/>
      <c r="W1477" s="390"/>
      <c r="X1477" s="390"/>
      <c r="Y1477" s="390"/>
      <c r="Z1477" s="390"/>
      <c r="AA1477" s="390"/>
      <c r="AB1477" s="390"/>
      <c r="AC1477" s="375"/>
      <c r="AD1477" s="375"/>
      <c r="AE1477" s="375"/>
      <c r="AF1477" s="375"/>
    </row>
    <row r="1478" spans="18:32">
      <c r="R1478" s="389"/>
      <c r="S1478" s="389"/>
      <c r="T1478" s="389"/>
      <c r="U1478" s="389"/>
      <c r="V1478" s="389"/>
      <c r="W1478" s="390"/>
      <c r="X1478" s="390"/>
      <c r="Y1478" s="390"/>
      <c r="Z1478" s="390"/>
      <c r="AA1478" s="390"/>
      <c r="AB1478" s="390"/>
      <c r="AC1478" s="375"/>
      <c r="AD1478" s="375"/>
      <c r="AE1478" s="375"/>
      <c r="AF1478" s="375"/>
    </row>
    <row r="1479" spans="18:32">
      <c r="R1479" s="389"/>
      <c r="S1479" s="389"/>
      <c r="T1479" s="389"/>
      <c r="U1479" s="389"/>
      <c r="V1479" s="389"/>
      <c r="W1479" s="390"/>
      <c r="X1479" s="390"/>
      <c r="Y1479" s="390"/>
      <c r="Z1479" s="390"/>
      <c r="AA1479" s="390"/>
      <c r="AB1479" s="390"/>
      <c r="AC1479" s="375"/>
      <c r="AD1479" s="375"/>
      <c r="AE1479" s="375"/>
      <c r="AF1479" s="375"/>
    </row>
    <row r="1480" spans="18:32">
      <c r="R1480" s="389"/>
      <c r="S1480" s="389"/>
      <c r="T1480" s="389"/>
      <c r="U1480" s="389"/>
      <c r="V1480" s="389"/>
      <c r="W1480" s="390"/>
      <c r="X1480" s="390"/>
      <c r="Y1480" s="390"/>
      <c r="Z1480" s="390"/>
      <c r="AA1480" s="390"/>
      <c r="AB1480" s="390"/>
      <c r="AC1480" s="375"/>
      <c r="AD1480" s="375"/>
      <c r="AE1480" s="375"/>
      <c r="AF1480" s="375"/>
    </row>
    <row r="1481" spans="18:32">
      <c r="R1481" s="389"/>
      <c r="S1481" s="389"/>
      <c r="T1481" s="389"/>
      <c r="U1481" s="389"/>
      <c r="V1481" s="389"/>
      <c r="W1481" s="390"/>
      <c r="X1481" s="390"/>
      <c r="Y1481" s="390"/>
      <c r="Z1481" s="390"/>
      <c r="AA1481" s="390"/>
      <c r="AB1481" s="390"/>
      <c r="AC1481" s="375"/>
      <c r="AD1481" s="375"/>
      <c r="AE1481" s="375"/>
      <c r="AF1481" s="375"/>
    </row>
    <row r="1482" spans="18:32">
      <c r="R1482" s="389"/>
      <c r="S1482" s="389"/>
      <c r="T1482" s="389"/>
      <c r="U1482" s="389"/>
      <c r="V1482" s="389"/>
      <c r="W1482" s="390"/>
      <c r="X1482" s="390"/>
      <c r="Y1482" s="390"/>
      <c r="Z1482" s="390"/>
      <c r="AA1482" s="390"/>
      <c r="AB1482" s="390"/>
      <c r="AC1482" s="375"/>
      <c r="AD1482" s="375"/>
      <c r="AE1482" s="375"/>
      <c r="AF1482" s="375"/>
    </row>
    <row r="1483" spans="18:32">
      <c r="R1483" s="389"/>
      <c r="S1483" s="389"/>
      <c r="T1483" s="389"/>
      <c r="U1483" s="389"/>
      <c r="V1483" s="389"/>
      <c r="W1483" s="390"/>
      <c r="X1483" s="390"/>
      <c r="Y1483" s="390"/>
      <c r="Z1483" s="390"/>
      <c r="AA1483" s="390"/>
      <c r="AB1483" s="390"/>
      <c r="AC1483" s="375"/>
      <c r="AD1483" s="375"/>
      <c r="AE1483" s="375"/>
      <c r="AF1483" s="375"/>
    </row>
    <row r="1484" spans="18:32">
      <c r="R1484" s="389"/>
      <c r="S1484" s="389"/>
      <c r="T1484" s="389"/>
      <c r="U1484" s="389"/>
      <c r="V1484" s="389"/>
      <c r="W1484" s="390"/>
      <c r="X1484" s="390"/>
      <c r="Y1484" s="390"/>
      <c r="Z1484" s="390"/>
      <c r="AA1484" s="390"/>
      <c r="AB1484" s="390"/>
      <c r="AC1484" s="375"/>
      <c r="AD1484" s="375"/>
      <c r="AE1484" s="375"/>
      <c r="AF1484" s="375"/>
    </row>
    <row r="1485" spans="18:32">
      <c r="R1485" s="389"/>
      <c r="S1485" s="389"/>
      <c r="T1485" s="389"/>
      <c r="U1485" s="389"/>
      <c r="V1485" s="389"/>
      <c r="W1485" s="390"/>
      <c r="X1485" s="390"/>
      <c r="Y1485" s="390"/>
      <c r="Z1485" s="390"/>
      <c r="AA1485" s="390"/>
      <c r="AB1485" s="390"/>
      <c r="AC1485" s="375"/>
      <c r="AD1485" s="375"/>
      <c r="AE1485" s="375"/>
      <c r="AF1485" s="375"/>
    </row>
    <row r="1486" spans="18:32">
      <c r="R1486" s="389"/>
      <c r="S1486" s="389"/>
      <c r="T1486" s="389"/>
      <c r="U1486" s="389"/>
      <c r="V1486" s="389"/>
      <c r="W1486" s="390"/>
      <c r="X1486" s="390"/>
      <c r="Y1486" s="390"/>
      <c r="Z1486" s="390"/>
      <c r="AA1486" s="390"/>
      <c r="AB1486" s="390"/>
      <c r="AC1486" s="375"/>
      <c r="AD1486" s="375"/>
      <c r="AE1486" s="375"/>
      <c r="AF1486" s="375"/>
    </row>
    <row r="1487" spans="18:32">
      <c r="R1487" s="389"/>
      <c r="S1487" s="389"/>
      <c r="T1487" s="389"/>
      <c r="U1487" s="389"/>
      <c r="V1487" s="389"/>
      <c r="W1487" s="390"/>
      <c r="X1487" s="390"/>
      <c r="Y1487" s="390"/>
      <c r="Z1487" s="390"/>
      <c r="AA1487" s="390"/>
      <c r="AB1487" s="390"/>
      <c r="AC1487" s="375"/>
      <c r="AD1487" s="375"/>
      <c r="AE1487" s="375"/>
      <c r="AF1487" s="375"/>
    </row>
    <row r="1488" spans="18:32">
      <c r="R1488" s="389"/>
      <c r="S1488" s="389"/>
      <c r="T1488" s="389"/>
      <c r="U1488" s="389"/>
      <c r="V1488" s="389"/>
      <c r="W1488" s="390"/>
      <c r="X1488" s="390"/>
      <c r="Y1488" s="390"/>
      <c r="Z1488" s="390"/>
      <c r="AA1488" s="390"/>
      <c r="AB1488" s="390"/>
      <c r="AC1488" s="375"/>
      <c r="AD1488" s="375"/>
      <c r="AE1488" s="375"/>
      <c r="AF1488" s="375"/>
    </row>
    <row r="1489" spans="18:32">
      <c r="R1489" s="389"/>
      <c r="S1489" s="389"/>
      <c r="T1489" s="389"/>
      <c r="U1489" s="389"/>
      <c r="V1489" s="389"/>
      <c r="W1489" s="390"/>
      <c r="X1489" s="390"/>
      <c r="Y1489" s="390"/>
      <c r="Z1489" s="390"/>
      <c r="AA1489" s="390"/>
      <c r="AB1489" s="390"/>
      <c r="AC1489" s="375"/>
      <c r="AD1489" s="375"/>
      <c r="AE1489" s="375"/>
      <c r="AF1489" s="375"/>
    </row>
    <row r="1490" spans="18:32">
      <c r="R1490" s="389"/>
      <c r="S1490" s="389"/>
      <c r="T1490" s="389"/>
      <c r="U1490" s="389"/>
      <c r="V1490" s="389"/>
      <c r="W1490" s="390"/>
      <c r="X1490" s="390"/>
      <c r="Y1490" s="390"/>
      <c r="Z1490" s="390"/>
      <c r="AA1490" s="390"/>
      <c r="AB1490" s="390"/>
      <c r="AC1490" s="375"/>
      <c r="AD1490" s="375"/>
      <c r="AE1490" s="375"/>
      <c r="AF1490" s="375"/>
    </row>
    <row r="1491" spans="18:32">
      <c r="R1491" s="389"/>
      <c r="S1491" s="389"/>
      <c r="T1491" s="389"/>
      <c r="U1491" s="389"/>
      <c r="V1491" s="389"/>
      <c r="W1491" s="390"/>
      <c r="X1491" s="390"/>
      <c r="Y1491" s="390"/>
      <c r="Z1491" s="390"/>
      <c r="AA1491" s="390"/>
      <c r="AB1491" s="390"/>
      <c r="AC1491" s="375"/>
      <c r="AD1491" s="375"/>
      <c r="AE1491" s="375"/>
      <c r="AF1491" s="375"/>
    </row>
    <row r="1492" spans="18:32">
      <c r="R1492" s="389"/>
      <c r="S1492" s="389"/>
      <c r="T1492" s="389"/>
      <c r="U1492" s="389"/>
      <c r="V1492" s="389"/>
      <c r="W1492" s="390"/>
      <c r="X1492" s="390"/>
      <c r="Y1492" s="390"/>
      <c r="Z1492" s="390"/>
      <c r="AA1492" s="390"/>
      <c r="AB1492" s="390"/>
      <c r="AC1492" s="375"/>
      <c r="AD1492" s="375"/>
      <c r="AE1492" s="375"/>
      <c r="AF1492" s="375"/>
    </row>
    <row r="1493" spans="18:32">
      <c r="R1493" s="389"/>
      <c r="S1493" s="389"/>
      <c r="T1493" s="389"/>
      <c r="U1493" s="389"/>
      <c r="V1493" s="389"/>
      <c r="W1493" s="390"/>
      <c r="X1493" s="390"/>
      <c r="Y1493" s="390"/>
      <c r="Z1493" s="390"/>
      <c r="AA1493" s="390"/>
      <c r="AB1493" s="390"/>
      <c r="AC1493" s="375"/>
      <c r="AD1493" s="375"/>
      <c r="AE1493" s="375"/>
      <c r="AF1493" s="375"/>
    </row>
    <row r="1494" spans="18:32">
      <c r="R1494" s="389"/>
      <c r="S1494" s="389"/>
      <c r="T1494" s="389"/>
      <c r="U1494" s="389"/>
      <c r="V1494" s="389"/>
      <c r="W1494" s="390"/>
      <c r="X1494" s="390"/>
      <c r="Y1494" s="390"/>
      <c r="Z1494" s="390"/>
      <c r="AA1494" s="390"/>
      <c r="AB1494" s="390"/>
      <c r="AC1494" s="375"/>
      <c r="AD1494" s="375"/>
      <c r="AE1494" s="375"/>
      <c r="AF1494" s="375"/>
    </row>
    <row r="1495" spans="18:32">
      <c r="R1495" s="389"/>
      <c r="S1495" s="389"/>
      <c r="T1495" s="389"/>
      <c r="U1495" s="389"/>
      <c r="V1495" s="389"/>
      <c r="W1495" s="390"/>
      <c r="X1495" s="390"/>
      <c r="Y1495" s="390"/>
      <c r="Z1495" s="390"/>
      <c r="AA1495" s="390"/>
      <c r="AB1495" s="390"/>
      <c r="AC1495" s="375"/>
      <c r="AD1495" s="375"/>
      <c r="AE1495" s="375"/>
      <c r="AF1495" s="375"/>
    </row>
    <row r="1496" spans="18:32">
      <c r="R1496" s="389"/>
      <c r="S1496" s="389"/>
      <c r="T1496" s="389"/>
      <c r="U1496" s="389"/>
      <c r="V1496" s="389"/>
      <c r="W1496" s="390"/>
      <c r="X1496" s="390"/>
      <c r="Y1496" s="390"/>
      <c r="Z1496" s="390"/>
      <c r="AA1496" s="390"/>
      <c r="AB1496" s="390"/>
      <c r="AC1496" s="375"/>
      <c r="AD1496" s="375"/>
      <c r="AE1496" s="375"/>
      <c r="AF1496" s="375"/>
    </row>
    <row r="1497" spans="18:32">
      <c r="R1497" s="389"/>
      <c r="S1497" s="389"/>
      <c r="T1497" s="389"/>
      <c r="U1497" s="389"/>
      <c r="V1497" s="389"/>
      <c r="W1497" s="390"/>
      <c r="X1497" s="390"/>
      <c r="Y1497" s="390"/>
      <c r="Z1497" s="390"/>
      <c r="AA1497" s="390"/>
      <c r="AB1497" s="390"/>
      <c r="AC1497" s="375"/>
      <c r="AD1497" s="375"/>
      <c r="AE1497" s="375"/>
      <c r="AF1497" s="375"/>
    </row>
    <row r="1498" spans="18:32">
      <c r="R1498" s="389"/>
      <c r="S1498" s="389"/>
      <c r="T1498" s="389"/>
      <c r="U1498" s="389"/>
      <c r="V1498" s="389"/>
      <c r="W1498" s="390"/>
      <c r="X1498" s="390"/>
      <c r="Y1498" s="390"/>
      <c r="Z1498" s="390"/>
      <c r="AA1498" s="390"/>
      <c r="AB1498" s="390"/>
      <c r="AC1498" s="375"/>
      <c r="AD1498" s="375"/>
      <c r="AE1498" s="375"/>
      <c r="AF1498" s="375"/>
    </row>
    <row r="1499" spans="18:32">
      <c r="R1499" s="389"/>
      <c r="S1499" s="389"/>
      <c r="T1499" s="389"/>
      <c r="U1499" s="389"/>
      <c r="V1499" s="389"/>
      <c r="W1499" s="390"/>
      <c r="X1499" s="390"/>
      <c r="Y1499" s="390"/>
      <c r="Z1499" s="390"/>
      <c r="AA1499" s="390"/>
      <c r="AB1499" s="390"/>
      <c r="AC1499" s="375"/>
      <c r="AD1499" s="375"/>
      <c r="AE1499" s="375"/>
      <c r="AF1499" s="375"/>
    </row>
    <row r="1500" spans="18:32">
      <c r="R1500" s="389"/>
      <c r="S1500" s="389"/>
      <c r="T1500" s="389"/>
      <c r="U1500" s="389"/>
      <c r="V1500" s="389"/>
      <c r="W1500" s="390"/>
      <c r="X1500" s="390"/>
      <c r="Y1500" s="390"/>
      <c r="Z1500" s="390"/>
      <c r="AA1500" s="390"/>
      <c r="AB1500" s="390"/>
      <c r="AC1500" s="375"/>
      <c r="AD1500" s="375"/>
      <c r="AE1500" s="375"/>
      <c r="AF1500" s="375"/>
    </row>
    <row r="1501" spans="18:32">
      <c r="R1501" s="389"/>
      <c r="S1501" s="389"/>
      <c r="T1501" s="389"/>
      <c r="U1501" s="389"/>
      <c r="V1501" s="389"/>
      <c r="W1501" s="390"/>
      <c r="X1501" s="390"/>
      <c r="Y1501" s="390"/>
      <c r="Z1501" s="390"/>
      <c r="AA1501" s="390"/>
      <c r="AB1501" s="390"/>
      <c r="AC1501" s="375"/>
      <c r="AD1501" s="375"/>
      <c r="AE1501" s="375"/>
      <c r="AF1501" s="375"/>
    </row>
    <row r="1502" spans="18:32">
      <c r="R1502" s="389"/>
      <c r="S1502" s="389"/>
      <c r="T1502" s="389"/>
      <c r="U1502" s="389"/>
      <c r="V1502" s="389"/>
      <c r="W1502" s="390"/>
      <c r="X1502" s="390"/>
      <c r="Y1502" s="390"/>
      <c r="Z1502" s="390"/>
      <c r="AA1502" s="390"/>
      <c r="AB1502" s="390"/>
      <c r="AC1502" s="375"/>
      <c r="AD1502" s="375"/>
      <c r="AE1502" s="375"/>
      <c r="AF1502" s="375"/>
    </row>
    <row r="1503" spans="18:32">
      <c r="R1503" s="389"/>
      <c r="S1503" s="389"/>
      <c r="T1503" s="389"/>
      <c r="U1503" s="389"/>
      <c r="V1503" s="389"/>
      <c r="W1503" s="390"/>
      <c r="X1503" s="390"/>
      <c r="Y1503" s="390"/>
      <c r="Z1503" s="390"/>
      <c r="AA1503" s="390"/>
      <c r="AB1503" s="390"/>
      <c r="AC1503" s="375"/>
      <c r="AD1503" s="375"/>
      <c r="AE1503" s="375"/>
      <c r="AF1503" s="375"/>
    </row>
    <row r="1504" spans="18:32">
      <c r="R1504" s="389"/>
      <c r="S1504" s="389"/>
      <c r="T1504" s="389"/>
      <c r="U1504" s="389"/>
      <c r="V1504" s="389"/>
      <c r="W1504" s="390"/>
      <c r="X1504" s="390"/>
      <c r="Y1504" s="390"/>
      <c r="Z1504" s="390"/>
      <c r="AA1504" s="390"/>
      <c r="AB1504" s="390"/>
      <c r="AC1504" s="375"/>
      <c r="AD1504" s="375"/>
      <c r="AE1504" s="375"/>
      <c r="AF1504" s="375"/>
    </row>
    <row r="1505" spans="18:32">
      <c r="R1505" s="389"/>
      <c r="S1505" s="389"/>
      <c r="T1505" s="389"/>
      <c r="U1505" s="389"/>
      <c r="V1505" s="389"/>
      <c r="W1505" s="390"/>
      <c r="X1505" s="390"/>
      <c r="Y1505" s="390"/>
      <c r="Z1505" s="390"/>
      <c r="AA1505" s="390"/>
      <c r="AB1505" s="390"/>
      <c r="AC1505" s="375"/>
      <c r="AD1505" s="375"/>
      <c r="AE1505" s="375"/>
      <c r="AF1505" s="375"/>
    </row>
    <row r="1506" spans="18:32">
      <c r="R1506" s="389"/>
      <c r="S1506" s="389"/>
      <c r="T1506" s="389"/>
      <c r="U1506" s="389"/>
      <c r="V1506" s="389"/>
      <c r="W1506" s="390"/>
      <c r="X1506" s="390"/>
      <c r="Y1506" s="390"/>
      <c r="Z1506" s="390"/>
      <c r="AA1506" s="390"/>
      <c r="AB1506" s="390"/>
      <c r="AC1506" s="375"/>
      <c r="AD1506" s="375"/>
      <c r="AE1506" s="375"/>
      <c r="AF1506" s="375"/>
    </row>
    <row r="1507" spans="18:32">
      <c r="R1507" s="389"/>
      <c r="S1507" s="389"/>
      <c r="T1507" s="389"/>
      <c r="U1507" s="389"/>
      <c r="V1507" s="389"/>
      <c r="W1507" s="390"/>
      <c r="X1507" s="390"/>
      <c r="Y1507" s="390"/>
      <c r="Z1507" s="390"/>
      <c r="AA1507" s="390"/>
      <c r="AB1507" s="390"/>
      <c r="AC1507" s="375"/>
      <c r="AD1507" s="375"/>
      <c r="AE1507" s="375"/>
      <c r="AF1507" s="375"/>
    </row>
    <row r="1508" spans="18:32">
      <c r="R1508" s="389"/>
      <c r="S1508" s="389"/>
      <c r="T1508" s="389"/>
      <c r="U1508" s="389"/>
      <c r="V1508" s="389"/>
      <c r="W1508" s="390"/>
      <c r="X1508" s="390"/>
      <c r="Y1508" s="390"/>
      <c r="Z1508" s="390"/>
      <c r="AA1508" s="390"/>
      <c r="AB1508" s="390"/>
      <c r="AC1508" s="375"/>
      <c r="AD1508" s="375"/>
      <c r="AE1508" s="375"/>
      <c r="AF1508" s="375"/>
    </row>
    <row r="1509" spans="18:32">
      <c r="R1509" s="389"/>
      <c r="S1509" s="389"/>
      <c r="T1509" s="389"/>
      <c r="U1509" s="389"/>
      <c r="V1509" s="389"/>
      <c r="W1509" s="390"/>
      <c r="X1509" s="390"/>
      <c r="Y1509" s="390"/>
      <c r="Z1509" s="390"/>
      <c r="AA1509" s="390"/>
      <c r="AB1509" s="390"/>
      <c r="AC1509" s="375"/>
      <c r="AD1509" s="375"/>
      <c r="AE1509" s="375"/>
      <c r="AF1509" s="375"/>
    </row>
    <row r="1510" spans="18:32">
      <c r="R1510" s="389"/>
      <c r="S1510" s="389"/>
      <c r="T1510" s="389"/>
      <c r="U1510" s="389"/>
      <c r="V1510" s="389"/>
      <c r="W1510" s="390"/>
      <c r="X1510" s="390"/>
      <c r="Y1510" s="390"/>
      <c r="Z1510" s="390"/>
      <c r="AA1510" s="390"/>
      <c r="AB1510" s="390"/>
      <c r="AC1510" s="375"/>
      <c r="AD1510" s="375"/>
      <c r="AE1510" s="375"/>
      <c r="AF1510" s="375"/>
    </row>
    <row r="1511" spans="18:32">
      <c r="R1511" s="389"/>
      <c r="S1511" s="389"/>
      <c r="T1511" s="389"/>
      <c r="U1511" s="389"/>
      <c r="V1511" s="389"/>
      <c r="W1511" s="390"/>
      <c r="X1511" s="390"/>
      <c r="Y1511" s="390"/>
      <c r="Z1511" s="390"/>
      <c r="AA1511" s="390"/>
      <c r="AB1511" s="390"/>
      <c r="AC1511" s="375"/>
      <c r="AD1511" s="375"/>
      <c r="AE1511" s="375"/>
      <c r="AF1511" s="375"/>
    </row>
    <row r="1512" spans="18:32">
      <c r="R1512" s="389"/>
      <c r="S1512" s="389"/>
      <c r="T1512" s="389"/>
      <c r="U1512" s="389"/>
      <c r="V1512" s="389"/>
      <c r="W1512" s="390"/>
      <c r="X1512" s="390"/>
      <c r="Y1512" s="390"/>
      <c r="Z1512" s="390"/>
      <c r="AA1512" s="390"/>
      <c r="AB1512" s="390"/>
      <c r="AC1512" s="375"/>
      <c r="AD1512" s="375"/>
      <c r="AE1512" s="375"/>
      <c r="AF1512" s="375"/>
    </row>
    <row r="1513" spans="18:32">
      <c r="R1513" s="389"/>
      <c r="S1513" s="389"/>
      <c r="T1513" s="389"/>
      <c r="U1513" s="389"/>
      <c r="V1513" s="389"/>
      <c r="W1513" s="390"/>
      <c r="X1513" s="390"/>
      <c r="Y1513" s="390"/>
      <c r="Z1513" s="390"/>
      <c r="AA1513" s="390"/>
      <c r="AB1513" s="390"/>
      <c r="AC1513" s="375"/>
      <c r="AD1513" s="375"/>
      <c r="AE1513" s="375"/>
      <c r="AF1513" s="375"/>
    </row>
    <row r="1514" spans="18:32">
      <c r="R1514" s="389"/>
      <c r="S1514" s="389"/>
      <c r="T1514" s="389"/>
      <c r="U1514" s="389"/>
      <c r="V1514" s="389"/>
      <c r="W1514" s="390"/>
      <c r="X1514" s="390"/>
      <c r="Y1514" s="390"/>
      <c r="Z1514" s="390"/>
      <c r="AA1514" s="390"/>
      <c r="AB1514" s="390"/>
      <c r="AC1514" s="375"/>
      <c r="AD1514" s="375"/>
      <c r="AE1514" s="375"/>
      <c r="AF1514" s="375"/>
    </row>
    <row r="1515" spans="18:32">
      <c r="R1515" s="389"/>
      <c r="S1515" s="389"/>
      <c r="T1515" s="389"/>
      <c r="U1515" s="389"/>
      <c r="V1515" s="389"/>
      <c r="W1515" s="390"/>
      <c r="X1515" s="390"/>
      <c r="Y1515" s="390"/>
      <c r="Z1515" s="390"/>
      <c r="AA1515" s="390"/>
      <c r="AB1515" s="390"/>
      <c r="AC1515" s="375"/>
      <c r="AD1515" s="375"/>
      <c r="AE1515" s="375"/>
      <c r="AF1515" s="375"/>
    </row>
    <row r="1516" spans="18:32">
      <c r="R1516" s="389"/>
      <c r="S1516" s="389"/>
      <c r="T1516" s="389"/>
      <c r="U1516" s="389"/>
      <c r="V1516" s="389"/>
      <c r="W1516" s="390"/>
      <c r="X1516" s="390"/>
      <c r="Y1516" s="390"/>
      <c r="Z1516" s="390"/>
      <c r="AA1516" s="390"/>
      <c r="AB1516" s="390"/>
      <c r="AC1516" s="375"/>
      <c r="AD1516" s="375"/>
      <c r="AE1516" s="375"/>
      <c r="AF1516" s="375"/>
    </row>
    <row r="1517" spans="18:32">
      <c r="R1517" s="389"/>
      <c r="S1517" s="389"/>
      <c r="T1517" s="389"/>
      <c r="U1517" s="389"/>
      <c r="V1517" s="389"/>
      <c r="W1517" s="390"/>
      <c r="X1517" s="390"/>
      <c r="Y1517" s="390"/>
      <c r="Z1517" s="390"/>
      <c r="AA1517" s="390"/>
      <c r="AB1517" s="390"/>
      <c r="AC1517" s="375"/>
      <c r="AD1517" s="375"/>
      <c r="AE1517" s="375"/>
      <c r="AF1517" s="375"/>
    </row>
    <row r="1518" spans="18:32">
      <c r="R1518" s="389"/>
      <c r="S1518" s="389"/>
      <c r="T1518" s="389"/>
      <c r="U1518" s="389"/>
      <c r="V1518" s="389"/>
      <c r="W1518" s="390"/>
      <c r="X1518" s="390"/>
      <c r="Y1518" s="390"/>
      <c r="Z1518" s="390"/>
      <c r="AA1518" s="390"/>
      <c r="AB1518" s="390"/>
      <c r="AC1518" s="375"/>
      <c r="AD1518" s="375"/>
      <c r="AE1518" s="375"/>
      <c r="AF1518" s="375"/>
    </row>
    <row r="1519" spans="18:32">
      <c r="R1519" s="389"/>
      <c r="S1519" s="389"/>
      <c r="T1519" s="389"/>
      <c r="U1519" s="389"/>
      <c r="V1519" s="389"/>
      <c r="W1519" s="390"/>
      <c r="X1519" s="390"/>
      <c r="Y1519" s="390"/>
      <c r="Z1519" s="390"/>
      <c r="AA1519" s="390"/>
      <c r="AB1519" s="390"/>
      <c r="AC1519" s="375"/>
      <c r="AD1519" s="375"/>
      <c r="AE1519" s="375"/>
      <c r="AF1519" s="375"/>
    </row>
    <row r="1520" spans="18:32">
      <c r="R1520" s="389"/>
      <c r="S1520" s="389"/>
      <c r="T1520" s="389"/>
      <c r="U1520" s="389"/>
      <c r="V1520" s="389"/>
      <c r="W1520" s="390"/>
      <c r="X1520" s="390"/>
      <c r="Y1520" s="390"/>
      <c r="Z1520" s="390"/>
      <c r="AA1520" s="390"/>
      <c r="AB1520" s="390"/>
      <c r="AC1520" s="375"/>
      <c r="AD1520" s="375"/>
      <c r="AE1520" s="375"/>
      <c r="AF1520" s="375"/>
    </row>
    <row r="1521" spans="18:32">
      <c r="R1521" s="389"/>
      <c r="S1521" s="389"/>
      <c r="T1521" s="389"/>
      <c r="U1521" s="389"/>
      <c r="V1521" s="389"/>
      <c r="W1521" s="390"/>
      <c r="X1521" s="390"/>
      <c r="Y1521" s="390"/>
      <c r="Z1521" s="390"/>
      <c r="AA1521" s="390"/>
      <c r="AB1521" s="390"/>
      <c r="AC1521" s="375"/>
      <c r="AD1521" s="375"/>
      <c r="AE1521" s="375"/>
      <c r="AF1521" s="375"/>
    </row>
    <row r="1522" spans="18:32">
      <c r="R1522" s="389"/>
      <c r="S1522" s="389"/>
      <c r="T1522" s="389"/>
      <c r="U1522" s="389"/>
      <c r="V1522" s="389"/>
      <c r="W1522" s="390"/>
      <c r="X1522" s="390"/>
      <c r="Y1522" s="390"/>
      <c r="Z1522" s="390"/>
      <c r="AA1522" s="390"/>
      <c r="AB1522" s="390"/>
      <c r="AC1522" s="375"/>
      <c r="AD1522" s="375"/>
      <c r="AE1522" s="375"/>
      <c r="AF1522" s="375"/>
    </row>
    <row r="1523" spans="18:32">
      <c r="R1523" s="389"/>
      <c r="S1523" s="389"/>
      <c r="T1523" s="389"/>
      <c r="U1523" s="389"/>
      <c r="V1523" s="389"/>
      <c r="W1523" s="390"/>
      <c r="X1523" s="390"/>
      <c r="Y1523" s="390"/>
      <c r="Z1523" s="390"/>
      <c r="AA1523" s="390"/>
      <c r="AB1523" s="390"/>
      <c r="AC1523" s="375"/>
      <c r="AD1523" s="375"/>
      <c r="AE1523" s="375"/>
      <c r="AF1523" s="375"/>
    </row>
    <row r="1524" spans="18:32">
      <c r="R1524" s="389"/>
      <c r="S1524" s="389"/>
      <c r="T1524" s="389"/>
      <c r="U1524" s="389"/>
      <c r="V1524" s="389"/>
      <c r="W1524" s="390"/>
      <c r="X1524" s="390"/>
      <c r="Y1524" s="390"/>
      <c r="Z1524" s="390"/>
      <c r="AA1524" s="390"/>
      <c r="AB1524" s="390"/>
      <c r="AC1524" s="375"/>
      <c r="AD1524" s="375"/>
      <c r="AE1524" s="375"/>
      <c r="AF1524" s="375"/>
    </row>
    <row r="1525" spans="18:32">
      <c r="R1525" s="389"/>
      <c r="S1525" s="389"/>
      <c r="T1525" s="389"/>
      <c r="U1525" s="389"/>
      <c r="V1525" s="389"/>
      <c r="W1525" s="390"/>
      <c r="X1525" s="390"/>
      <c r="Y1525" s="390"/>
      <c r="Z1525" s="390"/>
      <c r="AA1525" s="390"/>
      <c r="AB1525" s="390"/>
      <c r="AC1525" s="375"/>
      <c r="AD1525" s="375"/>
      <c r="AE1525" s="375"/>
      <c r="AF1525" s="375"/>
    </row>
    <row r="1526" spans="18:32">
      <c r="R1526" s="389"/>
      <c r="S1526" s="389"/>
      <c r="T1526" s="389"/>
      <c r="U1526" s="389"/>
      <c r="V1526" s="389"/>
      <c r="W1526" s="390"/>
      <c r="X1526" s="390"/>
      <c r="Y1526" s="390"/>
      <c r="Z1526" s="390"/>
      <c r="AA1526" s="390"/>
      <c r="AB1526" s="390"/>
      <c r="AC1526" s="375"/>
      <c r="AD1526" s="375"/>
      <c r="AE1526" s="375"/>
      <c r="AF1526" s="375"/>
    </row>
    <row r="1527" spans="18:32">
      <c r="R1527" s="389"/>
      <c r="S1527" s="389"/>
      <c r="T1527" s="389"/>
      <c r="U1527" s="389"/>
      <c r="V1527" s="389"/>
      <c r="W1527" s="390"/>
      <c r="X1527" s="390"/>
      <c r="Y1527" s="390"/>
      <c r="Z1527" s="390"/>
      <c r="AA1527" s="390"/>
      <c r="AB1527" s="390"/>
      <c r="AC1527" s="375"/>
      <c r="AD1527" s="375"/>
      <c r="AE1527" s="375"/>
      <c r="AF1527" s="375"/>
    </row>
    <row r="1528" spans="18:32">
      <c r="R1528" s="389"/>
      <c r="S1528" s="389"/>
      <c r="T1528" s="389"/>
      <c r="U1528" s="389"/>
      <c r="V1528" s="389"/>
      <c r="W1528" s="390"/>
      <c r="X1528" s="390"/>
      <c r="Y1528" s="390"/>
      <c r="Z1528" s="390"/>
      <c r="AA1528" s="390"/>
      <c r="AB1528" s="390"/>
      <c r="AC1528" s="375"/>
      <c r="AD1528" s="375"/>
      <c r="AE1528" s="375"/>
      <c r="AF1528" s="375"/>
    </row>
    <row r="1529" spans="18:32">
      <c r="R1529" s="389"/>
      <c r="S1529" s="389"/>
      <c r="T1529" s="389"/>
      <c r="U1529" s="389"/>
      <c r="V1529" s="389"/>
      <c r="W1529" s="390"/>
      <c r="X1529" s="390"/>
      <c r="Y1529" s="390"/>
      <c r="Z1529" s="390"/>
      <c r="AA1529" s="390"/>
      <c r="AB1529" s="390"/>
      <c r="AC1529" s="375"/>
      <c r="AD1529" s="375"/>
      <c r="AE1529" s="375"/>
      <c r="AF1529" s="375"/>
    </row>
    <row r="1530" spans="18:32">
      <c r="R1530" s="389"/>
      <c r="S1530" s="389"/>
      <c r="T1530" s="389"/>
      <c r="U1530" s="389"/>
      <c r="V1530" s="389"/>
      <c r="W1530" s="390"/>
      <c r="X1530" s="390"/>
      <c r="Y1530" s="390"/>
      <c r="Z1530" s="390"/>
      <c r="AA1530" s="390"/>
      <c r="AB1530" s="390"/>
      <c r="AC1530" s="375"/>
      <c r="AD1530" s="375"/>
      <c r="AE1530" s="375"/>
      <c r="AF1530" s="375"/>
    </row>
    <row r="1531" spans="18:32">
      <c r="R1531" s="389"/>
      <c r="S1531" s="389"/>
      <c r="T1531" s="389"/>
      <c r="U1531" s="389"/>
      <c r="V1531" s="389"/>
      <c r="W1531" s="390"/>
      <c r="X1531" s="390"/>
      <c r="Y1531" s="390"/>
      <c r="Z1531" s="390"/>
      <c r="AA1531" s="390"/>
      <c r="AB1531" s="390"/>
      <c r="AC1531" s="375"/>
      <c r="AD1531" s="375"/>
      <c r="AE1531" s="375"/>
      <c r="AF1531" s="375"/>
    </row>
    <row r="1532" spans="18:32">
      <c r="R1532" s="389"/>
      <c r="S1532" s="389"/>
      <c r="T1532" s="389"/>
      <c r="U1532" s="389"/>
      <c r="V1532" s="389"/>
      <c r="W1532" s="390"/>
      <c r="X1532" s="390"/>
      <c r="Y1532" s="390"/>
      <c r="Z1532" s="390"/>
      <c r="AA1532" s="390"/>
      <c r="AB1532" s="390"/>
      <c r="AC1532" s="375"/>
      <c r="AD1532" s="375"/>
      <c r="AE1532" s="375"/>
      <c r="AF1532" s="375"/>
    </row>
    <row r="1533" spans="18:32">
      <c r="R1533" s="389"/>
      <c r="S1533" s="389"/>
      <c r="T1533" s="389"/>
      <c r="U1533" s="389"/>
      <c r="V1533" s="389"/>
      <c r="W1533" s="390"/>
      <c r="X1533" s="390"/>
      <c r="Y1533" s="390"/>
      <c r="Z1533" s="390"/>
      <c r="AA1533" s="390"/>
      <c r="AB1533" s="390"/>
      <c r="AC1533" s="375"/>
      <c r="AD1533" s="375"/>
      <c r="AE1533" s="375"/>
      <c r="AF1533" s="375"/>
    </row>
    <row r="1534" spans="18:32">
      <c r="R1534" s="389"/>
      <c r="S1534" s="389"/>
      <c r="T1534" s="389"/>
      <c r="U1534" s="389"/>
      <c r="V1534" s="389"/>
      <c r="W1534" s="390"/>
      <c r="X1534" s="390"/>
      <c r="Y1534" s="390"/>
      <c r="Z1534" s="390"/>
      <c r="AA1534" s="390"/>
      <c r="AB1534" s="390"/>
      <c r="AC1534" s="375"/>
      <c r="AD1534" s="375"/>
      <c r="AE1534" s="375"/>
      <c r="AF1534" s="375"/>
    </row>
    <row r="1535" spans="18:32">
      <c r="R1535" s="389"/>
      <c r="S1535" s="389"/>
      <c r="T1535" s="389"/>
      <c r="U1535" s="389"/>
      <c r="V1535" s="389"/>
      <c r="W1535" s="390"/>
      <c r="X1535" s="390"/>
      <c r="Y1535" s="390"/>
      <c r="Z1535" s="390"/>
      <c r="AA1535" s="390"/>
      <c r="AB1535" s="390"/>
      <c r="AC1535" s="375"/>
      <c r="AD1535" s="375"/>
      <c r="AE1535" s="375"/>
      <c r="AF1535" s="375"/>
    </row>
    <row r="1536" spans="18:32">
      <c r="R1536" s="389"/>
      <c r="S1536" s="389"/>
      <c r="T1536" s="389"/>
      <c r="U1536" s="389"/>
      <c r="V1536" s="389"/>
      <c r="W1536" s="390"/>
      <c r="X1536" s="390"/>
      <c r="Y1536" s="390"/>
      <c r="Z1536" s="390"/>
      <c r="AA1536" s="390"/>
      <c r="AB1536" s="390"/>
      <c r="AC1536" s="375"/>
      <c r="AD1536" s="375"/>
      <c r="AE1536" s="375"/>
      <c r="AF1536" s="375"/>
    </row>
    <row r="1537" spans="18:32">
      <c r="R1537" s="389"/>
      <c r="S1537" s="389"/>
      <c r="T1537" s="389"/>
      <c r="U1537" s="389"/>
      <c r="V1537" s="389"/>
      <c r="W1537" s="390"/>
      <c r="X1537" s="390"/>
      <c r="Y1537" s="390"/>
      <c r="Z1537" s="390"/>
      <c r="AA1537" s="390"/>
      <c r="AB1537" s="390"/>
      <c r="AC1537" s="375"/>
      <c r="AD1537" s="375"/>
      <c r="AE1537" s="375"/>
      <c r="AF1537" s="375"/>
    </row>
    <row r="1538" spans="18:32">
      <c r="R1538" s="389"/>
      <c r="S1538" s="389"/>
      <c r="T1538" s="389"/>
      <c r="U1538" s="389"/>
      <c r="V1538" s="389"/>
      <c r="W1538" s="390"/>
      <c r="X1538" s="390"/>
      <c r="Y1538" s="390"/>
      <c r="Z1538" s="390"/>
      <c r="AA1538" s="390"/>
      <c r="AB1538" s="390"/>
      <c r="AC1538" s="375"/>
      <c r="AD1538" s="375"/>
      <c r="AE1538" s="375"/>
      <c r="AF1538" s="375"/>
    </row>
    <row r="1539" spans="18:32">
      <c r="R1539" s="389"/>
      <c r="S1539" s="389"/>
      <c r="T1539" s="389"/>
      <c r="U1539" s="389"/>
      <c r="V1539" s="389"/>
      <c r="W1539" s="390"/>
      <c r="X1539" s="390"/>
      <c r="Y1539" s="390"/>
      <c r="Z1539" s="390"/>
      <c r="AA1539" s="390"/>
      <c r="AB1539" s="390"/>
      <c r="AC1539" s="375"/>
      <c r="AD1539" s="375"/>
      <c r="AE1539" s="375"/>
      <c r="AF1539" s="375"/>
    </row>
    <row r="1540" spans="18:32">
      <c r="R1540" s="389"/>
      <c r="S1540" s="389"/>
      <c r="T1540" s="389"/>
      <c r="U1540" s="389"/>
      <c r="V1540" s="389"/>
      <c r="W1540" s="390"/>
      <c r="X1540" s="390"/>
      <c r="Y1540" s="390"/>
      <c r="Z1540" s="390"/>
      <c r="AA1540" s="390"/>
      <c r="AB1540" s="390"/>
      <c r="AC1540" s="375"/>
      <c r="AD1540" s="375"/>
      <c r="AE1540" s="375"/>
      <c r="AF1540" s="375"/>
    </row>
    <row r="1541" spans="18:32">
      <c r="R1541" s="389"/>
      <c r="S1541" s="389"/>
      <c r="T1541" s="389"/>
      <c r="U1541" s="389"/>
      <c r="V1541" s="389"/>
      <c r="W1541" s="390"/>
      <c r="X1541" s="390"/>
      <c r="Y1541" s="390"/>
      <c r="Z1541" s="390"/>
      <c r="AA1541" s="390"/>
      <c r="AB1541" s="390"/>
      <c r="AC1541" s="375"/>
      <c r="AD1541" s="375"/>
      <c r="AE1541" s="375"/>
      <c r="AF1541" s="375"/>
    </row>
    <row r="1542" spans="18:32">
      <c r="R1542" s="389"/>
      <c r="S1542" s="389"/>
      <c r="T1542" s="389"/>
      <c r="U1542" s="389"/>
      <c r="V1542" s="389"/>
      <c r="W1542" s="390"/>
      <c r="X1542" s="390"/>
      <c r="Y1542" s="390"/>
      <c r="Z1542" s="390"/>
      <c r="AA1542" s="390"/>
      <c r="AB1542" s="390"/>
      <c r="AC1542" s="375"/>
      <c r="AD1542" s="375"/>
      <c r="AE1542" s="375"/>
      <c r="AF1542" s="375"/>
    </row>
    <row r="1543" spans="18:32">
      <c r="R1543" s="389"/>
      <c r="S1543" s="389"/>
      <c r="T1543" s="389"/>
      <c r="U1543" s="389"/>
      <c r="V1543" s="389"/>
      <c r="W1543" s="390"/>
      <c r="X1543" s="390"/>
      <c r="Y1543" s="390"/>
      <c r="Z1543" s="390"/>
      <c r="AA1543" s="390"/>
      <c r="AB1543" s="390"/>
      <c r="AC1543" s="375"/>
      <c r="AD1543" s="375"/>
      <c r="AE1543" s="375"/>
      <c r="AF1543" s="375"/>
    </row>
    <row r="1544" spans="18:32">
      <c r="R1544" s="389"/>
      <c r="S1544" s="389"/>
      <c r="T1544" s="389"/>
      <c r="U1544" s="389"/>
      <c r="V1544" s="389"/>
      <c r="W1544" s="390"/>
      <c r="X1544" s="390"/>
      <c r="Y1544" s="390"/>
      <c r="Z1544" s="390"/>
      <c r="AA1544" s="390"/>
      <c r="AB1544" s="390"/>
      <c r="AC1544" s="375"/>
      <c r="AD1544" s="375"/>
      <c r="AE1544" s="375"/>
      <c r="AF1544" s="375"/>
    </row>
    <row r="1545" spans="18:32">
      <c r="R1545" s="389"/>
      <c r="S1545" s="389"/>
      <c r="T1545" s="389"/>
      <c r="U1545" s="389"/>
      <c r="V1545" s="389"/>
      <c r="W1545" s="390"/>
      <c r="X1545" s="390"/>
      <c r="Y1545" s="390"/>
      <c r="Z1545" s="390"/>
      <c r="AA1545" s="390"/>
      <c r="AB1545" s="390"/>
      <c r="AC1545" s="375"/>
      <c r="AD1545" s="375"/>
      <c r="AE1545" s="375"/>
      <c r="AF1545" s="375"/>
    </row>
    <row r="1546" spans="18:32">
      <c r="R1546" s="389"/>
      <c r="S1546" s="389"/>
      <c r="T1546" s="389"/>
      <c r="U1546" s="389"/>
      <c r="V1546" s="389"/>
      <c r="W1546" s="390"/>
      <c r="X1546" s="390"/>
      <c r="Y1546" s="390"/>
      <c r="Z1546" s="390"/>
      <c r="AA1546" s="390"/>
      <c r="AB1546" s="390"/>
      <c r="AC1546" s="375"/>
      <c r="AD1546" s="375"/>
      <c r="AE1546" s="375"/>
      <c r="AF1546" s="375"/>
    </row>
    <row r="1547" spans="18:32">
      <c r="R1547" s="389"/>
      <c r="S1547" s="389"/>
      <c r="T1547" s="389"/>
      <c r="U1547" s="389"/>
      <c r="V1547" s="389"/>
      <c r="W1547" s="390"/>
      <c r="X1547" s="390"/>
      <c r="Y1547" s="390"/>
      <c r="Z1547" s="390"/>
      <c r="AA1547" s="390"/>
      <c r="AB1547" s="390"/>
      <c r="AC1547" s="375"/>
      <c r="AD1547" s="375"/>
      <c r="AE1547" s="375"/>
      <c r="AF1547" s="375"/>
    </row>
    <row r="1548" spans="18:32">
      <c r="R1548" s="389"/>
      <c r="S1548" s="389"/>
      <c r="T1548" s="389"/>
      <c r="U1548" s="389"/>
      <c r="V1548" s="389"/>
      <c r="W1548" s="390"/>
      <c r="X1548" s="390"/>
      <c r="Y1548" s="390"/>
      <c r="Z1548" s="390"/>
      <c r="AA1548" s="390"/>
      <c r="AB1548" s="390"/>
      <c r="AC1548" s="375"/>
      <c r="AD1548" s="375"/>
      <c r="AE1548" s="375"/>
      <c r="AF1548" s="375"/>
    </row>
    <row r="1549" spans="18:32">
      <c r="R1549" s="389"/>
      <c r="S1549" s="389"/>
      <c r="T1549" s="389"/>
      <c r="U1549" s="389"/>
      <c r="V1549" s="389"/>
      <c r="W1549" s="390"/>
      <c r="X1549" s="390"/>
      <c r="Y1549" s="390"/>
      <c r="Z1549" s="390"/>
      <c r="AA1549" s="390"/>
      <c r="AB1549" s="390"/>
      <c r="AC1549" s="375"/>
      <c r="AD1549" s="375"/>
      <c r="AE1549" s="375"/>
      <c r="AF1549" s="375"/>
    </row>
    <row r="1550" spans="18:32">
      <c r="R1550" s="389"/>
      <c r="S1550" s="389"/>
      <c r="T1550" s="389"/>
      <c r="U1550" s="389"/>
      <c r="V1550" s="389"/>
      <c r="W1550" s="390"/>
      <c r="X1550" s="390"/>
      <c r="Y1550" s="390"/>
      <c r="Z1550" s="390"/>
      <c r="AA1550" s="390"/>
      <c r="AB1550" s="390"/>
      <c r="AC1550" s="375"/>
      <c r="AD1550" s="375"/>
      <c r="AE1550" s="375"/>
      <c r="AF1550" s="375"/>
    </row>
    <row r="1551" spans="18:32">
      <c r="R1551" s="389"/>
      <c r="S1551" s="389"/>
      <c r="T1551" s="389"/>
      <c r="U1551" s="389"/>
      <c r="V1551" s="389"/>
      <c r="W1551" s="390"/>
      <c r="X1551" s="390"/>
      <c r="Y1551" s="390"/>
      <c r="Z1551" s="390"/>
      <c r="AA1551" s="390"/>
      <c r="AB1551" s="390"/>
      <c r="AC1551" s="375"/>
      <c r="AD1551" s="375"/>
      <c r="AE1551" s="375"/>
      <c r="AF1551" s="375"/>
    </row>
    <row r="1552" spans="18:32">
      <c r="R1552" s="389"/>
      <c r="S1552" s="389"/>
      <c r="T1552" s="389"/>
      <c r="U1552" s="389"/>
      <c r="V1552" s="389"/>
      <c r="W1552" s="390"/>
      <c r="X1552" s="390"/>
      <c r="Y1552" s="390"/>
      <c r="Z1552" s="390"/>
      <c r="AA1552" s="390"/>
      <c r="AB1552" s="390"/>
      <c r="AC1552" s="375"/>
      <c r="AD1552" s="375"/>
      <c r="AE1552" s="375"/>
      <c r="AF1552" s="375"/>
    </row>
    <row r="1553" spans="18:32">
      <c r="R1553" s="389"/>
      <c r="S1553" s="389"/>
      <c r="T1553" s="389"/>
      <c r="U1553" s="389"/>
      <c r="V1553" s="389"/>
      <c r="W1553" s="390"/>
      <c r="X1553" s="390"/>
      <c r="Y1553" s="390"/>
      <c r="Z1553" s="390"/>
      <c r="AA1553" s="390"/>
      <c r="AB1553" s="390"/>
      <c r="AC1553" s="375"/>
      <c r="AD1553" s="375"/>
      <c r="AE1553" s="375"/>
      <c r="AF1553" s="375"/>
    </row>
    <row r="1554" spans="18:32">
      <c r="R1554" s="389"/>
      <c r="S1554" s="389"/>
      <c r="T1554" s="389"/>
      <c r="U1554" s="389"/>
      <c r="V1554" s="389"/>
      <c r="W1554" s="390"/>
      <c r="X1554" s="390"/>
      <c r="Y1554" s="390"/>
      <c r="Z1554" s="390"/>
      <c r="AA1554" s="390"/>
      <c r="AB1554" s="390"/>
      <c r="AC1554" s="375"/>
      <c r="AD1554" s="375"/>
      <c r="AE1554" s="375"/>
      <c r="AF1554" s="375"/>
    </row>
    <row r="1555" spans="18:32">
      <c r="R1555" s="389"/>
      <c r="S1555" s="389"/>
      <c r="T1555" s="389"/>
      <c r="U1555" s="389"/>
      <c r="V1555" s="389"/>
      <c r="W1555" s="390"/>
      <c r="X1555" s="390"/>
      <c r="Y1555" s="390"/>
      <c r="Z1555" s="390"/>
      <c r="AA1555" s="390"/>
      <c r="AB1555" s="390"/>
      <c r="AC1555" s="375"/>
      <c r="AD1555" s="375"/>
      <c r="AE1555" s="375"/>
      <c r="AF1555" s="375"/>
    </row>
    <row r="1556" spans="18:32">
      <c r="R1556" s="389"/>
      <c r="S1556" s="389"/>
      <c r="T1556" s="389"/>
      <c r="U1556" s="389"/>
      <c r="V1556" s="389"/>
      <c r="W1556" s="390"/>
      <c r="X1556" s="390"/>
      <c r="Y1556" s="390"/>
      <c r="Z1556" s="390"/>
      <c r="AA1556" s="390"/>
      <c r="AB1556" s="390"/>
      <c r="AC1556" s="375"/>
      <c r="AD1556" s="375"/>
      <c r="AE1556" s="375"/>
      <c r="AF1556" s="375"/>
    </row>
    <row r="1557" spans="18:32">
      <c r="R1557" s="389"/>
      <c r="S1557" s="389"/>
      <c r="T1557" s="389"/>
      <c r="U1557" s="389"/>
      <c r="V1557" s="389"/>
      <c r="W1557" s="390"/>
      <c r="X1557" s="390"/>
      <c r="Y1557" s="390"/>
      <c r="Z1557" s="390"/>
      <c r="AA1557" s="390"/>
      <c r="AB1557" s="390"/>
      <c r="AC1557" s="375"/>
      <c r="AD1557" s="375"/>
      <c r="AE1557" s="375"/>
      <c r="AF1557" s="375"/>
    </row>
    <row r="1558" spans="18:32">
      <c r="R1558" s="389"/>
      <c r="S1558" s="389"/>
      <c r="T1558" s="389"/>
      <c r="U1558" s="389"/>
      <c r="V1558" s="389"/>
      <c r="W1558" s="390"/>
      <c r="X1558" s="390"/>
      <c r="Y1558" s="390"/>
      <c r="Z1558" s="390"/>
      <c r="AA1558" s="390"/>
      <c r="AB1558" s="390"/>
      <c r="AC1558" s="375"/>
      <c r="AD1558" s="375"/>
      <c r="AE1558" s="375"/>
      <c r="AF1558" s="375"/>
    </row>
    <row r="1559" spans="18:32">
      <c r="R1559" s="389"/>
      <c r="S1559" s="389"/>
      <c r="T1559" s="389"/>
      <c r="U1559" s="389"/>
      <c r="V1559" s="389"/>
      <c r="W1559" s="390"/>
      <c r="X1559" s="390"/>
      <c r="Y1559" s="390"/>
      <c r="Z1559" s="390"/>
      <c r="AA1559" s="390"/>
      <c r="AB1559" s="390"/>
      <c r="AC1559" s="375"/>
      <c r="AD1559" s="375"/>
      <c r="AE1559" s="375"/>
      <c r="AF1559" s="375"/>
    </row>
    <row r="1560" spans="18:32">
      <c r="R1560" s="389"/>
      <c r="S1560" s="389"/>
      <c r="T1560" s="389"/>
      <c r="U1560" s="389"/>
      <c r="V1560" s="389"/>
      <c r="W1560" s="390"/>
      <c r="X1560" s="390"/>
      <c r="Y1560" s="390"/>
      <c r="Z1560" s="390"/>
      <c r="AA1560" s="390"/>
      <c r="AB1560" s="390"/>
      <c r="AC1560" s="375"/>
      <c r="AD1560" s="375"/>
      <c r="AE1560" s="375"/>
      <c r="AF1560" s="375"/>
    </row>
    <row r="1561" spans="18:32">
      <c r="R1561" s="389"/>
      <c r="S1561" s="389"/>
      <c r="T1561" s="389"/>
      <c r="U1561" s="389"/>
      <c r="V1561" s="389"/>
      <c r="W1561" s="390"/>
      <c r="X1561" s="390"/>
      <c r="Y1561" s="390"/>
      <c r="Z1561" s="390"/>
      <c r="AA1561" s="390"/>
      <c r="AB1561" s="390"/>
      <c r="AC1561" s="375"/>
      <c r="AD1561" s="375"/>
      <c r="AE1561" s="375"/>
      <c r="AF1561" s="375"/>
    </row>
    <row r="1562" spans="18:32">
      <c r="R1562" s="389"/>
      <c r="S1562" s="389"/>
      <c r="T1562" s="389"/>
      <c r="U1562" s="389"/>
      <c r="V1562" s="389"/>
      <c r="W1562" s="390"/>
      <c r="X1562" s="390"/>
      <c r="Y1562" s="390"/>
      <c r="Z1562" s="390"/>
      <c r="AA1562" s="390"/>
      <c r="AB1562" s="390"/>
      <c r="AC1562" s="375"/>
      <c r="AD1562" s="375"/>
      <c r="AE1562" s="375"/>
      <c r="AF1562" s="375"/>
    </row>
    <row r="1563" spans="18:32">
      <c r="R1563" s="389"/>
      <c r="S1563" s="389"/>
      <c r="T1563" s="389"/>
      <c r="U1563" s="389"/>
      <c r="V1563" s="389"/>
      <c r="W1563" s="390"/>
      <c r="X1563" s="390"/>
      <c r="Y1563" s="390"/>
      <c r="Z1563" s="390"/>
      <c r="AA1563" s="390"/>
      <c r="AB1563" s="390"/>
      <c r="AC1563" s="375"/>
      <c r="AD1563" s="375"/>
      <c r="AE1563" s="375"/>
      <c r="AF1563" s="375"/>
    </row>
    <row r="1564" spans="18:32">
      <c r="R1564" s="389"/>
      <c r="S1564" s="389"/>
      <c r="T1564" s="389"/>
      <c r="U1564" s="389"/>
      <c r="V1564" s="389"/>
      <c r="W1564" s="390"/>
      <c r="X1564" s="390"/>
      <c r="Y1564" s="390"/>
      <c r="Z1564" s="390"/>
      <c r="AA1564" s="390"/>
      <c r="AB1564" s="390"/>
      <c r="AC1564" s="375"/>
      <c r="AD1564" s="375"/>
      <c r="AE1564" s="375"/>
      <c r="AF1564" s="375"/>
    </row>
    <row r="1565" spans="18:32">
      <c r="R1565" s="389"/>
      <c r="S1565" s="389"/>
      <c r="T1565" s="389"/>
      <c r="U1565" s="389"/>
      <c r="V1565" s="389"/>
      <c r="W1565" s="390"/>
      <c r="X1565" s="390"/>
      <c r="Y1565" s="390"/>
      <c r="Z1565" s="390"/>
      <c r="AA1565" s="390"/>
      <c r="AB1565" s="390"/>
      <c r="AC1565" s="375"/>
      <c r="AD1565" s="375"/>
      <c r="AE1565" s="375"/>
      <c r="AF1565" s="375"/>
    </row>
    <row r="1566" spans="18:32">
      <c r="R1566" s="389"/>
      <c r="S1566" s="389"/>
      <c r="T1566" s="389"/>
      <c r="U1566" s="389"/>
      <c r="V1566" s="389"/>
      <c r="W1566" s="390"/>
      <c r="X1566" s="390"/>
      <c r="Y1566" s="390"/>
      <c r="Z1566" s="390"/>
      <c r="AA1566" s="390"/>
      <c r="AB1566" s="390"/>
      <c r="AC1566" s="375"/>
      <c r="AD1566" s="375"/>
      <c r="AE1566" s="375"/>
      <c r="AF1566" s="375"/>
    </row>
    <row r="1567" spans="18:32">
      <c r="R1567" s="389"/>
      <c r="S1567" s="389"/>
      <c r="T1567" s="389"/>
      <c r="U1567" s="389"/>
      <c r="V1567" s="389"/>
      <c r="W1567" s="390"/>
      <c r="X1567" s="390"/>
      <c r="Y1567" s="390"/>
      <c r="Z1567" s="390"/>
      <c r="AA1567" s="390"/>
      <c r="AB1567" s="390"/>
      <c r="AC1567" s="375"/>
      <c r="AD1567" s="375"/>
      <c r="AE1567" s="375"/>
      <c r="AF1567" s="375"/>
    </row>
    <row r="1568" spans="18:32">
      <c r="R1568" s="389"/>
      <c r="S1568" s="389"/>
      <c r="T1568" s="389"/>
      <c r="U1568" s="389"/>
      <c r="V1568" s="389"/>
      <c r="W1568" s="390"/>
      <c r="X1568" s="390"/>
      <c r="Y1568" s="390"/>
      <c r="Z1568" s="390"/>
      <c r="AA1568" s="390"/>
      <c r="AB1568" s="390"/>
      <c r="AC1568" s="375"/>
      <c r="AD1568" s="375"/>
      <c r="AE1568" s="375"/>
      <c r="AF1568" s="375"/>
    </row>
    <row r="1569" spans="18:32">
      <c r="R1569" s="389"/>
      <c r="S1569" s="389"/>
      <c r="T1569" s="389"/>
      <c r="U1569" s="389"/>
      <c r="V1569" s="389"/>
      <c r="W1569" s="390"/>
      <c r="X1569" s="390"/>
      <c r="Y1569" s="390"/>
      <c r="Z1569" s="390"/>
      <c r="AA1569" s="390"/>
      <c r="AB1569" s="390"/>
      <c r="AC1569" s="375"/>
      <c r="AD1569" s="375"/>
      <c r="AE1569" s="375"/>
      <c r="AF1569" s="375"/>
    </row>
    <row r="1570" spans="18:32">
      <c r="R1570" s="389"/>
      <c r="S1570" s="389"/>
      <c r="T1570" s="389"/>
      <c r="U1570" s="389"/>
      <c r="V1570" s="389"/>
      <c r="W1570" s="390"/>
      <c r="X1570" s="390"/>
      <c r="Y1570" s="390"/>
      <c r="Z1570" s="390"/>
      <c r="AA1570" s="390"/>
      <c r="AB1570" s="390"/>
      <c r="AC1570" s="375"/>
      <c r="AD1570" s="375"/>
      <c r="AE1570" s="375"/>
      <c r="AF1570" s="375"/>
    </row>
    <row r="1571" spans="18:32">
      <c r="R1571" s="389"/>
      <c r="S1571" s="389"/>
      <c r="T1571" s="389"/>
      <c r="U1571" s="389"/>
      <c r="V1571" s="389"/>
      <c r="W1571" s="390"/>
      <c r="X1571" s="390"/>
      <c r="Y1571" s="390"/>
      <c r="Z1571" s="390"/>
      <c r="AA1571" s="390"/>
      <c r="AB1571" s="390"/>
      <c r="AC1571" s="375"/>
      <c r="AD1571" s="375"/>
      <c r="AE1571" s="375"/>
      <c r="AF1571" s="375"/>
    </row>
    <row r="1572" spans="18:32">
      <c r="R1572" s="389"/>
      <c r="S1572" s="389"/>
      <c r="T1572" s="389"/>
      <c r="U1572" s="389"/>
      <c r="V1572" s="389"/>
      <c r="W1572" s="390"/>
      <c r="X1572" s="390"/>
      <c r="Y1572" s="390"/>
      <c r="Z1572" s="390"/>
      <c r="AA1572" s="390"/>
      <c r="AB1572" s="390"/>
      <c r="AC1572" s="375"/>
      <c r="AD1572" s="375"/>
      <c r="AE1572" s="375"/>
      <c r="AF1572" s="375"/>
    </row>
    <row r="1573" spans="18:32">
      <c r="R1573" s="389"/>
      <c r="S1573" s="389"/>
      <c r="T1573" s="389"/>
      <c r="U1573" s="389"/>
      <c r="V1573" s="389"/>
      <c r="W1573" s="390"/>
      <c r="X1573" s="390"/>
      <c r="Y1573" s="390"/>
      <c r="Z1573" s="390"/>
      <c r="AA1573" s="390"/>
      <c r="AB1573" s="390"/>
      <c r="AC1573" s="375"/>
      <c r="AD1573" s="375"/>
      <c r="AE1573" s="375"/>
      <c r="AF1573" s="375"/>
    </row>
    <row r="1574" spans="18:32">
      <c r="R1574" s="389"/>
      <c r="S1574" s="389"/>
      <c r="T1574" s="389"/>
      <c r="U1574" s="389"/>
      <c r="V1574" s="389"/>
      <c r="W1574" s="390"/>
      <c r="X1574" s="390"/>
      <c r="Y1574" s="390"/>
      <c r="Z1574" s="390"/>
      <c r="AA1574" s="390"/>
      <c r="AB1574" s="390"/>
      <c r="AC1574" s="375"/>
      <c r="AD1574" s="375"/>
      <c r="AE1574" s="375"/>
      <c r="AF1574" s="375"/>
    </row>
    <row r="1575" spans="18:32">
      <c r="R1575" s="389"/>
      <c r="S1575" s="389"/>
      <c r="T1575" s="389"/>
      <c r="U1575" s="389"/>
      <c r="V1575" s="389"/>
      <c r="W1575" s="390"/>
      <c r="X1575" s="390"/>
      <c r="Y1575" s="390"/>
      <c r="Z1575" s="390"/>
      <c r="AA1575" s="390"/>
      <c r="AB1575" s="390"/>
      <c r="AC1575" s="375"/>
      <c r="AD1575" s="375"/>
      <c r="AE1575" s="375"/>
      <c r="AF1575" s="375"/>
    </row>
    <row r="1576" spans="18:32">
      <c r="R1576" s="389"/>
      <c r="S1576" s="389"/>
      <c r="T1576" s="389"/>
      <c r="U1576" s="389"/>
      <c r="V1576" s="389"/>
      <c r="W1576" s="390"/>
      <c r="X1576" s="390"/>
      <c r="Y1576" s="390"/>
      <c r="Z1576" s="390"/>
      <c r="AA1576" s="390"/>
      <c r="AB1576" s="390"/>
      <c r="AC1576" s="375"/>
      <c r="AD1576" s="375"/>
      <c r="AE1576" s="375"/>
      <c r="AF1576" s="375"/>
    </row>
    <row r="1577" spans="18:32">
      <c r="R1577" s="389"/>
      <c r="S1577" s="389"/>
      <c r="T1577" s="389"/>
      <c r="U1577" s="389"/>
      <c r="V1577" s="389"/>
      <c r="W1577" s="390"/>
      <c r="X1577" s="390"/>
      <c r="Y1577" s="390"/>
      <c r="Z1577" s="390"/>
      <c r="AA1577" s="390"/>
      <c r="AB1577" s="390"/>
      <c r="AC1577" s="375"/>
      <c r="AD1577" s="375"/>
      <c r="AE1577" s="375"/>
      <c r="AF1577" s="375"/>
    </row>
    <row r="1578" spans="18:32">
      <c r="R1578" s="389"/>
      <c r="S1578" s="389"/>
      <c r="T1578" s="389"/>
      <c r="U1578" s="389"/>
      <c r="V1578" s="389"/>
      <c r="W1578" s="390"/>
      <c r="X1578" s="390"/>
      <c r="Y1578" s="390"/>
      <c r="Z1578" s="390"/>
      <c r="AA1578" s="390"/>
      <c r="AB1578" s="390"/>
      <c r="AC1578" s="375"/>
      <c r="AD1578" s="375"/>
      <c r="AE1578" s="375"/>
      <c r="AF1578" s="375"/>
    </row>
    <row r="1579" spans="18:32">
      <c r="R1579" s="389"/>
      <c r="S1579" s="389"/>
      <c r="T1579" s="389"/>
      <c r="U1579" s="389"/>
      <c r="V1579" s="389"/>
      <c r="W1579" s="390"/>
      <c r="X1579" s="390"/>
      <c r="Y1579" s="390"/>
      <c r="Z1579" s="390"/>
      <c r="AA1579" s="390"/>
      <c r="AB1579" s="390"/>
      <c r="AC1579" s="375"/>
      <c r="AD1579" s="375"/>
      <c r="AE1579" s="375"/>
      <c r="AF1579" s="375"/>
    </row>
    <row r="1580" spans="18:32">
      <c r="R1580" s="389"/>
      <c r="S1580" s="389"/>
      <c r="T1580" s="389"/>
      <c r="U1580" s="389"/>
      <c r="V1580" s="389"/>
      <c r="W1580" s="390"/>
      <c r="X1580" s="390"/>
      <c r="Y1580" s="390"/>
      <c r="Z1580" s="390"/>
      <c r="AA1580" s="390"/>
      <c r="AB1580" s="390"/>
      <c r="AC1580" s="375"/>
      <c r="AD1580" s="375"/>
      <c r="AE1580" s="375"/>
      <c r="AF1580" s="375"/>
    </row>
    <row r="1581" spans="18:32">
      <c r="R1581" s="389"/>
      <c r="S1581" s="389"/>
      <c r="T1581" s="389"/>
      <c r="U1581" s="389"/>
      <c r="V1581" s="389"/>
      <c r="W1581" s="390"/>
      <c r="X1581" s="390"/>
      <c r="Y1581" s="390"/>
      <c r="Z1581" s="390"/>
      <c r="AA1581" s="390"/>
      <c r="AB1581" s="390"/>
      <c r="AC1581" s="375"/>
      <c r="AD1581" s="375"/>
      <c r="AE1581" s="375"/>
      <c r="AF1581" s="375"/>
    </row>
    <row r="1582" spans="18:32">
      <c r="R1582" s="389"/>
      <c r="S1582" s="389"/>
      <c r="T1582" s="389"/>
      <c r="U1582" s="389"/>
      <c r="V1582" s="389"/>
      <c r="W1582" s="390"/>
      <c r="X1582" s="390"/>
      <c r="Y1582" s="390"/>
      <c r="Z1582" s="390"/>
      <c r="AA1582" s="390"/>
      <c r="AB1582" s="390"/>
      <c r="AC1582" s="375"/>
      <c r="AD1582" s="375"/>
      <c r="AE1582" s="375"/>
      <c r="AF1582" s="375"/>
    </row>
    <row r="1583" spans="18:32">
      <c r="R1583" s="389"/>
      <c r="S1583" s="389"/>
      <c r="T1583" s="389"/>
      <c r="U1583" s="389"/>
      <c r="V1583" s="389"/>
      <c r="W1583" s="390"/>
      <c r="X1583" s="390"/>
      <c r="Y1583" s="390"/>
      <c r="Z1583" s="390"/>
      <c r="AA1583" s="390"/>
      <c r="AB1583" s="390"/>
      <c r="AC1583" s="375"/>
      <c r="AD1583" s="375"/>
      <c r="AE1583" s="375"/>
      <c r="AF1583" s="375"/>
    </row>
    <row r="1584" spans="18:32">
      <c r="R1584" s="389"/>
      <c r="S1584" s="389"/>
      <c r="T1584" s="389"/>
      <c r="U1584" s="389"/>
      <c r="V1584" s="389"/>
      <c r="W1584" s="390"/>
      <c r="X1584" s="390"/>
      <c r="Y1584" s="390"/>
      <c r="Z1584" s="390"/>
      <c r="AA1584" s="390"/>
      <c r="AB1584" s="390"/>
      <c r="AC1584" s="375"/>
      <c r="AD1584" s="375"/>
      <c r="AE1584" s="375"/>
      <c r="AF1584" s="375"/>
    </row>
    <row r="1585" spans="18:32">
      <c r="R1585" s="389"/>
      <c r="S1585" s="389"/>
      <c r="T1585" s="389"/>
      <c r="U1585" s="389"/>
      <c r="V1585" s="389"/>
      <c r="W1585" s="390"/>
      <c r="X1585" s="390"/>
      <c r="Y1585" s="390"/>
      <c r="Z1585" s="390"/>
      <c r="AA1585" s="390"/>
      <c r="AB1585" s="390"/>
      <c r="AC1585" s="375"/>
      <c r="AD1585" s="375"/>
      <c r="AE1585" s="375"/>
      <c r="AF1585" s="375"/>
    </row>
    <row r="1586" spans="18:32">
      <c r="R1586" s="389"/>
      <c r="S1586" s="389"/>
      <c r="T1586" s="389"/>
      <c r="U1586" s="389"/>
      <c r="V1586" s="389"/>
      <c r="W1586" s="390"/>
      <c r="X1586" s="390"/>
      <c r="Y1586" s="390"/>
      <c r="Z1586" s="390"/>
      <c r="AA1586" s="390"/>
      <c r="AB1586" s="390"/>
      <c r="AC1586" s="375"/>
      <c r="AD1586" s="375"/>
      <c r="AE1586" s="375"/>
      <c r="AF1586" s="375"/>
    </row>
    <row r="1587" spans="18:32">
      <c r="R1587" s="389"/>
      <c r="S1587" s="389"/>
      <c r="T1587" s="389"/>
      <c r="U1587" s="389"/>
      <c r="V1587" s="389"/>
      <c r="W1587" s="390"/>
      <c r="X1587" s="390"/>
      <c r="Y1587" s="390"/>
      <c r="Z1587" s="390"/>
      <c r="AA1587" s="390"/>
      <c r="AB1587" s="390"/>
      <c r="AC1587" s="375"/>
      <c r="AD1587" s="375"/>
      <c r="AE1587" s="375"/>
      <c r="AF1587" s="375"/>
    </row>
    <row r="1588" spans="18:32">
      <c r="R1588" s="389"/>
      <c r="S1588" s="389"/>
      <c r="T1588" s="389"/>
      <c r="U1588" s="389"/>
      <c r="V1588" s="389"/>
      <c r="W1588" s="390"/>
      <c r="X1588" s="390"/>
      <c r="Y1588" s="390"/>
      <c r="Z1588" s="390"/>
      <c r="AA1588" s="390"/>
      <c r="AB1588" s="390"/>
      <c r="AC1588" s="375"/>
      <c r="AD1588" s="375"/>
      <c r="AE1588" s="375"/>
      <c r="AF1588" s="375"/>
    </row>
    <row r="1589" spans="18:32">
      <c r="R1589" s="389"/>
      <c r="S1589" s="389"/>
      <c r="T1589" s="389"/>
      <c r="U1589" s="389"/>
      <c r="V1589" s="389"/>
      <c r="W1589" s="390"/>
      <c r="X1589" s="390"/>
      <c r="Y1589" s="390"/>
      <c r="Z1589" s="390"/>
      <c r="AA1589" s="390"/>
      <c r="AB1589" s="390"/>
      <c r="AC1589" s="375"/>
      <c r="AD1589" s="375"/>
      <c r="AE1589" s="375"/>
      <c r="AF1589" s="375"/>
    </row>
    <row r="1590" spans="18:32">
      <c r="R1590" s="389"/>
      <c r="S1590" s="389"/>
      <c r="T1590" s="389"/>
      <c r="U1590" s="389"/>
      <c r="V1590" s="389"/>
      <c r="W1590" s="390"/>
      <c r="X1590" s="390"/>
      <c r="Y1590" s="390"/>
      <c r="Z1590" s="390"/>
      <c r="AA1590" s="390"/>
      <c r="AB1590" s="390"/>
      <c r="AC1590" s="375"/>
      <c r="AD1590" s="375"/>
      <c r="AE1590" s="375"/>
      <c r="AF1590" s="375"/>
    </row>
    <row r="1591" spans="18:32">
      <c r="R1591" s="389"/>
      <c r="S1591" s="389"/>
      <c r="T1591" s="389"/>
      <c r="U1591" s="389"/>
      <c r="V1591" s="389"/>
      <c r="W1591" s="390"/>
      <c r="X1591" s="390"/>
      <c r="Y1591" s="390"/>
      <c r="Z1591" s="390"/>
      <c r="AA1591" s="390"/>
      <c r="AB1591" s="390"/>
      <c r="AC1591" s="375"/>
      <c r="AD1591" s="375"/>
      <c r="AE1591" s="375"/>
      <c r="AF1591" s="375"/>
    </row>
    <row r="1592" spans="18:32">
      <c r="R1592" s="389"/>
      <c r="S1592" s="389"/>
      <c r="T1592" s="389"/>
      <c r="U1592" s="389"/>
      <c r="V1592" s="389"/>
      <c r="W1592" s="390"/>
      <c r="X1592" s="390"/>
      <c r="Y1592" s="390"/>
      <c r="Z1592" s="390"/>
      <c r="AA1592" s="390"/>
      <c r="AB1592" s="390"/>
      <c r="AC1592" s="375"/>
      <c r="AD1592" s="375"/>
      <c r="AE1592" s="375"/>
      <c r="AF1592" s="375"/>
    </row>
    <row r="1593" spans="18:32">
      <c r="R1593" s="389"/>
      <c r="S1593" s="389"/>
      <c r="T1593" s="389"/>
      <c r="U1593" s="389"/>
      <c r="V1593" s="389"/>
      <c r="W1593" s="390"/>
      <c r="X1593" s="390"/>
      <c r="Y1593" s="390"/>
      <c r="Z1593" s="390"/>
      <c r="AA1593" s="390"/>
      <c r="AB1593" s="390"/>
      <c r="AC1593" s="375"/>
      <c r="AD1593" s="375"/>
      <c r="AE1593" s="375"/>
      <c r="AF1593" s="375"/>
    </row>
    <row r="1594" spans="18:32">
      <c r="R1594" s="389"/>
      <c r="S1594" s="389"/>
      <c r="T1594" s="389"/>
      <c r="U1594" s="389"/>
      <c r="V1594" s="389"/>
      <c r="W1594" s="390"/>
      <c r="X1594" s="390"/>
      <c r="Y1594" s="390"/>
      <c r="Z1594" s="390"/>
      <c r="AA1594" s="390"/>
      <c r="AB1594" s="390"/>
      <c r="AC1594" s="375"/>
      <c r="AD1594" s="375"/>
      <c r="AE1594" s="375"/>
      <c r="AF1594" s="375"/>
    </row>
    <row r="1595" spans="18:32">
      <c r="R1595" s="389"/>
      <c r="S1595" s="389"/>
      <c r="T1595" s="389"/>
      <c r="U1595" s="389"/>
      <c r="V1595" s="389"/>
      <c r="W1595" s="390"/>
      <c r="X1595" s="390"/>
      <c r="Y1595" s="390"/>
      <c r="Z1595" s="390"/>
      <c r="AA1595" s="390"/>
      <c r="AB1595" s="390"/>
      <c r="AC1595" s="375"/>
      <c r="AD1595" s="375"/>
      <c r="AE1595" s="375"/>
      <c r="AF1595" s="375"/>
    </row>
    <row r="1596" spans="18:32">
      <c r="R1596" s="389"/>
      <c r="S1596" s="389"/>
      <c r="T1596" s="389"/>
      <c r="U1596" s="389"/>
      <c r="V1596" s="389"/>
      <c r="W1596" s="390"/>
      <c r="X1596" s="390"/>
      <c r="Y1596" s="390"/>
      <c r="Z1596" s="390"/>
      <c r="AA1596" s="390"/>
      <c r="AB1596" s="390"/>
      <c r="AC1596" s="375"/>
      <c r="AD1596" s="375"/>
      <c r="AE1596" s="375"/>
      <c r="AF1596" s="375"/>
    </row>
    <row r="1597" spans="18:32">
      <c r="R1597" s="389"/>
      <c r="S1597" s="389"/>
      <c r="T1597" s="389"/>
      <c r="U1597" s="389"/>
      <c r="V1597" s="389"/>
      <c r="W1597" s="390"/>
      <c r="X1597" s="390"/>
      <c r="Y1597" s="390"/>
      <c r="Z1597" s="390"/>
      <c r="AA1597" s="390"/>
      <c r="AB1597" s="390"/>
      <c r="AC1597" s="375"/>
      <c r="AD1597" s="375"/>
      <c r="AE1597" s="375"/>
      <c r="AF1597" s="375"/>
    </row>
    <row r="1598" spans="18:32">
      <c r="R1598" s="389"/>
      <c r="S1598" s="389"/>
      <c r="T1598" s="389"/>
      <c r="U1598" s="389"/>
      <c r="V1598" s="389"/>
      <c r="W1598" s="390"/>
      <c r="X1598" s="390"/>
      <c r="Y1598" s="390"/>
      <c r="Z1598" s="390"/>
      <c r="AA1598" s="390"/>
      <c r="AB1598" s="390"/>
      <c r="AC1598" s="375"/>
      <c r="AD1598" s="375"/>
      <c r="AE1598" s="375"/>
      <c r="AF1598" s="375"/>
    </row>
    <row r="1599" spans="18:32">
      <c r="R1599" s="389"/>
      <c r="S1599" s="389"/>
      <c r="T1599" s="389"/>
      <c r="U1599" s="389"/>
      <c r="V1599" s="389"/>
      <c r="W1599" s="390"/>
      <c r="X1599" s="390"/>
      <c r="Y1599" s="390"/>
      <c r="Z1599" s="390"/>
      <c r="AA1599" s="390"/>
      <c r="AB1599" s="390"/>
      <c r="AC1599" s="375"/>
      <c r="AD1599" s="375"/>
      <c r="AE1599" s="375"/>
      <c r="AF1599" s="375"/>
    </row>
    <row r="1600" spans="18:32">
      <c r="R1600" s="389"/>
      <c r="S1600" s="389"/>
      <c r="T1600" s="389"/>
      <c r="U1600" s="389"/>
      <c r="V1600" s="389"/>
      <c r="W1600" s="390"/>
      <c r="X1600" s="390"/>
      <c r="Y1600" s="390"/>
      <c r="Z1600" s="390"/>
      <c r="AA1600" s="390"/>
      <c r="AB1600" s="390"/>
      <c r="AC1600" s="375"/>
      <c r="AD1600" s="375"/>
      <c r="AE1600" s="375"/>
      <c r="AF1600" s="375"/>
    </row>
    <row r="1601" spans="18:32">
      <c r="R1601" s="389"/>
      <c r="S1601" s="389"/>
      <c r="T1601" s="389"/>
      <c r="U1601" s="389"/>
      <c r="V1601" s="389"/>
      <c r="W1601" s="390"/>
      <c r="X1601" s="390"/>
      <c r="Y1601" s="390"/>
      <c r="Z1601" s="390"/>
      <c r="AA1601" s="390"/>
      <c r="AB1601" s="390"/>
      <c r="AC1601" s="375"/>
      <c r="AD1601" s="375"/>
      <c r="AE1601" s="375"/>
      <c r="AF1601" s="375"/>
    </row>
    <row r="1602" spans="18:32">
      <c r="R1602" s="389"/>
      <c r="S1602" s="389"/>
      <c r="T1602" s="389"/>
      <c r="U1602" s="389"/>
      <c r="V1602" s="389"/>
      <c r="W1602" s="390"/>
      <c r="X1602" s="390"/>
      <c r="Y1602" s="390"/>
      <c r="Z1602" s="390"/>
      <c r="AA1602" s="390"/>
      <c r="AB1602" s="390"/>
      <c r="AC1602" s="375"/>
      <c r="AD1602" s="375"/>
      <c r="AE1602" s="375"/>
      <c r="AF1602" s="375"/>
    </row>
    <row r="1603" spans="18:32">
      <c r="R1603" s="389"/>
      <c r="S1603" s="389"/>
      <c r="T1603" s="389"/>
      <c r="U1603" s="389"/>
      <c r="V1603" s="389"/>
      <c r="W1603" s="390"/>
      <c r="X1603" s="390"/>
      <c r="Y1603" s="390"/>
      <c r="Z1603" s="390"/>
      <c r="AA1603" s="390"/>
      <c r="AB1603" s="390"/>
      <c r="AC1603" s="375"/>
      <c r="AD1603" s="375"/>
      <c r="AE1603" s="375"/>
      <c r="AF1603" s="375"/>
    </row>
    <row r="1604" spans="18:32">
      <c r="R1604" s="389"/>
      <c r="S1604" s="389"/>
      <c r="T1604" s="389"/>
      <c r="U1604" s="389"/>
      <c r="V1604" s="389"/>
      <c r="W1604" s="390"/>
      <c r="X1604" s="390"/>
      <c r="Y1604" s="390"/>
      <c r="Z1604" s="390"/>
      <c r="AA1604" s="390"/>
      <c r="AB1604" s="390"/>
      <c r="AC1604" s="375"/>
      <c r="AD1604" s="375"/>
      <c r="AE1604" s="375"/>
      <c r="AF1604" s="375"/>
    </row>
    <row r="1605" spans="18:32">
      <c r="R1605" s="389"/>
      <c r="S1605" s="389"/>
      <c r="T1605" s="389"/>
      <c r="U1605" s="389"/>
      <c r="V1605" s="389"/>
      <c r="W1605" s="390"/>
      <c r="X1605" s="390"/>
      <c r="Y1605" s="390"/>
      <c r="Z1605" s="390"/>
      <c r="AA1605" s="390"/>
      <c r="AB1605" s="390"/>
      <c r="AC1605" s="375"/>
      <c r="AD1605" s="375"/>
      <c r="AE1605" s="375"/>
      <c r="AF1605" s="375"/>
    </row>
    <row r="1606" spans="18:32">
      <c r="R1606" s="389"/>
      <c r="S1606" s="389"/>
      <c r="T1606" s="389"/>
      <c r="U1606" s="389"/>
      <c r="V1606" s="389"/>
      <c r="W1606" s="390"/>
      <c r="X1606" s="390"/>
      <c r="Y1606" s="390"/>
      <c r="Z1606" s="390"/>
      <c r="AA1606" s="390"/>
      <c r="AB1606" s="390"/>
      <c r="AC1606" s="375"/>
      <c r="AD1606" s="375"/>
      <c r="AE1606" s="375"/>
      <c r="AF1606" s="375"/>
    </row>
    <row r="1607" spans="18:32">
      <c r="R1607" s="389"/>
      <c r="S1607" s="389"/>
      <c r="T1607" s="389"/>
      <c r="U1607" s="389"/>
      <c r="V1607" s="389"/>
      <c r="W1607" s="390"/>
      <c r="X1607" s="390"/>
      <c r="Y1607" s="390"/>
      <c r="Z1607" s="390"/>
      <c r="AA1607" s="390"/>
      <c r="AB1607" s="390"/>
      <c r="AC1607" s="375"/>
      <c r="AD1607" s="375"/>
      <c r="AE1607" s="375"/>
      <c r="AF1607" s="375"/>
    </row>
    <row r="1608" spans="18:32">
      <c r="R1608" s="389"/>
      <c r="S1608" s="389"/>
      <c r="T1608" s="389"/>
      <c r="U1608" s="389"/>
      <c r="V1608" s="389"/>
      <c r="W1608" s="390"/>
      <c r="X1608" s="390"/>
      <c r="Y1608" s="390"/>
      <c r="Z1608" s="390"/>
      <c r="AA1608" s="390"/>
      <c r="AB1608" s="390"/>
      <c r="AC1608" s="375"/>
      <c r="AD1608" s="375"/>
      <c r="AE1608" s="375"/>
      <c r="AF1608" s="375"/>
    </row>
    <row r="1609" spans="18:32">
      <c r="R1609" s="389"/>
      <c r="S1609" s="389"/>
      <c r="T1609" s="389"/>
      <c r="U1609" s="389"/>
      <c r="V1609" s="389"/>
      <c r="W1609" s="390"/>
      <c r="X1609" s="390"/>
      <c r="Y1609" s="390"/>
      <c r="Z1609" s="390"/>
      <c r="AA1609" s="390"/>
      <c r="AB1609" s="390"/>
      <c r="AC1609" s="375"/>
      <c r="AD1609" s="375"/>
      <c r="AE1609" s="375"/>
      <c r="AF1609" s="375"/>
    </row>
    <row r="1610" spans="18:32">
      <c r="R1610" s="389"/>
      <c r="S1610" s="389"/>
      <c r="T1610" s="389"/>
      <c r="U1610" s="389"/>
      <c r="V1610" s="389"/>
      <c r="W1610" s="390"/>
      <c r="X1610" s="390"/>
      <c r="Y1610" s="390"/>
      <c r="Z1610" s="390"/>
      <c r="AA1610" s="390"/>
      <c r="AB1610" s="390"/>
      <c r="AC1610" s="375"/>
      <c r="AD1610" s="375"/>
      <c r="AE1610" s="375"/>
      <c r="AF1610" s="375"/>
    </row>
    <row r="1611" spans="18:32">
      <c r="R1611" s="389"/>
      <c r="S1611" s="389"/>
      <c r="T1611" s="389"/>
      <c r="U1611" s="389"/>
      <c r="V1611" s="389"/>
      <c r="W1611" s="390"/>
      <c r="X1611" s="390"/>
      <c r="Y1611" s="390"/>
      <c r="Z1611" s="390"/>
      <c r="AA1611" s="390"/>
      <c r="AB1611" s="390"/>
      <c r="AC1611" s="375"/>
      <c r="AD1611" s="375"/>
      <c r="AE1611" s="375"/>
      <c r="AF1611" s="375"/>
    </row>
    <row r="1612" spans="18:32">
      <c r="R1612" s="389"/>
      <c r="S1612" s="389"/>
      <c r="T1612" s="389"/>
      <c r="U1612" s="389"/>
      <c r="V1612" s="389"/>
      <c r="W1612" s="390"/>
      <c r="X1612" s="390"/>
      <c r="Y1612" s="390"/>
      <c r="Z1612" s="390"/>
      <c r="AA1612" s="390"/>
      <c r="AB1612" s="390"/>
      <c r="AC1612" s="375"/>
      <c r="AD1612" s="375"/>
      <c r="AE1612" s="375"/>
      <c r="AF1612" s="375"/>
    </row>
    <row r="1613" spans="18:32">
      <c r="R1613" s="389"/>
      <c r="S1613" s="389"/>
      <c r="T1613" s="389"/>
      <c r="U1613" s="389"/>
      <c r="V1613" s="389"/>
      <c r="W1613" s="390"/>
      <c r="X1613" s="390"/>
      <c r="Y1613" s="390"/>
      <c r="Z1613" s="390"/>
      <c r="AA1613" s="390"/>
      <c r="AB1613" s="390"/>
      <c r="AC1613" s="375"/>
      <c r="AD1613" s="375"/>
      <c r="AE1613" s="375"/>
      <c r="AF1613" s="375"/>
    </row>
    <row r="1614" spans="18:32">
      <c r="R1614" s="389"/>
      <c r="S1614" s="389"/>
      <c r="T1614" s="389"/>
      <c r="U1614" s="389"/>
      <c r="V1614" s="389"/>
      <c r="W1614" s="390"/>
      <c r="X1614" s="390"/>
      <c r="Y1614" s="390"/>
      <c r="Z1614" s="390"/>
      <c r="AA1614" s="390"/>
      <c r="AB1614" s="390"/>
      <c r="AC1614" s="375"/>
      <c r="AD1614" s="375"/>
      <c r="AE1614" s="375"/>
      <c r="AF1614" s="375"/>
    </row>
    <row r="1615" spans="18:32">
      <c r="R1615" s="389"/>
      <c r="S1615" s="389"/>
      <c r="T1615" s="389"/>
      <c r="U1615" s="389"/>
      <c r="V1615" s="389"/>
      <c r="W1615" s="390"/>
      <c r="X1615" s="390"/>
      <c r="Y1615" s="390"/>
      <c r="Z1615" s="390"/>
      <c r="AA1615" s="390"/>
      <c r="AB1615" s="390"/>
      <c r="AC1615" s="375"/>
      <c r="AD1615" s="375"/>
      <c r="AE1615" s="375"/>
      <c r="AF1615" s="375"/>
    </row>
    <row r="1616" spans="18:32">
      <c r="R1616" s="389"/>
      <c r="S1616" s="389"/>
      <c r="T1616" s="389"/>
      <c r="U1616" s="389"/>
      <c r="V1616" s="389"/>
      <c r="W1616" s="390"/>
      <c r="X1616" s="390"/>
      <c r="Y1616" s="390"/>
      <c r="Z1616" s="390"/>
      <c r="AA1616" s="390"/>
      <c r="AB1616" s="390"/>
      <c r="AC1616" s="375"/>
      <c r="AD1616" s="375"/>
      <c r="AE1616" s="375"/>
      <c r="AF1616" s="375"/>
    </row>
    <row r="1617" spans="18:32">
      <c r="R1617" s="389"/>
      <c r="S1617" s="389"/>
      <c r="T1617" s="389"/>
      <c r="U1617" s="389"/>
      <c r="V1617" s="389"/>
      <c r="W1617" s="390"/>
      <c r="X1617" s="390"/>
      <c r="Y1617" s="390"/>
      <c r="Z1617" s="390"/>
      <c r="AA1617" s="390"/>
      <c r="AB1617" s="390"/>
      <c r="AC1617" s="375"/>
      <c r="AD1617" s="375"/>
      <c r="AE1617" s="375"/>
      <c r="AF1617" s="375"/>
    </row>
    <row r="1618" spans="18:32">
      <c r="R1618" s="389"/>
      <c r="S1618" s="389"/>
      <c r="T1618" s="389"/>
      <c r="U1618" s="389"/>
      <c r="V1618" s="389"/>
      <c r="W1618" s="390"/>
      <c r="X1618" s="390"/>
      <c r="Y1618" s="390"/>
      <c r="Z1618" s="390"/>
      <c r="AA1618" s="390"/>
      <c r="AB1618" s="390"/>
      <c r="AC1618" s="375"/>
      <c r="AD1618" s="375"/>
      <c r="AE1618" s="375"/>
      <c r="AF1618" s="375"/>
    </row>
    <row r="1619" spans="18:32">
      <c r="R1619" s="389"/>
      <c r="S1619" s="389"/>
      <c r="T1619" s="389"/>
      <c r="U1619" s="389"/>
      <c r="V1619" s="389"/>
      <c r="W1619" s="390"/>
      <c r="X1619" s="390"/>
      <c r="Y1619" s="390"/>
      <c r="Z1619" s="390"/>
      <c r="AA1619" s="390"/>
      <c r="AB1619" s="390"/>
      <c r="AC1619" s="375"/>
      <c r="AD1619" s="375"/>
      <c r="AE1619" s="375"/>
      <c r="AF1619" s="375"/>
    </row>
    <row r="1620" spans="18:32">
      <c r="R1620" s="389"/>
      <c r="S1620" s="389"/>
      <c r="T1620" s="389"/>
      <c r="U1620" s="389"/>
      <c r="V1620" s="389"/>
      <c r="W1620" s="390"/>
      <c r="X1620" s="390"/>
      <c r="Y1620" s="390"/>
      <c r="Z1620" s="390"/>
      <c r="AA1620" s="390"/>
      <c r="AB1620" s="390"/>
      <c r="AC1620" s="375"/>
      <c r="AD1620" s="375"/>
      <c r="AE1620" s="375"/>
      <c r="AF1620" s="375"/>
    </row>
    <row r="1621" spans="18:32">
      <c r="R1621" s="389"/>
      <c r="S1621" s="389"/>
      <c r="T1621" s="389"/>
      <c r="U1621" s="389"/>
      <c r="V1621" s="389"/>
      <c r="W1621" s="390"/>
      <c r="X1621" s="390"/>
      <c r="Y1621" s="390"/>
      <c r="Z1621" s="390"/>
      <c r="AA1621" s="390"/>
      <c r="AB1621" s="390"/>
      <c r="AC1621" s="375"/>
      <c r="AD1621" s="375"/>
      <c r="AE1621" s="375"/>
      <c r="AF1621" s="375"/>
    </row>
  </sheetData>
  <mergeCells count="12">
    <mergeCell ref="O8:O9"/>
    <mergeCell ref="P8:P9"/>
    <mergeCell ref="A1:P2"/>
    <mergeCell ref="A3:P3"/>
    <mergeCell ref="A4:P4"/>
    <mergeCell ref="A7:P7"/>
    <mergeCell ref="A8:A9"/>
    <mergeCell ref="B8:B9"/>
    <mergeCell ref="C8:C9"/>
    <mergeCell ref="D8:D9"/>
    <mergeCell ref="E8:M8"/>
    <mergeCell ref="N8:N9"/>
  </mergeCells>
  <conditionalFormatting sqref="F57 F59:F62 F65:F71 F99:F101 F92:F97 F90">
    <cfRule type="expression" dxfId="307" priority="306">
      <formula>ABS(F57-O57)/O57&gt;#REF!</formula>
    </cfRule>
  </conditionalFormatting>
  <conditionalFormatting sqref="I57 I59:I71 I93:I101 I90:I91">
    <cfRule type="expression" dxfId="306" priority="307">
      <formula>ABS(I57-O57)/O57&gt;#REF!</formula>
    </cfRule>
  </conditionalFormatting>
  <conditionalFormatting sqref="L57 L59:L60">
    <cfRule type="expression" dxfId="305" priority="308">
      <formula>ABS(L57-O57)/O57&gt;#REF!</formula>
    </cfRule>
  </conditionalFormatting>
  <conditionalFormatting sqref="L61:L71 L75:L77 L93:L101 L90:L91">
    <cfRule type="expression" dxfId="304" priority="309">
      <formula>ABS(L61-#REF!)/#REF!&gt;#REF!</formula>
    </cfRule>
  </conditionalFormatting>
  <conditionalFormatting sqref="I92 L92">
    <cfRule type="expression" dxfId="303" priority="310">
      <formula>ABS(I92-#REF!)/#REF!&gt;#REF!</formula>
    </cfRule>
  </conditionalFormatting>
  <conditionalFormatting sqref="F58">
    <cfRule type="expression" dxfId="302" priority="303">
      <formula>ABS(F58-O58)/O58&gt;#REF!</formula>
    </cfRule>
  </conditionalFormatting>
  <conditionalFormatting sqref="I58 I78:I89">
    <cfRule type="expression" dxfId="301" priority="304">
      <formula>ABS(I58-O58)/O58&gt;#REF!</formula>
    </cfRule>
  </conditionalFormatting>
  <conditionalFormatting sqref="L58">
    <cfRule type="expression" dxfId="300" priority="305">
      <formula>ABS(L58-O58)/O58&gt;#REF!</formula>
    </cfRule>
  </conditionalFormatting>
  <conditionalFormatting sqref="F63 F78:F89 F18:F25">
    <cfRule type="expression" dxfId="299" priority="302">
      <formula>ABS(F18-O18)/O18&gt;#REF!</formula>
    </cfRule>
  </conditionalFormatting>
  <conditionalFormatting sqref="F64">
    <cfRule type="expression" dxfId="298" priority="301">
      <formula>ABS(F64-O64)/O64&gt;#REF!</formula>
    </cfRule>
  </conditionalFormatting>
  <conditionalFormatting sqref="L102:L104 I67:I71 I73:I77 I84:I89 L66:L89 L110">
    <cfRule type="expression" dxfId="297" priority="300">
      <formula>ABS(I66-#REF!)/#REF!&gt;#REF!</formula>
    </cfRule>
  </conditionalFormatting>
  <conditionalFormatting sqref="F72:F77">
    <cfRule type="expression" dxfId="296" priority="298">
      <formula>ABS(F72-O72)/O72&gt;#REF!</formula>
    </cfRule>
  </conditionalFormatting>
  <conditionalFormatting sqref="I72:I77">
    <cfRule type="expression" dxfId="295" priority="299">
      <formula>ABS(I72-O72)/O72&gt;#REF!</formula>
    </cfRule>
  </conditionalFormatting>
  <conditionalFormatting sqref="F91">
    <cfRule type="expression" dxfId="294" priority="297">
      <formula>ABS(F91-K91)/K91&gt;#REF!</formula>
    </cfRule>
  </conditionalFormatting>
  <conditionalFormatting sqref="F102:F104">
    <cfRule type="expression" dxfId="293" priority="295">
      <formula>ABS(F102-O102)/O102&gt;#REF!</formula>
    </cfRule>
  </conditionalFormatting>
  <conditionalFormatting sqref="I102:I104">
    <cfRule type="expression" dxfId="292" priority="296">
      <formula>ABS(I102-O102)/O102&gt;#REF!</formula>
    </cfRule>
  </conditionalFormatting>
  <conditionalFormatting sqref="F110">
    <cfRule type="expression" dxfId="291" priority="293">
      <formula>ABS(F110-O110)/O110&gt;#REF!</formula>
    </cfRule>
  </conditionalFormatting>
  <conditionalFormatting sqref="I110">
    <cfRule type="expression" dxfId="290" priority="294">
      <formula>ABS(I110-O110)/O110&gt;#REF!</formula>
    </cfRule>
  </conditionalFormatting>
  <conditionalFormatting sqref="F67:F71">
    <cfRule type="expression" dxfId="289" priority="290">
      <formula>ABS(F67-O67)/O67&gt;#REF!</formula>
    </cfRule>
  </conditionalFormatting>
  <conditionalFormatting sqref="F56">
    <cfRule type="expression" dxfId="288" priority="289">
      <formula>ABS(F56-O56)/O56&gt;#REF!</formula>
    </cfRule>
  </conditionalFormatting>
  <conditionalFormatting sqref="I56">
    <cfRule type="expression" dxfId="287" priority="288">
      <formula>ABS(I56-O56)/O56&gt;#REF!</formula>
    </cfRule>
  </conditionalFormatting>
  <conditionalFormatting sqref="L56">
    <cfRule type="expression" dxfId="286" priority="287">
      <formula>ABS(L56-O56)/O56&gt;#REF!</formula>
    </cfRule>
  </conditionalFormatting>
  <conditionalFormatting sqref="F65:F66">
    <cfRule type="expression" dxfId="285" priority="286">
      <formula>ABS(F65-O65)/O65&gt;#REF!</formula>
    </cfRule>
  </conditionalFormatting>
  <conditionalFormatting sqref="I65:I66">
    <cfRule type="expression" dxfId="284" priority="285">
      <formula>ABS(I65-O65)/O65&gt;#REF!</formula>
    </cfRule>
  </conditionalFormatting>
  <conditionalFormatting sqref="L65:L71 L75:L77">
    <cfRule type="expression" dxfId="283" priority="284">
      <formula>ABS(L65-#REF!)/#REF!&gt;#REF!</formula>
    </cfRule>
  </conditionalFormatting>
  <conditionalFormatting sqref="F66">
    <cfRule type="expression" dxfId="282" priority="283">
      <formula>ABS(F66-O66)/O66&gt;#REF!</formula>
    </cfRule>
  </conditionalFormatting>
  <conditionalFormatting sqref="I66">
    <cfRule type="expression" dxfId="281" priority="282">
      <formula>ABS(I66-O66)/O66&gt;#REF!</formula>
    </cfRule>
  </conditionalFormatting>
  <conditionalFormatting sqref="F67:F71">
    <cfRule type="expression" dxfId="280" priority="281">
      <formula>ABS(F67-O67)/O67&gt;#REF!</formula>
    </cfRule>
  </conditionalFormatting>
  <conditionalFormatting sqref="I67:I71">
    <cfRule type="expression" dxfId="279" priority="280">
      <formula>ABS(I67-O67)/O67&gt;#REF!</formula>
    </cfRule>
  </conditionalFormatting>
  <conditionalFormatting sqref="F68:F71">
    <cfRule type="expression" dxfId="278" priority="279">
      <formula>ABS(F68-O68)/O68&gt;#REF!</formula>
    </cfRule>
  </conditionalFormatting>
  <conditionalFormatting sqref="I68:I71">
    <cfRule type="expression" dxfId="277" priority="278">
      <formula>ABS(I68-O68)/O68&gt;#REF!</formula>
    </cfRule>
  </conditionalFormatting>
  <conditionalFormatting sqref="F69:F71">
    <cfRule type="expression" dxfId="276" priority="277">
      <formula>ABS(F69-O69)/O69&gt;#REF!</formula>
    </cfRule>
  </conditionalFormatting>
  <conditionalFormatting sqref="I69:I71">
    <cfRule type="expression" dxfId="275" priority="276">
      <formula>ABS(I69-O69)/O69&gt;#REF!</formula>
    </cfRule>
  </conditionalFormatting>
  <conditionalFormatting sqref="F70:F71">
    <cfRule type="expression" dxfId="274" priority="275">
      <formula>ABS(F70-O70)/O70&gt;#REF!</formula>
    </cfRule>
  </conditionalFormatting>
  <conditionalFormatting sqref="I70:I71">
    <cfRule type="expression" dxfId="273" priority="274">
      <formula>ABS(I70-O70)/O70&gt;#REF!</formula>
    </cfRule>
  </conditionalFormatting>
  <conditionalFormatting sqref="F70:F71">
    <cfRule type="expression" dxfId="272" priority="273">
      <formula>ABS(F70-O70)/O70&gt;#REF!</formula>
    </cfRule>
  </conditionalFormatting>
  <conditionalFormatting sqref="I70:I71">
    <cfRule type="expression" dxfId="271" priority="272">
      <formula>ABS(I70-O70)/O70&gt;#REF!</formula>
    </cfRule>
  </conditionalFormatting>
  <conditionalFormatting sqref="F73:F77">
    <cfRule type="expression" dxfId="270" priority="271">
      <formula>ABS(F73-O73)/O73&gt;#REF!</formula>
    </cfRule>
  </conditionalFormatting>
  <conditionalFormatting sqref="I74:I77">
    <cfRule type="expression" dxfId="269" priority="270">
      <formula>ABS(I74-O74)/O74&gt;#REF!</formula>
    </cfRule>
  </conditionalFormatting>
  <conditionalFormatting sqref="F74:F77">
    <cfRule type="expression" dxfId="268" priority="269">
      <formula>ABS(F74-O74)/O74&gt;#REF!</formula>
    </cfRule>
  </conditionalFormatting>
  <conditionalFormatting sqref="F75:F77">
    <cfRule type="expression" dxfId="267" priority="268">
      <formula>ABS(F75-O75)/O75&gt;#REF!</formula>
    </cfRule>
  </conditionalFormatting>
  <conditionalFormatting sqref="I75:I77">
    <cfRule type="expression" dxfId="266" priority="267">
      <formula>ABS(I75-O75)/O75&gt;#REF!</formula>
    </cfRule>
  </conditionalFormatting>
  <conditionalFormatting sqref="F75:F77">
    <cfRule type="expression" dxfId="265" priority="266">
      <formula>ABS(F75-O75)/O75&gt;#REF!</formula>
    </cfRule>
  </conditionalFormatting>
  <conditionalFormatting sqref="F75:F77">
    <cfRule type="expression" dxfId="264" priority="265">
      <formula>ABS(F75-O75)/O75&gt;#REF!</formula>
    </cfRule>
  </conditionalFormatting>
  <conditionalFormatting sqref="I75:I77">
    <cfRule type="expression" dxfId="263" priority="264">
      <formula>ABS(I75-O75)/O75&gt;#REF!</formula>
    </cfRule>
  </conditionalFormatting>
  <conditionalFormatting sqref="F75:F77">
    <cfRule type="expression" dxfId="262" priority="263">
      <formula>ABS(F75-O75)/O75&gt;#REF!</formula>
    </cfRule>
  </conditionalFormatting>
  <conditionalFormatting sqref="I75:I77">
    <cfRule type="expression" dxfId="261" priority="262">
      <formula>ABS(I75-O75)/O75&gt;#REF!</formula>
    </cfRule>
  </conditionalFormatting>
  <conditionalFormatting sqref="F75:F77">
    <cfRule type="expression" dxfId="260" priority="261">
      <formula>ABS(F75-O75)/O75&gt;#REF!</formula>
    </cfRule>
  </conditionalFormatting>
  <conditionalFormatting sqref="I75:I77">
    <cfRule type="expression" dxfId="259" priority="260">
      <formula>ABS(I75-O75)/O75&gt;#REF!</formula>
    </cfRule>
  </conditionalFormatting>
  <conditionalFormatting sqref="F75:F77">
    <cfRule type="expression" dxfId="258" priority="259">
      <formula>ABS(F75-O75)/O75&gt;#REF!</formula>
    </cfRule>
  </conditionalFormatting>
  <conditionalFormatting sqref="I75:I77">
    <cfRule type="expression" dxfId="257" priority="258">
      <formula>ABS(I75-O75)/O75&gt;#REF!</formula>
    </cfRule>
  </conditionalFormatting>
  <conditionalFormatting sqref="F75:F77">
    <cfRule type="expression" dxfId="256" priority="257">
      <formula>ABS(F75-O75)/O75&gt;#REF!</formula>
    </cfRule>
  </conditionalFormatting>
  <conditionalFormatting sqref="I75:I77">
    <cfRule type="expression" dxfId="255" priority="256">
      <formula>ABS(I75-O75)/O75&gt;#REF!</formula>
    </cfRule>
  </conditionalFormatting>
  <conditionalFormatting sqref="F76:F77">
    <cfRule type="expression" dxfId="254" priority="255">
      <formula>ABS(F76-O76)/O76&gt;#REF!</formula>
    </cfRule>
  </conditionalFormatting>
  <conditionalFormatting sqref="I76:I77">
    <cfRule type="expression" dxfId="253" priority="254">
      <formula>ABS(I76-O76)/O76&gt;#REF!</formula>
    </cfRule>
  </conditionalFormatting>
  <conditionalFormatting sqref="F98">
    <cfRule type="expression" dxfId="252" priority="253">
      <formula>ABS(F98-O98)/O98&gt;#REF!</formula>
    </cfRule>
  </conditionalFormatting>
  <conditionalFormatting sqref="L84:L89">
    <cfRule type="expression" dxfId="251" priority="252">
      <formula>ABS(L84-#REF!)/#REF!&gt;#REF!</formula>
    </cfRule>
  </conditionalFormatting>
  <conditionalFormatting sqref="F84:F89">
    <cfRule type="expression" dxfId="250" priority="251">
      <formula>ABS(F84-O84)/O84&gt;#REF!</formula>
    </cfRule>
  </conditionalFormatting>
  <conditionalFormatting sqref="I84:I89">
    <cfRule type="expression" dxfId="249" priority="250">
      <formula>ABS(I84-O84)/O84&gt;#REF!</formula>
    </cfRule>
  </conditionalFormatting>
  <conditionalFormatting sqref="L84:L89">
    <cfRule type="expression" dxfId="248" priority="249">
      <formula>ABS(L84-#REF!)/#REF!&gt;#REF!</formula>
    </cfRule>
  </conditionalFormatting>
  <conditionalFormatting sqref="F84:F89">
    <cfRule type="expression" dxfId="247" priority="248">
      <formula>ABS(F84-O84)/O84&gt;#REF!</formula>
    </cfRule>
  </conditionalFormatting>
  <conditionalFormatting sqref="I84:I89">
    <cfRule type="expression" dxfId="246" priority="247">
      <formula>ABS(I84-O84)/O84&gt;#REF!</formula>
    </cfRule>
  </conditionalFormatting>
  <conditionalFormatting sqref="F84:F89">
    <cfRule type="expression" dxfId="245" priority="246">
      <formula>ABS(F84-O84)/O84&gt;#REF!</formula>
    </cfRule>
  </conditionalFormatting>
  <conditionalFormatting sqref="F84:F89">
    <cfRule type="expression" dxfId="244" priority="245">
      <formula>ABS(F84-O84)/O84&gt;#REF!</formula>
    </cfRule>
  </conditionalFormatting>
  <conditionalFormatting sqref="I84:I89">
    <cfRule type="expression" dxfId="243" priority="244">
      <formula>ABS(I84-O84)/O84&gt;#REF!</formula>
    </cfRule>
  </conditionalFormatting>
  <conditionalFormatting sqref="F84:F89">
    <cfRule type="expression" dxfId="242" priority="243">
      <formula>ABS(F84-O84)/O84&gt;#REF!</formula>
    </cfRule>
  </conditionalFormatting>
  <conditionalFormatting sqref="F84:F89">
    <cfRule type="expression" dxfId="241" priority="242">
      <formula>ABS(F84-O84)/O84&gt;#REF!</formula>
    </cfRule>
  </conditionalFormatting>
  <conditionalFormatting sqref="I84:I89">
    <cfRule type="expression" dxfId="240" priority="241">
      <formula>ABS(I84-O84)/O84&gt;#REF!</formula>
    </cfRule>
  </conditionalFormatting>
  <conditionalFormatting sqref="F84:F89">
    <cfRule type="expression" dxfId="239" priority="240">
      <formula>ABS(F84-O84)/O84&gt;#REF!</formula>
    </cfRule>
  </conditionalFormatting>
  <conditionalFormatting sqref="I84:I89">
    <cfRule type="expression" dxfId="238" priority="239">
      <formula>ABS(I84-O84)/O84&gt;#REF!</formula>
    </cfRule>
  </conditionalFormatting>
  <conditionalFormatting sqref="F84:F89">
    <cfRule type="expression" dxfId="237" priority="238">
      <formula>ABS(F84-O84)/O84&gt;#REF!</formula>
    </cfRule>
  </conditionalFormatting>
  <conditionalFormatting sqref="I84:I89">
    <cfRule type="expression" dxfId="236" priority="237">
      <formula>ABS(I84-O84)/O84&gt;#REF!</formula>
    </cfRule>
  </conditionalFormatting>
  <conditionalFormatting sqref="F84:F89">
    <cfRule type="expression" dxfId="235" priority="236">
      <formula>ABS(F84-O84)/O84&gt;#REF!</formula>
    </cfRule>
  </conditionalFormatting>
  <conditionalFormatting sqref="I84:I89">
    <cfRule type="expression" dxfId="234" priority="235">
      <formula>ABS(I84-O84)/O84&gt;#REF!</formula>
    </cfRule>
  </conditionalFormatting>
  <conditionalFormatting sqref="F84:F89">
    <cfRule type="expression" dxfId="233" priority="234">
      <formula>ABS(F84-O84)/O84&gt;#REF!</formula>
    </cfRule>
  </conditionalFormatting>
  <conditionalFormatting sqref="I84:I89">
    <cfRule type="expression" dxfId="232" priority="233">
      <formula>ABS(I84-O84)/O84&gt;#REF!</formula>
    </cfRule>
  </conditionalFormatting>
  <conditionalFormatting sqref="F86">
    <cfRule type="expression" dxfId="231" priority="232">
      <formula>ABS(F86-O86)/O86&gt;#REF!</formula>
    </cfRule>
  </conditionalFormatting>
  <conditionalFormatting sqref="F87:F89">
    <cfRule type="expression" dxfId="230" priority="231">
      <formula>ABS(F87-O87)/O87&gt;#REF!</formula>
    </cfRule>
  </conditionalFormatting>
  <conditionalFormatting sqref="F63">
    <cfRule type="expression" dxfId="229" priority="230">
      <formula>ABS(F63-O63)/O63&gt;#REF!</formula>
    </cfRule>
  </conditionalFormatting>
  <conditionalFormatting sqref="I63">
    <cfRule type="expression" dxfId="228" priority="229">
      <formula>ABS(I63-O63)/O63&gt;#REF!</formula>
    </cfRule>
  </conditionalFormatting>
  <conditionalFormatting sqref="L63">
    <cfRule type="expression" dxfId="227" priority="228">
      <formula>ABS(L63-#REF!)/#REF!&gt;#REF!</formula>
    </cfRule>
  </conditionalFormatting>
  <conditionalFormatting sqref="I26">
    <cfRule type="expression" dxfId="226" priority="227">
      <formula>ABS(I26-O26)/O26&gt;#REF!</formula>
    </cfRule>
  </conditionalFormatting>
  <conditionalFormatting sqref="F26">
    <cfRule type="expression" dxfId="225" priority="226">
      <formula>ABS(F26-O26)/O26&gt;#REF!</formula>
    </cfRule>
  </conditionalFormatting>
  <conditionalFormatting sqref="I26 L26">
    <cfRule type="expression" dxfId="224" priority="225">
      <formula>ABS(I26-#REF!)/#REF!&gt;#REF!</formula>
    </cfRule>
  </conditionalFormatting>
  <conditionalFormatting sqref="L26">
    <cfRule type="expression" dxfId="223" priority="224">
      <formula>ABS(L26-#REF!)/#REF!&gt;#REF!</formula>
    </cfRule>
  </conditionalFormatting>
  <conditionalFormatting sqref="F26">
    <cfRule type="expression" dxfId="222" priority="223">
      <formula>ABS(F26-O26)/O26&gt;#REF!</formula>
    </cfRule>
  </conditionalFormatting>
  <conditionalFormatting sqref="I26">
    <cfRule type="expression" dxfId="221" priority="222">
      <formula>ABS(I26-O26)/O26&gt;#REF!</formula>
    </cfRule>
  </conditionalFormatting>
  <conditionalFormatting sqref="L26">
    <cfRule type="expression" dxfId="220" priority="221">
      <formula>ABS(L26-#REF!)/#REF!&gt;#REF!</formula>
    </cfRule>
  </conditionalFormatting>
  <conditionalFormatting sqref="F26">
    <cfRule type="expression" dxfId="219" priority="220">
      <formula>ABS(F26-O26)/O26&gt;#REF!</formula>
    </cfRule>
  </conditionalFormatting>
  <conditionalFormatting sqref="I26">
    <cfRule type="expression" dxfId="218" priority="219">
      <formula>ABS(I26-O26)/O26&gt;#REF!</formula>
    </cfRule>
  </conditionalFormatting>
  <conditionalFormatting sqref="F26">
    <cfRule type="expression" dxfId="217" priority="218">
      <formula>ABS(F26-O26)/O26&gt;#REF!</formula>
    </cfRule>
  </conditionalFormatting>
  <conditionalFormatting sqref="F26">
    <cfRule type="expression" dxfId="216" priority="217">
      <formula>ABS(F26-O26)/O26&gt;#REF!</formula>
    </cfRule>
  </conditionalFormatting>
  <conditionalFormatting sqref="I26">
    <cfRule type="expression" dxfId="215" priority="216">
      <formula>ABS(I26-O26)/O26&gt;#REF!</formula>
    </cfRule>
  </conditionalFormatting>
  <conditionalFormatting sqref="F26">
    <cfRule type="expression" dxfId="214" priority="215">
      <formula>ABS(F26-O26)/O26&gt;#REF!</formula>
    </cfRule>
  </conditionalFormatting>
  <conditionalFormatting sqref="F26">
    <cfRule type="expression" dxfId="213" priority="214">
      <formula>ABS(F26-O26)/O26&gt;#REF!</formula>
    </cfRule>
  </conditionalFormatting>
  <conditionalFormatting sqref="I26">
    <cfRule type="expression" dxfId="212" priority="213">
      <formula>ABS(I26-O26)/O26&gt;#REF!</formula>
    </cfRule>
  </conditionalFormatting>
  <conditionalFormatting sqref="F26">
    <cfRule type="expression" dxfId="211" priority="212">
      <formula>ABS(F26-O26)/O26&gt;#REF!</formula>
    </cfRule>
  </conditionalFormatting>
  <conditionalFormatting sqref="I26">
    <cfRule type="expression" dxfId="210" priority="211">
      <formula>ABS(I26-O26)/O26&gt;#REF!</formula>
    </cfRule>
  </conditionalFormatting>
  <conditionalFormatting sqref="F26">
    <cfRule type="expression" dxfId="209" priority="210">
      <formula>ABS(F26-O26)/O26&gt;#REF!</formula>
    </cfRule>
  </conditionalFormatting>
  <conditionalFormatting sqref="I26">
    <cfRule type="expression" dxfId="208" priority="209">
      <formula>ABS(I26-O26)/O26&gt;#REF!</formula>
    </cfRule>
  </conditionalFormatting>
  <conditionalFormatting sqref="F26">
    <cfRule type="expression" dxfId="207" priority="208">
      <formula>ABS(F26-O26)/O26&gt;#REF!</formula>
    </cfRule>
  </conditionalFormatting>
  <conditionalFormatting sqref="I26">
    <cfRule type="expression" dxfId="206" priority="207">
      <formula>ABS(I26-O26)/O26&gt;#REF!</formula>
    </cfRule>
  </conditionalFormatting>
  <conditionalFormatting sqref="F26">
    <cfRule type="expression" dxfId="205" priority="206">
      <formula>ABS(F26-O26)/O26&gt;#REF!</formula>
    </cfRule>
  </conditionalFormatting>
  <conditionalFormatting sqref="I26">
    <cfRule type="expression" dxfId="204" priority="205">
      <formula>ABS(I26-O26)/O26&gt;#REF!</formula>
    </cfRule>
  </conditionalFormatting>
  <conditionalFormatting sqref="F26">
    <cfRule type="expression" dxfId="203" priority="204">
      <formula>ABS(F26-O26)/O26&gt;#REF!</formula>
    </cfRule>
  </conditionalFormatting>
  <conditionalFormatting sqref="I27">
    <cfRule type="expression" dxfId="202" priority="203">
      <formula>ABS(I27-O27)/O27&gt;#REF!</formula>
    </cfRule>
  </conditionalFormatting>
  <conditionalFormatting sqref="F27">
    <cfRule type="expression" dxfId="201" priority="202">
      <formula>ABS(F27-O27)/O27&gt;#REF!</formula>
    </cfRule>
  </conditionalFormatting>
  <conditionalFormatting sqref="I27 L27">
    <cfRule type="expression" dxfId="200" priority="201">
      <formula>ABS(I27-#REF!)/#REF!&gt;#REF!</formula>
    </cfRule>
  </conditionalFormatting>
  <conditionalFormatting sqref="L27">
    <cfRule type="expression" dxfId="199" priority="200">
      <formula>ABS(L27-#REF!)/#REF!&gt;#REF!</formula>
    </cfRule>
  </conditionalFormatting>
  <conditionalFormatting sqref="F27">
    <cfRule type="expression" dxfId="198" priority="199">
      <formula>ABS(F27-O27)/O27&gt;#REF!</formula>
    </cfRule>
  </conditionalFormatting>
  <conditionalFormatting sqref="I27">
    <cfRule type="expression" dxfId="197" priority="198">
      <formula>ABS(I27-O27)/O27&gt;#REF!</formula>
    </cfRule>
  </conditionalFormatting>
  <conditionalFormatting sqref="L27">
    <cfRule type="expression" dxfId="196" priority="197">
      <formula>ABS(L27-#REF!)/#REF!&gt;#REF!</formula>
    </cfRule>
  </conditionalFormatting>
  <conditionalFormatting sqref="F27">
    <cfRule type="expression" dxfId="195" priority="196">
      <formula>ABS(F27-O27)/O27&gt;#REF!</formula>
    </cfRule>
  </conditionalFormatting>
  <conditionalFormatting sqref="I27">
    <cfRule type="expression" dxfId="194" priority="195">
      <formula>ABS(I27-O27)/O27&gt;#REF!</formula>
    </cfRule>
  </conditionalFormatting>
  <conditionalFormatting sqref="F27">
    <cfRule type="expression" dxfId="193" priority="194">
      <formula>ABS(F27-O27)/O27&gt;#REF!</formula>
    </cfRule>
  </conditionalFormatting>
  <conditionalFormatting sqref="F27">
    <cfRule type="expression" dxfId="192" priority="193">
      <formula>ABS(F27-O27)/O27&gt;#REF!</formula>
    </cfRule>
  </conditionalFormatting>
  <conditionalFormatting sqref="I27">
    <cfRule type="expression" dxfId="191" priority="192">
      <formula>ABS(I27-O27)/O27&gt;#REF!</formula>
    </cfRule>
  </conditionalFormatting>
  <conditionalFormatting sqref="F27">
    <cfRule type="expression" dxfId="190" priority="191">
      <formula>ABS(F27-O27)/O27&gt;#REF!</formula>
    </cfRule>
  </conditionalFormatting>
  <conditionalFormatting sqref="F27">
    <cfRule type="expression" dxfId="189" priority="190">
      <formula>ABS(F27-O27)/O27&gt;#REF!</formula>
    </cfRule>
  </conditionalFormatting>
  <conditionalFormatting sqref="I27">
    <cfRule type="expression" dxfId="188" priority="189">
      <formula>ABS(I27-O27)/O27&gt;#REF!</formula>
    </cfRule>
  </conditionalFormatting>
  <conditionalFormatting sqref="F27">
    <cfRule type="expression" dxfId="187" priority="188">
      <formula>ABS(F27-O27)/O27&gt;#REF!</formula>
    </cfRule>
  </conditionalFormatting>
  <conditionalFormatting sqref="I27">
    <cfRule type="expression" dxfId="186" priority="187">
      <formula>ABS(I27-O27)/O27&gt;#REF!</formula>
    </cfRule>
  </conditionalFormatting>
  <conditionalFormatting sqref="F27">
    <cfRule type="expression" dxfId="185" priority="186">
      <formula>ABS(F27-O27)/O27&gt;#REF!</formula>
    </cfRule>
  </conditionalFormatting>
  <conditionalFormatting sqref="I27">
    <cfRule type="expression" dxfId="184" priority="185">
      <formula>ABS(I27-O27)/O27&gt;#REF!</formula>
    </cfRule>
  </conditionalFormatting>
  <conditionalFormatting sqref="F27">
    <cfRule type="expression" dxfId="183" priority="184">
      <formula>ABS(F27-O27)/O27&gt;#REF!</formula>
    </cfRule>
  </conditionalFormatting>
  <conditionalFormatting sqref="I27">
    <cfRule type="expression" dxfId="182" priority="183">
      <formula>ABS(I27-O27)/O27&gt;#REF!</formula>
    </cfRule>
  </conditionalFormatting>
  <conditionalFormatting sqref="F27">
    <cfRule type="expression" dxfId="181" priority="182">
      <formula>ABS(F27-O27)/O27&gt;#REF!</formula>
    </cfRule>
  </conditionalFormatting>
  <conditionalFormatting sqref="I27">
    <cfRule type="expression" dxfId="180" priority="181">
      <formula>ABS(I27-O27)/O27&gt;#REF!</formula>
    </cfRule>
  </conditionalFormatting>
  <conditionalFormatting sqref="F27">
    <cfRule type="expression" dxfId="179" priority="180">
      <formula>ABS(F27-O27)/O27&gt;#REF!</formula>
    </cfRule>
  </conditionalFormatting>
  <conditionalFormatting sqref="F38">
    <cfRule type="expression" dxfId="178" priority="177">
      <formula>ABS(F38-O38)/O38&gt;#REF!</formula>
    </cfRule>
  </conditionalFormatting>
  <conditionalFormatting sqref="I38">
    <cfRule type="expression" dxfId="177" priority="178">
      <formula>ABS(I38-O38)/O38&gt;#REF!</formula>
    </cfRule>
  </conditionalFormatting>
  <conditionalFormatting sqref="L38">
    <cfRule type="expression" dxfId="176" priority="179">
      <formula>ABS(L38-#REF!)/#REF!&gt;#REF!</formula>
    </cfRule>
  </conditionalFormatting>
  <conditionalFormatting sqref="F37">
    <cfRule type="expression" dxfId="175" priority="174">
      <formula>ABS(F37-O37)/O37&gt;#REF!</formula>
    </cfRule>
  </conditionalFormatting>
  <conditionalFormatting sqref="I37">
    <cfRule type="expression" dxfId="174" priority="175">
      <formula>ABS(I37-O37)/O37&gt;#REF!</formula>
    </cfRule>
  </conditionalFormatting>
  <conditionalFormatting sqref="L37">
    <cfRule type="expression" dxfId="173" priority="176">
      <formula>ABS(L37-#REF!)/#REF!&gt;#REF!</formula>
    </cfRule>
  </conditionalFormatting>
  <conditionalFormatting sqref="F106">
    <cfRule type="expression" dxfId="172" priority="171">
      <formula>ABS(F106-O106)/O106&gt;#REF!</formula>
    </cfRule>
  </conditionalFormatting>
  <conditionalFormatting sqref="I106">
    <cfRule type="expression" dxfId="171" priority="172">
      <formula>ABS(I106-O106)/O106&gt;#REF!</formula>
    </cfRule>
  </conditionalFormatting>
  <conditionalFormatting sqref="L106">
    <cfRule type="expression" dxfId="170" priority="173">
      <formula>ABS(L106-#REF!)/#REF!&gt;#REF!</formula>
    </cfRule>
  </conditionalFormatting>
  <conditionalFormatting sqref="L105:L106">
    <cfRule type="expression" dxfId="169" priority="170">
      <formula>ABS(L105-#REF!)/#REF!&gt;#REF!</formula>
    </cfRule>
  </conditionalFormatting>
  <conditionalFormatting sqref="F105">
    <cfRule type="expression" dxfId="168" priority="168">
      <formula>ABS(F105-O105)/O105&gt;#REF!</formula>
    </cfRule>
  </conditionalFormatting>
  <conditionalFormatting sqref="I105">
    <cfRule type="expression" dxfId="167" priority="169">
      <formula>ABS(I105-O105)/O105&gt;#REF!</formula>
    </cfRule>
  </conditionalFormatting>
  <conditionalFormatting sqref="F106">
    <cfRule type="expression" dxfId="166" priority="167">
      <formula>ABS(F106-O106)/O106&gt;#REF!</formula>
    </cfRule>
  </conditionalFormatting>
  <conditionalFormatting sqref="I106">
    <cfRule type="expression" dxfId="165" priority="166">
      <formula>ABS(I106-O106)/O106&gt;#REF!</formula>
    </cfRule>
  </conditionalFormatting>
  <conditionalFormatting sqref="I28">
    <cfRule type="expression" dxfId="164" priority="165">
      <formula>ABS(I28-O28)/O28&gt;#REF!</formula>
    </cfRule>
  </conditionalFormatting>
  <conditionalFormatting sqref="F28">
    <cfRule type="expression" dxfId="163" priority="164">
      <formula>ABS(F28-O28)/O28&gt;#REF!</formula>
    </cfRule>
  </conditionalFormatting>
  <conditionalFormatting sqref="I28 L28">
    <cfRule type="expression" dxfId="162" priority="163">
      <formula>ABS(I28-#REF!)/#REF!&gt;#REF!</formula>
    </cfRule>
  </conditionalFormatting>
  <conditionalFormatting sqref="L28">
    <cfRule type="expression" dxfId="161" priority="162">
      <formula>ABS(L28-#REF!)/#REF!&gt;#REF!</formula>
    </cfRule>
  </conditionalFormatting>
  <conditionalFormatting sqref="F28">
    <cfRule type="expression" dxfId="160" priority="161">
      <formula>ABS(F28-O28)/O28&gt;#REF!</formula>
    </cfRule>
  </conditionalFormatting>
  <conditionalFormatting sqref="I28">
    <cfRule type="expression" dxfId="159" priority="160">
      <formula>ABS(I28-O28)/O28&gt;#REF!</formula>
    </cfRule>
  </conditionalFormatting>
  <conditionalFormatting sqref="L28">
    <cfRule type="expression" dxfId="158" priority="159">
      <formula>ABS(L28-#REF!)/#REF!&gt;#REF!</formula>
    </cfRule>
  </conditionalFormatting>
  <conditionalFormatting sqref="F28">
    <cfRule type="expression" dxfId="157" priority="158">
      <formula>ABS(F28-O28)/O28&gt;#REF!</formula>
    </cfRule>
  </conditionalFormatting>
  <conditionalFormatting sqref="I28">
    <cfRule type="expression" dxfId="156" priority="157">
      <formula>ABS(I28-O28)/O28&gt;#REF!</formula>
    </cfRule>
  </conditionalFormatting>
  <conditionalFormatting sqref="F28">
    <cfRule type="expression" dxfId="155" priority="156">
      <formula>ABS(F28-O28)/O28&gt;#REF!</formula>
    </cfRule>
  </conditionalFormatting>
  <conditionalFormatting sqref="F28">
    <cfRule type="expression" dxfId="154" priority="155">
      <formula>ABS(F28-O28)/O28&gt;#REF!</formula>
    </cfRule>
  </conditionalFormatting>
  <conditionalFormatting sqref="I28">
    <cfRule type="expression" dxfId="153" priority="154">
      <formula>ABS(I28-O28)/O28&gt;#REF!</formula>
    </cfRule>
  </conditionalFormatting>
  <conditionalFormatting sqref="F28">
    <cfRule type="expression" dxfId="152" priority="153">
      <formula>ABS(F28-O28)/O28&gt;#REF!</formula>
    </cfRule>
  </conditionalFormatting>
  <conditionalFormatting sqref="F28">
    <cfRule type="expression" dxfId="151" priority="152">
      <formula>ABS(F28-O28)/O28&gt;#REF!</formula>
    </cfRule>
  </conditionalFormatting>
  <conditionalFormatting sqref="I28">
    <cfRule type="expression" dxfId="150" priority="151">
      <formula>ABS(I28-O28)/O28&gt;#REF!</formula>
    </cfRule>
  </conditionalFormatting>
  <conditionalFormatting sqref="F28">
    <cfRule type="expression" dxfId="149" priority="150">
      <formula>ABS(F28-O28)/O28&gt;#REF!</formula>
    </cfRule>
  </conditionalFormatting>
  <conditionalFormatting sqref="I28">
    <cfRule type="expression" dxfId="148" priority="149">
      <formula>ABS(I28-O28)/O28&gt;#REF!</formula>
    </cfRule>
  </conditionalFormatting>
  <conditionalFormatting sqref="F28">
    <cfRule type="expression" dxfId="147" priority="148">
      <formula>ABS(F28-O28)/O28&gt;#REF!</formula>
    </cfRule>
  </conditionalFormatting>
  <conditionalFormatting sqref="I28">
    <cfRule type="expression" dxfId="146" priority="147">
      <formula>ABS(I28-O28)/O28&gt;#REF!</formula>
    </cfRule>
  </conditionalFormatting>
  <conditionalFormatting sqref="F28">
    <cfRule type="expression" dxfId="145" priority="146">
      <formula>ABS(F28-O28)/O28&gt;#REF!</formula>
    </cfRule>
  </conditionalFormatting>
  <conditionalFormatting sqref="I28">
    <cfRule type="expression" dxfId="144" priority="145">
      <formula>ABS(I28-O28)/O28&gt;#REF!</formula>
    </cfRule>
  </conditionalFormatting>
  <conditionalFormatting sqref="F28">
    <cfRule type="expression" dxfId="143" priority="144">
      <formula>ABS(F28-O28)/O28&gt;#REF!</formula>
    </cfRule>
  </conditionalFormatting>
  <conditionalFormatting sqref="I28">
    <cfRule type="expression" dxfId="142" priority="143">
      <formula>ABS(I28-O28)/O28&gt;#REF!</formula>
    </cfRule>
  </conditionalFormatting>
  <conditionalFormatting sqref="F28">
    <cfRule type="expression" dxfId="141" priority="142">
      <formula>ABS(F28-O28)/O28&gt;#REF!</formula>
    </cfRule>
  </conditionalFormatting>
  <conditionalFormatting sqref="F29">
    <cfRule type="expression" dxfId="140" priority="139">
      <formula>ABS(F29-O29)/O29&gt;#REF!</formula>
    </cfRule>
  </conditionalFormatting>
  <conditionalFormatting sqref="I29">
    <cfRule type="expression" dxfId="139" priority="140">
      <formula>ABS(I29-O29)/O29&gt;#REF!</formula>
    </cfRule>
  </conditionalFormatting>
  <conditionalFormatting sqref="L29">
    <cfRule type="expression" dxfId="138" priority="141">
      <formula>ABS(L29-#REF!)/#REF!&gt;#REF!</formula>
    </cfRule>
  </conditionalFormatting>
  <conditionalFormatting sqref="F11">
    <cfRule type="expression" dxfId="137" priority="138">
      <formula>ABS(F11-O11)/O11&gt;#REF!</formula>
    </cfRule>
  </conditionalFormatting>
  <conditionalFormatting sqref="I11">
    <cfRule type="expression" dxfId="136" priority="137">
      <formula>ABS(I11-O11)/O11&gt;#REF!</formula>
    </cfRule>
  </conditionalFormatting>
  <conditionalFormatting sqref="L11">
    <cfRule type="expression" dxfId="135" priority="136">
      <formula>ABS(L11-O11)/O11&gt;#REF!</formula>
    </cfRule>
  </conditionalFormatting>
  <conditionalFormatting sqref="F13">
    <cfRule type="expression" dxfId="134" priority="132">
      <formula>ABS(F13-O13)/O13&gt;#REF!</formula>
    </cfRule>
  </conditionalFormatting>
  <conditionalFormatting sqref="I10">
    <cfRule type="expression" dxfId="133" priority="135">
      <formula>ABS(I10-O10)/O10&gt;#REF!</formula>
    </cfRule>
  </conditionalFormatting>
  <conditionalFormatting sqref="L10">
    <cfRule type="expression" dxfId="132" priority="134">
      <formula>ABS(L10-O10)/O10&gt;#REF!</formula>
    </cfRule>
  </conditionalFormatting>
  <conditionalFormatting sqref="F10">
    <cfRule type="expression" dxfId="131" priority="133">
      <formula>ABS(F10-O10)/O10&gt;#REF!</formula>
    </cfRule>
  </conditionalFormatting>
  <conditionalFormatting sqref="F12">
    <cfRule type="expression" dxfId="130" priority="129">
      <formula>ABS(F12-O12)/O12&gt;#REF!</formula>
    </cfRule>
  </conditionalFormatting>
  <conditionalFormatting sqref="I13">
    <cfRule type="expression" dxfId="129" priority="131">
      <formula>ABS(I13-O13)/O13&gt;#REF!</formula>
    </cfRule>
  </conditionalFormatting>
  <conditionalFormatting sqref="L13">
    <cfRule type="expression" dxfId="128" priority="130">
      <formula>ABS(L13-O13)/O13&gt;#REF!</formula>
    </cfRule>
  </conditionalFormatting>
  <conditionalFormatting sqref="I12">
    <cfRule type="expression" dxfId="127" priority="128">
      <formula>ABS(I12-O12)/O12&gt;#REF!</formula>
    </cfRule>
  </conditionalFormatting>
  <conditionalFormatting sqref="L12">
    <cfRule type="expression" dxfId="126" priority="127">
      <formula>ABS(L12-O12)/O12&gt;#REF!</formula>
    </cfRule>
  </conditionalFormatting>
  <conditionalFormatting sqref="F14">
    <cfRule type="expression" dxfId="125" priority="115">
      <formula>ABS(F14-O14)/O14&gt;#REF!</formula>
    </cfRule>
  </conditionalFormatting>
  <conditionalFormatting sqref="I18:I25">
    <cfRule type="expression" dxfId="124" priority="126">
      <formula>ABS(I18-O18)/O18&gt;#REF!</formula>
    </cfRule>
  </conditionalFormatting>
  <conditionalFormatting sqref="L18:L25">
    <cfRule type="expression" dxfId="123" priority="125">
      <formula>ABS(L18-O18)/O18&gt;#REF!</formula>
    </cfRule>
  </conditionalFormatting>
  <conditionalFormatting sqref="F17">
    <cfRule type="expression" dxfId="122" priority="124">
      <formula>ABS(F17-O17)/O17&gt;#REF!</formula>
    </cfRule>
  </conditionalFormatting>
  <conditionalFormatting sqref="F16">
    <cfRule type="expression" dxfId="121" priority="121">
      <formula>ABS(F16-O16)/O16&gt;#REF!</formula>
    </cfRule>
  </conditionalFormatting>
  <conditionalFormatting sqref="I17">
    <cfRule type="expression" dxfId="120" priority="123">
      <formula>ABS(I17-O17)/O17&gt;#REF!</formula>
    </cfRule>
  </conditionalFormatting>
  <conditionalFormatting sqref="L17">
    <cfRule type="expression" dxfId="119" priority="122">
      <formula>ABS(L17-O17)/O17&gt;#REF!</formula>
    </cfRule>
  </conditionalFormatting>
  <conditionalFormatting sqref="I16">
    <cfRule type="expression" dxfId="118" priority="120">
      <formula>ABS(I16-O16)/O16&gt;#REF!</formula>
    </cfRule>
  </conditionalFormatting>
  <conditionalFormatting sqref="L16">
    <cfRule type="expression" dxfId="117" priority="119">
      <formula>ABS(L16-O16)/O16&gt;#REF!</formula>
    </cfRule>
  </conditionalFormatting>
  <conditionalFormatting sqref="F15">
    <cfRule type="expression" dxfId="116" priority="118">
      <formula>ABS(F15-O15)/O15&gt;#REF!</formula>
    </cfRule>
  </conditionalFormatting>
  <conditionalFormatting sqref="I15">
    <cfRule type="expression" dxfId="115" priority="117">
      <formula>ABS(I15-O15)/O15&gt;#REF!</formula>
    </cfRule>
  </conditionalFormatting>
  <conditionalFormatting sqref="L15">
    <cfRule type="expression" dxfId="114" priority="116">
      <formula>ABS(L15-O15)/O15&gt;#REF!</formula>
    </cfRule>
  </conditionalFormatting>
  <conditionalFormatting sqref="I14">
    <cfRule type="expression" dxfId="113" priority="114">
      <formula>ABS(I14-O14)/O14&gt;#REF!</formula>
    </cfRule>
  </conditionalFormatting>
  <conditionalFormatting sqref="L14">
    <cfRule type="expression" dxfId="112" priority="113">
      <formula>ABS(L14-O14)/O14&gt;#REF!</formula>
    </cfRule>
  </conditionalFormatting>
  <conditionalFormatting sqref="L39">
    <cfRule type="expression" dxfId="111" priority="112">
      <formula>ABS(L39-#REF!)/#REF!&gt;#REF!</formula>
    </cfRule>
  </conditionalFormatting>
  <conditionalFormatting sqref="F39">
    <cfRule type="expression" dxfId="110" priority="110">
      <formula>ABS(F39-O39)/O39&gt;#REF!</formula>
    </cfRule>
  </conditionalFormatting>
  <conditionalFormatting sqref="I39">
    <cfRule type="expression" dxfId="109" priority="111">
      <formula>ABS(I39-O39)/O39&gt;#REF!</formula>
    </cfRule>
  </conditionalFormatting>
  <conditionalFormatting sqref="L40">
    <cfRule type="expression" dxfId="108" priority="109">
      <formula>ABS(L40-#REF!)/#REF!&gt;#REF!</formula>
    </cfRule>
  </conditionalFormatting>
  <conditionalFormatting sqref="F40">
    <cfRule type="expression" dxfId="107" priority="107">
      <formula>ABS(F40-O40)/O40&gt;#REF!</formula>
    </cfRule>
  </conditionalFormatting>
  <conditionalFormatting sqref="I40">
    <cfRule type="expression" dxfId="106" priority="108">
      <formula>ABS(I40-O40)/O40&gt;#REF!</formula>
    </cfRule>
  </conditionalFormatting>
  <conditionalFormatting sqref="L41">
    <cfRule type="expression" dxfId="105" priority="106">
      <formula>ABS(L41-#REF!)/#REF!&gt;#REF!</formula>
    </cfRule>
  </conditionalFormatting>
  <conditionalFormatting sqref="F41">
    <cfRule type="expression" dxfId="104" priority="104">
      <formula>ABS(F41-O41)/O41&gt;#REF!</formula>
    </cfRule>
  </conditionalFormatting>
  <conditionalFormatting sqref="I41">
    <cfRule type="expression" dxfId="103" priority="105">
      <formula>ABS(I41-O41)/O41&gt;#REF!</formula>
    </cfRule>
  </conditionalFormatting>
  <conditionalFormatting sqref="L42">
    <cfRule type="expression" dxfId="102" priority="103">
      <formula>ABS(L42-#REF!)/#REF!&gt;#REF!</formula>
    </cfRule>
  </conditionalFormatting>
  <conditionalFormatting sqref="F42">
    <cfRule type="expression" dxfId="101" priority="101">
      <formula>ABS(F42-O42)/O42&gt;#REF!</formula>
    </cfRule>
  </conditionalFormatting>
  <conditionalFormatting sqref="I42">
    <cfRule type="expression" dxfId="100" priority="102">
      <formula>ABS(I42-O42)/O42&gt;#REF!</formula>
    </cfRule>
  </conditionalFormatting>
  <conditionalFormatting sqref="L45">
    <cfRule type="expression" dxfId="99" priority="100">
      <formula>ABS(L45-#REF!)/#REF!&gt;#REF!</formula>
    </cfRule>
  </conditionalFormatting>
  <conditionalFormatting sqref="F45">
    <cfRule type="expression" dxfId="98" priority="98">
      <formula>ABS(F45-O45)/O45&gt;#REF!</formula>
    </cfRule>
  </conditionalFormatting>
  <conditionalFormatting sqref="I45">
    <cfRule type="expression" dxfId="97" priority="99">
      <formula>ABS(I45-O45)/O45&gt;#REF!</formula>
    </cfRule>
  </conditionalFormatting>
  <conditionalFormatting sqref="L43">
    <cfRule type="expression" dxfId="96" priority="97">
      <formula>ABS(L43-#REF!)/#REF!&gt;#REF!</formula>
    </cfRule>
  </conditionalFormatting>
  <conditionalFormatting sqref="F43">
    <cfRule type="expression" dxfId="95" priority="95">
      <formula>ABS(F43-O43)/O43&gt;#REF!</formula>
    </cfRule>
  </conditionalFormatting>
  <conditionalFormatting sqref="I43">
    <cfRule type="expression" dxfId="94" priority="96">
      <formula>ABS(I43-O43)/O43&gt;#REF!</formula>
    </cfRule>
  </conditionalFormatting>
  <conditionalFormatting sqref="I45">
    <cfRule type="expression" dxfId="93" priority="94">
      <formula>ABS(I45-#REF!)/#REF!&gt;#REF!</formula>
    </cfRule>
  </conditionalFormatting>
  <conditionalFormatting sqref="F45">
    <cfRule type="expression" dxfId="92" priority="93">
      <formula>ABS(F45-L45)/L45&gt;#REF!</formula>
    </cfRule>
  </conditionalFormatting>
  <conditionalFormatting sqref="L44">
    <cfRule type="expression" dxfId="91" priority="92">
      <formula>ABS(L44-#REF!)/#REF!&gt;#REF!</formula>
    </cfRule>
  </conditionalFormatting>
  <conditionalFormatting sqref="F44">
    <cfRule type="expression" dxfId="90" priority="90">
      <formula>ABS(F44-O44)/O44&gt;#REF!</formula>
    </cfRule>
  </conditionalFormatting>
  <conditionalFormatting sqref="I44">
    <cfRule type="expression" dxfId="89" priority="91">
      <formula>ABS(I44-O44)/O44&gt;#REF!</formula>
    </cfRule>
  </conditionalFormatting>
  <conditionalFormatting sqref="I44">
    <cfRule type="expression" dxfId="88" priority="89">
      <formula>ABS(I44-#REF!)/#REF!&gt;#REF!</formula>
    </cfRule>
  </conditionalFormatting>
  <conditionalFormatting sqref="F44">
    <cfRule type="expression" dxfId="87" priority="88">
      <formula>ABS(F44-L44)/L44&gt;#REF!</formula>
    </cfRule>
  </conditionalFormatting>
  <conditionalFormatting sqref="L46">
    <cfRule type="expression" dxfId="86" priority="87">
      <formula>ABS(L46-#REF!)/#REF!&gt;#REF!</formula>
    </cfRule>
  </conditionalFormatting>
  <conditionalFormatting sqref="I46">
    <cfRule type="expression" dxfId="85" priority="86">
      <formula>ABS(I46-O46)/O46&gt;#REF!</formula>
    </cfRule>
  </conditionalFormatting>
  <conditionalFormatting sqref="I46">
    <cfRule type="expression" dxfId="84" priority="85">
      <formula>ABS(I46-#REF!)/#REF!&gt;#REF!</formula>
    </cfRule>
  </conditionalFormatting>
  <conditionalFormatting sqref="F46">
    <cfRule type="expression" dxfId="83" priority="84">
      <formula>ABS(F46-#REF!)/#REF!&gt;#REF!</formula>
    </cfRule>
  </conditionalFormatting>
  <conditionalFormatting sqref="L48">
    <cfRule type="expression" dxfId="82" priority="83">
      <formula>ABS(L48-#REF!)/#REF!&gt;#REF!</formula>
    </cfRule>
  </conditionalFormatting>
  <conditionalFormatting sqref="I48">
    <cfRule type="expression" dxfId="81" priority="82">
      <formula>ABS(I48-O48)/O48&gt;#REF!</formula>
    </cfRule>
  </conditionalFormatting>
  <conditionalFormatting sqref="I48">
    <cfRule type="expression" dxfId="80" priority="81">
      <formula>ABS(I48-#REF!)/#REF!&gt;#REF!</formula>
    </cfRule>
  </conditionalFormatting>
  <conditionalFormatting sqref="F48">
    <cfRule type="expression" dxfId="79" priority="80">
      <formula>ABS(F48-#REF!)/#REF!&gt;#REF!</formula>
    </cfRule>
  </conditionalFormatting>
  <conditionalFormatting sqref="L47">
    <cfRule type="expression" dxfId="78" priority="79">
      <formula>ABS(L47-#REF!)/#REF!&gt;#REF!</formula>
    </cfRule>
  </conditionalFormatting>
  <conditionalFormatting sqref="I47">
    <cfRule type="expression" dxfId="77" priority="78">
      <formula>ABS(I47-O47)/O47&gt;#REF!</formula>
    </cfRule>
  </conditionalFormatting>
  <conditionalFormatting sqref="I47">
    <cfRule type="expression" dxfId="76" priority="77">
      <formula>ABS(I47-#REF!)/#REF!&gt;#REF!</formula>
    </cfRule>
  </conditionalFormatting>
  <conditionalFormatting sqref="F47">
    <cfRule type="expression" dxfId="75" priority="76">
      <formula>ABS(F47-#REF!)/#REF!&gt;#REF!</formula>
    </cfRule>
  </conditionalFormatting>
  <conditionalFormatting sqref="L49">
    <cfRule type="expression" dxfId="74" priority="75">
      <formula>ABS(L49-#REF!)/#REF!&gt;#REF!</formula>
    </cfRule>
  </conditionalFormatting>
  <conditionalFormatting sqref="F49">
    <cfRule type="expression" dxfId="73" priority="73">
      <formula>ABS(F49-O49)/O49&gt;#REF!</formula>
    </cfRule>
  </conditionalFormatting>
  <conditionalFormatting sqref="I49">
    <cfRule type="expression" dxfId="72" priority="74">
      <formula>ABS(I49-O49)/O49&gt;#REF!</formula>
    </cfRule>
  </conditionalFormatting>
  <conditionalFormatting sqref="I49">
    <cfRule type="expression" dxfId="71" priority="72">
      <formula>ABS(I49-#REF!)/#REF!&gt;#REF!</formula>
    </cfRule>
  </conditionalFormatting>
  <conditionalFormatting sqref="F49">
    <cfRule type="expression" dxfId="70" priority="71">
      <formula>ABS(F49-L49)/L49&gt;#REF!</formula>
    </cfRule>
  </conditionalFormatting>
  <conditionalFormatting sqref="L50">
    <cfRule type="expression" dxfId="69" priority="70">
      <formula>ABS(L50-#REF!)/#REF!&gt;#REF!</formula>
    </cfRule>
  </conditionalFormatting>
  <conditionalFormatting sqref="I50">
    <cfRule type="expression" dxfId="68" priority="69">
      <formula>ABS(I50-O50)/O50&gt;#REF!</formula>
    </cfRule>
  </conditionalFormatting>
  <conditionalFormatting sqref="I50">
    <cfRule type="expression" dxfId="67" priority="68">
      <formula>ABS(I50-#REF!)/#REF!&gt;#REF!</formula>
    </cfRule>
  </conditionalFormatting>
  <conditionalFormatting sqref="F50">
    <cfRule type="expression" dxfId="66" priority="67">
      <formula>ABS(F50-#REF!)/#REF!&gt;#REF!</formula>
    </cfRule>
  </conditionalFormatting>
  <conditionalFormatting sqref="L52">
    <cfRule type="expression" dxfId="65" priority="66">
      <formula>ABS(L52-#REF!)/#REF!&gt;#REF!</formula>
    </cfRule>
  </conditionalFormatting>
  <conditionalFormatting sqref="I52">
    <cfRule type="expression" dxfId="64" priority="65">
      <formula>ABS(I52-O52)/O52&gt;#REF!</formula>
    </cfRule>
  </conditionalFormatting>
  <conditionalFormatting sqref="I52">
    <cfRule type="expression" dxfId="63" priority="64">
      <formula>ABS(I52-#REF!)/#REF!&gt;#REF!</formula>
    </cfRule>
  </conditionalFormatting>
  <conditionalFormatting sqref="F52">
    <cfRule type="expression" dxfId="62" priority="63">
      <formula>ABS(F52-#REF!)/#REF!&gt;#REF!</formula>
    </cfRule>
  </conditionalFormatting>
  <conditionalFormatting sqref="L51">
    <cfRule type="expression" dxfId="61" priority="62">
      <formula>ABS(L51-#REF!)/#REF!&gt;#REF!</formula>
    </cfRule>
  </conditionalFormatting>
  <conditionalFormatting sqref="I51">
    <cfRule type="expression" dxfId="60" priority="61">
      <formula>ABS(I51-O51)/O51&gt;#REF!</formula>
    </cfRule>
  </conditionalFormatting>
  <conditionalFormatting sqref="I51">
    <cfRule type="expression" dxfId="59" priority="60">
      <formula>ABS(I51-#REF!)/#REF!&gt;#REF!</formula>
    </cfRule>
  </conditionalFormatting>
  <conditionalFormatting sqref="F51">
    <cfRule type="expression" dxfId="58" priority="59">
      <formula>ABS(F51-#REF!)/#REF!&gt;#REF!</formula>
    </cfRule>
  </conditionalFormatting>
  <conditionalFormatting sqref="L54">
    <cfRule type="expression" dxfId="57" priority="58">
      <formula>ABS(L54-#REF!)/#REF!&gt;#REF!</formula>
    </cfRule>
  </conditionalFormatting>
  <conditionalFormatting sqref="I54">
    <cfRule type="expression" dxfId="56" priority="57">
      <formula>ABS(I54-O54)/O54&gt;#REF!</formula>
    </cfRule>
  </conditionalFormatting>
  <conditionalFormatting sqref="I54">
    <cfRule type="expression" dxfId="55" priority="56">
      <formula>ABS(I54-#REF!)/#REF!&gt;#REF!</formula>
    </cfRule>
  </conditionalFormatting>
  <conditionalFormatting sqref="F54">
    <cfRule type="expression" dxfId="54" priority="55">
      <formula>ABS(F54-#REF!)/#REF!&gt;#REF!</formula>
    </cfRule>
  </conditionalFormatting>
  <conditionalFormatting sqref="L53">
    <cfRule type="expression" dxfId="53" priority="54">
      <formula>ABS(L53-#REF!)/#REF!&gt;#REF!</formula>
    </cfRule>
  </conditionalFormatting>
  <conditionalFormatting sqref="I53">
    <cfRule type="expression" dxfId="52" priority="53">
      <formula>ABS(I53-O53)/O53&gt;#REF!</formula>
    </cfRule>
  </conditionalFormatting>
  <conditionalFormatting sqref="I53">
    <cfRule type="expression" dxfId="51" priority="52">
      <formula>ABS(I53-#REF!)/#REF!&gt;#REF!</formula>
    </cfRule>
  </conditionalFormatting>
  <conditionalFormatting sqref="F53">
    <cfRule type="expression" dxfId="50" priority="51">
      <formula>ABS(F53-#REF!)/#REF!&gt;#REF!</formula>
    </cfRule>
  </conditionalFormatting>
  <conditionalFormatting sqref="L55">
    <cfRule type="expression" dxfId="49" priority="50">
      <formula>ABS(L55-#REF!)/#REF!&gt;#REF!</formula>
    </cfRule>
  </conditionalFormatting>
  <conditionalFormatting sqref="F55">
    <cfRule type="expression" dxfId="48" priority="48">
      <formula>ABS(F55-O55)/O55&gt;#REF!</formula>
    </cfRule>
  </conditionalFormatting>
  <conditionalFormatting sqref="I55">
    <cfRule type="expression" dxfId="47" priority="49">
      <formula>ABS(I55-O55)/O55&gt;#REF!</formula>
    </cfRule>
  </conditionalFormatting>
  <conditionalFormatting sqref="I55">
    <cfRule type="expression" dxfId="46" priority="47">
      <formula>ABS(I55-#REF!)/#REF!&gt;#REF!</formula>
    </cfRule>
  </conditionalFormatting>
  <conditionalFormatting sqref="F55">
    <cfRule type="expression" dxfId="45" priority="46">
      <formula>ABS(F55-L55)/L55&gt;#REF!</formula>
    </cfRule>
  </conditionalFormatting>
  <conditionalFormatting sqref="L107">
    <cfRule type="expression" dxfId="44" priority="45">
      <formula>ABS(L107-#REF!)/#REF!&gt;#REF!</formula>
    </cfRule>
  </conditionalFormatting>
  <conditionalFormatting sqref="I107">
    <cfRule type="expression" dxfId="43" priority="44">
      <formula>ABS(I107-O107)/O107&gt;#REF!</formula>
    </cfRule>
  </conditionalFormatting>
  <conditionalFormatting sqref="I107">
    <cfRule type="expression" dxfId="42" priority="43">
      <formula>ABS(I107-#REF!)/#REF!&gt;#REF!</formula>
    </cfRule>
  </conditionalFormatting>
  <conditionalFormatting sqref="F107">
    <cfRule type="expression" dxfId="41" priority="42">
      <formula>ABS(F107-#REF!)/#REF!&gt;#REF!</formula>
    </cfRule>
  </conditionalFormatting>
  <conditionalFormatting sqref="L109">
    <cfRule type="expression" dxfId="40" priority="41">
      <formula>ABS(L109-#REF!)/#REF!&gt;#REF!</formula>
    </cfRule>
  </conditionalFormatting>
  <conditionalFormatting sqref="I109">
    <cfRule type="expression" dxfId="39" priority="40">
      <formula>ABS(I109-O109)/O109&gt;#REF!</formula>
    </cfRule>
  </conditionalFormatting>
  <conditionalFormatting sqref="I109">
    <cfRule type="expression" dxfId="38" priority="39">
      <formula>ABS(I109-#REF!)/#REF!&gt;#REF!</formula>
    </cfRule>
  </conditionalFormatting>
  <conditionalFormatting sqref="F109">
    <cfRule type="expression" dxfId="37" priority="38">
      <formula>ABS(F109-#REF!)/#REF!&gt;#REF!</formula>
    </cfRule>
  </conditionalFormatting>
  <conditionalFormatting sqref="L108">
    <cfRule type="expression" dxfId="36" priority="37">
      <formula>ABS(L108-#REF!)/#REF!&gt;#REF!</formula>
    </cfRule>
  </conditionalFormatting>
  <conditionalFormatting sqref="I108">
    <cfRule type="expression" dxfId="35" priority="36">
      <formula>ABS(I108-O108)/O108&gt;#REF!</formula>
    </cfRule>
  </conditionalFormatting>
  <conditionalFormatting sqref="I108">
    <cfRule type="expression" dxfId="34" priority="35">
      <formula>ABS(I108-#REF!)/#REF!&gt;#REF!</formula>
    </cfRule>
  </conditionalFormatting>
  <conditionalFormatting sqref="F108">
    <cfRule type="expression" dxfId="33" priority="34">
      <formula>ABS(F108-#REF!)/#REF!&gt;#REF!</formula>
    </cfRule>
  </conditionalFormatting>
  <conditionalFormatting sqref="F34">
    <cfRule type="expression" dxfId="32" priority="31">
      <formula>ABS(F34-O34)/O34&gt;#REF!</formula>
    </cfRule>
  </conditionalFormatting>
  <conditionalFormatting sqref="I34">
    <cfRule type="expression" dxfId="31" priority="32">
      <formula>ABS(I34-O34)/O34&gt;#REF!</formula>
    </cfRule>
  </conditionalFormatting>
  <conditionalFormatting sqref="L34">
    <cfRule type="expression" dxfId="30" priority="33">
      <formula>ABS(L34-#REF!)/#REF!&gt;#REF!</formula>
    </cfRule>
  </conditionalFormatting>
  <conditionalFormatting sqref="F33">
    <cfRule type="expression" dxfId="29" priority="28">
      <formula>ABS(F33-O33)/O33&gt;#REF!</formula>
    </cfRule>
  </conditionalFormatting>
  <conditionalFormatting sqref="I33">
    <cfRule type="expression" dxfId="28" priority="29">
      <formula>ABS(I33-O33)/O33&gt;#REF!</formula>
    </cfRule>
  </conditionalFormatting>
  <conditionalFormatting sqref="L33">
    <cfRule type="expression" dxfId="27" priority="30">
      <formula>ABS(L33-#REF!)/#REF!&gt;#REF!</formula>
    </cfRule>
  </conditionalFormatting>
  <conditionalFormatting sqref="F32">
    <cfRule type="expression" dxfId="26" priority="25">
      <formula>ABS(F32-O32)/O32&gt;#REF!</formula>
    </cfRule>
  </conditionalFormatting>
  <conditionalFormatting sqref="I32">
    <cfRule type="expression" dxfId="25" priority="26">
      <formula>ABS(I32-O32)/O32&gt;#REF!</formula>
    </cfRule>
  </conditionalFormatting>
  <conditionalFormatting sqref="L32">
    <cfRule type="expression" dxfId="24" priority="27">
      <formula>ABS(L32-#REF!)/#REF!&gt;#REF!</formula>
    </cfRule>
  </conditionalFormatting>
  <conditionalFormatting sqref="F31">
    <cfRule type="expression" dxfId="23" priority="22">
      <formula>ABS(F31-O31)/O31&gt;#REF!</formula>
    </cfRule>
  </conditionalFormatting>
  <conditionalFormatting sqref="I31">
    <cfRule type="expression" dxfId="22" priority="23">
      <formula>ABS(I31-O31)/O31&gt;#REF!</formula>
    </cfRule>
  </conditionalFormatting>
  <conditionalFormatting sqref="L31">
    <cfRule type="expression" dxfId="21" priority="24">
      <formula>ABS(L31-#REF!)/#REF!&gt;#REF!</formula>
    </cfRule>
  </conditionalFormatting>
  <conditionalFormatting sqref="F30">
    <cfRule type="expression" dxfId="20" priority="19">
      <formula>ABS(F30-O30)/O30&gt;#REF!</formula>
    </cfRule>
  </conditionalFormatting>
  <conditionalFormatting sqref="I30">
    <cfRule type="expression" dxfId="19" priority="20">
      <formula>ABS(I30-O30)/O30&gt;#REF!</formula>
    </cfRule>
  </conditionalFormatting>
  <conditionalFormatting sqref="L30">
    <cfRule type="expression" dxfId="18" priority="21">
      <formula>ABS(L30-#REF!)/#REF!&gt;#REF!</formula>
    </cfRule>
  </conditionalFormatting>
  <conditionalFormatting sqref="F35">
    <cfRule type="expression" dxfId="17" priority="16">
      <formula>ABS(F35-O35)/O35&gt;#REF!</formula>
    </cfRule>
  </conditionalFormatting>
  <conditionalFormatting sqref="I35">
    <cfRule type="expression" dxfId="16" priority="17">
      <formula>ABS(I35-O35)/O35&gt;#REF!</formula>
    </cfRule>
  </conditionalFormatting>
  <conditionalFormatting sqref="L35">
    <cfRule type="expression" dxfId="15" priority="18">
      <formula>ABS(L35-#REF!)/#REF!&gt;#REF!</formula>
    </cfRule>
  </conditionalFormatting>
  <conditionalFormatting sqref="F36">
    <cfRule type="expression" dxfId="14" priority="13">
      <formula>ABS(F36-O36)/O36&gt;#REF!</formula>
    </cfRule>
  </conditionalFormatting>
  <conditionalFormatting sqref="I36">
    <cfRule type="expression" dxfId="13" priority="14">
      <formula>ABS(I36-O36)/O36&gt;#REF!</formula>
    </cfRule>
  </conditionalFormatting>
  <conditionalFormatting sqref="L36">
    <cfRule type="expression" dxfId="12" priority="15">
      <formula>ABS(L36-#REF!)/#REF!&gt;#REF!</formula>
    </cfRule>
  </conditionalFormatting>
  <conditionalFormatting sqref="F111">
    <cfRule type="expression" dxfId="11" priority="10">
      <formula>ABS(F111-O111)/O111&gt;#REF!</formula>
    </cfRule>
  </conditionalFormatting>
  <conditionalFormatting sqref="I111">
    <cfRule type="expression" dxfId="10" priority="11">
      <formula>ABS(I111-O111)/O111&gt;#REF!</formula>
    </cfRule>
  </conditionalFormatting>
  <conditionalFormatting sqref="L111">
    <cfRule type="expression" dxfId="9" priority="12">
      <formula>ABS(L111-#REF!)/#REF!&gt;#REF!</formula>
    </cfRule>
  </conditionalFormatting>
  <conditionalFormatting sqref="L111">
    <cfRule type="expression" dxfId="8" priority="9">
      <formula>ABS(L111-#REF!)/#REF!&gt;#REF!</formula>
    </cfRule>
  </conditionalFormatting>
  <conditionalFormatting sqref="F111">
    <cfRule type="expression" dxfId="7" priority="8">
      <formula>ABS(F111-O111)/O111&gt;#REF!</formula>
    </cfRule>
  </conditionalFormatting>
  <conditionalFormatting sqref="I111">
    <cfRule type="expression" dxfId="6" priority="7">
      <formula>ABS(I111-O111)/O111&gt;#REF!</formula>
    </cfRule>
  </conditionalFormatting>
  <conditionalFormatting sqref="F112">
    <cfRule type="expression" dxfId="5" priority="4">
      <formula>ABS(F112-O112)/O112&gt;#REF!</formula>
    </cfRule>
  </conditionalFormatting>
  <conditionalFormatting sqref="I112">
    <cfRule type="expression" dxfId="4" priority="5">
      <formula>ABS(I112-O112)/O112&gt;#REF!</formula>
    </cfRule>
  </conditionalFormatting>
  <conditionalFormatting sqref="L112">
    <cfRule type="expression" dxfId="3" priority="6">
      <formula>ABS(L112-#REF!)/#REF!&gt;#REF!</formula>
    </cfRule>
  </conditionalFormatting>
  <conditionalFormatting sqref="L112">
    <cfRule type="expression" dxfId="2" priority="3">
      <formula>ABS(L112-#REF!)/#REF!&gt;#REF!</formula>
    </cfRule>
  </conditionalFormatting>
  <conditionalFormatting sqref="F112">
    <cfRule type="expression" dxfId="1" priority="2">
      <formula>ABS(F112-O112)/O112&gt;#REF!</formula>
    </cfRule>
  </conditionalFormatting>
  <conditionalFormatting sqref="I112">
    <cfRule type="expression" dxfId="0" priority="1">
      <formula>ABS(I112-O112)/O112&gt;#REF!</formula>
    </cfRule>
  </conditionalFormatting>
  <hyperlinks>
    <hyperlink ref="E44" r:id="rId1" display="http://bemfixa.produto.rakuten.com.br/"/>
    <hyperlink ref="E45" r:id="rId2"/>
    <hyperlink ref="H45" r:id="rId3"/>
    <hyperlink ref="K45" r:id="rId4"/>
    <hyperlink ref="E46" r:id="rId5"/>
    <hyperlink ref="H46" r:id="rId6"/>
    <hyperlink ref="E47" r:id="rId7"/>
    <hyperlink ref="H47" r:id="rId8"/>
    <hyperlink ref="E48" r:id="rId9"/>
    <hyperlink ref="H48" r:id="rId10"/>
    <hyperlink ref="E50" r:id="rId11"/>
    <hyperlink ref="H50" r:id="rId12"/>
    <hyperlink ref="K50" r:id="rId13"/>
  </hyperlinks>
  <printOptions horizontalCentered="1"/>
  <pageMargins left="0.51181102362204722" right="0.51181102362204722" top="0.19685039370078741" bottom="0.39370078740157483" header="0.31496062992125984" footer="0.31496062992125984"/>
  <pageSetup paperSize="9" scale="50" fitToHeight="100" orientation="landscape" r:id="rId14"/>
  <rowBreaks count="1" manualBreakCount="1">
    <brk id="43" max="15" man="1"/>
  </rowBreaks>
  <drawing r:id="rId15"/>
  <legacyDrawingHF r:id="rId16"/>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1"/>
  <sheetViews>
    <sheetView view="pageBreakPreview" zoomScaleNormal="100" zoomScaleSheetLayoutView="100" workbookViewId="0">
      <selection activeCell="G6" sqref="G6"/>
    </sheetView>
  </sheetViews>
  <sheetFormatPr defaultRowHeight="15"/>
  <cols>
    <col min="1" max="1" width="14.42578125" customWidth="1"/>
    <col min="2" max="2" width="19.140625" customWidth="1"/>
  </cols>
  <sheetData>
    <row r="1" spans="1:4" ht="30.75" customHeight="1">
      <c r="A1" s="1716" t="s">
        <v>834</v>
      </c>
      <c r="B1" s="1716"/>
      <c r="C1" s="1716"/>
      <c r="D1" s="1716"/>
    </row>
    <row r="2" spans="1:4">
      <c r="A2" s="559" t="s">
        <v>150</v>
      </c>
      <c r="B2" s="559" t="s">
        <v>835</v>
      </c>
      <c r="C2" s="559" t="s">
        <v>840</v>
      </c>
      <c r="D2" s="570" t="s">
        <v>104</v>
      </c>
    </row>
    <row r="3" spans="1:4">
      <c r="A3" s="8" t="s">
        <v>828</v>
      </c>
      <c r="B3" s="8" t="s">
        <v>831</v>
      </c>
      <c r="C3" s="8">
        <f>20.2+12+12.4</f>
        <v>44.6</v>
      </c>
      <c r="D3" s="8" t="s">
        <v>105</v>
      </c>
    </row>
    <row r="4" spans="1:4">
      <c r="A4" s="8" t="s">
        <v>829</v>
      </c>
      <c r="B4" s="8" t="s">
        <v>830</v>
      </c>
      <c r="C4" s="8">
        <v>36</v>
      </c>
      <c r="D4" s="8" t="s">
        <v>105</v>
      </c>
    </row>
    <row r="5" spans="1:4" ht="45">
      <c r="A5" s="569" t="s">
        <v>832</v>
      </c>
      <c r="B5" s="8" t="s">
        <v>833</v>
      </c>
      <c r="C5" s="8">
        <v>12</v>
      </c>
      <c r="D5" s="8" t="s">
        <v>105</v>
      </c>
    </row>
    <row r="6" spans="1:4">
      <c r="A6" s="572" t="s">
        <v>836</v>
      </c>
      <c r="B6" s="571" t="s">
        <v>837</v>
      </c>
      <c r="C6" s="8">
        <v>15.36</v>
      </c>
      <c r="D6" s="8" t="s">
        <v>105</v>
      </c>
    </row>
    <row r="7" spans="1:4">
      <c r="A7" s="8" t="s">
        <v>838</v>
      </c>
      <c r="B7" s="571" t="s">
        <v>839</v>
      </c>
      <c r="C7" s="8">
        <v>32</v>
      </c>
      <c r="D7" s="8" t="s">
        <v>104</v>
      </c>
    </row>
    <row r="8" spans="1:4" ht="30">
      <c r="A8" s="569" t="s">
        <v>841</v>
      </c>
      <c r="B8" s="569" t="s">
        <v>842</v>
      </c>
      <c r="C8" s="8">
        <v>1</v>
      </c>
      <c r="D8" s="8" t="s">
        <v>843</v>
      </c>
    </row>
    <row r="9" spans="1:4" ht="45">
      <c r="A9" s="569" t="s">
        <v>844</v>
      </c>
      <c r="B9" s="8" t="s">
        <v>845</v>
      </c>
      <c r="C9" s="8">
        <v>5</v>
      </c>
      <c r="D9" s="8" t="s">
        <v>136</v>
      </c>
    </row>
    <row r="10" spans="1:4" ht="45">
      <c r="A10" s="573" t="s">
        <v>832</v>
      </c>
      <c r="B10" s="571" t="s">
        <v>846</v>
      </c>
      <c r="C10" s="571">
        <v>15.12</v>
      </c>
      <c r="D10" s="571" t="s">
        <v>105</v>
      </c>
    </row>
    <row r="11" spans="1:4" ht="30">
      <c r="A11" s="573" t="s">
        <v>847</v>
      </c>
      <c r="B11" s="571" t="s">
        <v>848</v>
      </c>
      <c r="C11" s="571">
        <v>15.6</v>
      </c>
      <c r="D11" s="571" t="s">
        <v>105</v>
      </c>
    </row>
  </sheetData>
  <mergeCells count="1">
    <mergeCell ref="A1:D1"/>
  </mergeCells>
  <pageMargins left="0.70866141732283472" right="0" top="0.74803149606299213" bottom="0.74803149606299213" header="0.31496062992125984" footer="0.31496062992125984"/>
  <pageSetup paperSize="9"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28</vt:i4>
      </vt:variant>
      <vt:variant>
        <vt:lpstr>Intervalos nomeados</vt:lpstr>
      </vt:variant>
      <vt:variant>
        <vt:i4>21</vt:i4>
      </vt:variant>
    </vt:vector>
  </HeadingPairs>
  <TitlesOfParts>
    <vt:vector size="49" baseType="lpstr">
      <vt:lpstr>PLANILHA ORÇAMENTÁRIA</vt:lpstr>
      <vt:lpstr>QCI</vt:lpstr>
      <vt:lpstr>MEMORIA DE CÁLCULO</vt:lpstr>
      <vt:lpstr>BDI</vt:lpstr>
      <vt:lpstr>COTAÇÃO</vt:lpstr>
      <vt:lpstr>CRONOGRAMA</vt:lpstr>
      <vt:lpstr>ELE-01</vt:lpstr>
      <vt:lpstr>ELE-02</vt:lpstr>
      <vt:lpstr>ELE-03</vt:lpstr>
      <vt:lpstr>ELE-04</vt:lpstr>
      <vt:lpstr>COMP-01</vt:lpstr>
      <vt:lpstr>COMP-02</vt:lpstr>
      <vt:lpstr>COMP-03</vt:lpstr>
      <vt:lpstr>COMP-04</vt:lpstr>
      <vt:lpstr>COMP-05</vt:lpstr>
      <vt:lpstr>COMP-06</vt:lpstr>
      <vt:lpstr>COMP-07</vt:lpstr>
      <vt:lpstr>COMP-08</vt:lpstr>
      <vt:lpstr>COMP-09</vt:lpstr>
      <vt:lpstr>COMP-10</vt:lpstr>
      <vt:lpstr>COMP-11</vt:lpstr>
      <vt:lpstr>PAI</vt:lpstr>
      <vt:lpstr>LIX</vt:lpstr>
      <vt:lpstr>Plan2</vt:lpstr>
      <vt:lpstr>QUADRO ESTRUTURAL TÓTEM</vt:lpstr>
      <vt:lpstr>QUADRO ESTRUTURAL PONTO ONIBUS</vt:lpstr>
      <vt:lpstr>COTAÇÕES</vt:lpstr>
      <vt:lpstr>ESTRUT. METÁLICA PONTO ONIBUS</vt:lpstr>
      <vt:lpstr>'COMP-01'!Area_de_impressao</vt:lpstr>
      <vt:lpstr>'COMP-03'!Area_de_impressao</vt:lpstr>
      <vt:lpstr>'COMP-04'!Area_de_impressao</vt:lpstr>
      <vt:lpstr>'COMP-06'!Area_de_impressao</vt:lpstr>
      <vt:lpstr>'COMP-07'!Area_de_impressao</vt:lpstr>
      <vt:lpstr>'COMP-08'!Area_de_impressao</vt:lpstr>
      <vt:lpstr>'COMP-10'!Area_de_impressao</vt:lpstr>
      <vt:lpstr>'COMP-11'!Area_de_impressao</vt:lpstr>
      <vt:lpstr>COTAÇÃO!Area_de_impressao</vt:lpstr>
      <vt:lpstr>COTAÇÕES!Area_de_impressao</vt:lpstr>
      <vt:lpstr>LIX!Area_de_impressao</vt:lpstr>
      <vt:lpstr>'MEMORIA DE CÁLCULO'!Area_de_impressao</vt:lpstr>
      <vt:lpstr>PAI!Area_de_impressao</vt:lpstr>
      <vt:lpstr>'PLANILHA ORÇAMENTÁRIA'!Area_de_impressao</vt:lpstr>
      <vt:lpstr>QCI!Area_de_impressao</vt:lpstr>
      <vt:lpstr>'QUADRO ESTRUTURAL PONTO ONIBUS'!Area_de_impressao</vt:lpstr>
      <vt:lpstr>'QUADRO ESTRUTURAL TÓTEM'!Area_de_impressao</vt:lpstr>
      <vt:lpstr>COTAÇÃO!Titulos_de_impressao</vt:lpstr>
      <vt:lpstr>COTAÇÕES!Titulos_de_impressao</vt:lpstr>
      <vt:lpstr>'MEMORIA DE CÁLCULO'!Titulos_de_impressao</vt:lpstr>
      <vt:lpstr>'PLANILHA ORÇAMENTÁRIA'!Titulos_de_impressao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thais.baptista</dc:creator>
  <cp:lastModifiedBy>thais.baptista</cp:lastModifiedBy>
  <cp:lastPrinted>2019-02-04T16:49:32Z</cp:lastPrinted>
  <dcterms:created xsi:type="dcterms:W3CDTF">2018-11-01T15:36:16Z</dcterms:created>
  <dcterms:modified xsi:type="dcterms:W3CDTF">2019-02-04T17:06:48Z</dcterms:modified>
</cp:coreProperties>
</file>