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3.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Obras\Obras\ENGENHARIA\CONTRATOS E MEDIÇÕES\21 - Recapeamento diversas vias\"/>
    </mc:Choice>
  </mc:AlternateContent>
  <bookViews>
    <workbookView xWindow="0" yWindow="0" windowWidth="25200" windowHeight="11385" tabRatio="712"/>
  </bookViews>
  <sheets>
    <sheet name="PLANILHA" sheetId="14" r:id="rId1"/>
    <sheet name="MC" sheetId="29" r:id="rId2"/>
    <sheet name="COMPOSIÇÃO 01" sheetId="28" r:id="rId3"/>
    <sheet name="COMPOSIÇÃO 02" sheetId="27" r:id="rId4"/>
    <sheet name="COMPOSIÇÃO 03" sheetId="23" r:id="rId5"/>
    <sheet name="CRONOG" sheetId="18" r:id="rId6"/>
    <sheet name="BDI-Comp" sheetId="22" r:id="rId7"/>
    <sheet name="RELAÇÃO DE RUAS " sheetId="19" r:id="rId8"/>
  </sheets>
  <externalReferences>
    <externalReference r:id="rId9"/>
  </externalReferences>
  <definedNames>
    <definedName name="AREA" localSheetId="2">#REF!</definedName>
    <definedName name="AREA" localSheetId="3">#REF!</definedName>
    <definedName name="AREA" localSheetId="0">PLANILHA!#REF!</definedName>
    <definedName name="AREA">#REF!</definedName>
    <definedName name="_xlnm.Print_Area" localSheetId="6">'BDI-Comp'!$A$1:$H$64</definedName>
    <definedName name="_xlnm.Print_Area" localSheetId="2">'COMPOSIÇÃO 01'!$A$1:$I$28</definedName>
    <definedName name="_xlnm.Print_Area" localSheetId="3">'COMPOSIÇÃO 02'!$A$1:$I$27</definedName>
    <definedName name="_xlnm.Print_Area" localSheetId="4">'COMPOSIÇÃO 03'!$A$1:$I$27</definedName>
    <definedName name="_xlnm.Print_Area" localSheetId="5">CRONOG!$A$1:$K$15</definedName>
    <definedName name="_xlnm.Print_Area" localSheetId="1">MC!$A$1:$N$357</definedName>
    <definedName name="_xlnm.Print_Area" localSheetId="0">PLANILHA!$A$1:$I$63</definedName>
    <definedName name="_xlnm.Print_Area" localSheetId="7">'RELAÇÃO DE RUAS '!$A$1:$I$133</definedName>
    <definedName name="BDI" localSheetId="2">#REF!</definedName>
    <definedName name="BDI" localSheetId="3">#REF!</definedName>
    <definedName name="BDI" localSheetId="0">PLANILHA!#REF!</definedName>
    <definedName name="BDI">#REF!</definedName>
    <definedName name="Excel_BuiltIn_Print_Titles_2" localSheetId="2">#REF!</definedName>
    <definedName name="Excel_BuiltIn_Print_Titles_2" localSheetId="3">#REF!</definedName>
    <definedName name="Excel_BuiltIn_Print_Titles_2" localSheetId="0">PLANILHA!$1:$6</definedName>
    <definedName name="Excel_BuiltIn_Print_Titles_2">#REF!</definedName>
    <definedName name="I" localSheetId="2">#REF!</definedName>
    <definedName name="I" localSheetId="3">#REF!</definedName>
    <definedName name="I">#REF!</definedName>
    <definedName name="P.1" localSheetId="2">#REF!</definedName>
    <definedName name="P.1" localSheetId="3">#REF!</definedName>
    <definedName name="P.1" localSheetId="0">#REF!</definedName>
    <definedName name="P.1">#REF!</definedName>
    <definedName name="P.10" localSheetId="2">#REF!</definedName>
    <definedName name="P.10" localSheetId="3">#REF!</definedName>
    <definedName name="P.10" localSheetId="0">PLANILHA!#REF!</definedName>
    <definedName name="P.10">#REF!</definedName>
    <definedName name="P.11" localSheetId="2">#REF!</definedName>
    <definedName name="P.11" localSheetId="3">#REF!</definedName>
    <definedName name="P.11" localSheetId="0">PLANILHA!#REF!</definedName>
    <definedName name="P.11">#REF!</definedName>
    <definedName name="P.12" localSheetId="2">#REF!</definedName>
    <definedName name="P.12" localSheetId="3">#REF!</definedName>
    <definedName name="P.12" localSheetId="0">PLANILHA!#REF!</definedName>
    <definedName name="P.12">#REF!</definedName>
    <definedName name="P.13" localSheetId="2">#REF!</definedName>
    <definedName name="P.13" localSheetId="3">#REF!</definedName>
    <definedName name="P.13" localSheetId="0">PLANILHA!#REF!</definedName>
    <definedName name="P.13">#REF!</definedName>
    <definedName name="P.14" localSheetId="2">#REF!</definedName>
    <definedName name="P.14" localSheetId="3">#REF!</definedName>
    <definedName name="P.14" localSheetId="0">PLANILHA!#REF!</definedName>
    <definedName name="P.14">#REF!</definedName>
    <definedName name="P.15" localSheetId="2">#REF!</definedName>
    <definedName name="P.15" localSheetId="3">#REF!</definedName>
    <definedName name="P.15" localSheetId="0">PLANILHA!#REF!</definedName>
    <definedName name="P.15">#REF!</definedName>
    <definedName name="P.2" localSheetId="2">#REF!</definedName>
    <definedName name="P.2" localSheetId="3">#REF!</definedName>
    <definedName name="P.2" localSheetId="0">PLANILHA!#REF!</definedName>
    <definedName name="P.2">#REF!</definedName>
    <definedName name="P.3" localSheetId="2">#REF!</definedName>
    <definedName name="P.3" localSheetId="3">#REF!</definedName>
    <definedName name="P.3" localSheetId="0">PLANILHA!#REF!</definedName>
    <definedName name="P.3">#REF!</definedName>
    <definedName name="P.4" localSheetId="2">#REF!</definedName>
    <definedName name="P.4" localSheetId="3">#REF!</definedName>
    <definedName name="P.4" localSheetId="0">PLANILHA!#REF!</definedName>
    <definedName name="P.4">#REF!</definedName>
    <definedName name="P.5" localSheetId="2">#REF!</definedName>
    <definedName name="P.5" localSheetId="3">#REF!</definedName>
    <definedName name="P.5" localSheetId="0">PLANILHA!#REF!</definedName>
    <definedName name="P.5">#REF!</definedName>
    <definedName name="P.6" localSheetId="2">#REF!</definedName>
    <definedName name="P.6" localSheetId="3">#REF!</definedName>
    <definedName name="P.6" localSheetId="0">PLANILHA!#REF!</definedName>
    <definedName name="P.6">#REF!</definedName>
    <definedName name="P.7" localSheetId="2">#REF!</definedName>
    <definedName name="P.7" localSheetId="3">#REF!</definedName>
    <definedName name="P.7" localSheetId="0">PLANILHA!#REF!</definedName>
    <definedName name="P.7">#REF!</definedName>
    <definedName name="P.8" localSheetId="2">#REF!</definedName>
    <definedName name="P.8" localSheetId="3">#REF!</definedName>
    <definedName name="P.8" localSheetId="0">PLANILHA!#REF!</definedName>
    <definedName name="P.8">#REF!</definedName>
    <definedName name="P.9" localSheetId="2">#REF!</definedName>
    <definedName name="P.9" localSheetId="3">#REF!</definedName>
    <definedName name="P.9" localSheetId="0">PLANILHA!#REF!</definedName>
    <definedName name="P.9">#REF!</definedName>
    <definedName name="PP1.1" localSheetId="2">#REF!</definedName>
    <definedName name="PP1.1" localSheetId="3">#REF!</definedName>
    <definedName name="PP1.1" localSheetId="0">PLANILHA!#REF!</definedName>
    <definedName name="PP1.1">#REF!</definedName>
    <definedName name="PP1.10" localSheetId="2">#REF!</definedName>
    <definedName name="PP1.10" localSheetId="3">#REF!</definedName>
    <definedName name="PP1.10" localSheetId="0">PLANILHA!#REF!</definedName>
    <definedName name="PP1.10">#REF!</definedName>
    <definedName name="PP1.11" localSheetId="2">#REF!</definedName>
    <definedName name="PP1.11" localSheetId="3">#REF!</definedName>
    <definedName name="PP1.11" localSheetId="0">PLANILHA!#REF!</definedName>
    <definedName name="PP1.11">#REF!</definedName>
    <definedName name="PP1.12" localSheetId="2">#REF!</definedName>
    <definedName name="PP1.12" localSheetId="3">#REF!</definedName>
    <definedName name="PP1.12" localSheetId="0">PLANILHA!#REF!</definedName>
    <definedName name="PP1.12">#REF!</definedName>
    <definedName name="PP1.13" localSheetId="2">#REF!</definedName>
    <definedName name="PP1.13" localSheetId="3">#REF!</definedName>
    <definedName name="PP1.13" localSheetId="0">PLANILHA!#REF!</definedName>
    <definedName name="PP1.13">#REF!</definedName>
    <definedName name="PP1.14" localSheetId="2">#REF!</definedName>
    <definedName name="PP1.14" localSheetId="3">#REF!</definedName>
    <definedName name="PP1.14" localSheetId="0">PLANILHA!#REF!</definedName>
    <definedName name="PP1.14">#REF!</definedName>
    <definedName name="PP1.15" localSheetId="2">#REF!</definedName>
    <definedName name="PP1.15" localSheetId="3">#REF!</definedName>
    <definedName name="PP1.15" localSheetId="0">PLANILHA!#REF!</definedName>
    <definedName name="PP1.15">#REF!</definedName>
    <definedName name="PP1.2" localSheetId="2">#REF!</definedName>
    <definedName name="PP1.2" localSheetId="3">#REF!</definedName>
    <definedName name="PP1.2" localSheetId="0">PLANILHA!#REF!</definedName>
    <definedName name="PP1.2">#REF!</definedName>
    <definedName name="PP1.3" localSheetId="2">#REF!</definedName>
    <definedName name="PP1.3" localSheetId="3">#REF!</definedName>
    <definedName name="PP1.3" localSheetId="0">PLANILHA!#REF!</definedName>
    <definedName name="PP1.3">#REF!</definedName>
    <definedName name="PP1.4" localSheetId="2">#REF!</definedName>
    <definedName name="PP1.4" localSheetId="3">#REF!</definedName>
    <definedName name="PP1.4" localSheetId="0">PLANILHA!#REF!</definedName>
    <definedName name="PP1.4">#REF!</definedName>
    <definedName name="PP1.5" localSheetId="2">#REF!</definedName>
    <definedName name="PP1.5" localSheetId="3">#REF!</definedName>
    <definedName name="PP1.5" localSheetId="0">PLANILHA!#REF!</definedName>
    <definedName name="PP1.5">#REF!</definedName>
    <definedName name="PP1.6" localSheetId="2">#REF!</definedName>
    <definedName name="PP1.6" localSheetId="3">#REF!</definedName>
    <definedName name="PP1.6" localSheetId="0">PLANILHA!#REF!</definedName>
    <definedName name="PP1.6">#REF!</definedName>
    <definedName name="PP1.7" localSheetId="2">#REF!</definedName>
    <definedName name="PP1.7" localSheetId="3">#REF!</definedName>
    <definedName name="PP1.7" localSheetId="0">PLANILHA!#REF!</definedName>
    <definedName name="PP1.7">#REF!</definedName>
    <definedName name="PP1.8" localSheetId="2">#REF!</definedName>
    <definedName name="PP1.8" localSheetId="3">#REF!</definedName>
    <definedName name="PP1.8" localSheetId="0">PLANILHA!#REF!</definedName>
    <definedName name="PP1.8">#REF!</definedName>
    <definedName name="PP1.9" localSheetId="2">#REF!</definedName>
    <definedName name="PP1.9" localSheetId="3">#REF!</definedName>
    <definedName name="PP1.9" localSheetId="0">PLANILHA!#REF!</definedName>
    <definedName name="PP1.9">#REF!</definedName>
    <definedName name="T.1" localSheetId="2">#REF!</definedName>
    <definedName name="T.1" localSheetId="3">#REF!</definedName>
    <definedName name="T.1" localSheetId="0">#REF!</definedName>
    <definedName name="T.1">#REF!</definedName>
    <definedName name="T.10" localSheetId="2">#REF!</definedName>
    <definedName name="T.10" localSheetId="3">#REF!</definedName>
    <definedName name="T.10" localSheetId="0">PLANILHA!#REF!</definedName>
    <definedName name="T.10">#REF!</definedName>
    <definedName name="T.11" localSheetId="2">#REF!</definedName>
    <definedName name="T.11" localSheetId="3">#REF!</definedName>
    <definedName name="T.11" localSheetId="0">PLANILHA!#REF!</definedName>
    <definedName name="T.11">#REF!</definedName>
    <definedName name="T.12" localSheetId="2">#REF!</definedName>
    <definedName name="T.12" localSheetId="3">#REF!</definedName>
    <definedName name="T.12" localSheetId="0">PLANILHA!#REF!</definedName>
    <definedName name="T.12">#REF!</definedName>
    <definedName name="T.13" localSheetId="2">#REF!</definedName>
    <definedName name="T.13" localSheetId="3">#REF!</definedName>
    <definedName name="T.13" localSheetId="0">PLANILHA!#REF!</definedName>
    <definedName name="T.13">#REF!</definedName>
    <definedName name="T.14" localSheetId="2">#REF!</definedName>
    <definedName name="T.14" localSheetId="3">#REF!</definedName>
    <definedName name="T.14" localSheetId="0">PLANILHA!#REF!</definedName>
    <definedName name="T.14">#REF!</definedName>
    <definedName name="T.15" localSheetId="2">#REF!</definedName>
    <definedName name="T.15" localSheetId="3">#REF!</definedName>
    <definedName name="T.15" localSheetId="0">PLANILHA!#REF!</definedName>
    <definedName name="T.15">#REF!</definedName>
    <definedName name="T.2" localSheetId="2">#REF!</definedName>
    <definedName name="T.2" localSheetId="3">#REF!</definedName>
    <definedName name="T.2" localSheetId="0">PLANILHA!#REF!</definedName>
    <definedName name="T.2">#REF!</definedName>
    <definedName name="T.3" localSheetId="2">#REF!</definedName>
    <definedName name="T.3" localSheetId="3">#REF!</definedName>
    <definedName name="T.3" localSheetId="0">PLANILHA!#REF!</definedName>
    <definedName name="T.3">#REF!</definedName>
    <definedName name="T.4" localSheetId="2">#REF!</definedName>
    <definedName name="T.4" localSheetId="3">#REF!</definedName>
    <definedName name="T.4" localSheetId="0">PLANILHA!#REF!</definedName>
    <definedName name="T.4">#REF!</definedName>
    <definedName name="T.5" localSheetId="2">#REF!</definedName>
    <definedName name="T.5" localSheetId="3">#REF!</definedName>
    <definedName name="T.5" localSheetId="0">PLANILHA!#REF!</definedName>
    <definedName name="T.5">#REF!</definedName>
    <definedName name="T.6" localSheetId="2">#REF!</definedName>
    <definedName name="T.6" localSheetId="3">#REF!</definedName>
    <definedName name="T.6" localSheetId="0">PLANILHA!#REF!</definedName>
    <definedName name="T.6">#REF!</definedName>
    <definedName name="T.7" localSheetId="2">#REF!</definedName>
    <definedName name="T.7" localSheetId="3">#REF!</definedName>
    <definedName name="T.7" localSheetId="0">PLANILHA!#REF!</definedName>
    <definedName name="T.7">#REF!</definedName>
    <definedName name="T.8" localSheetId="2">#REF!</definedName>
    <definedName name="T.8" localSheetId="3">#REF!</definedName>
    <definedName name="T.8" localSheetId="0">PLANILHA!#REF!</definedName>
    <definedName name="T.8">#REF!</definedName>
    <definedName name="T.9" localSheetId="2">#REF!</definedName>
    <definedName name="T.9" localSheetId="3">#REF!</definedName>
    <definedName name="T.9" localSheetId="0">PLANILHA!#REF!</definedName>
    <definedName name="T.9">#REF!</definedName>
    <definedName name="_xlnm.Print_Titles" localSheetId="0">PLANILHA!$1:$6</definedName>
    <definedName name="_xlnm.Print_Titles" localSheetId="7">'RELAÇÃO DE RUAS '!$1:$8</definedName>
    <definedName name="TOT.P" localSheetId="2">#REF!</definedName>
    <definedName name="TOT.P" localSheetId="3">#REF!</definedName>
    <definedName name="TOT.P" localSheetId="0">PLANILHA!$H$63</definedName>
    <definedName name="TOT.P">#REF!</definedName>
    <definedName name="TOT1.P" localSheetId="2">#REF!</definedName>
    <definedName name="TOT1.P" localSheetId="3">#REF!</definedName>
    <definedName name="TOT1.P" localSheetId="0">PLANILHA!#REF!</definedName>
    <definedName name="TOT1.P">#REF!</definedName>
    <definedName name="TT.1" localSheetId="2">#REF!</definedName>
    <definedName name="TT.1" localSheetId="3">#REF!</definedName>
    <definedName name="TT.1" localSheetId="0">PLANILHA!#REF!</definedName>
    <definedName name="TT.1">#REF!</definedName>
    <definedName name="TT.10" localSheetId="2">#REF!</definedName>
    <definedName name="TT.10" localSheetId="3">#REF!</definedName>
    <definedName name="TT.10" localSheetId="0">PLANILHA!#REF!</definedName>
    <definedName name="TT.10">#REF!</definedName>
    <definedName name="TT.11" localSheetId="2">#REF!</definedName>
    <definedName name="TT.11" localSheetId="3">#REF!</definedName>
    <definedName name="TT.11" localSheetId="0">PLANILHA!#REF!</definedName>
    <definedName name="TT.11">#REF!</definedName>
    <definedName name="TT.12" localSheetId="2">#REF!</definedName>
    <definedName name="TT.12" localSheetId="3">#REF!</definedName>
    <definedName name="TT.12" localSheetId="0">PLANILHA!#REF!</definedName>
    <definedName name="TT.12">#REF!</definedName>
    <definedName name="TT.13" localSheetId="2">#REF!</definedName>
    <definedName name="TT.13" localSheetId="3">#REF!</definedName>
    <definedName name="TT.13" localSheetId="0">PLANILHA!#REF!</definedName>
    <definedName name="TT.13">#REF!</definedName>
    <definedName name="TT.14" localSheetId="2">#REF!</definedName>
    <definedName name="TT.14" localSheetId="3">#REF!</definedName>
    <definedName name="TT.14" localSheetId="0">PLANILHA!#REF!</definedName>
    <definedName name="TT.14">#REF!</definedName>
    <definedName name="TT.15" localSheetId="2">#REF!</definedName>
    <definedName name="TT.15" localSheetId="3">#REF!</definedName>
    <definedName name="TT.15" localSheetId="0">PLANILHA!#REF!</definedName>
    <definedName name="TT.15">#REF!</definedName>
    <definedName name="TT.2" localSheetId="2">#REF!</definedName>
    <definedName name="TT.2" localSheetId="3">#REF!</definedName>
    <definedName name="TT.2" localSheetId="0">PLANILHA!#REF!</definedName>
    <definedName name="TT.2">#REF!</definedName>
    <definedName name="TT.3" localSheetId="2">#REF!</definedName>
    <definedName name="TT.3" localSheetId="3">#REF!</definedName>
    <definedName name="TT.3" localSheetId="0">PLANILHA!#REF!</definedName>
    <definedName name="TT.3">#REF!</definedName>
    <definedName name="TT.4" localSheetId="2">#REF!</definedName>
    <definedName name="TT.4" localSheetId="3">#REF!</definedName>
    <definedName name="TT.4" localSheetId="0">PLANILHA!#REF!</definedName>
    <definedName name="TT.4">#REF!</definedName>
    <definedName name="TT.5" localSheetId="2">#REF!</definedName>
    <definedName name="TT.5" localSheetId="3">#REF!</definedName>
    <definedName name="TT.5" localSheetId="0">PLANILHA!#REF!</definedName>
    <definedName name="TT.5">#REF!</definedName>
    <definedName name="TT.6" localSheetId="2">#REF!</definedName>
    <definedName name="TT.6" localSheetId="3">#REF!</definedName>
    <definedName name="TT.6" localSheetId="0">PLANILHA!#REF!</definedName>
    <definedName name="TT.6">#REF!</definedName>
    <definedName name="TT.7" localSheetId="2">#REF!</definedName>
    <definedName name="TT.7" localSheetId="3">#REF!</definedName>
    <definedName name="TT.7" localSheetId="0">PLANILHA!#REF!</definedName>
    <definedName name="TT.7">#REF!</definedName>
    <definedName name="TT.8" localSheetId="2">#REF!</definedName>
    <definedName name="TT.8" localSheetId="3">#REF!</definedName>
    <definedName name="TT.8" localSheetId="0">PLANILHA!#REF!</definedName>
    <definedName name="TT.8">#REF!</definedName>
    <definedName name="TT.9" localSheetId="2">#REF!</definedName>
    <definedName name="TT.9" localSheetId="3">#REF!</definedName>
    <definedName name="TT.9" localSheetId="0">PLANILHA!#REF!</definedName>
    <definedName name="TT.9">#REF!</definedName>
  </definedNames>
  <calcPr calcId="152511"/>
</workbook>
</file>

<file path=xl/calcChain.xml><?xml version="1.0" encoding="utf-8"?>
<calcChain xmlns="http://schemas.openxmlformats.org/spreadsheetml/2006/main">
  <c r="N33" i="29" l="1"/>
  <c r="N34" i="29" s="1"/>
  <c r="F14" i="14" s="1"/>
  <c r="H14" i="14"/>
  <c r="I14" i="14" l="1"/>
  <c r="I3" i="28"/>
  <c r="I3" i="27"/>
  <c r="I3" i="23"/>
  <c r="C4" i="18"/>
  <c r="C3" i="18"/>
  <c r="C2" i="18"/>
  <c r="B4" i="29"/>
  <c r="K3" i="29"/>
  <c r="B3" i="29"/>
  <c r="B2" i="29"/>
  <c r="B11" i="18"/>
  <c r="B10" i="18"/>
  <c r="B9" i="18"/>
  <c r="B8" i="18"/>
  <c r="G60" i="14" l="1"/>
  <c r="G59" i="14"/>
  <c r="N41" i="29" l="1"/>
  <c r="N42" i="29" s="1"/>
  <c r="F16" i="14" s="1"/>
  <c r="G311" i="29"/>
  <c r="I311" i="29" s="1"/>
  <c r="N311" i="29" s="1"/>
  <c r="G310" i="29"/>
  <c r="I310" i="29" s="1"/>
  <c r="N310" i="29" s="1"/>
  <c r="G309" i="29"/>
  <c r="I309" i="29" s="1"/>
  <c r="N309" i="29" s="1"/>
  <c r="G308" i="29"/>
  <c r="I308" i="29" s="1"/>
  <c r="N308" i="29" s="1"/>
  <c r="G307" i="29"/>
  <c r="I307" i="29" s="1"/>
  <c r="N307" i="29" s="1"/>
  <c r="G306" i="29"/>
  <c r="I306" i="29" s="1"/>
  <c r="N306" i="29" s="1"/>
  <c r="G305" i="29"/>
  <c r="I305" i="29" s="1"/>
  <c r="N305" i="29" s="1"/>
  <c r="G304" i="29"/>
  <c r="I304" i="29" s="1"/>
  <c r="N304" i="29" s="1"/>
  <c r="G302" i="29"/>
  <c r="I302" i="29" s="1"/>
  <c r="N302" i="29" s="1"/>
  <c r="G301" i="29"/>
  <c r="I301" i="29" s="1"/>
  <c r="N301" i="29" s="1"/>
  <c r="G300" i="29"/>
  <c r="I300" i="29" s="1"/>
  <c r="N300" i="29" s="1"/>
  <c r="G299" i="29"/>
  <c r="I299" i="29" s="1"/>
  <c r="N299" i="29" s="1"/>
  <c r="G298" i="29"/>
  <c r="I298" i="29" s="1"/>
  <c r="N298" i="29" s="1"/>
  <c r="G297" i="29"/>
  <c r="I297" i="29" s="1"/>
  <c r="N297" i="29" s="1"/>
  <c r="G296" i="29"/>
  <c r="I296" i="29" s="1"/>
  <c r="N296" i="29" s="1"/>
  <c r="G295" i="29"/>
  <c r="I295" i="29" s="1"/>
  <c r="N295" i="29" s="1"/>
  <c r="G294" i="29"/>
  <c r="I294" i="29" s="1"/>
  <c r="N294" i="29" s="1"/>
  <c r="G293" i="29"/>
  <c r="I293" i="29" s="1"/>
  <c r="N293" i="29" s="1"/>
  <c r="G292" i="29"/>
  <c r="I292" i="29" s="1"/>
  <c r="N292" i="29" s="1"/>
  <c r="G291" i="29"/>
  <c r="I291" i="29" s="1"/>
  <c r="N291" i="29" s="1"/>
  <c r="G290" i="29"/>
  <c r="I290" i="29" s="1"/>
  <c r="N290" i="29" s="1"/>
  <c r="G289" i="29"/>
  <c r="I289" i="29" s="1"/>
  <c r="N289" i="29" s="1"/>
  <c r="G288" i="29"/>
  <c r="I288" i="29" s="1"/>
  <c r="N288" i="29" s="1"/>
  <c r="G286" i="29"/>
  <c r="I286" i="29" s="1"/>
  <c r="N286" i="29" s="1"/>
  <c r="G285" i="29"/>
  <c r="I285" i="29" s="1"/>
  <c r="N285" i="29" s="1"/>
  <c r="G284" i="29"/>
  <c r="I284" i="29" s="1"/>
  <c r="N284" i="29" s="1"/>
  <c r="G283" i="29"/>
  <c r="I283" i="29" s="1"/>
  <c r="N283" i="29" s="1"/>
  <c r="G282" i="29"/>
  <c r="I282" i="29" s="1"/>
  <c r="N282" i="29" s="1"/>
  <c r="G281" i="29"/>
  <c r="I281" i="29" s="1"/>
  <c r="N281" i="29" s="1"/>
  <c r="G280" i="29"/>
  <c r="I280" i="29" s="1"/>
  <c r="N280" i="29" s="1"/>
  <c r="G279" i="29"/>
  <c r="I279" i="29" s="1"/>
  <c r="N279" i="29" s="1"/>
  <c r="G278" i="29"/>
  <c r="I278" i="29" s="1"/>
  <c r="N278" i="29" s="1"/>
  <c r="G277" i="29"/>
  <c r="I277" i="29" s="1"/>
  <c r="N277" i="29" s="1"/>
  <c r="G276" i="29"/>
  <c r="I276" i="29" s="1"/>
  <c r="N276" i="29" s="1"/>
  <c r="G275" i="29"/>
  <c r="I275" i="29" s="1"/>
  <c r="N275" i="29" s="1"/>
  <c r="G274" i="29"/>
  <c r="I274" i="29" s="1"/>
  <c r="N274" i="29" s="1"/>
  <c r="G273" i="29"/>
  <c r="I273" i="29" s="1"/>
  <c r="N273" i="29" s="1"/>
  <c r="G272" i="29"/>
  <c r="I272" i="29" s="1"/>
  <c r="N272" i="29" s="1"/>
  <c r="G267" i="29"/>
  <c r="I267" i="29" s="1"/>
  <c r="N267" i="29" s="1"/>
  <c r="G266" i="29"/>
  <c r="I266" i="29" s="1"/>
  <c r="N266" i="29" s="1"/>
  <c r="G265" i="29"/>
  <c r="I265" i="29" s="1"/>
  <c r="N265" i="29" s="1"/>
  <c r="G264" i="29"/>
  <c r="I264" i="29" s="1"/>
  <c r="N264" i="29" s="1"/>
  <c r="G263" i="29"/>
  <c r="I263" i="29" s="1"/>
  <c r="N263" i="29" s="1"/>
  <c r="G262" i="29"/>
  <c r="I262" i="29" s="1"/>
  <c r="N262" i="29" s="1"/>
  <c r="G261" i="29"/>
  <c r="I261" i="29" s="1"/>
  <c r="N261" i="29" s="1"/>
  <c r="G260" i="29"/>
  <c r="I260" i="29" s="1"/>
  <c r="N260" i="29" s="1"/>
  <c r="G258" i="29"/>
  <c r="I258" i="29" s="1"/>
  <c r="N258" i="29" s="1"/>
  <c r="G257" i="29"/>
  <c r="I257" i="29" s="1"/>
  <c r="N257" i="29" s="1"/>
  <c r="G256" i="29"/>
  <c r="I256" i="29" s="1"/>
  <c r="N256" i="29" s="1"/>
  <c r="G255" i="29"/>
  <c r="I255" i="29" s="1"/>
  <c r="N255" i="29" s="1"/>
  <c r="G254" i="29"/>
  <c r="I254" i="29" s="1"/>
  <c r="N254" i="29" s="1"/>
  <c r="G253" i="29"/>
  <c r="I253" i="29" s="1"/>
  <c r="N253" i="29" s="1"/>
  <c r="G252" i="29"/>
  <c r="I252" i="29" s="1"/>
  <c r="N252" i="29" s="1"/>
  <c r="G251" i="29"/>
  <c r="I251" i="29" s="1"/>
  <c r="N251" i="29" s="1"/>
  <c r="G250" i="29"/>
  <c r="I250" i="29" s="1"/>
  <c r="N250" i="29" s="1"/>
  <c r="G249" i="29"/>
  <c r="I249" i="29" s="1"/>
  <c r="N249" i="29" s="1"/>
  <c r="G248" i="29"/>
  <c r="I248" i="29" s="1"/>
  <c r="N248" i="29" s="1"/>
  <c r="G247" i="29"/>
  <c r="I247" i="29" s="1"/>
  <c r="N247" i="29" s="1"/>
  <c r="G246" i="29"/>
  <c r="I246" i="29" s="1"/>
  <c r="N246" i="29" s="1"/>
  <c r="G245" i="29"/>
  <c r="I245" i="29" s="1"/>
  <c r="N245" i="29" s="1"/>
  <c r="G244" i="29"/>
  <c r="I244" i="29" s="1"/>
  <c r="N244" i="29" s="1"/>
  <c r="G242" i="29"/>
  <c r="I242" i="29" s="1"/>
  <c r="N242" i="29" s="1"/>
  <c r="G241" i="29"/>
  <c r="I241" i="29" s="1"/>
  <c r="N241" i="29" s="1"/>
  <c r="G240" i="29"/>
  <c r="I240" i="29" s="1"/>
  <c r="N240" i="29" s="1"/>
  <c r="G239" i="29"/>
  <c r="I239" i="29" s="1"/>
  <c r="N239" i="29" s="1"/>
  <c r="G238" i="29"/>
  <c r="I238" i="29" s="1"/>
  <c r="N238" i="29" s="1"/>
  <c r="G237" i="29"/>
  <c r="I237" i="29" s="1"/>
  <c r="N237" i="29" s="1"/>
  <c r="G236" i="29"/>
  <c r="I236" i="29" s="1"/>
  <c r="N236" i="29" s="1"/>
  <c r="G235" i="29"/>
  <c r="I235" i="29" s="1"/>
  <c r="N235" i="29" s="1"/>
  <c r="G234" i="29"/>
  <c r="I234" i="29" s="1"/>
  <c r="N234" i="29" s="1"/>
  <c r="G233" i="29"/>
  <c r="I233" i="29" s="1"/>
  <c r="N233" i="29" s="1"/>
  <c r="G232" i="29"/>
  <c r="I232" i="29" s="1"/>
  <c r="N232" i="29" s="1"/>
  <c r="G231" i="29"/>
  <c r="I231" i="29" s="1"/>
  <c r="N231" i="29" s="1"/>
  <c r="G230" i="29"/>
  <c r="I230" i="29" s="1"/>
  <c r="N230" i="29" s="1"/>
  <c r="G229" i="29"/>
  <c r="I229" i="29" s="1"/>
  <c r="N229" i="29" s="1"/>
  <c r="G228" i="29"/>
  <c r="I228" i="29" s="1"/>
  <c r="N228" i="29" s="1"/>
  <c r="G223" i="29"/>
  <c r="N223" i="29" s="1"/>
  <c r="G222" i="29"/>
  <c r="N222" i="29" s="1"/>
  <c r="G221" i="29"/>
  <c r="N221" i="29" s="1"/>
  <c r="G220" i="29"/>
  <c r="N220" i="29" s="1"/>
  <c r="G219" i="29"/>
  <c r="N219" i="29" s="1"/>
  <c r="G218" i="29"/>
  <c r="N218" i="29" s="1"/>
  <c r="G217" i="29"/>
  <c r="N217" i="29" s="1"/>
  <c r="G216" i="29"/>
  <c r="N216" i="29" s="1"/>
  <c r="G214" i="29"/>
  <c r="N214" i="29" s="1"/>
  <c r="G213" i="29"/>
  <c r="N213" i="29" s="1"/>
  <c r="G212" i="29"/>
  <c r="N212" i="29" s="1"/>
  <c r="G211" i="29"/>
  <c r="N211" i="29" s="1"/>
  <c r="G210" i="29"/>
  <c r="N210" i="29" s="1"/>
  <c r="G209" i="29"/>
  <c r="N209" i="29" s="1"/>
  <c r="G208" i="29"/>
  <c r="N208" i="29" s="1"/>
  <c r="G207" i="29"/>
  <c r="N207" i="29" s="1"/>
  <c r="G206" i="29"/>
  <c r="N206" i="29" s="1"/>
  <c r="G205" i="29"/>
  <c r="N205" i="29" s="1"/>
  <c r="G204" i="29"/>
  <c r="N204" i="29" s="1"/>
  <c r="G203" i="29"/>
  <c r="N203" i="29" s="1"/>
  <c r="G202" i="29"/>
  <c r="N202" i="29" s="1"/>
  <c r="G201" i="29"/>
  <c r="N201" i="29" s="1"/>
  <c r="G200" i="29"/>
  <c r="N200" i="29" s="1"/>
  <c r="G198" i="29"/>
  <c r="N198" i="29" s="1"/>
  <c r="G197" i="29"/>
  <c r="N197" i="29" s="1"/>
  <c r="G196" i="29"/>
  <c r="N196" i="29" s="1"/>
  <c r="G195" i="29"/>
  <c r="N195" i="29" s="1"/>
  <c r="G194" i="29"/>
  <c r="N194" i="29" s="1"/>
  <c r="G193" i="29"/>
  <c r="N193" i="29" s="1"/>
  <c r="G192" i="29"/>
  <c r="N192" i="29" s="1"/>
  <c r="G191" i="29"/>
  <c r="N191" i="29" s="1"/>
  <c r="G190" i="29"/>
  <c r="N190" i="29" s="1"/>
  <c r="G189" i="29"/>
  <c r="N189" i="29" s="1"/>
  <c r="G188" i="29"/>
  <c r="N188" i="29" s="1"/>
  <c r="G187" i="29"/>
  <c r="N187" i="29" s="1"/>
  <c r="G186" i="29"/>
  <c r="N186" i="29" s="1"/>
  <c r="G185" i="29"/>
  <c r="N185" i="29" s="1"/>
  <c r="G184" i="29"/>
  <c r="N184" i="29" s="1"/>
  <c r="N312" i="29" l="1"/>
  <c r="F56" i="14" s="1"/>
  <c r="N268" i="29"/>
  <c r="F55" i="14" s="1"/>
  <c r="N224" i="29"/>
  <c r="G315" i="29" l="1"/>
  <c r="I315" i="29" s="1"/>
  <c r="M315" i="29" s="1"/>
  <c r="N315" i="29" s="1"/>
  <c r="F54" i="14"/>
  <c r="I317" i="29"/>
  <c r="M317" i="29" s="1"/>
  <c r="N317" i="29" s="1"/>
  <c r="I316" i="29"/>
  <c r="M316" i="29" s="1"/>
  <c r="N316" i="29" s="1"/>
  <c r="N318" i="29" l="1"/>
  <c r="F57" i="14" s="1"/>
  <c r="N325" i="29"/>
  <c r="N327" i="29"/>
  <c r="N328" i="29"/>
  <c r="N324" i="29"/>
  <c r="N350" i="29"/>
  <c r="N349" i="29"/>
  <c r="N348" i="29"/>
  <c r="N347" i="29"/>
  <c r="N346" i="29"/>
  <c r="N337" i="29"/>
  <c r="N338" i="29"/>
  <c r="N339" i="29"/>
  <c r="N336" i="29"/>
  <c r="N335" i="29"/>
  <c r="D326" i="29"/>
  <c r="N326" i="29" s="1"/>
  <c r="N171" i="29"/>
  <c r="N172" i="29"/>
  <c r="N173" i="29"/>
  <c r="N174" i="29"/>
  <c r="N175" i="29"/>
  <c r="N176" i="29"/>
  <c r="N177" i="29"/>
  <c r="N178" i="29"/>
  <c r="N179" i="29"/>
  <c r="N170" i="29"/>
  <c r="G163" i="29"/>
  <c r="N163" i="29" s="1"/>
  <c r="G164" i="29"/>
  <c r="N164" i="29" s="1"/>
  <c r="G165" i="29"/>
  <c r="N165" i="29" s="1"/>
  <c r="G166" i="29"/>
  <c r="N166" i="29" s="1"/>
  <c r="E162" i="29"/>
  <c r="G162" i="29" s="1"/>
  <c r="N162" i="29" s="1"/>
  <c r="N130" i="29"/>
  <c r="N131" i="29"/>
  <c r="N132" i="29"/>
  <c r="N133" i="29"/>
  <c r="N134" i="29"/>
  <c r="N135" i="29"/>
  <c r="N136" i="29"/>
  <c r="N137" i="29"/>
  <c r="N138" i="29"/>
  <c r="G121" i="29"/>
  <c r="N121" i="29" s="1"/>
  <c r="G122" i="29"/>
  <c r="N122" i="29" s="1"/>
  <c r="G123" i="29"/>
  <c r="N123" i="29" s="1"/>
  <c r="G124" i="29"/>
  <c r="N124" i="29" s="1"/>
  <c r="N129" i="29"/>
  <c r="E125" i="29"/>
  <c r="G125" i="29" s="1"/>
  <c r="N125" i="29" s="1"/>
  <c r="E120" i="29"/>
  <c r="G120" i="29" s="1"/>
  <c r="N120" i="29" s="1"/>
  <c r="N85" i="29"/>
  <c r="N86" i="29"/>
  <c r="N87" i="29"/>
  <c r="N88" i="29"/>
  <c r="N89" i="29"/>
  <c r="N90" i="29"/>
  <c r="N91" i="29"/>
  <c r="N92" i="29"/>
  <c r="N93" i="29"/>
  <c r="N84" i="29"/>
  <c r="G76" i="29"/>
  <c r="N76" i="29" s="1"/>
  <c r="G77" i="29"/>
  <c r="N77" i="29" s="1"/>
  <c r="G78" i="29"/>
  <c r="N78" i="29" s="1"/>
  <c r="G79" i="29"/>
  <c r="N79" i="29" s="1"/>
  <c r="G80" i="29"/>
  <c r="N80" i="29" s="1"/>
  <c r="E75" i="29"/>
  <c r="G75" i="29" s="1"/>
  <c r="N75" i="29" s="1"/>
  <c r="N37" i="29"/>
  <c r="N38" i="29" s="1"/>
  <c r="F15" i="14" s="1"/>
  <c r="N29" i="29"/>
  <c r="N24" i="29"/>
  <c r="N25" i="29" s="1"/>
  <c r="F12" i="14" s="1"/>
  <c r="N14" i="29"/>
  <c r="N15" i="29" s="1"/>
  <c r="F10" i="14" s="1"/>
  <c r="N11" i="29"/>
  <c r="N12" i="29" s="1"/>
  <c r="F9" i="14" s="1"/>
  <c r="N30" i="29"/>
  <c r="F13" i="14" s="1"/>
  <c r="N19" i="29"/>
  <c r="N20" i="29" s="1"/>
  <c r="F11" i="14" s="1"/>
  <c r="G8" i="29"/>
  <c r="N8" i="29" s="1"/>
  <c r="N9" i="29" s="1"/>
  <c r="F8" i="14" s="1"/>
  <c r="H27" i="14"/>
  <c r="H26" i="14"/>
  <c r="H38" i="14"/>
  <c r="H37" i="14"/>
  <c r="H49" i="14"/>
  <c r="H48" i="14"/>
  <c r="H55" i="14"/>
  <c r="I55" i="14" s="1"/>
  <c r="H56" i="14"/>
  <c r="I56" i="14" s="1"/>
  <c r="H57" i="14"/>
  <c r="H58" i="14"/>
  <c r="H61" i="14"/>
  <c r="H54" i="14"/>
  <c r="I54" i="14" s="1"/>
  <c r="I57" i="14" l="1"/>
  <c r="N351" i="29"/>
  <c r="F60" i="14" s="1"/>
  <c r="N340" i="29"/>
  <c r="F59" i="14" s="1"/>
  <c r="N329" i="29"/>
  <c r="F58" i="14" s="1"/>
  <c r="I58" i="14" s="1"/>
  <c r="N167" i="29"/>
  <c r="F48" i="14" s="1"/>
  <c r="N180" i="29"/>
  <c r="F49" i="14" s="1"/>
  <c r="N139" i="29"/>
  <c r="F38" i="14" s="1"/>
  <c r="N126" i="29"/>
  <c r="F37" i="14" s="1"/>
  <c r="N94" i="29"/>
  <c r="F27" i="14" s="1"/>
  <c r="N81" i="29"/>
  <c r="F26" i="14" s="1"/>
  <c r="H9" i="14" l="1"/>
  <c r="H10" i="14"/>
  <c r="H11" i="14"/>
  <c r="H12" i="14"/>
  <c r="H13" i="14"/>
  <c r="H15" i="14"/>
  <c r="H8" i="14"/>
  <c r="N145" i="29"/>
  <c r="F145" i="29"/>
  <c r="N143" i="29"/>
  <c r="F143" i="29"/>
  <c r="N103" i="29"/>
  <c r="F103" i="29"/>
  <c r="N102" i="29"/>
  <c r="F102" i="29"/>
  <c r="N101" i="29"/>
  <c r="F101" i="29"/>
  <c r="N100" i="29"/>
  <c r="F100" i="29"/>
  <c r="N98" i="29"/>
  <c r="F98" i="29"/>
  <c r="N48" i="29"/>
  <c r="N49" i="29"/>
  <c r="N50" i="29"/>
  <c r="N51" i="29"/>
  <c r="N52" i="29"/>
  <c r="N53" i="29"/>
  <c r="N54" i="29"/>
  <c r="N55" i="29"/>
  <c r="N56" i="29"/>
  <c r="N57" i="29"/>
  <c r="N58" i="29"/>
  <c r="N46" i="29"/>
  <c r="F49" i="29"/>
  <c r="F50" i="29"/>
  <c r="F51" i="29"/>
  <c r="F52" i="29"/>
  <c r="F53" i="29"/>
  <c r="F54" i="29"/>
  <c r="F55" i="29"/>
  <c r="F56" i="29"/>
  <c r="F57" i="29"/>
  <c r="F58" i="29"/>
  <c r="F48" i="29"/>
  <c r="F46" i="29"/>
  <c r="H45" i="14"/>
  <c r="H44" i="14"/>
  <c r="H43" i="14"/>
  <c r="H42" i="14"/>
  <c r="H34" i="14"/>
  <c r="H33" i="14"/>
  <c r="H32" i="14"/>
  <c r="H31" i="14"/>
  <c r="H23" i="14"/>
  <c r="H21" i="14"/>
  <c r="H22" i="14"/>
  <c r="H20" i="14"/>
  <c r="N146" i="29" l="1"/>
  <c r="N104" i="29"/>
  <c r="G355" i="29" s="1"/>
  <c r="N355" i="29" s="1"/>
  <c r="N59" i="29"/>
  <c r="G354" i="29" s="1"/>
  <c r="N354" i="29" s="1"/>
  <c r="F42" i="14" l="1"/>
  <c r="I42" i="14" s="1"/>
  <c r="G356" i="29"/>
  <c r="N356" i="29" s="1"/>
  <c r="N357" i="29" s="1"/>
  <c r="F61" i="14" s="1"/>
  <c r="I61" i="14" s="1"/>
  <c r="G71" i="29"/>
  <c r="K2" i="29"/>
  <c r="F3" i="14" s="1"/>
  <c r="G158" i="29"/>
  <c r="I158" i="29" s="1"/>
  <c r="K158" i="29" s="1"/>
  <c r="M158" i="29" s="1"/>
  <c r="N158" i="29" s="1"/>
  <c r="G157" i="29"/>
  <c r="I157" i="29" s="1"/>
  <c r="K157" i="29" s="1"/>
  <c r="M157" i="29" s="1"/>
  <c r="N157" i="29" s="1"/>
  <c r="G149" i="29"/>
  <c r="N149" i="29" s="1"/>
  <c r="N150" i="29" s="1"/>
  <c r="F43" i="14" s="1"/>
  <c r="I43" i="14" s="1"/>
  <c r="G153" i="29"/>
  <c r="I153" i="29" s="1"/>
  <c r="N153" i="29" s="1"/>
  <c r="N154" i="29" s="1"/>
  <c r="F44" i="14" s="1"/>
  <c r="I44" i="14" s="1"/>
  <c r="G115" i="29"/>
  <c r="I115" i="29" s="1"/>
  <c r="K115" i="29" s="1"/>
  <c r="M115" i="29" s="1"/>
  <c r="N115" i="29" s="1"/>
  <c r="F31" i="14"/>
  <c r="I31" i="14" s="1"/>
  <c r="G111" i="29"/>
  <c r="I111" i="29" s="1"/>
  <c r="N111" i="29" s="1"/>
  <c r="N112" i="29" s="1"/>
  <c r="F33" i="14" s="1"/>
  <c r="I33" i="14" s="1"/>
  <c r="G107" i="29"/>
  <c r="N107" i="29" s="1"/>
  <c r="N108" i="29" s="1"/>
  <c r="F32" i="14" s="1"/>
  <c r="I32" i="14" s="1"/>
  <c r="G116" i="29"/>
  <c r="I116" i="29" s="1"/>
  <c r="K116" i="29" s="1"/>
  <c r="M116" i="29" s="1"/>
  <c r="N116" i="29" s="1"/>
  <c r="G62" i="29"/>
  <c r="N62" i="29" s="1"/>
  <c r="N63" i="29" s="1"/>
  <c r="G66" i="29"/>
  <c r="I71" i="29" s="1"/>
  <c r="K71" i="29" s="1"/>
  <c r="M71" i="29" s="1"/>
  <c r="N71" i="29" s="1"/>
  <c r="F20" i="14"/>
  <c r="I20" i="14" s="1"/>
  <c r="G70" i="29"/>
  <c r="I70" i="29" s="1"/>
  <c r="K70" i="29" s="1"/>
  <c r="M70" i="29" s="1"/>
  <c r="N70" i="29" s="1"/>
  <c r="N159" i="29" l="1"/>
  <c r="F45" i="14" s="1"/>
  <c r="I45" i="14" s="1"/>
  <c r="N117" i="29"/>
  <c r="F34" i="14" s="1"/>
  <c r="I34" i="14" s="1"/>
  <c r="N72" i="29"/>
  <c r="F23" i="14" s="1"/>
  <c r="I23" i="14" s="1"/>
  <c r="I66" i="29"/>
  <c r="N66" i="29" s="1"/>
  <c r="N67" i="29" s="1"/>
  <c r="F22" i="14" s="1"/>
  <c r="I22" i="14" s="1"/>
  <c r="F21" i="14"/>
  <c r="I21" i="14" s="1"/>
  <c r="C72" i="19"/>
  <c r="F72" i="19"/>
  <c r="C26" i="19"/>
  <c r="H51" i="19"/>
  <c r="H94" i="19"/>
  <c r="H130" i="19"/>
  <c r="F27" i="19"/>
  <c r="F108" i="19"/>
  <c r="G34" i="19"/>
  <c r="G33" i="19"/>
  <c r="G32" i="19"/>
  <c r="G31" i="19"/>
  <c r="G80" i="19"/>
  <c r="G79" i="19"/>
  <c r="G78" i="19"/>
  <c r="G77" i="19"/>
  <c r="G76" i="19"/>
  <c r="G116" i="19"/>
  <c r="G115" i="19"/>
  <c r="G114" i="19"/>
  <c r="G113" i="19"/>
  <c r="G119" i="19"/>
  <c r="G118" i="19"/>
  <c r="G112" i="19"/>
  <c r="I9" i="27"/>
  <c r="I9" i="28"/>
  <c r="I12" i="28" s="1"/>
  <c r="I20" i="28" s="1"/>
  <c r="I22" i="28" s="1"/>
  <c r="I10" i="23"/>
  <c r="I10" i="27"/>
  <c r="I21" i="28"/>
  <c r="E35" i="27"/>
  <c r="G18" i="27" s="1"/>
  <c r="I18" i="27" s="1"/>
  <c r="E34" i="27"/>
  <c r="C34" i="27"/>
  <c r="G17" i="27" s="1"/>
  <c r="I17" i="27" s="1"/>
  <c r="G18" i="23"/>
  <c r="E35" i="23"/>
  <c r="E34" i="23"/>
  <c r="G16" i="23" s="1"/>
  <c r="I16" i="23" s="1"/>
  <c r="I20" i="23" s="1"/>
  <c r="I24" i="23" s="1"/>
  <c r="C34" i="23"/>
  <c r="G17" i="23" s="1"/>
  <c r="I17" i="23" s="1"/>
  <c r="H3" i="19"/>
  <c r="I9" i="23"/>
  <c r="I13" i="23" s="1"/>
  <c r="I23" i="23" s="1"/>
  <c r="I47" i="14"/>
  <c r="I36" i="14"/>
  <c r="I30" i="14"/>
  <c r="I19" i="14"/>
  <c r="H79" i="19"/>
  <c r="H78" i="19"/>
  <c r="H32" i="19"/>
  <c r="H31" i="19"/>
  <c r="H37" i="19"/>
  <c r="D29" i="22"/>
  <c r="D23" i="22"/>
  <c r="D19" i="22"/>
  <c r="D16" i="22"/>
  <c r="D31" i="22" s="1"/>
  <c r="D13" i="22"/>
  <c r="A6" i="22"/>
  <c r="A2" i="22"/>
  <c r="I25" i="14"/>
  <c r="O8" i="14"/>
  <c r="I18" i="23"/>
  <c r="H81" i="19"/>
  <c r="G81" i="19"/>
  <c r="G37" i="19"/>
  <c r="G120" i="19"/>
  <c r="G132" i="19"/>
  <c r="H2" i="19"/>
  <c r="I35" i="14" l="1"/>
  <c r="I46" i="14"/>
  <c r="I13" i="27"/>
  <c r="I23" i="27" s="1"/>
  <c r="I24" i="14"/>
  <c r="I12" i="14"/>
  <c r="G16" i="14"/>
  <c r="I23" i="28"/>
  <c r="I24" i="28" s="1"/>
  <c r="I25" i="23"/>
  <c r="H60" i="14" s="1"/>
  <c r="I60" i="14" s="1"/>
  <c r="I8" i="14"/>
  <c r="G16" i="27"/>
  <c r="I16" i="27" s="1"/>
  <c r="I20" i="27" s="1"/>
  <c r="I24" i="27" s="1"/>
  <c r="I13" i="14"/>
  <c r="I10" i="14"/>
  <c r="I15" i="14"/>
  <c r="I9" i="14"/>
  <c r="I11" i="14"/>
  <c r="I27" i="14"/>
  <c r="I49" i="14"/>
  <c r="I26" i="14"/>
  <c r="I38" i="14"/>
  <c r="I48" i="14"/>
  <c r="I37" i="14"/>
  <c r="H9" i="18" l="1"/>
  <c r="I25" i="27"/>
  <c r="H59" i="14" s="1"/>
  <c r="I59" i="14" s="1"/>
  <c r="I28" i="14"/>
  <c r="H16" i="14"/>
  <c r="I16" i="14" s="1"/>
  <c r="J8" i="18" s="1"/>
  <c r="I39" i="14"/>
  <c r="I26" i="27"/>
  <c r="I27" i="27" s="1"/>
  <c r="I26" i="23"/>
  <c r="I27" i="23" s="1"/>
  <c r="I50" i="14"/>
  <c r="K8" i="18" l="1"/>
  <c r="I8" i="18"/>
  <c r="K9" i="18"/>
  <c r="I9" i="18"/>
  <c r="J9" i="18"/>
  <c r="H10" i="18"/>
  <c r="K10" i="18" s="1"/>
  <c r="I62" i="14"/>
  <c r="I17" i="14"/>
  <c r="H11" i="18" l="1"/>
  <c r="I63" i="14"/>
  <c r="G8" i="18" s="1"/>
  <c r="H8" i="18"/>
  <c r="H13" i="18" l="1"/>
  <c r="H14" i="18" s="1"/>
  <c r="J53" i="14"/>
  <c r="J40" i="14"/>
  <c r="J29" i="14"/>
  <c r="J41" i="14"/>
  <c r="J51" i="14"/>
  <c r="J52" i="14"/>
  <c r="J56" i="14"/>
  <c r="J55" i="14"/>
  <c r="J54" i="14"/>
  <c r="J58" i="14"/>
  <c r="J57" i="14"/>
  <c r="J20" i="14"/>
  <c r="J32" i="14"/>
  <c r="J44" i="14"/>
  <c r="J31" i="14"/>
  <c r="J33" i="14"/>
  <c r="J61" i="14"/>
  <c r="J43" i="14"/>
  <c r="J42" i="14"/>
  <c r="J22" i="14"/>
  <c r="J21" i="14"/>
  <c r="J23" i="14"/>
  <c r="J45" i="14"/>
  <c r="J34" i="14"/>
  <c r="J38" i="14"/>
  <c r="J9" i="14"/>
  <c r="J8" i="14"/>
  <c r="J27" i="14"/>
  <c r="G9" i="18"/>
  <c r="J15" i="14"/>
  <c r="J60" i="14"/>
  <c r="J48" i="14"/>
  <c r="J11" i="14"/>
  <c r="J37" i="14"/>
  <c r="J12" i="14"/>
  <c r="J10" i="14"/>
  <c r="J13" i="14"/>
  <c r="J49" i="14"/>
  <c r="J26" i="14"/>
  <c r="J50" i="14"/>
  <c r="J59" i="14"/>
  <c r="J16" i="14"/>
  <c r="G10" i="18"/>
  <c r="G11" i="18"/>
  <c r="K11" i="18"/>
  <c r="K13" i="18" s="1"/>
  <c r="J11" i="18"/>
  <c r="J13" i="18" s="1"/>
  <c r="I11" i="18"/>
  <c r="I13" i="18" s="1"/>
  <c r="K12" i="18" l="1"/>
  <c r="J12" i="18"/>
  <c r="H12" i="18"/>
  <c r="I12" i="18"/>
  <c r="I15" i="18"/>
  <c r="I14" i="18" l="1"/>
  <c r="J15" i="18"/>
  <c r="K15" i="18" l="1"/>
  <c r="K14" i="18" s="1"/>
  <c r="J14" i="18"/>
</calcChain>
</file>

<file path=xl/sharedStrings.xml><?xml version="1.0" encoding="utf-8"?>
<sst xmlns="http://schemas.openxmlformats.org/spreadsheetml/2006/main" count="868" uniqueCount="405">
  <si>
    <t>PLANILHA ORÇAMENTÁRIA</t>
  </si>
  <si>
    <t>ITEM</t>
  </si>
  <si>
    <t>DISCRIMINAÇÃO DO SERVIÇO</t>
  </si>
  <si>
    <t>UNIDADE</t>
  </si>
  <si>
    <t>PREÇO (R$)</t>
  </si>
  <si>
    <t>TOTAL</t>
  </si>
  <si>
    <t>SERVIÇOS PRELIMINARES</t>
  </si>
  <si>
    <t>1.1</t>
  </si>
  <si>
    <t>2.1</t>
  </si>
  <si>
    <t>2.2</t>
  </si>
  <si>
    <t>2.3</t>
  </si>
  <si>
    <t>3.1</t>
  </si>
  <si>
    <t>3.2</t>
  </si>
  <si>
    <t>TOTAL GERAL (R$)</t>
  </si>
  <si>
    <t>SINAPI</t>
  </si>
  <si>
    <t>C/BDI</t>
  </si>
  <si>
    <t>SERVIÇOS COMPLEMENTARES</t>
  </si>
  <si>
    <t>QUANT.</t>
  </si>
  <si>
    <t>Total</t>
  </si>
  <si>
    <t>Item</t>
  </si>
  <si>
    <t>Discriminação dos serviços</t>
  </si>
  <si>
    <t>Peso (%)</t>
  </si>
  <si>
    <t>Valor das obras/serviços (R$)</t>
  </si>
  <si>
    <t>Mês 01</t>
  </si>
  <si>
    <t>Mês 02</t>
  </si>
  <si>
    <t>Mês 03</t>
  </si>
  <si>
    <t>Total simples</t>
  </si>
  <si>
    <t>Total acumulado</t>
  </si>
  <si>
    <t>RELAÇÃO DE RUAS</t>
  </si>
  <si>
    <t>NOME DAS RUAS</t>
  </si>
  <si>
    <t>COMPRIMENTO (m)</t>
  </si>
  <si>
    <t>LARGURA (sub-leito, Base e Imprimação) m</t>
  </si>
  <si>
    <t>LARGURA (pintura e capa) m</t>
  </si>
  <si>
    <t>ÁREA DE PAVIMENTAÇÃO (Sub-leito, Base e Imprimação) m²</t>
  </si>
  <si>
    <t>ÁREA DE PAVIMENTAÇÃO (pintura e capa) m²</t>
  </si>
  <si>
    <t>RECAPEAMENTO</t>
  </si>
  <si>
    <t>TOTAIS GERAIS</t>
  </si>
  <si>
    <t>MEMÓRIA DE CÁLCULO DOS QUANTITATIVOS</t>
  </si>
  <si>
    <t>DISCRIMINAÇÃO DOS SERVIÇOS</t>
  </si>
  <si>
    <t>UNID.</t>
  </si>
  <si>
    <t>COMPR. (m)</t>
  </si>
  <si>
    <t>LARG. (m)</t>
  </si>
  <si>
    <t>ÁREA (m²)</t>
  </si>
  <si>
    <t>ESP. (m)</t>
  </si>
  <si>
    <t>VOLUME (m³)</t>
  </si>
  <si>
    <t>PESO ESPCIF. (ton/m³)</t>
  </si>
  <si>
    <t>PESO (ton)</t>
  </si>
  <si>
    <t>DMT (km)</t>
  </si>
  <si>
    <t>RECAPEAMENTO ASFÁLTICO</t>
  </si>
  <si>
    <t>4.1</t>
  </si>
  <si>
    <t>4.2</t>
  </si>
  <si>
    <t>4.3</t>
  </si>
  <si>
    <t>1.2</t>
  </si>
  <si>
    <t>Meio-Fio/Sarjeta m</t>
  </si>
  <si>
    <t xml:space="preserve">PLACA DE OBRA EM CHAPA DE AÇO GALVANIZADO (2UN X 2,0m x 1,25 m)           </t>
  </si>
  <si>
    <t>CONVÊNIO</t>
  </si>
  <si>
    <t>RESPONSÁVEL TÉCNICO</t>
  </si>
  <si>
    <t>RELAÇÃO DAS RUAS</t>
  </si>
  <si>
    <t>LAUDICÉIA S H DAS NEVES</t>
  </si>
  <si>
    <t>1.3</t>
  </si>
  <si>
    <t>SERVICOS TOPOGRAFICOS PARA PAVIMENTACAO, INCLUSIVE NOTA DE SERVICOS, ACOMPANHAMENTO E GREIDE</t>
  </si>
  <si>
    <t xml:space="preserve">  PROPRIETÁRIO: PREFEITURA MUNICIPAL DE JOÃO NEIVA / ES</t>
  </si>
  <si>
    <t>m²</t>
  </si>
  <si>
    <r>
      <t>m</t>
    </r>
    <r>
      <rPr>
        <b/>
        <sz val="10"/>
        <rFont val="Arial"/>
        <family val="2"/>
      </rPr>
      <t>²</t>
    </r>
  </si>
  <si>
    <t>P 0 - P1</t>
  </si>
  <si>
    <t>P 1 - P2</t>
  </si>
  <si>
    <t>P 2 - P3</t>
  </si>
  <si>
    <t>P 3 - P4</t>
  </si>
  <si>
    <t>P 4 - P5</t>
  </si>
  <si>
    <t>P 5 - P6</t>
  </si>
  <si>
    <t>P 06- P7</t>
  </si>
  <si>
    <t>P 7 - P8</t>
  </si>
  <si>
    <t>P 8 - P9</t>
  </si>
  <si>
    <t>P 9 - P10</t>
  </si>
  <si>
    <t>P 10 - P11</t>
  </si>
  <si>
    <t>P 11 - P12</t>
  </si>
  <si>
    <t>P 12 - P13</t>
  </si>
  <si>
    <t>P 13 - P14</t>
  </si>
  <si>
    <t>P 14 - P15</t>
  </si>
  <si>
    <t>P 16 - P17</t>
  </si>
  <si>
    <t>P 17 - P18</t>
  </si>
  <si>
    <t>P 18 - P19</t>
  </si>
  <si>
    <t>SINALIZACAO HORIZONTAL COM TINTA RETRORREFLETIVA A BASE DE RESINA ACRÍLICASERVIÇOS COMPLEMENTARES</t>
  </si>
  <si>
    <t>BURACOS</t>
  </si>
  <si>
    <t>Área de Buracos</t>
  </si>
  <si>
    <t>Pintura estacionamento de carro ( De acordo com Projeto Geométrico)</t>
  </si>
  <si>
    <t>AV. BRASIL</t>
  </si>
  <si>
    <t>5.1</t>
  </si>
  <si>
    <t>5.2</t>
  </si>
  <si>
    <t>AV. NEGRI ORESTES</t>
  </si>
  <si>
    <t>8.3</t>
  </si>
  <si>
    <t>P 15 - P16</t>
  </si>
  <si>
    <t>EIXO ESTRADAL</t>
  </si>
  <si>
    <t>AV BRASIL</t>
  </si>
  <si>
    <t>AV NEGRI ORESTES</t>
  </si>
  <si>
    <t>m</t>
  </si>
  <si>
    <t>4.4</t>
  </si>
  <si>
    <t>COMPOSIÇÃO DO BDI</t>
  </si>
  <si>
    <t>Para Serviços</t>
  </si>
  <si>
    <t>GRUPO A</t>
  </si>
  <si>
    <t>Despesas Financeiras</t>
  </si>
  <si>
    <t>Total Grupo A</t>
  </si>
  <si>
    <t>GRUPO B</t>
  </si>
  <si>
    <t>Administração Central</t>
  </si>
  <si>
    <t>Total Grupo B</t>
  </si>
  <si>
    <t>GRUPO C</t>
  </si>
  <si>
    <t>Bonificação</t>
  </si>
  <si>
    <t>Total Grupo C</t>
  </si>
  <si>
    <t>GRUPO D</t>
  </si>
  <si>
    <t>Seguros / Garantia</t>
  </si>
  <si>
    <t>Riscos</t>
  </si>
  <si>
    <t>Total Grupo D</t>
  </si>
  <si>
    <t>GRUPO E</t>
  </si>
  <si>
    <t>ISS</t>
  </si>
  <si>
    <t>PIS</t>
  </si>
  <si>
    <t>COFINS</t>
  </si>
  <si>
    <t>CPRB</t>
  </si>
  <si>
    <t>Total Grupo E</t>
  </si>
  <si>
    <t>BDI Total</t>
  </si>
  <si>
    <t>OBS:</t>
  </si>
  <si>
    <t>1</t>
  </si>
  <si>
    <t>- A fórmula para cálculo da taxa a ser acrescida aos custos diretos de um</t>
  </si>
  <si>
    <t>empreendimento a título de Benefícios e Despesas Indiretas é:</t>
  </si>
  <si>
    <r>
      <t>BDI = {</t>
    </r>
    <r>
      <rPr>
        <b/>
        <u/>
        <sz val="10"/>
        <rFont val="Verdana"/>
        <family val="2"/>
      </rPr>
      <t>(1 + A)*(1 + B+D)*(1 + C)}</t>
    </r>
    <r>
      <rPr>
        <b/>
        <sz val="10"/>
        <rFont val="Verdana"/>
        <family val="2"/>
      </rPr>
      <t xml:space="preserve">  -1, onde:</t>
    </r>
  </si>
  <si>
    <t>(1 – E)</t>
  </si>
  <si>
    <t>A = DESPESAS FINANCEIRAS</t>
  </si>
  <si>
    <t>B = ADMINISTRAÇÃO CENTRAL;</t>
  </si>
  <si>
    <t>C = BENEFÍCIO / LUCRO;</t>
  </si>
  <si>
    <t>D = RISCOS, SEGUROS E GARANTIAS;</t>
  </si>
  <si>
    <t>E = ISS + PIS + COFINS+INSS</t>
  </si>
  <si>
    <t>2</t>
  </si>
  <si>
    <t>- Discriminação do BDI</t>
  </si>
  <si>
    <t xml:space="preserve">A – Despesas financeiras: </t>
  </si>
  <si>
    <t>são aquelas decorrentes do custo do capital de giro para fazer frente às despesas realizadas antes do efetivo recebimento das devidas receitas. Foi apropriada por estimativa com base na média proposta no ACÓRDÃO Nº 2.622/2013, PLENÁRIO de 25 set.2013.</t>
  </si>
  <si>
    <t xml:space="preserve">B – Administração Central: </t>
  </si>
  <si>
    <t>são as despesas relativas à manutenção de parcela do custo do escritório central da empresa, tais como: instalações do imóvel/sede (custo de propriedade ou de locação de imóveis); aquisição e manutenção dos equipamentos da sede (computadores, ar condicionado, veículos e correlatos); despesas administrativas (secretária, vigilante, auxiliar de escritório, contínuo, assessorias tercerizadas - ex. contadoria); despesas com consumo (água, luz, telefone, material para escritório, material para limpeza, alimentos, etc). Foi apropriada por estimativa com base na média proposta noACÓRDÃO Nº 2.622/2013, PLENÁRIO de 25 set.2013.</t>
  </si>
  <si>
    <t xml:space="preserve"> C – Benefício/Lucro: </t>
  </si>
  <si>
    <t>é a parcela que contempla a remuneração do construtor, definidos com base em valor percentual sobre o total dos custos diretos e despesas indiretas, excluídas aquelas referentes às parcelas tributárias. A taxa adotada como benefício deve ser entendida como uma provisão de onde será retirado o lucro do construtor, após desconto de todos os encargos decorrentes de inúmeras incertezas que podem ocorrer durante as obras, difíceis de serem mensuradas no seu conjunto com base no ACÓRDÃO Nº 2.622/2013, PLENÁRIO de 25 set.2013.</t>
  </si>
  <si>
    <t xml:space="preserve">D – Riscos Imprevistos, Garantias e Seguros: </t>
  </si>
  <si>
    <t>valores para cobertura de despesas imprevisíveis e os seguros e garantias estabelecidos no Projeto Básico e orientação contante no ACÓRDÃO Nº 2.622/2013, PLENÁRIO de 25 set.2013.</t>
  </si>
  <si>
    <t xml:space="preserve">E – Valores Relativos aos Tributos:                                                                                                   </t>
  </si>
  <si>
    <r>
      <t xml:space="preserve"> – Contribuição para o Programa de Integração Social – PIS. </t>
    </r>
    <r>
      <rPr>
        <sz val="10"/>
        <rFont val="Verdana"/>
        <family val="2"/>
      </rPr>
      <t>A taxa do PIS, definida pelos Decretos-Lei nº 2.445 e 2.449/88, é de 0,65% sobre a receita operacional bruta.</t>
    </r>
  </si>
  <si>
    <r>
      <t xml:space="preserve"> – Contribuição para o Programa de Financiamento da Seguridade Social – COFINS, </t>
    </r>
    <r>
      <rPr>
        <sz val="10"/>
        <rFont val="Verdana"/>
        <family val="2"/>
      </rPr>
      <t>definida pela Lei 9.718/98, é de 3%, sobre a receita operacional bruta.</t>
    </r>
  </si>
  <si>
    <t>P 19 - P20</t>
  </si>
  <si>
    <t>6.1</t>
  </si>
  <si>
    <t>6.2</t>
  </si>
  <si>
    <t>6.3</t>
  </si>
  <si>
    <t>7.1</t>
  </si>
  <si>
    <t>7.2</t>
  </si>
  <si>
    <t xml:space="preserve">  OBRA: RECAPEAMENTO DE DIVERSAS VIAS DE CIRCULAÇÃO NO MUNICÍPIO DE JOÃO NEIVA</t>
  </si>
  <si>
    <t>8.1</t>
  </si>
  <si>
    <t>8.2</t>
  </si>
  <si>
    <t>P 20 - P21</t>
  </si>
  <si>
    <t>P 22 + 3,81</t>
  </si>
  <si>
    <t>RUA PRESIDENTE VARGAS</t>
  </si>
  <si>
    <t>Área Recapeamento</t>
  </si>
  <si>
    <t>P3 +10</t>
  </si>
  <si>
    <t>COMPOSIÇÃO ANALÍTICA DE PREÇO UNITÁRIO</t>
  </si>
  <si>
    <t>Data-base</t>
  </si>
  <si>
    <t>COMP-01</t>
  </si>
  <si>
    <t>SERVIÇO:</t>
  </si>
  <si>
    <t>MÃO-DE-OBRA</t>
  </si>
  <si>
    <t>CÓD.</t>
  </si>
  <si>
    <t>ORGÃO</t>
  </si>
  <si>
    <t>DESCRIÇÃO</t>
  </si>
  <si>
    <t>UND</t>
  </si>
  <si>
    <t>COEF</t>
  </si>
  <si>
    <t>R$ UNIT.</t>
  </si>
  <si>
    <t>R$ PARCIAL</t>
  </si>
  <si>
    <t>TOTAL A</t>
  </si>
  <si>
    <t>MATERIAIS</t>
  </si>
  <si>
    <t>TOTAL B</t>
  </si>
  <si>
    <t>RESUMO</t>
  </si>
  <si>
    <t>TOTAL  A</t>
  </si>
  <si>
    <t>TOTAL  B</t>
  </si>
  <si>
    <t>TOTAL D (A+B)</t>
  </si>
  <si>
    <t>PREÇO DE VENDA</t>
  </si>
  <si>
    <t>TOTAL E (BDI 26,54%)</t>
  </si>
  <si>
    <t>H</t>
  </si>
  <si>
    <t>M²</t>
  </si>
  <si>
    <t>M³</t>
  </si>
  <si>
    <t>ALONGAMENTO DAS CAIXAS DE DRENAGEM BOCA DE LOBO</t>
  </si>
  <si>
    <t>LARGURA (M)</t>
  </si>
  <si>
    <t>ALTURA (M)</t>
  </si>
  <si>
    <t>ESPESSURA (M)</t>
  </si>
  <si>
    <t>COMPRIMENTO (M)</t>
  </si>
  <si>
    <t>Pintura de linha  central dupla da pista de rolamento</t>
  </si>
  <si>
    <t xml:space="preserve">Pintura de cadeirante </t>
  </si>
  <si>
    <t>Pintura de idoso</t>
  </si>
  <si>
    <t>Pintura de cadeirante</t>
  </si>
  <si>
    <t>Comp-01</t>
  </si>
  <si>
    <t>Pintura de faixa de pedestre  (1,8m² de pintura por metro linear de faixa)</t>
  </si>
  <si>
    <t xml:space="preserve">UND:  </t>
  </si>
  <si>
    <t>RECAPEAMENTO DE DIVERSAS VIAS DE CIRCULAÇÃO NO MUNICÍPIO DE JOÃO NEIVA</t>
  </si>
  <si>
    <t>ENGª CIVIL - CREA/AM 11.750-D</t>
  </si>
  <si>
    <t xml:space="preserve">                      ___________________________________</t>
  </si>
  <si>
    <t>VOLUME (M³)</t>
  </si>
  <si>
    <t>COMP-02</t>
  </si>
  <si>
    <t>Velocidade maxima 40 km (Ø 40 cm)</t>
  </si>
  <si>
    <t>Estacionamento  (Ø 40 cm)</t>
  </si>
  <si>
    <t>Placa octagonal Pare (lado 25 cm)</t>
  </si>
  <si>
    <t>Passagem de pedestre (losango L=45cm)</t>
  </si>
  <si>
    <t>Passegem de estudantes (losango L=45cm)</t>
  </si>
  <si>
    <t>Lombada (losango L=45cm)</t>
  </si>
  <si>
    <t>Oponto de Onibus (retangular 50x70 cm)</t>
  </si>
  <si>
    <t>Vaga exclusiva para deficientes fisicos (retangular 50x70 cm)</t>
  </si>
  <si>
    <t>Vaga exclusiva para idoso (retangular 50x70 cm)</t>
  </si>
  <si>
    <t>Ponto de Onibus</t>
  </si>
  <si>
    <t>872145/2018</t>
  </si>
  <si>
    <t>Faixa Quebra-molas (0,52 m² de pintura por metro linear )</t>
  </si>
  <si>
    <t>ENCARGOS SOCIAIS</t>
  </si>
  <si>
    <t xml:space="preserve">PEDREIRO COM ENCARGOS COMPLEMENTARES </t>
  </si>
  <si>
    <t xml:space="preserve">SERVENTE COM ENCARGOS COMPLEMENTARES </t>
  </si>
  <si>
    <t>DATA BASE</t>
  </si>
  <si>
    <t>Nome de logradouro (retangular 25x45 cm) começo e fim da via</t>
  </si>
  <si>
    <r>
      <t xml:space="preserve"> – Impostos sobre serviços de qualquer natureza – ISS, </t>
    </r>
    <r>
      <rPr>
        <sz val="10"/>
        <rFont val="Verdana"/>
        <family val="2"/>
      </rPr>
      <t>é imposto de competência municipal, consoante art. 156, inciso III, da Constituição Federal. Alíquota de 2% sobre o valor total da nota fiscal.</t>
    </r>
  </si>
  <si>
    <t>1.4</t>
  </si>
  <si>
    <t>und</t>
  </si>
  <si>
    <t>1.5</t>
  </si>
  <si>
    <t>1.6</t>
  </si>
  <si>
    <t xml:space="preserve">ENTRADA PROVISORIA DE ENERGIA ELETRICA AEREA TRIFASICA 40A EM POSTE MADEIRA </t>
  </si>
  <si>
    <t>ms</t>
  </si>
  <si>
    <t>1.7</t>
  </si>
  <si>
    <t>1.8</t>
  </si>
  <si>
    <t>MOBILIZAÇÃO E DESMOBILIZAÇÃO DE CONTEINER LOCADO PARA BARRACÃO DE OBRA</t>
  </si>
  <si>
    <t xml:space="preserve">74106/001 </t>
  </si>
  <si>
    <t>IMPERMEABILIZACAO DE ESTRUTURAS ENTERRADAS, COM TINTA ASFALTICA, DUAS DEMAOS.</t>
  </si>
  <si>
    <t>ÁREA LATERAL  EXTERNA (M²)</t>
  </si>
  <si>
    <t>ÁREA LATERAL  INTERNA (M²)</t>
  </si>
  <si>
    <t>NIVELAMENTO DE CAIXA DE DRENAGEM TIPO BOCA DE LOBO 100 X 30 CM, ALTURA DE ACRESCIMO= 14 CM, DE CONCRETO SIMPLES Fck=20MPA, IMPERMEABILIZADO COM TINTA ASFÁLTICA, DUAS DEMÃOS, CONSIDERANDO ESCAVAÇÃO, REATERRO, RETIRADA E RECOLOCAÇÃO DE GRELHA.</t>
  </si>
  <si>
    <t>NIVELAMENTO DE CAIXA DE DRENAGEM TIPO BOCA DE LOBO 50 X 30 CM, ALTURA DE ACRESCIMO= 14 CM, DE CONCRETO SIMPLES Fck=20MPA, IMPERMEABILIZADO COM TINTA ASFÁLTICA, DUAS DEMÃOS, CONSIDERANDO ESCAVAÇÃO, REATERRO, RETIRADA E RECOLOCAÇÃO DE GRELHA.</t>
  </si>
  <si>
    <t>MÊS</t>
  </si>
  <si>
    <t>ADMINISTRATIVO LOCAL</t>
  </si>
  <si>
    <t>Obs :.  Coeficiente baseado no item SINAP 97981 acréscimo para poço de visita circular para esgoto, em alvenaria com tijolos cerâmicos maciços, diâmetro interno = 0,8 m. af_05/2018</t>
  </si>
  <si>
    <t xml:space="preserve">M³ x KM </t>
  </si>
  <si>
    <t>TRANSPORTE DE MATERIAL ASFALTICO, COM CAMINHÃO COM CAPACIDADE DE 20000 L EM RODOVIA PAVIMENTADA PARA DISTÂNCIAS MÉDIAS DE TRANSPORTE IGUAL OU INFERIOR A 100 KM. AF_02/2016</t>
  </si>
  <si>
    <t>SINALIZAÇÃO VERTICAL COM CHAPA REVESTIDA EM PELÍCULA, INCLUSIVE SUPORTE EM MADEIRA</t>
  </si>
  <si>
    <t>P 24 - 25</t>
  </si>
  <si>
    <t>P 24 - 26</t>
  </si>
  <si>
    <t>P 27 + 14,6</t>
  </si>
  <si>
    <t>P 21 - 22</t>
  </si>
  <si>
    <t>P 22 - 23</t>
  </si>
  <si>
    <t>P 23 - 24</t>
  </si>
  <si>
    <t>P 24 - P25</t>
  </si>
  <si>
    <t>P 25 - P26</t>
  </si>
  <si>
    <t>P 26 - P27</t>
  </si>
  <si>
    <t>M</t>
  </si>
  <si>
    <t>Altura (m)</t>
  </si>
  <si>
    <t>ALUGUEL MENSAL CONTAINER SANITÁRIO, INCL PORTA, BÁSC, 2 PTOS LUZ, 1 PTO ATERRAM., 3VASOS, 3LAVATÓRIOS, CALHA
MICTÓRIO, 6 CHUVEIROS (1 ELETRICO), TORN.,REGISTROS, PISO COMP. NAVAL PINTADO, CERT NR18 E LAUDO DESCONTAMINAÇÃO</t>
  </si>
  <si>
    <t>ALUGUEL MENSAL CONTAINER PARA VESTIÁRIO, INCL. PORTA, VENEZIANAS DE CIRCULAÇÃO, 1 PT ILUMINAÇÃO, ISOLAMENTO
TÉRMICO (TETO), PISO EM COMP. NAVAL PINTADO, CERT. NR18, INCL. LAUDO DESCONTAMINAÇÃO</t>
  </si>
  <si>
    <t xml:space="preserve">  REFERÊNCIA: SINAPI-ESPÍRITO SANTO </t>
  </si>
  <si>
    <t>=coeficiente de referência *altura a ser acrescida</t>
  </si>
  <si>
    <t xml:space="preserve">ENCARREGADO GERAL DE OBRAS COM ENCARGOS COMPLEMENTARES </t>
  </si>
  <si>
    <t>COMP-03</t>
  </si>
  <si>
    <t>P 21 + P22</t>
  </si>
  <si>
    <t>B1</t>
  </si>
  <si>
    <t>B2</t>
  </si>
  <si>
    <t>B3</t>
  </si>
  <si>
    <t>B4</t>
  </si>
  <si>
    <t>B5</t>
  </si>
  <si>
    <t>B6</t>
  </si>
  <si>
    <t>B7</t>
  </si>
  <si>
    <t>Lado 1 (m)</t>
  </si>
  <si>
    <t>Lado 2 (m)</t>
  </si>
  <si>
    <t>Obs: Metragem quadrada retirada da tabela de estacas do projeto executivo de recapeamento asfaltico</t>
  </si>
  <si>
    <t>Meio-Fio/Sarjeta (m)</t>
  </si>
  <si>
    <t>Sarjeta (m)</t>
  </si>
  <si>
    <t>Rampa 01</t>
  </si>
  <si>
    <t>Rampa 02</t>
  </si>
  <si>
    <t>Rampa 03</t>
  </si>
  <si>
    <t>Rampa 04</t>
  </si>
  <si>
    <t>Rampa 05</t>
  </si>
  <si>
    <t>Rampa 06</t>
  </si>
  <si>
    <t>Rampa 07</t>
  </si>
  <si>
    <t>Rampa 08</t>
  </si>
  <si>
    <t>Rampa 09</t>
  </si>
  <si>
    <t>Obs: valores acima referente a extensão total da via</t>
  </si>
  <si>
    <t>Obs: valores acima referente apenas as rampas</t>
  </si>
  <si>
    <t>Rampa 10</t>
  </si>
  <si>
    <t>Rampa 11</t>
  </si>
  <si>
    <t>Rampa 12</t>
  </si>
  <si>
    <t>Rampa 13</t>
  </si>
  <si>
    <t>Rampa 14</t>
  </si>
  <si>
    <t>Rampa 15</t>
  </si>
  <si>
    <t>Rampa 16</t>
  </si>
  <si>
    <t>Rampa 17</t>
  </si>
  <si>
    <t>Rampa 18</t>
  </si>
  <si>
    <t>Rampa 19</t>
  </si>
  <si>
    <t>Rampa 20</t>
  </si>
  <si>
    <t>Rampa 21</t>
  </si>
  <si>
    <t>P 15 - 16</t>
  </si>
  <si>
    <t xml:space="preserve">  LOCAL: DIVERSAS VIAS DA SEDE DO MUNICÍPIO</t>
  </si>
  <si>
    <t>RUA DR. MAURO DE PEREIRA MATOS</t>
  </si>
  <si>
    <t>IOPES</t>
  </si>
  <si>
    <t>BDI</t>
  </si>
  <si>
    <t>CÓDIGO</t>
  </si>
  <si>
    <t>Subtotal do item 01</t>
  </si>
  <si>
    <t>Subtotal do item 06</t>
  </si>
  <si>
    <t>Subtotal do item 10</t>
  </si>
  <si>
    <t>M2</t>
  </si>
  <si>
    <t>FRESAGEM DE PAVIMENTO ASFÁLTICO (PROFUNDIDADE ATÉ 5,0 CM) - EXCLUSIVE TRANSPORTE. AF_11/2019</t>
  </si>
  <si>
    <t>M3</t>
  </si>
  <si>
    <t>EXECUÇÃO DE PAVIMENTO COM APLICAÇÃO DE CONCRETO ASFÁLTICO, CAMADA DE ROLAMENTO - EXCLUSIVE CARGA E TRANSPORTE. AF_11/2019</t>
  </si>
  <si>
    <t>PINTURA DE LIGACAO COM EMULSAO RR-1C</t>
  </si>
  <si>
    <t>TXKM</t>
  </si>
  <si>
    <t>AVENIDA BRASIL</t>
  </si>
  <si>
    <t>ESTACA 210 + 12,06 ATÉ ESTACA 238 + 4,06</t>
  </si>
  <si>
    <t>LARG. MÉDIA</t>
  </si>
  <si>
    <t>CRUZAMENTOS (LIMPA RODAS)</t>
  </si>
  <si>
    <t>RUA DIONÍSIO GADIOLE</t>
  </si>
  <si>
    <t>RUA JERÔNIMO MONTEIRO</t>
  </si>
  <si>
    <t>RUA PRAÇA DO GANDU</t>
  </si>
  <si>
    <t>RUA MODESTO FARINA</t>
  </si>
  <si>
    <t>RUA NOSSA SRA. DA SAÚDE</t>
  </si>
  <si>
    <t>RUA DURVAL GAMA DE CASTRO</t>
  </si>
  <si>
    <t>RUA SANTOS DUMONT</t>
  </si>
  <si>
    <t>RUA AGOSTINHO TORRI</t>
  </si>
  <si>
    <t>RUA TABELIÃO ALFREDO ALMEIDA (LADO ESQUEDO)</t>
  </si>
  <si>
    <t>RUA TABELIÃO ALFREDO ALMEIDA (LADO DIREITO)</t>
  </si>
  <si>
    <t>RUA JOAQUIM DA SILVA ALMEIDA</t>
  </si>
  <si>
    <t>AVENIDA BRASIL + CRUZAMENTOS (LIMPA RODAS)</t>
  </si>
  <si>
    <t>TOTAL (M²)</t>
  </si>
  <si>
    <t>TOTAL (M³)</t>
  </si>
  <si>
    <t>TOTAL (TxKM)</t>
  </si>
  <si>
    <t>SINALIZAÇÃO</t>
  </si>
  <si>
    <t>AVENIDA NEGRI ORESTES</t>
  </si>
  <si>
    <t>ESTACA 712 + 0,00 ATÉ ESTACA 741 + 0,00</t>
  </si>
  <si>
    <t>RUA PRAÇA M. SÃO LÍBANO (LADO ESQUEDO)</t>
  </si>
  <si>
    <t>RUA PRAÇA M. SÃO LÍBANO (LADO DIREITO)</t>
  </si>
  <si>
    <t>RUA IRMÃ FORTUNATA</t>
  </si>
  <si>
    <t>RUA SANTA LÚCIA COMETI</t>
  </si>
  <si>
    <t>AVENIDA NEGRI ORESTES + CRUZAMENTOS (LIMPA RODAS)</t>
  </si>
  <si>
    <t>ESTACA 7000 + 5,27 ATÉ ESTACA 7012 + 0,52</t>
  </si>
  <si>
    <t>RUA SARCINELLI ANTÔNIO</t>
  </si>
  <si>
    <t>S/BDI</t>
  </si>
  <si>
    <t>REDE DE ÁGUA COM PADRÃO DE ENTRADA D'ÁGUA DIÂM. 3/4", CONF. ESPEC. CESAN, INCL. TUBOS E CONEXÕES PARA ALIMENTAÇÃO, DISTRIBUIÇÃO, EXTRAVASOR E LIMPEZA, CONS. O PADRÃO A 25M, CONF. PROJETO (1 UTILIZAÇÃO)</t>
  </si>
  <si>
    <t>DER-ES (ATUALIZADO 09/2018)</t>
  </si>
  <si>
    <t>PLACA DE OBRA NAS DIMENSÕES DE 2.0 X 4.0 M, PADRÃO IOPES</t>
  </si>
  <si>
    <t>Data base</t>
  </si>
  <si>
    <t>DIVERSAS VIAS DO MUNICÍPIO</t>
  </si>
  <si>
    <t>2.4</t>
  </si>
  <si>
    <t>6.4</t>
  </si>
  <si>
    <t>EXECUÇÃO E COMPACTAÇÃO DE BASE E OU SUB BASE PARA PAVIMENTAÇÃO DE BRITA GRADUADA SIMPLES - EXCLUSIVE CARGA E TRANSPORTE. AF_11/2019</t>
  </si>
  <si>
    <t>M3XKM</t>
  </si>
  <si>
    <t>TRANSPORTE COM CAMINHÃO BASCULANTE DE 10 M3, EM VIA URBANA PAVIMENTADA, DMT ATÉ 30 KM (UNIDADE: M3XKM). AF_12/2016</t>
  </si>
  <si>
    <t>ACRÉSCIMO PARA POÇO DE VISITA CIRCULAR PARA ESGOTO, EM CONCRETO PRÉ-MOLDADO, DIÂMETRO INTERNO = 0,8 M. AF_05/2018</t>
  </si>
  <si>
    <t>DEMOLIÇÃO PARCIAL DE PAVIMENTO ASFÁLTICO, DE FORMA MECANIZADA, SEM REAPROVEITAMENTO. AF_12/2017</t>
  </si>
  <si>
    <t>EXECUÇÃO DE PAVIMENTO COM APLICAÇÃO DE CONCRETO ASFÁLTICO, CAMADA DE BINDER - EXCLUSIVE CARGA E TRANSPORTE. AF_11/2019</t>
  </si>
  <si>
    <t>Comp-02</t>
  </si>
  <si>
    <t>Comp-03</t>
  </si>
  <si>
    <t>FABRICAÇÃO, MONTAGEM E DESMONTAGEM DE FÔRMA PARA VIGA BALDRAME, EM MADEIRA M2</t>
  </si>
  <si>
    <t>CONCRETO FCK = 20MPA, TRAÇO 1:2,7:3 (CIMENTO/ AREIA MÉDIA/ BRITA 1) PREPARO MECÂNICO COM BETONEIRA 600 L.</t>
  </si>
  <si>
    <t>8.4</t>
  </si>
  <si>
    <t>8.5</t>
  </si>
  <si>
    <t>8.6</t>
  </si>
  <si>
    <t>8.7</t>
  </si>
  <si>
    <t>8.8</t>
  </si>
  <si>
    <t>TOTAL (M)</t>
  </si>
  <si>
    <t>QUANT. MÊS</t>
  </si>
  <si>
    <t>QUANT. CONTAINER</t>
  </si>
  <si>
    <t>CONSIDERAR UM A CADA 20 METROS</t>
  </si>
  <si>
    <t>CONSIDERAR UM A CADA 40 METROS</t>
  </si>
  <si>
    <t>TOTAL (UND)</t>
  </si>
  <si>
    <t>Rua Negri Oreste</t>
  </si>
  <si>
    <t>Próximo ao Rincão Gaúcho/Rodoviária</t>
  </si>
  <si>
    <t>Em frente ao Rincão Gaúcho</t>
  </si>
  <si>
    <t>Em frente a Polícia Militar</t>
  </si>
  <si>
    <t>Próxima a escola Maria Olíria</t>
  </si>
  <si>
    <t>Em frente ao Centro Comunitário</t>
  </si>
  <si>
    <t>Próximo a Thonson/Material de Construção</t>
  </si>
  <si>
    <t>Próximo a Auto Escola Direção</t>
  </si>
  <si>
    <t>Próximo ao Morelato</t>
  </si>
  <si>
    <t>Em frente a Auto Escola João Neiva</t>
  </si>
  <si>
    <t>Próximo a Escola Barão de Monjardim</t>
  </si>
  <si>
    <t>Próximo ao Restaurante Sabor e Cia</t>
  </si>
  <si>
    <t>Avenida Brasil</t>
  </si>
  <si>
    <t>Próximo a Contágio/Global</t>
  </si>
  <si>
    <t>Esquina com a Rua Tabelião Alfredo</t>
  </si>
  <si>
    <t>Próximo ao Bradesco</t>
  </si>
  <si>
    <t>Próximo USS Gadioli</t>
  </si>
  <si>
    <t>Próximo Drogaria São Paulo</t>
  </si>
  <si>
    <t>Próximo a Academia RB</t>
  </si>
  <si>
    <t>Próximo ao Banco do Brasil</t>
  </si>
  <si>
    <t>Entrada para Pestalozi</t>
  </si>
  <si>
    <t>Próximo a Igreja Presbiteriana</t>
  </si>
  <si>
    <t>Rua Tabelião Alfredo</t>
  </si>
  <si>
    <t>Próximo a Academia Ritmos</t>
  </si>
  <si>
    <t>Próximo ao Centro Médico João Neiva</t>
  </si>
  <si>
    <t>Em frente ao Farina Gás</t>
  </si>
  <si>
    <t>Próximo a Clínica Médica Cr. Eloísio</t>
  </si>
  <si>
    <t>TOTAL (MÊS)</t>
  </si>
  <si>
    <t>85,86% (HORA)</t>
  </si>
  <si>
    <t>ORÇAMENTISTA: JEFYSON SILVA LOUREIRO - CREA-ES 0047233/D</t>
  </si>
  <si>
    <t>Novembro/2019</t>
  </si>
  <si>
    <t>OBJETO: RECAPEAMENTO ASFÁLTICO DE DIVERSAS VIAS DA SEDE DO MUNICÍPIO DE JOÃO NEIVA</t>
  </si>
  <si>
    <t>PREFEITURA MUNICIPAL DE JOÃO NEIVA / ES</t>
  </si>
  <si>
    <t>Total simples (%)</t>
  </si>
  <si>
    <t>Total acumulado (%)</t>
  </si>
  <si>
    <t>CRONOGRAMA DE OBRA</t>
  </si>
  <si>
    <t>1.9</t>
  </si>
  <si>
    <t>ALUGUEL MENSAL CONTAINER PARA ALMOXARIFADO, INCL. PORTA, 2 JANELAS, 1 PT ILUMINAÇÃO, ISOLAMENTO TÉRMICO (TETO), PISO EM COMP. NAVAL PINTADO, CERT. NR18, INCL. LAUDO DESCONTAMINAÇÃO.</t>
  </si>
  <si>
    <t>ALUGUEL MENSAL CONTAINER PARA ESCRITÓRIO, SEM BANHEIRO, DIM. 6.00X2.40M, INCL. PORTA, 2 JANELAS, ABERT P/ AR COND., 2 PT ILUMINAÇÃO, 2 TOMADAS ELÉT. E 1 TOMADA TELEF. ISOLAMENTO TÉRMICO (TETO E PAREDES), PISO EM COMP. NAVAL, CERT. NR18, INCL. LAUDO DESCONTAMINAÇÃO</t>
  </si>
  <si>
    <t>ALUGUEL MENSAL CONTAINER SANITÁRIO, INCL PORTA, BÁSC, 2 PTOS LUZ, 1 PTO ATERRAM., 3VASOS, 3LAVATÓRIOS, CALHA MICTÓRIO, 6 CHUVEIROS (1 ELETRICO), TORN.,REGISTROS, PISO COMP. NAVAL PINTADO, CERT NR18 E LAUDO DESCONTAMINAÇÃO</t>
  </si>
  <si>
    <t xml:space="preserve">REDE DE ÁGUA COM PADRÃO DE ENTRADA D'ÁGUA DIÂM. 3/4", CONF. ESPEC. CESAN, INCL. TUBOS E CONEXÕES PARA ALIMENTAÇÃO, DISTRIBUIÇÃO, EXTRAVASOR E LIMPEZA, CONS. O PADRÃO A 25M, CONF. PROJETO (1 UTILIZAÇÃO)
</t>
  </si>
  <si>
    <t>ALUGUEL MENSAL CONTAINER PARA VESTIÁRIO, INCL. PORTA, VENEZIANAS DE CIRCULAÇÃO, 1 PT ILUMINAÇÃO, ISOLAMENTO TÉRMICO (TETO), PISO EM COMP. NAVAL PINTADO, CERT. NR18, INCL. LAUDO DESCONTAMINAÇÃO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</si>
</sst>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_(* \(#,##0.00\);_(* &quot;-&quot;??_);_(@_)"/>
    <numFmt numFmtId="165" formatCode="_(&quot;R$ &quot;* #,##0.00_);_(&quot;R$ &quot;* \(#,##0.00\);_(&quot;R$ &quot;* &quot;-&quot;??_);_(@_)"/>
    <numFmt numFmtId="166" formatCode="#,##0.000"/>
    <numFmt numFmtId="167" formatCode="#,##0.0000"/>
    <numFmt numFmtId="168" formatCode="#,##0.000000"/>
    <numFmt numFmtId="169" formatCode="_(&quot;R$&quot;* #,##0.00_);_(&quot;R$&quot;* \(#,##0.00\);_(&quot;R$&quot;* &quot;-&quot;??_);_(@_)"/>
    <numFmt numFmtId="170" formatCode="&quot;R$ &quot;#,##0.00"/>
    <numFmt numFmtId="171" formatCode="0.000%"/>
    <numFmt numFmtId="172" formatCode="0.000"/>
  </numFmts>
  <fonts count="49" x14ac:knownFonts="1">
    <font>
      <sz val="10"/>
      <name val="Arial"/>
      <family val="2"/>
    </font>
    <font>
      <sz val="11"/>
      <color theme="1"/>
      <name val="Calibri"/>
      <family val="2"/>
      <scheme val="minor"/>
    </font>
    <font>
      <sz val="11"/>
      <color indexed="8"/>
      <name val="Calibri"/>
      <family val="2"/>
    </font>
    <font>
      <sz val="10"/>
      <name val="Arial"/>
      <family val="2"/>
    </font>
    <font>
      <b/>
      <sz val="12"/>
      <name val="Arial"/>
      <family val="2"/>
    </font>
    <font>
      <b/>
      <i/>
      <sz val="10"/>
      <name val="Arial"/>
      <family val="2"/>
    </font>
    <font>
      <b/>
      <sz val="10"/>
      <name val="Arial"/>
      <family val="2"/>
    </font>
    <font>
      <i/>
      <sz val="10"/>
      <name val="Arial"/>
      <family val="2"/>
    </font>
    <font>
      <sz val="10"/>
      <name val="Arial"/>
      <family val="2"/>
    </font>
    <font>
      <sz val="8"/>
      <name val="Arial"/>
      <family val="2"/>
    </font>
    <font>
      <sz val="9"/>
      <name val="Arial"/>
      <family val="2"/>
    </font>
    <font>
      <sz val="14"/>
      <color indexed="9"/>
      <name val="Arial"/>
      <family val="2"/>
    </font>
    <font>
      <b/>
      <sz val="10"/>
      <color indexed="9"/>
      <name val="Arial"/>
      <family val="2"/>
    </font>
    <font>
      <b/>
      <sz val="10"/>
      <color indexed="62"/>
      <name val="Arial"/>
      <family val="2"/>
    </font>
    <font>
      <sz val="10"/>
      <color indexed="62"/>
      <name val="Arial"/>
      <family val="2"/>
    </font>
    <font>
      <sz val="10"/>
      <name val="Arial"/>
      <family val="2"/>
    </font>
    <font>
      <b/>
      <sz val="11"/>
      <name val="Arial"/>
      <family val="2"/>
    </font>
    <font>
      <sz val="10"/>
      <color indexed="8"/>
      <name val="Arial"/>
      <family val="2"/>
    </font>
    <font>
      <b/>
      <sz val="14"/>
      <name val="Arial"/>
      <family val="2"/>
    </font>
    <font>
      <sz val="12"/>
      <name val="Arial"/>
      <family val="2"/>
    </font>
    <font>
      <sz val="14"/>
      <color indexed="8"/>
      <name val="Times New Roman"/>
      <family val="1"/>
    </font>
    <font>
      <sz val="10"/>
      <name val="Times New Roman"/>
      <family val="1"/>
    </font>
    <font>
      <b/>
      <sz val="11"/>
      <name val="Times New Roman"/>
      <family val="1"/>
    </font>
    <font>
      <b/>
      <sz val="12"/>
      <name val="Times New Roman"/>
      <family val="1"/>
    </font>
    <font>
      <b/>
      <sz val="10"/>
      <name val="Times New Roman"/>
      <family val="1"/>
    </font>
    <font>
      <sz val="12"/>
      <name val="Times New Roman"/>
      <family val="1"/>
    </font>
    <font>
      <b/>
      <sz val="10"/>
      <name val="Verdana"/>
      <family val="2"/>
    </font>
    <font>
      <b/>
      <sz val="8"/>
      <name val="Verdana"/>
      <family val="2"/>
    </font>
    <font>
      <b/>
      <u/>
      <sz val="10"/>
      <name val="Verdana"/>
      <family val="2"/>
    </font>
    <font>
      <sz val="10"/>
      <name val="Verdana"/>
      <family val="2"/>
    </font>
    <font>
      <b/>
      <sz val="11"/>
      <color indexed="8"/>
      <name val="Calibri"/>
      <family val="2"/>
    </font>
    <font>
      <sz val="11"/>
      <name val="Calibri"/>
      <family val="2"/>
    </font>
    <font>
      <b/>
      <sz val="12"/>
      <color indexed="8"/>
      <name val="Calibri"/>
      <family val="2"/>
    </font>
    <font>
      <sz val="11"/>
      <color theme="1"/>
      <name val="Calibri"/>
      <family val="2"/>
      <scheme val="minor"/>
    </font>
    <font>
      <u/>
      <sz val="11"/>
      <color theme="10"/>
      <name val="Calibri"/>
      <family val="2"/>
      <scheme val="minor"/>
    </font>
    <font>
      <sz val="11"/>
      <name val="Calibri"/>
      <family val="2"/>
      <scheme val="minor"/>
    </font>
    <font>
      <sz val="10"/>
      <color rgb="FFFF0000"/>
      <name val="Arial"/>
      <family val="2"/>
    </font>
    <font>
      <sz val="10"/>
      <color theme="1"/>
      <name val="Arial"/>
      <family val="2"/>
    </font>
    <font>
      <sz val="11"/>
      <color theme="1"/>
      <name val="Calibri"/>
      <family val="2"/>
    </font>
    <font>
      <i/>
      <sz val="11"/>
      <color theme="1"/>
      <name val="Calibri"/>
      <family val="2"/>
    </font>
    <font>
      <b/>
      <sz val="10"/>
      <color theme="1"/>
      <name val="Arial"/>
      <family val="2"/>
    </font>
    <font>
      <b/>
      <sz val="11"/>
      <color theme="1"/>
      <name val="Calibri"/>
      <family val="2"/>
    </font>
    <font>
      <b/>
      <u/>
      <sz val="14"/>
      <name val="Calibri"/>
      <family val="2"/>
      <scheme val="minor"/>
    </font>
    <font>
      <sz val="9"/>
      <name val="Calibri"/>
      <family val="2"/>
      <scheme val="minor"/>
    </font>
    <font>
      <sz val="10"/>
      <color indexed="9"/>
      <name val="Arial"/>
      <family val="2"/>
    </font>
    <font>
      <sz val="10"/>
      <color indexed="10"/>
      <name val="Arial"/>
      <family val="2"/>
    </font>
    <font>
      <b/>
      <sz val="11"/>
      <color theme="1"/>
      <name val="Calibri"/>
      <family val="2"/>
      <scheme val="minor"/>
    </font>
    <font>
      <i/>
      <sz val="11"/>
      <color theme="1"/>
      <name val="Calibri"/>
      <family val="2"/>
      <scheme val="minor"/>
    </font>
    <font>
      <sz val="11"/>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8E4BC"/>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25">
    <xf numFmtId="0" fontId="0" fillId="0" borderId="0"/>
    <xf numFmtId="164" fontId="3" fillId="0" borderId="0" applyFont="0" applyFill="0" applyBorder="0" applyAlignment="0" applyProtection="0"/>
    <xf numFmtId="165" fontId="3" fillId="0" borderId="0" applyFont="0" applyFill="0" applyBorder="0" applyAlignment="0" applyProtection="0"/>
    <xf numFmtId="0" fontId="34" fillId="0" borderId="0" applyNumberFormat="0" applyFill="0" applyBorder="0" applyAlignment="0" applyProtection="0"/>
    <xf numFmtId="165" fontId="8" fillId="0" borderId="0" applyFont="0" applyFill="0" applyBorder="0" applyAlignment="0" applyProtection="0"/>
    <xf numFmtId="169" fontId="15" fillId="0" borderId="0" applyFont="0" applyFill="0" applyBorder="0" applyAlignment="0" applyProtection="0"/>
    <xf numFmtId="0" fontId="8" fillId="0" borderId="0"/>
    <xf numFmtId="0" fontId="3" fillId="0" borderId="0"/>
    <xf numFmtId="0" fontId="8" fillId="0" borderId="0"/>
    <xf numFmtId="0" fontId="15" fillId="0" borderId="0"/>
    <xf numFmtId="0" fontId="33" fillId="0" borderId="0"/>
    <xf numFmtId="0" fontId="3" fillId="0" borderId="0"/>
    <xf numFmtId="2" fontId="3" fillId="0" borderId="0">
      <alignment vertical="center"/>
    </xf>
    <xf numFmtId="0" fontId="3" fillId="0" borderId="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5" fillId="0" borderId="0" applyFont="0" applyFill="0" applyBorder="0" applyAlignment="0" applyProtection="0"/>
    <xf numFmtId="164" fontId="3" fillId="0" borderId="0" applyFill="0" applyBorder="0" applyAlignment="0" applyProtection="0"/>
  </cellStyleXfs>
  <cellXfs count="515">
    <xf numFmtId="0" fontId="0" fillId="0" borderId="0" xfId="0"/>
    <xf numFmtId="0" fontId="0" fillId="0" borderId="0" xfId="0" applyFont="1" applyFill="1" applyBorder="1" applyAlignment="1">
      <alignment vertical="center" wrapText="1" shrinkToFit="1"/>
    </xf>
    <xf numFmtId="0" fontId="0" fillId="0" borderId="1" xfId="0" applyFont="1" applyFill="1" applyBorder="1" applyAlignment="1">
      <alignment horizontal="center" vertical="center"/>
    </xf>
    <xf numFmtId="164" fontId="11" fillId="0" borderId="0" xfId="24" applyFont="1" applyFill="1" applyBorder="1" applyAlignment="1">
      <alignment vertical="center" wrapText="1" shrinkToFit="1"/>
    </xf>
    <xf numFmtId="0" fontId="10" fillId="0" borderId="1" xfId="0" applyFont="1" applyFill="1" applyBorder="1" applyAlignment="1">
      <alignment horizontal="left" vertical="center" wrapText="1"/>
    </xf>
    <xf numFmtId="0" fontId="0" fillId="0" borderId="0" xfId="0" applyBorder="1"/>
    <xf numFmtId="0" fontId="6" fillId="0" borderId="0" xfId="9" applyFont="1" applyBorder="1" applyAlignment="1">
      <alignment horizontal="center" vertical="center"/>
    </xf>
    <xf numFmtId="0" fontId="6" fillId="3" borderId="11" xfId="9" applyFont="1" applyFill="1" applyBorder="1" applyAlignment="1">
      <alignment horizontal="center" vertical="center" wrapText="1"/>
    </xf>
    <xf numFmtId="0" fontId="6" fillId="3" borderId="1" xfId="9" applyFont="1" applyFill="1" applyBorder="1" applyAlignment="1">
      <alignment horizontal="center" vertical="center" wrapText="1"/>
    </xf>
    <xf numFmtId="0" fontId="6" fillId="3" borderId="12" xfId="9" applyFont="1" applyFill="1" applyBorder="1" applyAlignment="1">
      <alignment horizontal="center" vertical="center" wrapText="1"/>
    </xf>
    <xf numFmtId="0" fontId="6" fillId="0" borderId="0" xfId="9" applyFont="1" applyBorder="1" applyAlignment="1">
      <alignment horizontal="center" vertical="center" wrapText="1"/>
    </xf>
    <xf numFmtId="164" fontId="6" fillId="3" borderId="1" xfId="23" applyFont="1" applyFill="1" applyBorder="1" applyAlignment="1">
      <alignment vertical="center"/>
    </xf>
    <xf numFmtId="164" fontId="6" fillId="3" borderId="1" xfId="23" applyFont="1" applyFill="1" applyBorder="1"/>
    <xf numFmtId="0" fontId="3" fillId="3" borderId="11" xfId="9" applyFont="1" applyFill="1" applyBorder="1"/>
    <xf numFmtId="164" fontId="3" fillId="3" borderId="12" xfId="23" applyFont="1" applyFill="1" applyBorder="1" applyAlignment="1">
      <alignment vertical="center"/>
    </xf>
    <xf numFmtId="0" fontId="6" fillId="0" borderId="1" xfId="9" applyFont="1" applyFill="1" applyBorder="1" applyAlignment="1">
      <alignment horizontal="center" vertical="center" wrapText="1"/>
    </xf>
    <xf numFmtId="4" fontId="3" fillId="0" borderId="1" xfId="9" applyNumberFormat="1" applyFont="1" applyFill="1" applyBorder="1" applyAlignment="1">
      <alignment horizontal="center" vertical="center" wrapText="1"/>
    </xf>
    <xf numFmtId="0" fontId="3" fillId="0" borderId="1" xfId="9" applyFont="1" applyFill="1" applyBorder="1" applyAlignment="1">
      <alignment horizontal="center" vertical="center" wrapText="1"/>
    </xf>
    <xf numFmtId="164" fontId="3" fillId="0" borderId="1" xfId="23" applyFont="1" applyFill="1" applyBorder="1" applyAlignment="1">
      <alignment horizontal="center" vertical="center"/>
    </xf>
    <xf numFmtId="0" fontId="6" fillId="4" borderId="14" xfId="9" applyFont="1" applyFill="1" applyBorder="1" applyAlignment="1">
      <alignment horizontal="center" vertical="center"/>
    </xf>
    <xf numFmtId="0" fontId="0" fillId="0" borderId="1" xfId="0" applyBorder="1"/>
    <xf numFmtId="0" fontId="3" fillId="3" borderId="1" xfId="23" applyNumberFormat="1" applyFont="1" applyFill="1" applyBorder="1" applyAlignment="1">
      <alignment vertical="center"/>
    </xf>
    <xf numFmtId="0" fontId="6" fillId="3" borderId="1" xfId="23" applyNumberFormat="1" applyFont="1" applyFill="1" applyBorder="1" applyAlignment="1">
      <alignment vertical="center"/>
    </xf>
    <xf numFmtId="0" fontId="15" fillId="0" borderId="1" xfId="9" applyFill="1" applyBorder="1" applyAlignment="1">
      <alignment vertical="center"/>
    </xf>
    <xf numFmtId="0" fontId="35" fillId="0" borderId="1" xfId="10" applyFont="1" applyBorder="1"/>
    <xf numFmtId="0" fontId="35" fillId="0" borderId="1" xfId="10" applyFont="1" applyBorder="1" applyAlignment="1">
      <alignment vertical="center"/>
    </xf>
    <xf numFmtId="0" fontId="6" fillId="0" borderId="1" xfId="0" applyFont="1" applyBorder="1" applyAlignment="1">
      <alignment horizontal="left" vertical="center"/>
    </xf>
    <xf numFmtId="166" fontId="6" fillId="3" borderId="1" xfId="23" applyNumberFormat="1" applyFont="1" applyFill="1" applyBorder="1" applyAlignment="1">
      <alignment vertical="center"/>
    </xf>
    <xf numFmtId="0" fontId="3" fillId="3" borderId="8" xfId="9" applyFont="1" applyFill="1" applyBorder="1" applyAlignment="1">
      <alignment horizontal="left" vertical="center" wrapText="1"/>
    </xf>
    <xf numFmtId="164" fontId="36" fillId="0" borderId="0" xfId="23" applyFont="1" applyBorder="1" applyAlignment="1">
      <alignment vertical="center"/>
    </xf>
    <xf numFmtId="2" fontId="10" fillId="2" borderId="17" xfId="12" applyFont="1" applyFill="1" applyBorder="1" applyAlignment="1">
      <alignment horizontal="center" vertical="center" wrapText="1"/>
    </xf>
    <xf numFmtId="2" fontId="10" fillId="2" borderId="18" xfId="12" applyFont="1" applyFill="1" applyBorder="1" applyAlignment="1">
      <alignment vertical="center" wrapText="1"/>
    </xf>
    <xf numFmtId="2" fontId="3" fillId="2" borderId="18" xfId="12" applyFont="1" applyFill="1" applyBorder="1" applyAlignment="1">
      <alignment horizontal="center" vertical="center" wrapText="1"/>
    </xf>
    <xf numFmtId="2" fontId="3" fillId="2" borderId="18" xfId="12" applyFont="1" applyFill="1" applyBorder="1" applyAlignment="1">
      <alignment vertical="center" wrapText="1"/>
    </xf>
    <xf numFmtId="2" fontId="3" fillId="2" borderId="19" xfId="12" applyFont="1" applyFill="1" applyBorder="1" applyAlignment="1">
      <alignment vertical="center" wrapText="1"/>
    </xf>
    <xf numFmtId="0" fontId="21" fillId="2" borderId="20" xfId="13" applyFont="1" applyFill="1" applyBorder="1"/>
    <xf numFmtId="0" fontId="21" fillId="2" borderId="0" xfId="13" applyFont="1" applyFill="1" applyBorder="1"/>
    <xf numFmtId="0" fontId="21" fillId="2" borderId="21" xfId="13" applyFont="1" applyFill="1" applyBorder="1"/>
    <xf numFmtId="0" fontId="22" fillId="2" borderId="1" xfId="13" applyFont="1" applyFill="1" applyBorder="1" applyAlignment="1">
      <alignment horizontal="center" vertical="center" wrapText="1"/>
    </xf>
    <xf numFmtId="0" fontId="22" fillId="0" borderId="0" xfId="13" applyFont="1" applyFill="1" applyBorder="1" applyAlignment="1">
      <alignment horizontal="center" vertical="center" wrapText="1"/>
    </xf>
    <xf numFmtId="0" fontId="23" fillId="2" borderId="1" xfId="13" applyFont="1" applyFill="1" applyBorder="1"/>
    <xf numFmtId="0" fontId="21" fillId="2" borderId="1" xfId="13" applyFont="1" applyFill="1" applyBorder="1"/>
    <xf numFmtId="0" fontId="24" fillId="2" borderId="1" xfId="13" applyFont="1" applyFill="1" applyBorder="1" applyAlignment="1">
      <alignment horizontal="center" vertical="center" wrapText="1"/>
    </xf>
    <xf numFmtId="0" fontId="25" fillId="2" borderId="1" xfId="13" applyFont="1" applyFill="1" applyBorder="1"/>
    <xf numFmtId="10" fontId="25" fillId="2" borderId="1" xfId="13" applyNumberFormat="1" applyFont="1" applyFill="1" applyBorder="1"/>
    <xf numFmtId="10" fontId="25" fillId="0" borderId="1" xfId="13" applyNumberFormat="1" applyFont="1" applyFill="1" applyBorder="1" applyAlignment="1">
      <alignment horizontal="center"/>
    </xf>
    <xf numFmtId="10" fontId="21" fillId="2" borderId="0" xfId="13" applyNumberFormat="1" applyFont="1" applyFill="1" applyBorder="1"/>
    <xf numFmtId="10" fontId="23" fillId="0" borderId="1" xfId="13" applyNumberFormat="1" applyFont="1" applyFill="1" applyBorder="1" applyAlignment="1">
      <alignment horizontal="center"/>
    </xf>
    <xf numFmtId="10" fontId="25" fillId="2" borderId="1" xfId="13" applyNumberFormat="1" applyFont="1" applyFill="1" applyBorder="1" applyAlignment="1">
      <alignment horizontal="center"/>
    </xf>
    <xf numFmtId="10" fontId="23" fillId="2" borderId="1" xfId="13" applyNumberFormat="1" applyFont="1" applyFill="1" applyBorder="1" applyAlignment="1">
      <alignment horizontal="center"/>
    </xf>
    <xf numFmtId="0" fontId="23" fillId="2" borderId="0" xfId="13" applyFont="1" applyFill="1" applyBorder="1" applyAlignment="1">
      <alignment horizontal="right"/>
    </xf>
    <xf numFmtId="10" fontId="23" fillId="2" borderId="0" xfId="13" applyNumberFormat="1" applyFont="1" applyFill="1" applyBorder="1" applyAlignment="1">
      <alignment horizontal="center"/>
    </xf>
    <xf numFmtId="10" fontId="23" fillId="0" borderId="0" xfId="13" applyNumberFormat="1" applyFont="1" applyFill="1" applyBorder="1" applyAlignment="1">
      <alignment horizontal="center"/>
    </xf>
    <xf numFmtId="49" fontId="26" fillId="2" borderId="20" xfId="12" applyNumberFormat="1" applyFont="1" applyFill="1" applyBorder="1" applyAlignment="1">
      <alignment horizontal="left" vertical="top"/>
    </xf>
    <xf numFmtId="49" fontId="26" fillId="2" borderId="0" xfId="12" applyNumberFormat="1" applyFont="1" applyFill="1" applyBorder="1" applyAlignment="1">
      <alignment horizontal="left" vertical="top" wrapText="1"/>
    </xf>
    <xf numFmtId="2" fontId="27" fillId="2" borderId="0" xfId="12" applyFont="1" applyFill="1" applyBorder="1" applyAlignment="1">
      <alignment horizontal="justify" vertical="top" wrapText="1"/>
    </xf>
    <xf numFmtId="4" fontId="27" fillId="2" borderId="0" xfId="12" applyNumberFormat="1" applyFont="1" applyFill="1" applyBorder="1" applyAlignment="1">
      <alignment vertical="top" wrapText="1"/>
    </xf>
    <xf numFmtId="2" fontId="27" fillId="2" borderId="21" xfId="12" applyFont="1" applyFill="1" applyBorder="1" applyAlignment="1">
      <alignment vertical="top" wrapText="1"/>
    </xf>
    <xf numFmtId="49" fontId="26" fillId="2" borderId="20" xfId="12" applyNumberFormat="1" applyFont="1" applyFill="1" applyBorder="1" applyAlignment="1">
      <alignment horizontal="left" vertical="top" wrapText="1"/>
    </xf>
    <xf numFmtId="49" fontId="26" fillId="2" borderId="20" xfId="12" applyNumberFormat="1" applyFont="1" applyFill="1" applyBorder="1" applyAlignment="1">
      <alignment horizontal="right" vertical="top" wrapText="1"/>
    </xf>
    <xf numFmtId="49" fontId="26" fillId="2" borderId="0" xfId="12" applyNumberFormat="1" applyFont="1" applyFill="1" applyBorder="1" applyAlignment="1">
      <alignment horizontal="left" vertical="top"/>
    </xf>
    <xf numFmtId="49" fontId="26" fillId="2" borderId="0" xfId="12" applyNumberFormat="1" applyFont="1" applyFill="1" applyBorder="1" applyAlignment="1">
      <alignment horizontal="left"/>
    </xf>
    <xf numFmtId="2" fontId="27" fillId="2" borderId="0" xfId="12" applyFont="1" applyFill="1" applyBorder="1" applyAlignment="1">
      <alignment vertical="top" wrapText="1"/>
    </xf>
    <xf numFmtId="2" fontId="17" fillId="2" borderId="0" xfId="12" applyFont="1" applyFill="1" applyBorder="1">
      <alignment vertical="center"/>
    </xf>
    <xf numFmtId="49" fontId="26" fillId="2" borderId="20" xfId="12" applyNumberFormat="1" applyFont="1" applyFill="1" applyBorder="1" applyAlignment="1">
      <alignment horizontal="right" wrapText="1"/>
    </xf>
    <xf numFmtId="4" fontId="27" fillId="2" borderId="0" xfId="12" applyNumberFormat="1" applyFont="1" applyFill="1" applyBorder="1" applyAlignment="1">
      <alignment wrapText="1"/>
    </xf>
    <xf numFmtId="2" fontId="27" fillId="2" borderId="21" xfId="12" applyFont="1" applyFill="1" applyBorder="1" applyAlignment="1">
      <alignment wrapText="1"/>
    </xf>
    <xf numFmtId="4" fontId="27" fillId="2" borderId="0" xfId="11" applyNumberFormat="1" applyFont="1" applyFill="1" applyBorder="1" applyAlignment="1">
      <alignment vertical="top" wrapText="1"/>
    </xf>
    <xf numFmtId="0" fontId="27" fillId="2" borderId="21" xfId="11" applyFont="1" applyFill="1" applyBorder="1" applyAlignment="1">
      <alignment vertical="top" wrapText="1"/>
    </xf>
    <xf numFmtId="0" fontId="29" fillId="2" borderId="0" xfId="11" applyFont="1" applyFill="1" applyBorder="1" applyAlignment="1">
      <alignment horizontal="left" vertical="top" wrapText="1"/>
    </xf>
    <xf numFmtId="0" fontId="29" fillId="2" borderId="21" xfId="11" applyFont="1" applyFill="1" applyBorder="1" applyAlignment="1">
      <alignment horizontal="left" vertical="top" wrapText="1"/>
    </xf>
    <xf numFmtId="49" fontId="26" fillId="2" borderId="22" xfId="12" applyNumberFormat="1" applyFont="1" applyFill="1" applyBorder="1" applyAlignment="1">
      <alignment horizontal="left" vertical="top" wrapText="1"/>
    </xf>
    <xf numFmtId="0" fontId="29" fillId="2" borderId="23" xfId="11" applyFont="1" applyFill="1" applyBorder="1" applyAlignment="1">
      <alignment horizontal="left" vertical="top" wrapText="1"/>
    </xf>
    <xf numFmtId="0" fontId="29" fillId="2" borderId="24" xfId="11" applyFont="1" applyFill="1" applyBorder="1" applyAlignment="1">
      <alignment horizontal="left" vertical="top" wrapText="1"/>
    </xf>
    <xf numFmtId="49" fontId="26" fillId="2" borderId="20" xfId="12" applyNumberFormat="1" applyFont="1" applyFill="1" applyBorder="1" applyAlignment="1">
      <alignment vertical="top" wrapText="1"/>
    </xf>
    <xf numFmtId="0" fontId="3" fillId="2" borderId="22" xfId="7" applyFill="1" applyBorder="1"/>
    <xf numFmtId="164" fontId="6" fillId="3" borderId="8" xfId="23" applyFont="1" applyFill="1" applyBorder="1" applyAlignment="1">
      <alignment horizontal="center" vertical="center"/>
    </xf>
    <xf numFmtId="0" fontId="6" fillId="3" borderId="8" xfId="9" applyFont="1" applyFill="1" applyBorder="1" applyAlignment="1">
      <alignment horizontal="left" vertical="center" wrapText="1"/>
    </xf>
    <xf numFmtId="166" fontId="3" fillId="3" borderId="1" xfId="23" applyNumberFormat="1" applyFont="1" applyFill="1" applyBorder="1" applyAlignment="1">
      <alignment vertical="center"/>
    </xf>
    <xf numFmtId="0" fontId="6" fillId="3" borderId="1" xfId="0" applyFont="1" applyFill="1" applyBorder="1" applyAlignment="1">
      <alignment vertical="center" wrapText="1"/>
    </xf>
    <xf numFmtId="164" fontId="3" fillId="3" borderId="1" xfId="24" applyFont="1" applyFill="1" applyBorder="1" applyAlignment="1">
      <alignment horizontal="center" vertical="center"/>
    </xf>
    <xf numFmtId="164" fontId="6" fillId="3" borderId="1" xfId="23" applyFont="1" applyFill="1" applyBorder="1" applyAlignment="1">
      <alignment horizontal="right" vertical="center"/>
    </xf>
    <xf numFmtId="2" fontId="37" fillId="0" borderId="1" xfId="23" applyNumberFormat="1" applyFont="1" applyFill="1" applyBorder="1" applyAlignment="1">
      <alignment vertical="center"/>
    </xf>
    <xf numFmtId="2" fontId="2" fillId="3" borderId="1" xfId="7" applyNumberFormat="1" applyFont="1" applyFill="1" applyBorder="1" applyAlignment="1">
      <alignment horizontal="center"/>
    </xf>
    <xf numFmtId="170" fontId="2" fillId="3" borderId="1" xfId="7" applyNumberFormat="1" applyFont="1" applyFill="1" applyBorder="1" applyAlignment="1"/>
    <xf numFmtId="49" fontId="38" fillId="3" borderId="26" xfId="7" applyNumberFormat="1" applyFont="1" applyFill="1" applyBorder="1" applyAlignment="1">
      <alignment horizontal="center" vertical="top" wrapText="1"/>
    </xf>
    <xf numFmtId="4" fontId="38" fillId="3" borderId="26" xfId="7" applyNumberFormat="1" applyFont="1" applyFill="1" applyBorder="1" applyAlignment="1">
      <alignment horizontal="right" vertical="top" wrapText="1"/>
    </xf>
    <xf numFmtId="2" fontId="38" fillId="3" borderId="26" xfId="7" applyNumberFormat="1" applyFont="1" applyFill="1" applyBorder="1" applyAlignment="1">
      <alignment horizontal="center" vertical="top" wrapText="1"/>
    </xf>
    <xf numFmtId="0" fontId="2" fillId="3" borderId="27" xfId="7" applyFont="1" applyFill="1" applyBorder="1" applyAlignment="1">
      <alignment horizontal="center"/>
    </xf>
    <xf numFmtId="170" fontId="2" fillId="3" borderId="27" xfId="7" applyNumberFormat="1" applyFont="1" applyFill="1" applyBorder="1" applyAlignment="1"/>
    <xf numFmtId="49" fontId="2" fillId="3" borderId="26" xfId="7" applyNumberFormat="1" applyFont="1" applyFill="1" applyBorder="1" applyAlignment="1">
      <alignment horizontal="center" vertical="top" wrapText="1"/>
    </xf>
    <xf numFmtId="1" fontId="31" fillId="3" borderId="1" xfId="7" applyNumberFormat="1" applyFont="1" applyFill="1" applyBorder="1" applyAlignment="1">
      <alignment horizontal="center" vertical="top" wrapText="1"/>
    </xf>
    <xf numFmtId="170" fontId="31" fillId="3" borderId="1" xfId="7" applyNumberFormat="1" applyFont="1" applyFill="1" applyBorder="1" applyAlignment="1">
      <alignment horizontal="center" vertical="top" wrapText="1"/>
    </xf>
    <xf numFmtId="2" fontId="31" fillId="3" borderId="1" xfId="7" applyNumberFormat="1" applyFont="1" applyFill="1" applyBorder="1" applyAlignment="1">
      <alignment horizontal="center" vertical="top" wrapText="1"/>
    </xf>
    <xf numFmtId="4" fontId="38" fillId="3" borderId="1" xfId="7" applyNumberFormat="1" applyFont="1" applyFill="1" applyBorder="1" applyAlignment="1">
      <alignment vertical="top" wrapText="1"/>
    </xf>
    <xf numFmtId="49" fontId="38" fillId="3" borderId="26" xfId="7" applyNumberFormat="1" applyFont="1" applyFill="1" applyBorder="1" applyAlignment="1">
      <alignment horizontal="center" vertical="center" wrapText="1"/>
    </xf>
    <xf numFmtId="4" fontId="38" fillId="3" borderId="26" xfId="7" applyNumberFormat="1" applyFont="1" applyFill="1" applyBorder="1" applyAlignment="1">
      <alignment horizontal="right" vertical="center" wrapText="1"/>
    </xf>
    <xf numFmtId="170" fontId="31" fillId="3" borderId="1" xfId="7" applyNumberFormat="1" applyFont="1" applyFill="1" applyBorder="1" applyAlignment="1">
      <alignment horizontal="center" vertical="center" wrapText="1"/>
    </xf>
    <xf numFmtId="4" fontId="38" fillId="3" borderId="26" xfId="7" applyNumberFormat="1" applyFont="1" applyFill="1" applyBorder="1" applyAlignment="1">
      <alignment horizontal="center" vertical="center" wrapText="1"/>
    </xf>
    <xf numFmtId="164" fontId="0" fillId="0" borderId="1" xfId="23" applyFont="1" applyFill="1" applyBorder="1" applyAlignment="1">
      <alignment horizontal="center" vertical="center"/>
    </xf>
    <xf numFmtId="0" fontId="0" fillId="0" borderId="28" xfId="0" applyBorder="1"/>
    <xf numFmtId="0" fontId="0" fillId="0" borderId="29" xfId="0" applyBorder="1"/>
    <xf numFmtId="0" fontId="0" fillId="0" borderId="30" xfId="0" applyBorder="1"/>
    <xf numFmtId="0" fontId="0" fillId="0" borderId="11" xfId="0" applyBorder="1"/>
    <xf numFmtId="0" fontId="0" fillId="0" borderId="12" xfId="0" applyBorder="1"/>
    <xf numFmtId="0" fontId="0" fillId="0" borderId="31" xfId="0" applyBorder="1" applyAlignment="1">
      <alignment horizontal="center"/>
    </xf>
    <xf numFmtId="0" fontId="0" fillId="0" borderId="25" xfId="0" applyBorder="1" applyAlignment="1">
      <alignment horizontal="center"/>
    </xf>
    <xf numFmtId="0" fontId="0" fillId="0" borderId="32" xfId="0" applyBorder="1" applyAlignment="1">
      <alignment horizontal="center"/>
    </xf>
    <xf numFmtId="1" fontId="2" fillId="3" borderId="20" xfId="7" applyNumberFormat="1" applyFont="1" applyFill="1" applyBorder="1" applyAlignment="1">
      <alignment vertical="top"/>
    </xf>
    <xf numFmtId="1" fontId="2" fillId="3" borderId="20" xfId="7" applyNumberFormat="1" applyFont="1" applyFill="1" applyBorder="1" applyAlignment="1"/>
    <xf numFmtId="1" fontId="2" fillId="3" borderId="11" xfId="7" applyNumberFormat="1" applyFont="1" applyFill="1" applyBorder="1" applyAlignment="1">
      <alignment horizontal="center"/>
    </xf>
    <xf numFmtId="0" fontId="2" fillId="3" borderId="12" xfId="7" applyFont="1" applyFill="1" applyBorder="1" applyAlignment="1"/>
    <xf numFmtId="1" fontId="38" fillId="3" borderId="34" xfId="7" applyNumberFormat="1" applyFont="1" applyFill="1" applyBorder="1" applyAlignment="1">
      <alignment horizontal="center" vertical="top" wrapText="1"/>
    </xf>
    <xf numFmtId="170" fontId="38" fillId="3" borderId="33" xfId="7" applyNumberFormat="1" applyFont="1" applyFill="1" applyBorder="1" applyAlignment="1">
      <alignment horizontal="right" vertical="top" wrapText="1"/>
    </xf>
    <xf numFmtId="164" fontId="2" fillId="3" borderId="12" xfId="7" applyNumberFormat="1" applyFont="1" applyFill="1" applyBorder="1" applyAlignment="1"/>
    <xf numFmtId="1" fontId="38" fillId="3" borderId="34" xfId="7" applyNumberFormat="1" applyFont="1" applyFill="1" applyBorder="1" applyAlignment="1">
      <alignment horizontal="center" vertical="center" wrapText="1"/>
    </xf>
    <xf numFmtId="170" fontId="38" fillId="3" borderId="33" xfId="7" applyNumberFormat="1" applyFont="1" applyFill="1" applyBorder="1" applyAlignment="1">
      <alignment horizontal="right" vertical="center" wrapText="1"/>
    </xf>
    <xf numFmtId="1" fontId="3" fillId="3" borderId="34" xfId="7" applyNumberFormat="1" applyFont="1" applyFill="1" applyBorder="1" applyAlignment="1">
      <alignment horizontal="center" vertical="center" wrapText="1"/>
    </xf>
    <xf numFmtId="1" fontId="31" fillId="3" borderId="11" xfId="7" applyNumberFormat="1" applyFont="1" applyFill="1" applyBorder="1" applyAlignment="1">
      <alignment horizontal="center" vertical="center" wrapText="1"/>
    </xf>
    <xf numFmtId="1" fontId="31" fillId="3" borderId="11" xfId="7" applyNumberFormat="1" applyFont="1" applyFill="1" applyBorder="1" applyAlignment="1">
      <alignment horizontal="center" vertical="top" wrapText="1"/>
    </xf>
    <xf numFmtId="170" fontId="31" fillId="3" borderId="33" xfId="7" applyNumberFormat="1" applyFont="1" applyFill="1" applyBorder="1" applyAlignment="1">
      <alignment vertical="top" wrapText="1"/>
    </xf>
    <xf numFmtId="170" fontId="2" fillId="3" borderId="12" xfId="7" applyNumberFormat="1" applyFont="1" applyFill="1" applyBorder="1" applyAlignment="1">
      <alignment vertical="top" wrapText="1"/>
    </xf>
    <xf numFmtId="164" fontId="2" fillId="3" borderId="33" xfId="7" applyNumberFormat="1" applyFont="1" applyFill="1" applyBorder="1" applyAlignment="1"/>
    <xf numFmtId="164" fontId="2" fillId="3" borderId="35" xfId="7" applyNumberFormat="1" applyFont="1" applyFill="1" applyBorder="1" applyAlignment="1"/>
    <xf numFmtId="169" fontId="30" fillId="3" borderId="32" xfId="5" applyFont="1" applyFill="1" applyBorder="1" applyAlignment="1"/>
    <xf numFmtId="49" fontId="38" fillId="3" borderId="1" xfId="7" applyNumberFormat="1" applyFont="1" applyFill="1" applyBorder="1" applyAlignment="1">
      <alignment horizontal="center" vertical="top" wrapText="1"/>
    </xf>
    <xf numFmtId="4" fontId="38" fillId="3" borderId="1" xfId="7" applyNumberFormat="1" applyFont="1" applyFill="1" applyBorder="1" applyAlignment="1">
      <alignment horizontal="right" vertical="top" wrapText="1"/>
    </xf>
    <xf numFmtId="1" fontId="38" fillId="3" borderId="1" xfId="7" applyNumberFormat="1" applyFont="1" applyFill="1" applyBorder="1" applyAlignment="1">
      <alignment vertical="top" wrapText="1"/>
    </xf>
    <xf numFmtId="0" fontId="3" fillId="3" borderId="11" xfId="9" applyFont="1" applyFill="1" applyBorder="1" applyAlignment="1">
      <alignment horizontal="center" vertical="center" wrapText="1"/>
    </xf>
    <xf numFmtId="164" fontId="6" fillId="3" borderId="1" xfId="23" applyNumberFormat="1" applyFont="1" applyFill="1" applyBorder="1" applyAlignment="1">
      <alignment vertical="center"/>
    </xf>
    <xf numFmtId="0" fontId="0" fillId="0" borderId="1" xfId="9" applyFont="1" applyBorder="1" applyAlignment="1">
      <alignment vertical="center"/>
    </xf>
    <xf numFmtId="0" fontId="0" fillId="0" borderId="1" xfId="0" applyFill="1" applyBorder="1" applyAlignment="1">
      <alignment horizontal="center" vertical="center"/>
    </xf>
    <xf numFmtId="0" fontId="2" fillId="3" borderId="1" xfId="7" applyFont="1" applyFill="1" applyBorder="1" applyAlignment="1">
      <alignment horizontal="center"/>
    </xf>
    <xf numFmtId="0" fontId="30" fillId="3" borderId="12" xfId="7" applyFont="1" applyFill="1" applyBorder="1" applyAlignment="1">
      <alignment horizontal="center" vertical="center" wrapText="1"/>
    </xf>
    <xf numFmtId="167" fontId="38" fillId="3" borderId="26" xfId="7" applyNumberFormat="1" applyFont="1" applyFill="1" applyBorder="1" applyAlignment="1">
      <alignment horizontal="center" vertical="center" wrapText="1"/>
    </xf>
    <xf numFmtId="165" fontId="38" fillId="3" borderId="26" xfId="4" applyFont="1" applyFill="1" applyBorder="1" applyAlignment="1">
      <alignment horizontal="center" vertical="center" wrapText="1"/>
    </xf>
    <xf numFmtId="165" fontId="2" fillId="3" borderId="1" xfId="4" applyFont="1" applyFill="1" applyBorder="1" applyAlignment="1">
      <alignment horizontal="center" vertical="center" wrapText="1"/>
    </xf>
    <xf numFmtId="165" fontId="31" fillId="3" borderId="1" xfId="4" applyFont="1" applyFill="1" applyBorder="1" applyAlignment="1">
      <alignment horizontal="center" vertical="center" wrapText="1"/>
    </xf>
    <xf numFmtId="4" fontId="39" fillId="3" borderId="26" xfId="7" quotePrefix="1" applyNumberFormat="1" applyFont="1" applyFill="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165" fontId="38" fillId="3" borderId="26" xfId="4" applyFont="1" applyFill="1" applyBorder="1" applyAlignment="1">
      <alignment horizontal="right" vertical="top" wrapText="1"/>
    </xf>
    <xf numFmtId="165" fontId="38" fillId="3" borderId="26" xfId="4" applyFont="1" applyFill="1" applyBorder="1" applyAlignment="1">
      <alignment horizontal="right" vertical="center" wrapText="1"/>
    </xf>
    <xf numFmtId="165" fontId="2" fillId="3" borderId="1" xfId="4" applyFont="1" applyFill="1" applyBorder="1" applyAlignment="1">
      <alignment vertical="center" wrapText="1"/>
    </xf>
    <xf numFmtId="165" fontId="31" fillId="3" borderId="1" xfId="4" applyFont="1" applyFill="1" applyBorder="1" applyAlignment="1">
      <alignment vertical="center" wrapText="1"/>
    </xf>
    <xf numFmtId="168" fontId="38" fillId="3" borderId="26" xfId="7" applyNumberFormat="1" applyFont="1" applyFill="1" applyBorder="1" applyAlignment="1">
      <alignment horizontal="center" vertical="center" wrapText="1"/>
    </xf>
    <xf numFmtId="49" fontId="2" fillId="3" borderId="26" xfId="7" applyNumberFormat="1" applyFont="1" applyFill="1" applyBorder="1" applyAlignment="1">
      <alignment horizontal="center" vertical="center" wrapText="1"/>
    </xf>
    <xf numFmtId="0" fontId="32" fillId="3" borderId="12" xfId="7" applyFont="1" applyFill="1" applyBorder="1" applyAlignment="1">
      <alignment horizontal="center" vertical="center" wrapText="1"/>
    </xf>
    <xf numFmtId="1" fontId="38" fillId="3" borderId="11" xfId="7" applyNumberFormat="1" applyFont="1" applyFill="1" applyBorder="1" applyAlignment="1">
      <alignment horizontal="center" vertical="top" wrapText="1"/>
    </xf>
    <xf numFmtId="1" fontId="38" fillId="3" borderId="11" xfId="7" applyNumberFormat="1" applyFont="1" applyFill="1" applyBorder="1" applyAlignment="1">
      <alignment vertical="top" wrapText="1"/>
    </xf>
    <xf numFmtId="0" fontId="29" fillId="2" borderId="21" xfId="11" applyFont="1" applyFill="1" applyBorder="1" applyAlignment="1">
      <alignment vertical="top" wrapText="1"/>
    </xf>
    <xf numFmtId="0" fontId="26" fillId="2" borderId="21" xfId="11" applyFont="1" applyFill="1" applyBorder="1" applyAlignment="1">
      <alignment vertical="top" wrapText="1"/>
    </xf>
    <xf numFmtId="0" fontId="20" fillId="2" borderId="20" xfId="13" applyFont="1" applyFill="1" applyBorder="1" applyAlignment="1"/>
    <xf numFmtId="0" fontId="20" fillId="2" borderId="0" xfId="13" applyFont="1" applyFill="1" applyBorder="1" applyAlignment="1"/>
    <xf numFmtId="0" fontId="20" fillId="2" borderId="21" xfId="13" applyFont="1" applyFill="1" applyBorder="1" applyAlignment="1"/>
    <xf numFmtId="2" fontId="19" fillId="2" borderId="20" xfId="12" applyFont="1" applyFill="1" applyBorder="1" applyAlignment="1">
      <alignment wrapText="1"/>
    </xf>
    <xf numFmtId="2" fontId="19" fillId="2" borderId="0" xfId="12" applyFont="1" applyFill="1" applyBorder="1" applyAlignment="1">
      <alignment wrapText="1"/>
    </xf>
    <xf numFmtId="2" fontId="19" fillId="2" borderId="21" xfId="12" applyFont="1" applyFill="1" applyBorder="1" applyAlignment="1">
      <alignment wrapText="1"/>
    </xf>
    <xf numFmtId="2" fontId="18" fillId="2" borderId="20" xfId="12" applyFont="1" applyFill="1" applyBorder="1" applyAlignment="1">
      <alignment vertical="center" wrapText="1"/>
    </xf>
    <xf numFmtId="2" fontId="18" fillId="2" borderId="0" xfId="12" applyFont="1" applyFill="1" applyBorder="1" applyAlignment="1">
      <alignment vertical="center" wrapText="1"/>
    </xf>
    <xf numFmtId="2" fontId="18" fillId="2" borderId="21" xfId="12" applyFont="1" applyFill="1" applyBorder="1" applyAlignment="1">
      <alignment vertical="center" wrapText="1"/>
    </xf>
    <xf numFmtId="164" fontId="3" fillId="3" borderId="8" xfId="24" applyFont="1" applyFill="1" applyBorder="1" applyAlignment="1">
      <alignment horizontal="center" vertical="center"/>
    </xf>
    <xf numFmtId="164" fontId="3" fillId="3" borderId="16" xfId="23" applyFont="1" applyFill="1" applyBorder="1" applyAlignment="1">
      <alignment vertical="center"/>
    </xf>
    <xf numFmtId="164" fontId="3" fillId="3" borderId="1" xfId="23" applyFont="1" applyFill="1" applyBorder="1" applyAlignment="1">
      <alignment horizontal="center" vertical="center"/>
    </xf>
    <xf numFmtId="43" fontId="37" fillId="0" borderId="1" xfId="23" applyNumberFormat="1" applyFont="1" applyFill="1" applyBorder="1" applyAlignment="1">
      <alignment vertical="center"/>
    </xf>
    <xf numFmtId="2" fontId="40" fillId="0" borderId="1" xfId="23" applyNumberFormat="1" applyFont="1" applyFill="1" applyBorder="1" applyAlignment="1">
      <alignment vertical="center"/>
    </xf>
    <xf numFmtId="43" fontId="3" fillId="3" borderId="1" xfId="23" applyNumberFormat="1" applyFont="1" applyFill="1" applyBorder="1" applyAlignment="1">
      <alignment vertical="center"/>
    </xf>
    <xf numFmtId="0" fontId="6" fillId="3" borderId="8" xfId="23" applyNumberFormat="1" applyFont="1" applyFill="1" applyBorder="1" applyAlignment="1">
      <alignment vertical="center"/>
    </xf>
    <xf numFmtId="164" fontId="3" fillId="3" borderId="1" xfId="23" applyFont="1" applyFill="1" applyBorder="1" applyAlignment="1">
      <alignment vertical="center"/>
    </xf>
    <xf numFmtId="0" fontId="3" fillId="3" borderId="1" xfId="23" applyNumberFormat="1" applyFont="1" applyFill="1" applyBorder="1" applyAlignment="1">
      <alignment horizontal="center" vertical="center"/>
    </xf>
    <xf numFmtId="164" fontId="6" fillId="0" borderId="1" xfId="9" applyNumberFormat="1" applyFont="1" applyBorder="1"/>
    <xf numFmtId="0" fontId="0" fillId="0" borderId="1" xfId="0" applyFont="1" applyBorder="1" applyAlignment="1">
      <alignment horizontal="center" vertical="center"/>
    </xf>
    <xf numFmtId="0" fontId="0" fillId="0" borderId="13"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3" fillId="3" borderId="8" xfId="23" applyNumberFormat="1" applyFont="1" applyFill="1" applyBorder="1" applyAlignment="1">
      <alignment horizontal="center" vertical="center"/>
    </xf>
    <xf numFmtId="10" fontId="6" fillId="0" borderId="1" xfId="14" applyNumberFormat="1" applyFont="1" applyFill="1" applyBorder="1" applyAlignment="1">
      <alignment horizontal="center" vertical="center" wrapText="1" shrinkToFit="1"/>
    </xf>
    <xf numFmtId="0" fontId="3" fillId="0" borderId="0" xfId="9" applyFont="1" applyBorder="1" applyAlignment="1">
      <alignment vertical="center"/>
    </xf>
    <xf numFmtId="0" fontId="3" fillId="0" borderId="0" xfId="9" applyFont="1" applyAlignment="1">
      <alignment vertical="center"/>
    </xf>
    <xf numFmtId="0" fontId="0" fillId="0" borderId="1" xfId="0" applyFont="1" applyFill="1" applyBorder="1" applyAlignment="1">
      <alignment horizontal="center" vertical="center" wrapText="1" shrinkToFit="1"/>
    </xf>
    <xf numFmtId="4" fontId="0" fillId="0" borderId="1" xfId="0" applyNumberFormat="1" applyFont="1" applyFill="1" applyBorder="1" applyAlignment="1">
      <alignment horizontal="center" vertical="center" wrapText="1" shrinkToFit="1"/>
    </xf>
    <xf numFmtId="4" fontId="0" fillId="0" borderId="1" xfId="0" applyNumberFormat="1" applyFont="1" applyFill="1" applyBorder="1" applyAlignment="1">
      <alignment horizontal="center" vertical="center"/>
    </xf>
    <xf numFmtId="164" fontId="6" fillId="0" borderId="1" xfId="24" applyFont="1" applyFill="1" applyBorder="1" applyAlignment="1">
      <alignment horizontal="center" vertical="center" wrapText="1" shrinkToFit="1"/>
    </xf>
    <xf numFmtId="4" fontId="0" fillId="0" borderId="1" xfId="0" quotePrefix="1" applyNumberFormat="1" applyFont="1" applyFill="1" applyBorder="1" applyAlignment="1">
      <alignment horizontal="center" vertical="center"/>
    </xf>
    <xf numFmtId="4" fontId="0" fillId="3" borderId="1" xfId="0" quotePrefix="1" applyNumberFormat="1" applyFont="1" applyFill="1" applyBorder="1" applyAlignment="1">
      <alignment horizontal="center" vertical="center"/>
    </xf>
    <xf numFmtId="0" fontId="3" fillId="0" borderId="0" xfId="9" applyFont="1"/>
    <xf numFmtId="166" fontId="1" fillId="0" borderId="1" xfId="10" applyNumberFormat="1" applyFont="1" applyBorder="1" applyAlignment="1">
      <alignment horizontal="center" vertical="center"/>
    </xf>
    <xf numFmtId="0" fontId="43" fillId="0" borderId="1" xfId="10" applyFont="1" applyBorder="1" applyAlignment="1">
      <alignment vertical="center" wrapText="1"/>
    </xf>
    <xf numFmtId="0" fontId="3" fillId="0" borderId="1" xfId="9" applyFont="1" applyBorder="1"/>
    <xf numFmtId="0" fontId="0" fillId="0" borderId="8" xfId="0" applyFont="1" applyBorder="1" applyAlignment="1">
      <alignment horizontal="center" vertical="center"/>
    </xf>
    <xf numFmtId="0" fontId="1" fillId="0" borderId="1" xfId="10" applyFont="1" applyBorder="1"/>
    <xf numFmtId="0" fontId="1" fillId="0" borderId="1" xfId="10" applyFont="1" applyBorder="1" applyAlignment="1">
      <alignment horizontal="center" vertical="center"/>
    </xf>
    <xf numFmtId="0" fontId="1" fillId="0" borderId="1" xfId="10" applyFont="1" applyFill="1" applyBorder="1"/>
    <xf numFmtId="166" fontId="0" fillId="0" borderId="1" xfId="0" applyNumberFormat="1" applyFont="1" applyBorder="1" applyAlignment="1">
      <alignment horizontal="right" vertical="center"/>
    </xf>
    <xf numFmtId="0" fontId="3" fillId="0" borderId="0" xfId="9" applyFont="1" applyBorder="1"/>
    <xf numFmtId="164" fontId="3" fillId="0" borderId="0" xfId="9" applyNumberFormat="1" applyFont="1" applyBorder="1"/>
    <xf numFmtId="164" fontId="3" fillId="0" borderId="0" xfId="23" applyFont="1" applyBorder="1" applyAlignment="1">
      <alignment vertical="center"/>
    </xf>
    <xf numFmtId="164" fontId="3" fillId="0" borderId="0" xfId="9" applyNumberFormat="1" applyFont="1"/>
    <xf numFmtId="0" fontId="6" fillId="7" borderId="11" xfId="9" applyFont="1" applyFill="1" applyBorder="1" applyAlignment="1">
      <alignment horizontal="center" vertical="center" wrapText="1"/>
    </xf>
    <xf numFmtId="0" fontId="6" fillId="7" borderId="11" xfId="9" applyFont="1" applyFill="1" applyBorder="1" applyAlignment="1">
      <alignment horizontal="center" vertical="center"/>
    </xf>
    <xf numFmtId="0" fontId="6" fillId="7" borderId="1" xfId="0" applyFont="1" applyFill="1" applyBorder="1" applyAlignment="1">
      <alignment horizontal="left" vertical="center"/>
    </xf>
    <xf numFmtId="164" fontId="6" fillId="7" borderId="1" xfId="23" applyFont="1" applyFill="1" applyBorder="1"/>
    <xf numFmtId="0" fontId="3" fillId="7" borderId="1" xfId="9" applyFont="1" applyFill="1" applyBorder="1"/>
    <xf numFmtId="0" fontId="3" fillId="7" borderId="1" xfId="23" applyNumberFormat="1" applyFont="1" applyFill="1" applyBorder="1" applyAlignment="1">
      <alignment vertical="center"/>
    </xf>
    <xf numFmtId="164" fontId="3" fillId="7" borderId="1" xfId="23" applyFont="1" applyFill="1" applyBorder="1" applyAlignment="1">
      <alignment vertical="center"/>
    </xf>
    <xf numFmtId="164" fontId="3" fillId="7" borderId="12" xfId="23" applyFont="1" applyFill="1" applyBorder="1" applyAlignment="1">
      <alignment vertical="center"/>
    </xf>
    <xf numFmtId="0" fontId="3" fillId="7" borderId="0" xfId="9" applyFont="1" applyFill="1"/>
    <xf numFmtId="0" fontId="3" fillId="7" borderId="11" xfId="9" applyFont="1" applyFill="1" applyBorder="1"/>
    <xf numFmtId="164" fontId="3" fillId="7" borderId="1" xfId="23" applyFont="1" applyFill="1" applyBorder="1" applyAlignment="1">
      <alignment horizontal="center" vertical="center"/>
    </xf>
    <xf numFmtId="164" fontId="6" fillId="7" borderId="1" xfId="23" applyFont="1" applyFill="1" applyBorder="1" applyAlignment="1">
      <alignment vertical="center"/>
    </xf>
    <xf numFmtId="0" fontId="6" fillId="7" borderId="1" xfId="23" applyNumberFormat="1" applyFont="1" applyFill="1" applyBorder="1" applyAlignment="1">
      <alignment vertical="center"/>
    </xf>
    <xf numFmtId="0" fontId="6" fillId="7" borderId="8" xfId="9" applyFont="1" applyFill="1" applyBorder="1" applyAlignment="1">
      <alignment horizontal="left" vertical="center" wrapText="1"/>
    </xf>
    <xf numFmtId="164" fontId="6" fillId="7" borderId="1" xfId="23" applyFont="1" applyFill="1" applyBorder="1" applyAlignment="1">
      <alignment horizontal="center" vertical="center"/>
    </xf>
    <xf numFmtId="164" fontId="6" fillId="7" borderId="12" xfId="23" applyFont="1" applyFill="1" applyBorder="1" applyAlignment="1">
      <alignment vertical="center"/>
    </xf>
    <xf numFmtId="0" fontId="6" fillId="7" borderId="0" xfId="9" applyFont="1" applyFill="1"/>
    <xf numFmtId="0" fontId="6"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wrapText="1" shrinkToFit="1"/>
    </xf>
    <xf numFmtId="4" fontId="6" fillId="0" borderId="1" xfId="0" applyNumberFormat="1" applyFont="1" applyFill="1" applyBorder="1" applyAlignment="1">
      <alignment horizontal="center" vertical="center" wrapText="1" shrinkToFit="1"/>
    </xf>
    <xf numFmtId="164" fontId="3" fillId="0" borderId="1" xfId="24" applyFont="1" applyFill="1" applyBorder="1" applyAlignment="1">
      <alignment horizontal="center" vertical="center" wrapText="1" shrinkToFit="1"/>
    </xf>
    <xf numFmtId="0" fontId="0" fillId="0" borderId="1" xfId="0" applyFont="1" applyFill="1" applyBorder="1" applyAlignment="1">
      <alignment horizontal="center" vertical="center" shrinkToFit="1"/>
    </xf>
    <xf numFmtId="4" fontId="0" fillId="0" borderId="1" xfId="0" applyNumberFormat="1" applyFont="1" applyFill="1" applyBorder="1" applyAlignment="1">
      <alignment horizontal="center" vertical="center" shrinkToFit="1"/>
    </xf>
    <xf numFmtId="0" fontId="0" fillId="0" borderId="1" xfId="0" applyFont="1" applyFill="1" applyBorder="1" applyAlignment="1">
      <alignment horizontal="left" vertical="center" wrapText="1"/>
    </xf>
    <xf numFmtId="165" fontId="0" fillId="0" borderId="1" xfId="4" applyFont="1" applyFill="1" applyBorder="1" applyAlignment="1">
      <alignment horizontal="center" vertical="center" wrapText="1" shrinkToFit="1"/>
    </xf>
    <xf numFmtId="164" fontId="0" fillId="0" borderId="1" xfId="24" applyFont="1" applyFill="1" applyBorder="1" applyAlignment="1">
      <alignment horizontal="center" vertical="center" shrinkToFit="1"/>
    </xf>
    <xf numFmtId="164" fontId="0" fillId="0" borderId="1" xfId="24" applyFont="1" applyFill="1" applyBorder="1" applyAlignment="1">
      <alignment horizontal="center" vertical="center" wrapText="1" shrinkToFit="1"/>
    </xf>
    <xf numFmtId="0" fontId="0" fillId="0" borderId="1" xfId="0" applyFont="1" applyFill="1" applyBorder="1" applyAlignment="1">
      <alignment horizontal="left" vertical="top" wrapText="1" shrinkToFit="1"/>
    </xf>
    <xf numFmtId="0" fontId="6" fillId="0" borderId="1" xfId="0" applyFont="1" applyFill="1" applyBorder="1" applyAlignment="1">
      <alignment horizontal="right" vertical="center" wrapText="1" shrinkToFit="1"/>
    </xf>
    <xf numFmtId="49" fontId="6" fillId="0" borderId="1" xfId="0" applyNumberFormat="1" applyFont="1" applyFill="1" applyBorder="1" applyAlignment="1">
      <alignment vertical="center" wrapText="1" shrinkToFit="1"/>
    </xf>
    <xf numFmtId="2" fontId="0" fillId="0" borderId="1" xfId="0" applyNumberFormat="1" applyFill="1" applyBorder="1" applyAlignment="1">
      <alignment horizontal="center" vertical="center"/>
    </xf>
    <xf numFmtId="0" fontId="47" fillId="0" borderId="1" xfId="0" applyFont="1" applyFill="1" applyBorder="1" applyAlignment="1">
      <alignment horizontal="left" vertical="center"/>
    </xf>
    <xf numFmtId="172" fontId="0" fillId="0" borderId="1" xfId="0" applyNumberFormat="1" applyFill="1" applyBorder="1" applyAlignment="1">
      <alignment horizontal="center" vertical="center"/>
    </xf>
    <xf numFmtId="0" fontId="6" fillId="0" borderId="1" xfId="0" applyFont="1" applyFill="1" applyBorder="1" applyAlignment="1">
      <alignment vertical="center" wrapText="1" shrinkToFit="1"/>
    </xf>
    <xf numFmtId="0" fontId="0" fillId="0"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8" borderId="1" xfId="9" applyFont="1" applyFill="1" applyBorder="1" applyAlignment="1">
      <alignment horizontal="center" vertical="center" wrapText="1"/>
    </xf>
    <xf numFmtId="0" fontId="6" fillId="8" borderId="1" xfId="9" applyFont="1" applyFill="1" applyBorder="1" applyAlignment="1">
      <alignment horizontal="left" vertical="center" wrapText="1"/>
    </xf>
    <xf numFmtId="4" fontId="6" fillId="8" borderId="1" xfId="9" applyNumberFormat="1" applyFont="1" applyFill="1" applyBorder="1" applyAlignment="1">
      <alignment horizontal="center" vertical="center" wrapText="1"/>
    </xf>
    <xf numFmtId="0" fontId="3" fillId="0" borderId="1" xfId="9" applyFont="1" applyFill="1" applyBorder="1" applyAlignment="1">
      <alignment horizontal="left" vertical="center" wrapText="1"/>
    </xf>
    <xf numFmtId="0" fontId="3" fillId="0" borderId="1" xfId="9" applyFont="1" applyFill="1" applyBorder="1" applyAlignment="1">
      <alignment vertical="center"/>
    </xf>
    <xf numFmtId="0" fontId="6" fillId="7" borderId="1" xfId="0" applyFont="1" applyFill="1" applyBorder="1" applyAlignment="1">
      <alignment horizontal="center" vertical="center"/>
    </xf>
    <xf numFmtId="0" fontId="6" fillId="7" borderId="1" xfId="0" applyFont="1" applyFill="1" applyBorder="1"/>
    <xf numFmtId="0" fontId="0" fillId="0" borderId="1" xfId="0" applyBorder="1" applyAlignment="1">
      <alignment horizontal="center" vertical="center"/>
    </xf>
    <xf numFmtId="4" fontId="0" fillId="0" borderId="1" xfId="0" applyNumberFormat="1" applyBorder="1" applyAlignment="1">
      <alignment horizontal="center" vertical="center"/>
    </xf>
    <xf numFmtId="4" fontId="6" fillId="0" borderId="1" xfId="0" applyNumberFormat="1" applyFont="1" applyBorder="1" applyAlignment="1">
      <alignment horizontal="center" vertical="center"/>
    </xf>
    <xf numFmtId="0" fontId="6" fillId="0" borderId="1" xfId="0" applyFont="1" applyBorder="1"/>
    <xf numFmtId="0" fontId="6" fillId="0" borderId="1" xfId="0" applyFont="1" applyBorder="1" applyAlignment="1">
      <alignment horizontal="right" vertical="center"/>
    </xf>
    <xf numFmtId="0" fontId="0" fillId="0" borderId="1" xfId="0" applyFont="1" applyFill="1" applyBorder="1" applyAlignment="1">
      <alignment horizontal="center" vertical="center" wrapText="1"/>
    </xf>
    <xf numFmtId="0" fontId="0" fillId="0" borderId="1" xfId="0" applyFont="1" applyFill="1" applyBorder="1"/>
    <xf numFmtId="4" fontId="0"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center" vertical="center" wrapText="1"/>
    </xf>
    <xf numFmtId="4" fontId="0" fillId="0" borderId="1" xfId="0" applyNumberFormat="1" applyFill="1" applyBorder="1" applyAlignment="1">
      <alignment horizontal="center" vertical="center"/>
    </xf>
    <xf numFmtId="4" fontId="0" fillId="0" borderId="1" xfId="0" applyNumberFormat="1" applyFont="1" applyFill="1" applyBorder="1" applyAlignment="1">
      <alignment horizontal="left" vertical="center" wrapText="1"/>
    </xf>
    <xf numFmtId="0" fontId="0" fillId="0" borderId="1" xfId="0" applyFill="1" applyBorder="1"/>
    <xf numFmtId="0" fontId="7" fillId="0" borderId="1" xfId="0" applyFont="1" applyFill="1" applyBorder="1" applyAlignment="1">
      <alignment horizontal="center" vertical="center" wrapText="1" shrinkToFit="1"/>
    </xf>
    <xf numFmtId="164" fontId="15" fillId="0" borderId="1" xfId="9" applyNumberFormat="1" applyFill="1" applyBorder="1" applyAlignment="1">
      <alignment horizontal="center" vertical="center"/>
    </xf>
    <xf numFmtId="0" fontId="15" fillId="0" borderId="1" xfId="9" applyFill="1" applyBorder="1" applyAlignment="1">
      <alignment horizontal="center" vertical="center"/>
    </xf>
    <xf numFmtId="2" fontId="15" fillId="0" borderId="1" xfId="9" applyNumberFormat="1" applyFill="1" applyBorder="1" applyAlignment="1">
      <alignment horizontal="center" vertical="center"/>
    </xf>
    <xf numFmtId="0" fontId="0" fillId="0" borderId="1" xfId="0" applyBorder="1" applyAlignment="1">
      <alignment wrapText="1"/>
    </xf>
    <xf numFmtId="0" fontId="6" fillId="0" borderId="1" xfId="0" applyFont="1" applyFill="1" applyBorder="1"/>
    <xf numFmtId="0" fontId="6" fillId="0" borderId="1" xfId="0" applyFont="1" applyFill="1" applyBorder="1" applyAlignment="1">
      <alignment horizontal="right" vertical="center"/>
    </xf>
    <xf numFmtId="0" fontId="3" fillId="0" borderId="1" xfId="9" applyFont="1" applyFill="1" applyBorder="1" applyAlignment="1">
      <alignment horizontal="center" vertical="center"/>
    </xf>
    <xf numFmtId="164" fontId="3" fillId="0" borderId="1" xfId="9" applyNumberFormat="1" applyFont="1" applyFill="1" applyBorder="1" applyAlignment="1">
      <alignment horizontal="center" vertical="center"/>
    </xf>
    <xf numFmtId="2" fontId="3" fillId="0" borderId="1" xfId="9" applyNumberFormat="1" applyFont="1" applyFill="1" applyBorder="1" applyAlignment="1">
      <alignment horizontal="center" vertical="center"/>
    </xf>
    <xf numFmtId="0" fontId="46" fillId="0" borderId="1" xfId="0" applyFont="1" applyFill="1" applyBorder="1" applyAlignment="1">
      <alignment horizontal="center" vertical="center"/>
    </xf>
    <xf numFmtId="0" fontId="46" fillId="0" borderId="1" xfId="0" applyFont="1" applyFill="1" applyBorder="1"/>
    <xf numFmtId="2" fontId="0" fillId="0" borderId="1" xfId="0" applyNumberFormat="1" applyFill="1" applyBorder="1"/>
    <xf numFmtId="0" fontId="6" fillId="0" borderId="1" xfId="0" quotePrefix="1" applyFont="1" applyFill="1" applyBorder="1" applyAlignment="1">
      <alignment horizontal="left" vertical="center" wrapText="1"/>
    </xf>
    <xf numFmtId="0" fontId="0" fillId="0" borderId="1" xfId="0" applyFont="1" applyBorder="1" applyAlignment="1">
      <alignment wrapText="1"/>
    </xf>
    <xf numFmtId="164" fontId="44" fillId="0" borderId="1" xfId="24" applyFont="1" applyFill="1" applyBorder="1" applyAlignment="1">
      <alignment horizontal="left" vertical="center" wrapText="1" shrinkToFit="1"/>
    </xf>
    <xf numFmtId="0" fontId="6" fillId="7" borderId="1" xfId="0" applyFont="1" applyFill="1" applyBorder="1" applyAlignment="1">
      <alignment horizontal="left" vertical="center" wrapText="1" shrinkToFit="1"/>
    </xf>
    <xf numFmtId="164" fontId="14" fillId="7" borderId="1" xfId="24"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164" fontId="14" fillId="0" borderId="1" xfId="24" applyFont="1" applyFill="1" applyBorder="1" applyAlignment="1">
      <alignment horizontal="left" vertical="center" wrapText="1" shrinkToFit="1"/>
    </xf>
    <xf numFmtId="166" fontId="13" fillId="0" borderId="1" xfId="0" applyNumberFormat="1" applyFont="1" applyFill="1" applyBorder="1" applyAlignment="1">
      <alignment horizontal="left" vertical="center" wrapText="1" shrinkToFit="1"/>
    </xf>
    <xf numFmtId="0" fontId="14" fillId="0" borderId="1" xfId="0" applyFont="1" applyFill="1" applyBorder="1" applyAlignment="1">
      <alignment horizontal="left" vertical="center" wrapText="1" shrinkToFit="1"/>
    </xf>
    <xf numFmtId="165" fontId="6" fillId="0" borderId="1" xfId="4" applyFont="1" applyFill="1" applyBorder="1" applyAlignment="1">
      <alignment horizontal="center" vertical="center" wrapText="1" shrinkToFit="1"/>
    </xf>
    <xf numFmtId="0" fontId="13" fillId="0" borderId="1" xfId="0" applyFont="1" applyFill="1" applyBorder="1" applyAlignment="1">
      <alignment horizontal="left" vertical="center" wrapText="1" shrinkToFit="1"/>
    </xf>
    <xf numFmtId="164" fontId="45" fillId="0" borderId="1" xfId="24" applyFont="1" applyFill="1" applyBorder="1" applyAlignment="1">
      <alignment horizontal="left" vertical="center" wrapText="1" shrinkToFit="1"/>
    </xf>
    <xf numFmtId="164" fontId="12" fillId="0" borderId="1" xfId="0" applyNumberFormat="1" applyFont="1" applyFill="1" applyBorder="1" applyAlignment="1">
      <alignment horizontal="left" vertical="center" wrapText="1" shrinkToFit="1"/>
    </xf>
    <xf numFmtId="4" fontId="12" fillId="0" borderId="1" xfId="0" applyNumberFormat="1"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164" fontId="45" fillId="7" borderId="1" xfId="24" applyFont="1" applyFill="1" applyBorder="1" applyAlignment="1">
      <alignment horizontal="left" vertical="center" wrapText="1" shrinkToFit="1"/>
    </xf>
    <xf numFmtId="164" fontId="12" fillId="7" borderId="1" xfId="0" applyNumberFormat="1" applyFont="1" applyFill="1" applyBorder="1" applyAlignment="1">
      <alignment horizontal="left" vertical="center" wrapText="1" shrinkToFit="1"/>
    </xf>
    <xf numFmtId="4" fontId="12" fillId="7" borderId="1" xfId="0" applyNumberFormat="1"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0" fillId="0" borderId="1" xfId="0" applyFont="1" applyFill="1" applyBorder="1" applyAlignment="1">
      <alignment horizontal="left" vertical="center" shrinkToFit="1"/>
    </xf>
    <xf numFmtId="164" fontId="45" fillId="0" borderId="1" xfId="24" applyFont="1" applyFill="1" applyBorder="1" applyAlignment="1">
      <alignment horizontal="left" vertical="center" shrinkToFit="1"/>
    </xf>
    <xf numFmtId="164" fontId="44" fillId="0" borderId="1" xfId="0" applyNumberFormat="1" applyFont="1" applyFill="1" applyBorder="1" applyAlignment="1">
      <alignment horizontal="left" vertical="center" shrinkToFit="1"/>
    </xf>
    <xf numFmtId="4" fontId="44" fillId="0" borderId="1" xfId="0" applyNumberFormat="1" applyFont="1" applyFill="1" applyBorder="1" applyAlignment="1">
      <alignment horizontal="left" vertical="center" shrinkToFit="1"/>
    </xf>
    <xf numFmtId="0" fontId="44" fillId="0" borderId="1" xfId="0" applyFont="1" applyFill="1" applyBorder="1" applyAlignment="1">
      <alignment horizontal="left" vertical="center" shrinkToFit="1"/>
    </xf>
    <xf numFmtId="0" fontId="6" fillId="6" borderId="1" xfId="0" applyFont="1" applyFill="1" applyBorder="1" applyAlignment="1">
      <alignment vertical="center" shrinkToFit="1"/>
    </xf>
    <xf numFmtId="171" fontId="6" fillId="0" borderId="1" xfId="14" applyNumberFormat="1" applyFont="1" applyFill="1" applyBorder="1" applyAlignment="1">
      <alignment horizontal="left" vertical="center" wrapText="1" shrinkToFit="1"/>
    </xf>
    <xf numFmtId="164" fontId="44" fillId="0" borderId="1" xfId="0" applyNumberFormat="1" applyFont="1" applyFill="1" applyBorder="1" applyAlignment="1">
      <alignment horizontal="left" vertical="center" wrapText="1" shrinkToFit="1"/>
    </xf>
    <xf numFmtId="4" fontId="44" fillId="0" borderId="1" xfId="0" applyNumberFormat="1" applyFont="1" applyFill="1" applyBorder="1" applyAlignment="1">
      <alignment horizontal="left" vertical="center" wrapText="1" shrinkToFit="1"/>
    </xf>
    <xf numFmtId="0" fontId="44" fillId="0" borderId="1" xfId="0" applyFont="1" applyFill="1" applyBorder="1" applyAlignment="1">
      <alignment horizontal="left" vertical="center" wrapText="1" shrinkToFit="1"/>
    </xf>
    <xf numFmtId="2" fontId="0" fillId="0" borderId="1" xfId="0" applyNumberFormat="1" applyFont="1" applyFill="1" applyBorder="1" applyAlignment="1">
      <alignment horizontal="center" vertical="center" wrapText="1" shrinkToFit="1"/>
    </xf>
    <xf numFmtId="165" fontId="6" fillId="7" borderId="1" xfId="4" applyFont="1" applyFill="1" applyBorder="1" applyAlignment="1">
      <alignment horizontal="center" vertical="center" wrapText="1" shrinkToFit="1"/>
    </xf>
    <xf numFmtId="43" fontId="6" fillId="7" borderId="1" xfId="0" applyNumberFormat="1" applyFont="1" applyFill="1" applyBorder="1" applyAlignment="1">
      <alignment horizontal="left" vertical="center" wrapText="1" shrinkToFit="1"/>
    </xf>
    <xf numFmtId="0" fontId="0" fillId="0" borderId="1" xfId="9" applyFont="1" applyBorder="1" applyAlignment="1" applyProtection="1">
      <alignment horizontal="left" vertical="center" wrapText="1"/>
    </xf>
    <xf numFmtId="0" fontId="0" fillId="0" borderId="1" xfId="9" applyFont="1" applyBorder="1" applyAlignment="1">
      <alignment horizontal="left" vertical="center" wrapText="1"/>
    </xf>
    <xf numFmtId="0" fontId="0" fillId="0" borderId="1" xfId="9" applyFont="1" applyBorder="1" applyAlignment="1">
      <alignment horizontal="center" vertical="center"/>
    </xf>
    <xf numFmtId="0" fontId="0" fillId="0" borderId="1" xfId="9" applyFont="1" applyBorder="1" applyAlignment="1" applyProtection="1">
      <alignment horizontal="left" vertical="center"/>
    </xf>
    <xf numFmtId="164" fontId="0" fillId="0" borderId="1" xfId="9" applyNumberFormat="1" applyFont="1" applyBorder="1" applyAlignment="1" applyProtection="1">
      <alignment horizontal="left" vertical="center"/>
    </xf>
    <xf numFmtId="0" fontId="0" fillId="0" borderId="1" xfId="9" applyFont="1" applyBorder="1" applyAlignment="1">
      <alignment horizontal="left" vertical="center"/>
    </xf>
    <xf numFmtId="164" fontId="0" fillId="0" borderId="1" xfId="24" applyFont="1" applyFill="1" applyBorder="1" applyAlignment="1">
      <alignment horizontal="left" vertical="center" wrapText="1" shrinkToFit="1"/>
    </xf>
    <xf numFmtId="164" fontId="0" fillId="0" borderId="1" xfId="9" applyNumberFormat="1" applyFont="1" applyBorder="1" applyAlignment="1">
      <alignment horizontal="left" vertical="center"/>
    </xf>
    <xf numFmtId="0" fontId="6" fillId="0" borderId="1" xfId="0" applyFont="1" applyBorder="1" applyAlignment="1">
      <alignment horizontal="right" vertical="center"/>
    </xf>
    <xf numFmtId="0" fontId="0" fillId="0" borderId="1" xfId="0" applyFont="1" applyFill="1" applyBorder="1" applyAlignment="1">
      <alignment horizontal="left" vertical="center" wrapText="1"/>
    </xf>
    <xf numFmtId="4" fontId="0" fillId="0" borderId="1" xfId="0" applyNumberFormat="1" applyFont="1" applyFill="1" applyBorder="1" applyAlignment="1">
      <alignment horizontal="center" vertical="center" wrapText="1" shrinkToFit="1"/>
    </xf>
    <xf numFmtId="0" fontId="0" fillId="0" borderId="1" xfId="0" applyFont="1" applyFill="1" applyBorder="1" applyAlignment="1">
      <alignment horizontal="center" vertical="center" wrapText="1"/>
    </xf>
    <xf numFmtId="4" fontId="0" fillId="0" borderId="1" xfId="0" applyNumberFormat="1" applyBorder="1" applyAlignment="1">
      <alignment horizontal="center" vertical="center"/>
    </xf>
    <xf numFmtId="171" fontId="6" fillId="7" borderId="1" xfId="14" applyNumberFormat="1" applyFont="1" applyFill="1" applyBorder="1" applyAlignment="1">
      <alignment horizontal="left" vertical="center" wrapText="1" shrinkToFit="1"/>
    </xf>
    <xf numFmtId="171" fontId="6" fillId="0" borderId="1" xfId="14" applyNumberFormat="1" applyFont="1" applyBorder="1" applyAlignment="1" applyProtection="1">
      <alignment horizontal="left" vertical="center"/>
    </xf>
    <xf numFmtId="171" fontId="6" fillId="0" borderId="1" xfId="14" applyNumberFormat="1" applyFont="1" applyBorder="1" applyAlignment="1">
      <alignment horizontal="left" vertical="center"/>
    </xf>
    <xf numFmtId="0" fontId="19" fillId="0" borderId="0" xfId="9" applyFont="1" applyFill="1" applyBorder="1" applyAlignment="1" applyProtection="1">
      <alignment horizontal="left" vertical="center"/>
    </xf>
    <xf numFmtId="0" fontId="19" fillId="0" borderId="0" xfId="9" applyFont="1" applyFill="1" applyBorder="1" applyAlignment="1">
      <alignment horizontal="left" vertical="center"/>
    </xf>
    <xf numFmtId="0" fontId="19" fillId="0" borderId="0" xfId="9" applyFont="1" applyFill="1" applyBorder="1" applyAlignment="1" applyProtection="1">
      <alignment horizontal="center" vertical="center"/>
    </xf>
    <xf numFmtId="0" fontId="19" fillId="0" borderId="0" xfId="9" applyFont="1" applyFill="1" applyBorder="1" applyAlignment="1">
      <alignment horizontal="center" vertical="center"/>
    </xf>
    <xf numFmtId="0" fontId="19" fillId="0" borderId="0" xfId="9" applyFont="1" applyFill="1" applyBorder="1" applyAlignment="1" applyProtection="1">
      <alignment horizontal="center" vertical="center" wrapText="1"/>
      <protection hidden="1"/>
    </xf>
    <xf numFmtId="0" fontId="19" fillId="0" borderId="1" xfId="9" applyFont="1" applyFill="1" applyBorder="1" applyAlignment="1" applyProtection="1">
      <alignment horizontal="center" vertical="center"/>
    </xf>
    <xf numFmtId="10" fontId="19" fillId="0" borderId="1" xfId="18" applyNumberFormat="1" applyFont="1" applyFill="1" applyBorder="1" applyAlignment="1" applyProtection="1">
      <alignment horizontal="center" vertical="center"/>
      <protection hidden="1"/>
    </xf>
    <xf numFmtId="43" fontId="19" fillId="0" borderId="0" xfId="9" applyNumberFormat="1" applyFont="1" applyFill="1" applyBorder="1" applyAlignment="1">
      <alignment horizontal="center" vertical="center"/>
    </xf>
    <xf numFmtId="0" fontId="4" fillId="0" borderId="0" xfId="9" applyFont="1" applyFill="1" applyBorder="1" applyAlignment="1">
      <alignment horizontal="center" vertical="center"/>
    </xf>
    <xf numFmtId="43" fontId="19" fillId="0" borderId="0" xfId="9" applyNumberFormat="1" applyFont="1" applyFill="1" applyBorder="1" applyAlignment="1">
      <alignment horizontal="left" vertical="center"/>
    </xf>
    <xf numFmtId="165" fontId="19" fillId="0" borderId="1" xfId="4" applyFont="1" applyFill="1" applyBorder="1" applyAlignment="1" applyProtection="1">
      <alignment horizontal="center" vertical="center"/>
      <protection locked="0" hidden="1"/>
    </xf>
    <xf numFmtId="165" fontId="19" fillId="0" borderId="1" xfId="4" applyFont="1" applyFill="1" applyBorder="1" applyAlignment="1" applyProtection="1">
      <alignment horizontal="center" vertical="center"/>
      <protection locked="0"/>
    </xf>
    <xf numFmtId="165" fontId="4" fillId="0" borderId="1" xfId="4" applyFont="1" applyFill="1" applyBorder="1" applyAlignment="1" applyProtection="1">
      <alignment horizontal="center" vertical="center"/>
      <protection hidden="1"/>
    </xf>
    <xf numFmtId="0" fontId="0" fillId="0" borderId="1" xfId="9" applyFont="1" applyBorder="1" applyAlignment="1" applyProtection="1">
      <alignment vertical="center"/>
    </xf>
    <xf numFmtId="10" fontId="4" fillId="0" borderId="1" xfId="14" applyNumberFormat="1" applyFont="1" applyFill="1" applyBorder="1" applyAlignment="1" applyProtection="1">
      <alignment horizontal="center" vertical="center"/>
      <protection locked="0" hidden="1"/>
    </xf>
    <xf numFmtId="10" fontId="4" fillId="0" borderId="1" xfId="14" applyNumberFormat="1" applyFont="1" applyFill="1" applyBorder="1" applyAlignment="1" applyProtection="1">
      <alignment horizontal="center" vertical="center"/>
      <protection hidden="1"/>
    </xf>
    <xf numFmtId="0" fontId="19" fillId="0" borderId="26" xfId="9" applyFont="1" applyFill="1" applyBorder="1" applyAlignment="1" applyProtection="1">
      <alignment vertical="center"/>
    </xf>
    <xf numFmtId="0" fontId="19" fillId="0" borderId="7" xfId="9" applyFont="1" applyFill="1" applyBorder="1" applyAlignment="1" applyProtection="1">
      <alignment vertical="center"/>
    </xf>
    <xf numFmtId="0" fontId="19" fillId="0" borderId="2" xfId="9" applyFont="1" applyFill="1" applyBorder="1" applyAlignment="1" applyProtection="1">
      <alignment vertical="center"/>
    </xf>
    <xf numFmtId="0" fontId="19" fillId="0" borderId="3" xfId="9" applyFont="1" applyFill="1" applyBorder="1" applyAlignment="1" applyProtection="1">
      <alignment vertical="center"/>
    </xf>
    <xf numFmtId="49" fontId="30" fillId="3" borderId="33" xfId="7"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4" fontId="6" fillId="0" borderId="1" xfId="0" applyNumberFormat="1" applyFont="1" applyFill="1" applyBorder="1" applyAlignment="1">
      <alignment horizontal="center" vertical="center" wrapText="1" shrinkToFit="1"/>
    </xf>
    <xf numFmtId="0" fontId="6" fillId="0" borderId="16"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9" xfId="0" applyFont="1" applyFill="1" applyBorder="1" applyAlignment="1">
      <alignment horizontal="left" vertical="center" wrapText="1" shrinkToFit="1"/>
    </xf>
    <xf numFmtId="0" fontId="6" fillId="7" borderId="1" xfId="0" applyFont="1" applyFill="1" applyBorder="1" applyAlignment="1">
      <alignment horizontal="left" vertical="center" wrapText="1" shrinkToFit="1"/>
    </xf>
    <xf numFmtId="0" fontId="6" fillId="6" borderId="1" xfId="0" applyFont="1" applyFill="1" applyBorder="1" applyAlignment="1">
      <alignment horizontal="center" vertical="center" wrapText="1" shrinkToFit="1"/>
    </xf>
    <xf numFmtId="0" fontId="6" fillId="7" borderId="1" xfId="0" applyFont="1" applyFill="1" applyBorder="1" applyAlignment="1">
      <alignment horizontal="right" vertical="center" wrapText="1" shrinkToFit="1"/>
    </xf>
    <xf numFmtId="0" fontId="6" fillId="0" borderId="1" xfId="0" applyFont="1" applyFill="1" applyBorder="1" applyAlignment="1">
      <alignment horizontal="right" vertical="center" wrapText="1" shrinkToFit="1"/>
    </xf>
    <xf numFmtId="0" fontId="6" fillId="0" borderId="1" xfId="0" applyFont="1" applyFill="1" applyBorder="1" applyAlignment="1">
      <alignment horizontal="center" vertical="center" wrapText="1" shrinkToFit="1"/>
    </xf>
    <xf numFmtId="0" fontId="0" fillId="0" borderId="1" xfId="9" applyFont="1" applyBorder="1" applyAlignment="1">
      <alignment horizontal="left" vertical="center"/>
    </xf>
    <xf numFmtId="0" fontId="0" fillId="0" borderId="1"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0" fillId="0" borderId="1" xfId="9" applyFont="1" applyBorder="1" applyAlignment="1" applyProtection="1">
      <alignment horizontal="left" vertical="center"/>
    </xf>
    <xf numFmtId="4" fontId="6" fillId="0" borderId="1" xfId="0" applyNumberFormat="1" applyFont="1" applyFill="1" applyBorder="1" applyAlignment="1">
      <alignment horizontal="center" vertical="center" wrapText="1" shrinkToFit="1"/>
    </xf>
    <xf numFmtId="0" fontId="6" fillId="0" borderId="1" xfId="0" applyFont="1" applyBorder="1" applyAlignment="1">
      <alignment horizontal="right" vertical="center"/>
    </xf>
    <xf numFmtId="0" fontId="6" fillId="7"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6" fillId="0" borderId="1" xfId="0" applyFont="1" applyFill="1" applyBorder="1" applyAlignment="1">
      <alignment horizontal="right" vertical="center"/>
    </xf>
    <xf numFmtId="0" fontId="0" fillId="0" borderId="1" xfId="0" applyFont="1" applyFill="1" applyBorder="1" applyAlignment="1">
      <alignment horizontal="center" vertical="center" wrapText="1"/>
    </xf>
    <xf numFmtId="4" fontId="0" fillId="0" borderId="1" xfId="0" applyNumberFormat="1" applyBorder="1" applyAlignment="1">
      <alignment horizontal="center" vertical="center"/>
    </xf>
    <xf numFmtId="0" fontId="6" fillId="7" borderId="16" xfId="0" applyFont="1" applyFill="1" applyBorder="1" applyAlignment="1">
      <alignment horizontal="left" vertical="center" wrapText="1"/>
    </xf>
    <xf numFmtId="0" fontId="6" fillId="7" borderId="27" xfId="0" applyFont="1" applyFill="1" applyBorder="1" applyAlignment="1">
      <alignment horizontal="left" vertical="center" wrapText="1"/>
    </xf>
    <xf numFmtId="0" fontId="6" fillId="7" borderId="9" xfId="0" applyFont="1" applyFill="1" applyBorder="1" applyAlignment="1">
      <alignment horizontal="left" vertical="center" wrapText="1"/>
    </xf>
    <xf numFmtId="0" fontId="4" fillId="0" borderId="1"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47" fillId="0" borderId="1" xfId="0" applyFont="1" applyFill="1" applyBorder="1" applyAlignment="1">
      <alignment horizontal="left" vertical="center"/>
    </xf>
    <xf numFmtId="0" fontId="46" fillId="0" borderId="1" xfId="0" applyFont="1" applyFill="1" applyBorder="1" applyAlignment="1">
      <alignment horizontal="left" vertical="center"/>
    </xf>
    <xf numFmtId="0" fontId="30" fillId="3" borderId="40" xfId="7" applyFont="1" applyFill="1" applyBorder="1" applyAlignment="1">
      <alignment horizontal="right"/>
    </xf>
    <xf numFmtId="0" fontId="30" fillId="3" borderId="41" xfId="7" applyFont="1" applyFill="1" applyBorder="1" applyAlignment="1">
      <alignment horizontal="right"/>
    </xf>
    <xf numFmtId="49" fontId="38" fillId="3" borderId="16" xfId="7" applyNumberFormat="1" applyFont="1" applyFill="1" applyBorder="1" applyAlignment="1">
      <alignment horizontal="center" vertical="top" wrapText="1"/>
    </xf>
    <xf numFmtId="49" fontId="38" fillId="3" borderId="27" xfId="7" applyNumberFormat="1" applyFont="1" applyFill="1" applyBorder="1" applyAlignment="1">
      <alignment horizontal="center" vertical="top" wrapText="1"/>
    </xf>
    <xf numFmtId="49" fontId="38" fillId="3" borderId="9" xfId="7" applyNumberFormat="1" applyFont="1" applyFill="1" applyBorder="1" applyAlignment="1">
      <alignment horizontal="center" vertical="top" wrapText="1"/>
    </xf>
    <xf numFmtId="1" fontId="2" fillId="3" borderId="15" xfId="7" applyNumberFormat="1" applyFont="1" applyFill="1" applyBorder="1" applyAlignment="1">
      <alignment horizontal="center"/>
    </xf>
    <xf numFmtId="1" fontId="2" fillId="3" borderId="27" xfId="7" applyNumberFormat="1" applyFont="1" applyFill="1" applyBorder="1" applyAlignment="1">
      <alignment horizontal="center"/>
    </xf>
    <xf numFmtId="1" fontId="2" fillId="3" borderId="39" xfId="7" applyNumberFormat="1" applyFont="1" applyFill="1" applyBorder="1" applyAlignment="1">
      <alignment horizontal="center"/>
    </xf>
    <xf numFmtId="0" fontId="30" fillId="3" borderId="15" xfId="7" applyFont="1" applyFill="1" applyBorder="1" applyAlignment="1">
      <alignment horizontal="center"/>
    </xf>
    <xf numFmtId="0" fontId="30" fillId="3" borderId="27" xfId="7" applyFont="1" applyFill="1" applyBorder="1" applyAlignment="1">
      <alignment horizontal="center"/>
    </xf>
    <xf numFmtId="0" fontId="30" fillId="3" borderId="39" xfId="7" applyFont="1" applyFill="1" applyBorder="1" applyAlignment="1">
      <alignment horizontal="center"/>
    </xf>
    <xf numFmtId="0" fontId="2" fillId="3" borderId="34" xfId="7" applyFont="1" applyFill="1" applyBorder="1" applyAlignment="1">
      <alignment horizontal="right"/>
    </xf>
    <xf numFmtId="0" fontId="2" fillId="3" borderId="4" xfId="7" applyFont="1" applyFill="1" applyBorder="1" applyAlignment="1">
      <alignment horizontal="right"/>
    </xf>
    <xf numFmtId="0" fontId="2" fillId="3" borderId="7" xfId="7" applyFont="1" applyFill="1" applyBorder="1" applyAlignment="1">
      <alignment horizontal="right"/>
    </xf>
    <xf numFmtId="0" fontId="2" fillId="3" borderId="20" xfId="7" applyFont="1" applyFill="1" applyBorder="1" applyAlignment="1">
      <alignment horizontal="right"/>
    </xf>
    <xf numFmtId="0" fontId="2" fillId="3" borderId="0" xfId="7" applyFont="1" applyFill="1" applyBorder="1" applyAlignment="1">
      <alignment horizontal="right"/>
    </xf>
    <xf numFmtId="0" fontId="2" fillId="3" borderId="3" xfId="7" applyFont="1" applyFill="1" applyBorder="1" applyAlignment="1">
      <alignment horizontal="right"/>
    </xf>
    <xf numFmtId="0" fontId="2" fillId="3" borderId="1" xfId="7" applyFont="1" applyFill="1" applyBorder="1" applyAlignment="1">
      <alignment horizontal="center"/>
    </xf>
    <xf numFmtId="49" fontId="38" fillId="3" borderId="16" xfId="7" applyNumberFormat="1" applyFont="1" applyFill="1" applyBorder="1" applyAlignment="1">
      <alignment horizontal="left" vertical="center" wrapText="1"/>
    </xf>
    <xf numFmtId="49" fontId="38" fillId="3" borderId="27" xfId="7" applyNumberFormat="1" applyFont="1" applyFill="1" applyBorder="1" applyAlignment="1">
      <alignment horizontal="left" vertical="center" wrapText="1"/>
    </xf>
    <xf numFmtId="49" fontId="38" fillId="3" borderId="9" xfId="7" applyNumberFormat="1" applyFont="1" applyFill="1" applyBorder="1" applyAlignment="1">
      <alignment horizontal="left" vertical="center" wrapText="1"/>
    </xf>
    <xf numFmtId="170" fontId="31" fillId="3" borderId="16" xfId="7" applyNumberFormat="1" applyFont="1" applyFill="1" applyBorder="1" applyAlignment="1">
      <alignment horizontal="left" vertical="top" wrapText="1"/>
    </xf>
    <xf numFmtId="170" fontId="31" fillId="3" borderId="27" xfId="7" applyNumberFormat="1" applyFont="1" applyFill="1" applyBorder="1" applyAlignment="1">
      <alignment horizontal="left" vertical="top" wrapText="1"/>
    </xf>
    <xf numFmtId="170" fontId="31" fillId="3" borderId="9" xfId="7" applyNumberFormat="1" applyFont="1" applyFill="1" applyBorder="1" applyAlignment="1">
      <alignment horizontal="left" vertical="top" wrapText="1"/>
    </xf>
    <xf numFmtId="0" fontId="2" fillId="3" borderId="15" xfId="7" applyFont="1" applyFill="1" applyBorder="1" applyAlignment="1">
      <alignment horizontal="right"/>
    </xf>
    <xf numFmtId="0" fontId="2" fillId="3" borderId="27" xfId="7" applyFont="1" applyFill="1" applyBorder="1" applyAlignment="1">
      <alignment horizontal="right"/>
    </xf>
    <xf numFmtId="0" fontId="2" fillId="3" borderId="9" xfId="7" applyFont="1" applyFill="1" applyBorder="1" applyAlignment="1">
      <alignment horizontal="right"/>
    </xf>
    <xf numFmtId="49" fontId="38" fillId="3" borderId="16" xfId="7" applyNumberFormat="1" applyFont="1" applyFill="1" applyBorder="1" applyAlignment="1">
      <alignment horizontal="left" vertical="top" wrapText="1"/>
    </xf>
    <xf numFmtId="49" fontId="38" fillId="3" borderId="27" xfId="7" applyNumberFormat="1" applyFont="1" applyFill="1" applyBorder="1" applyAlignment="1">
      <alignment horizontal="left" vertical="top" wrapText="1"/>
    </xf>
    <xf numFmtId="49" fontId="38" fillId="3" borderId="9" xfId="7" applyNumberFormat="1" applyFont="1" applyFill="1" applyBorder="1" applyAlignment="1">
      <alignment horizontal="left" vertical="top" wrapText="1"/>
    </xf>
    <xf numFmtId="0" fontId="30" fillId="3" borderId="17" xfId="7" applyFont="1" applyFill="1" applyBorder="1" applyAlignment="1">
      <alignment horizontal="center" vertical="center" wrapText="1"/>
    </xf>
    <xf numFmtId="0" fontId="30" fillId="3" borderId="18" xfId="7" applyFont="1" applyFill="1" applyBorder="1" applyAlignment="1">
      <alignment horizontal="center" vertical="center" wrapText="1"/>
    </xf>
    <xf numFmtId="0" fontId="30" fillId="3" borderId="54" xfId="7" applyFont="1" applyFill="1" applyBorder="1" applyAlignment="1">
      <alignment horizontal="center" vertical="center" wrapText="1"/>
    </xf>
    <xf numFmtId="0" fontId="30" fillId="3" borderId="20" xfId="7" applyFont="1" applyFill="1" applyBorder="1" applyAlignment="1">
      <alignment horizontal="center" vertical="center" wrapText="1"/>
    </xf>
    <xf numFmtId="0" fontId="30" fillId="3" borderId="0" xfId="7" applyFont="1" applyFill="1" applyBorder="1" applyAlignment="1">
      <alignment horizontal="center" vertical="center" wrapText="1"/>
    </xf>
    <xf numFmtId="0" fontId="30" fillId="3" borderId="3" xfId="7" applyFont="1" applyFill="1" applyBorder="1" applyAlignment="1">
      <alignment horizontal="center" vertical="center" wrapText="1"/>
    </xf>
    <xf numFmtId="0" fontId="30" fillId="3" borderId="36" xfId="7" applyFont="1" applyFill="1" applyBorder="1" applyAlignment="1">
      <alignment horizontal="center" vertical="center" wrapText="1"/>
    </xf>
    <xf numFmtId="0" fontId="30" fillId="3" borderId="5" xfId="7" applyFont="1" applyFill="1" applyBorder="1" applyAlignment="1">
      <alignment horizontal="center" vertical="center" wrapText="1"/>
    </xf>
    <xf numFmtId="0" fontId="30" fillId="3" borderId="6" xfId="7" applyFont="1" applyFill="1" applyBorder="1" applyAlignment="1">
      <alignment horizontal="center" vertical="center" wrapText="1"/>
    </xf>
    <xf numFmtId="0" fontId="30" fillId="3" borderId="30" xfId="7" applyFont="1" applyFill="1" applyBorder="1" applyAlignment="1">
      <alignment horizontal="center" vertical="center" wrapText="1"/>
    </xf>
    <xf numFmtId="0" fontId="30" fillId="3" borderId="12" xfId="7" applyFont="1" applyFill="1" applyBorder="1" applyAlignment="1">
      <alignment horizontal="center" vertical="center" wrapText="1"/>
    </xf>
    <xf numFmtId="0" fontId="2" fillId="3" borderId="0" xfId="7" applyFont="1" applyFill="1" applyBorder="1" applyAlignment="1">
      <alignment horizontal="left" vertical="top" wrapText="1"/>
    </xf>
    <xf numFmtId="0" fontId="2" fillId="3" borderId="21" xfId="7" applyFont="1" applyFill="1" applyBorder="1" applyAlignment="1">
      <alignment horizontal="left" vertical="top" wrapText="1"/>
    </xf>
    <xf numFmtId="0" fontId="2" fillId="3" borderId="0" xfId="7" applyFont="1" applyFill="1" applyBorder="1" applyAlignment="1">
      <alignment horizontal="left" vertical="top"/>
    </xf>
    <xf numFmtId="0" fontId="2" fillId="3" borderId="21" xfId="7" applyFont="1" applyFill="1" applyBorder="1" applyAlignment="1">
      <alignment horizontal="left" vertical="top"/>
    </xf>
    <xf numFmtId="1" fontId="41" fillId="3" borderId="27" xfId="7" applyNumberFormat="1" applyFont="1" applyFill="1" applyBorder="1" applyAlignment="1">
      <alignment horizontal="left" vertical="center" wrapText="1"/>
    </xf>
    <xf numFmtId="1" fontId="38" fillId="3" borderId="27" xfId="7" applyNumberFormat="1" applyFont="1" applyFill="1" applyBorder="1" applyAlignment="1">
      <alignment horizontal="left" vertical="center" wrapText="1"/>
    </xf>
    <xf numFmtId="1" fontId="38" fillId="3" borderId="9" xfId="7" applyNumberFormat="1" applyFont="1" applyFill="1" applyBorder="1" applyAlignment="1">
      <alignment horizontal="left" vertical="center" wrapText="1"/>
    </xf>
    <xf numFmtId="170" fontId="31" fillId="3" borderId="16" xfId="7" applyNumberFormat="1" applyFont="1" applyFill="1" applyBorder="1" applyAlignment="1">
      <alignment horizontal="left" vertical="center" wrapText="1"/>
    </xf>
    <xf numFmtId="170" fontId="31" fillId="3" borderId="27" xfId="7" applyNumberFormat="1" applyFont="1" applyFill="1" applyBorder="1" applyAlignment="1">
      <alignment horizontal="left" vertical="center" wrapText="1"/>
    </xf>
    <xf numFmtId="170" fontId="31" fillId="3" borderId="9" xfId="7" applyNumberFormat="1" applyFont="1" applyFill="1" applyBorder="1" applyAlignment="1">
      <alignment horizontal="left" vertical="center" wrapText="1"/>
    </xf>
    <xf numFmtId="1" fontId="41" fillId="3" borderId="1" xfId="7" applyNumberFormat="1" applyFont="1" applyFill="1" applyBorder="1" applyAlignment="1">
      <alignment horizontal="left" vertical="center" wrapText="1"/>
    </xf>
    <xf numFmtId="1" fontId="38" fillId="3" borderId="1" xfId="7" applyNumberFormat="1" applyFont="1" applyFill="1" applyBorder="1" applyAlignment="1">
      <alignment horizontal="left" vertical="center" wrapText="1"/>
    </xf>
    <xf numFmtId="0" fontId="4" fillId="0" borderId="16" xfId="9" applyFont="1" applyFill="1" applyBorder="1" applyAlignment="1" applyProtection="1">
      <alignment horizontal="center" vertical="center"/>
    </xf>
    <xf numFmtId="0" fontId="4" fillId="0" borderId="27" xfId="9" applyFont="1" applyFill="1" applyBorder="1" applyAlignment="1" applyProtection="1">
      <alignment horizontal="center" vertical="center"/>
    </xf>
    <xf numFmtId="0" fontId="4" fillId="0" borderId="9" xfId="9" applyFont="1" applyFill="1" applyBorder="1" applyAlignment="1" applyProtection="1">
      <alignment horizontal="center" vertical="center"/>
    </xf>
    <xf numFmtId="0" fontId="4" fillId="0" borderId="16" xfId="9" applyFont="1" applyFill="1" applyBorder="1" applyAlignment="1" applyProtection="1">
      <alignment horizontal="left" vertical="center"/>
      <protection locked="0"/>
    </xf>
    <xf numFmtId="0" fontId="4" fillId="0" borderId="27" xfId="9" applyFont="1" applyFill="1" applyBorder="1" applyAlignment="1" applyProtection="1">
      <alignment horizontal="left" vertical="center"/>
      <protection locked="0"/>
    </xf>
    <xf numFmtId="0" fontId="4" fillId="0" borderId="9" xfId="9" applyFont="1" applyFill="1" applyBorder="1" applyAlignment="1" applyProtection="1">
      <alignment horizontal="left" vertical="center"/>
      <protection locked="0"/>
    </xf>
    <xf numFmtId="0" fontId="4" fillId="7" borderId="13" xfId="9" applyFont="1" applyFill="1" applyBorder="1" applyAlignment="1" applyProtection="1">
      <alignment horizontal="center" vertical="center"/>
    </xf>
    <xf numFmtId="0" fontId="4" fillId="7" borderId="10" xfId="9" applyFont="1" applyFill="1" applyBorder="1" applyAlignment="1" applyProtection="1">
      <alignment horizontal="center" vertical="center"/>
    </xf>
    <xf numFmtId="0" fontId="4" fillId="7" borderId="8" xfId="9" applyFont="1" applyFill="1" applyBorder="1" applyAlignment="1" applyProtection="1">
      <alignment horizontal="center" vertical="center"/>
    </xf>
    <xf numFmtId="0" fontId="4" fillId="7" borderId="1" xfId="9" applyFont="1" applyFill="1" applyBorder="1" applyAlignment="1" applyProtection="1">
      <alignment horizontal="center" vertical="center" wrapText="1"/>
    </xf>
    <xf numFmtId="0" fontId="4" fillId="7" borderId="1" xfId="9" applyFont="1" applyFill="1" applyBorder="1" applyAlignment="1">
      <alignment horizontal="center" vertical="center" wrapText="1"/>
    </xf>
    <xf numFmtId="0" fontId="4" fillId="0" borderId="1" xfId="9" applyFont="1" applyFill="1" applyBorder="1" applyAlignment="1" applyProtection="1">
      <alignment horizontal="right" vertical="center"/>
      <protection hidden="1"/>
    </xf>
    <xf numFmtId="0" fontId="4" fillId="0" borderId="1" xfId="9" applyFont="1" applyFill="1" applyBorder="1" applyAlignment="1" applyProtection="1">
      <alignment horizontal="right" vertical="center"/>
    </xf>
    <xf numFmtId="4" fontId="19" fillId="0" borderId="1" xfId="9" applyNumberFormat="1" applyFont="1" applyFill="1" applyBorder="1" applyAlignment="1">
      <alignment horizontal="left" vertical="center" wrapText="1"/>
    </xf>
    <xf numFmtId="0" fontId="19" fillId="0" borderId="1" xfId="9" applyFont="1" applyFill="1" applyBorder="1" applyAlignment="1">
      <alignment horizontal="left" vertical="center" wrapText="1"/>
    </xf>
    <xf numFmtId="0" fontId="26" fillId="2" borderId="23" xfId="11" applyFont="1" applyFill="1" applyBorder="1" applyAlignment="1">
      <alignment horizontal="left" vertical="top" wrapText="1"/>
    </xf>
    <xf numFmtId="0" fontId="26" fillId="2" borderId="24" xfId="11" applyFont="1" applyFill="1" applyBorder="1" applyAlignment="1">
      <alignment horizontal="left" vertical="top" wrapText="1"/>
    </xf>
    <xf numFmtId="0" fontId="26" fillId="2" borderId="0" xfId="11" applyFont="1" applyFill="1" applyBorder="1" applyAlignment="1">
      <alignment horizontal="center" vertical="top" wrapText="1"/>
    </xf>
    <xf numFmtId="0" fontId="29" fillId="2" borderId="0" xfId="11" applyFont="1" applyFill="1" applyBorder="1" applyAlignment="1">
      <alignment horizontal="left" vertical="top" wrapText="1"/>
    </xf>
    <xf numFmtId="0" fontId="26" fillId="2" borderId="0" xfId="11" applyFont="1" applyFill="1" applyBorder="1" applyAlignment="1">
      <alignment horizontal="left" vertical="top" wrapText="1"/>
    </xf>
    <xf numFmtId="0" fontId="26" fillId="2" borderId="21" xfId="11" applyFont="1" applyFill="1" applyBorder="1" applyAlignment="1">
      <alignment horizontal="left" vertical="top" wrapText="1"/>
    </xf>
    <xf numFmtId="0" fontId="26" fillId="2" borderId="0" xfId="11" applyFont="1" applyFill="1" applyBorder="1" applyAlignment="1">
      <alignment horizontal="center" vertical="center" wrapText="1"/>
    </xf>
    <xf numFmtId="2" fontId="18" fillId="2" borderId="20" xfId="12" applyFont="1" applyFill="1" applyBorder="1" applyAlignment="1">
      <alignment horizontal="center" vertical="center" wrapText="1"/>
    </xf>
    <xf numFmtId="2" fontId="18" fillId="2" borderId="0" xfId="12" applyFont="1" applyFill="1" applyBorder="1" applyAlignment="1">
      <alignment horizontal="center" vertical="center" wrapText="1"/>
    </xf>
    <xf numFmtId="2" fontId="18" fillId="2" borderId="21" xfId="12" applyFont="1" applyFill="1" applyBorder="1" applyAlignment="1">
      <alignment horizontal="center" vertical="center" wrapText="1"/>
    </xf>
    <xf numFmtId="0" fontId="23" fillId="2" borderId="16" xfId="13" applyFont="1" applyFill="1" applyBorder="1" applyAlignment="1">
      <alignment horizontal="right"/>
    </xf>
    <xf numFmtId="0" fontId="23" fillId="2" borderId="9" xfId="13" applyFont="1" applyFill="1" applyBorder="1" applyAlignment="1">
      <alignment horizontal="right"/>
    </xf>
    <xf numFmtId="0" fontId="25" fillId="2" borderId="16" xfId="13" applyFont="1" applyFill="1" applyBorder="1" applyAlignment="1">
      <alignment horizontal="left"/>
    </xf>
    <xf numFmtId="0" fontId="25" fillId="2" borderId="9" xfId="13" applyFont="1" applyFill="1" applyBorder="1" applyAlignment="1">
      <alignment horizontal="left"/>
    </xf>
    <xf numFmtId="2" fontId="19" fillId="2" borderId="20" xfId="12" applyFont="1" applyFill="1" applyBorder="1" applyAlignment="1">
      <alignment horizontal="center" wrapText="1"/>
    </xf>
    <xf numFmtId="2" fontId="19" fillId="2" borderId="0" xfId="12" applyFont="1" applyFill="1" applyBorder="1" applyAlignment="1">
      <alignment horizontal="center" wrapText="1"/>
    </xf>
    <xf numFmtId="2" fontId="19" fillId="2" borderId="21" xfId="12" applyFont="1" applyFill="1" applyBorder="1" applyAlignment="1">
      <alignment horizontal="center" wrapText="1"/>
    </xf>
    <xf numFmtId="2" fontId="19" fillId="2" borderId="20" xfId="12" applyFont="1" applyFill="1" applyBorder="1" applyAlignment="1">
      <alignment horizontal="center" vertical="center"/>
    </xf>
    <xf numFmtId="2" fontId="19" fillId="2" borderId="0" xfId="12" applyFont="1" applyFill="1" applyBorder="1" applyAlignment="1">
      <alignment horizontal="center" vertical="center"/>
    </xf>
    <xf numFmtId="2" fontId="19" fillId="2" borderId="21" xfId="12" applyFont="1" applyFill="1" applyBorder="1" applyAlignment="1">
      <alignment horizontal="center" vertical="center"/>
    </xf>
    <xf numFmtId="0" fontId="42" fillId="2" borderId="20" xfId="3" applyFont="1" applyFill="1" applyBorder="1" applyAlignment="1">
      <alignment horizontal="center"/>
    </xf>
    <xf numFmtId="0" fontId="42" fillId="2" borderId="0" xfId="3" applyFont="1" applyFill="1" applyBorder="1" applyAlignment="1">
      <alignment horizontal="center"/>
    </xf>
    <xf numFmtId="0" fontId="42" fillId="2" borderId="21" xfId="3" applyFont="1" applyFill="1" applyBorder="1" applyAlignment="1">
      <alignment horizontal="center"/>
    </xf>
    <xf numFmtId="49" fontId="26" fillId="2" borderId="0" xfId="12" applyNumberFormat="1" applyFont="1" applyFill="1" applyBorder="1" applyAlignment="1">
      <alignment horizontal="center" vertical="top" wrapText="1"/>
    </xf>
    <xf numFmtId="49" fontId="26" fillId="2" borderId="0" xfId="12" applyNumberFormat="1" applyFont="1" applyFill="1" applyBorder="1" applyAlignment="1">
      <alignment horizontal="center" wrapText="1"/>
    </xf>
    <xf numFmtId="0" fontId="23" fillId="2" borderId="16" xfId="13" applyFont="1" applyFill="1" applyBorder="1" applyAlignment="1">
      <alignment horizontal="center"/>
    </xf>
    <xf numFmtId="0" fontId="23" fillId="2" borderId="9" xfId="13" applyFont="1" applyFill="1" applyBorder="1" applyAlignment="1">
      <alignment horizontal="center"/>
    </xf>
    <xf numFmtId="0" fontId="3" fillId="0" borderId="0" xfId="9" applyFont="1" applyBorder="1" applyAlignment="1">
      <alignment horizontal="center"/>
    </xf>
    <xf numFmtId="0" fontId="6" fillId="4" borderId="34" xfId="9" applyFont="1" applyFill="1" applyBorder="1" applyAlignment="1">
      <alignment horizontal="center" vertical="center" wrapText="1"/>
    </xf>
    <xf numFmtId="0" fontId="6" fillId="4" borderId="4" xfId="9" applyFont="1" applyFill="1" applyBorder="1" applyAlignment="1">
      <alignment horizontal="center" vertical="center" wrapText="1"/>
    </xf>
    <xf numFmtId="0" fontId="6" fillId="4" borderId="7" xfId="9" applyFont="1" applyFill="1" applyBorder="1" applyAlignment="1">
      <alignment horizontal="center" vertical="center" wrapText="1"/>
    </xf>
    <xf numFmtId="0" fontId="6" fillId="4" borderId="22" xfId="9" applyFont="1" applyFill="1" applyBorder="1" applyAlignment="1">
      <alignment horizontal="center" vertical="center" wrapText="1"/>
    </xf>
    <xf numFmtId="0" fontId="6" fillId="4" borderId="23" xfId="9" applyFont="1" applyFill="1" applyBorder="1" applyAlignment="1">
      <alignment horizontal="center" vertical="center" wrapText="1"/>
    </xf>
    <xf numFmtId="0" fontId="6" fillId="4" borderId="45" xfId="9" applyFont="1" applyFill="1" applyBorder="1" applyAlignment="1">
      <alignment horizontal="center" vertical="center" wrapText="1"/>
    </xf>
    <xf numFmtId="0" fontId="16" fillId="0" borderId="7" xfId="0" applyFont="1" applyFill="1" applyBorder="1" applyAlignment="1">
      <alignment horizontal="left" vertical="center" wrapText="1" shrinkToFit="1"/>
    </xf>
    <xf numFmtId="0" fontId="16" fillId="0" borderId="13" xfId="0" applyFont="1" applyFill="1" applyBorder="1" applyAlignment="1">
      <alignment horizontal="left" vertical="center" wrapText="1" shrinkToFit="1"/>
    </xf>
    <xf numFmtId="0" fontId="6" fillId="7" borderId="16" xfId="9" applyFont="1" applyFill="1" applyBorder="1" applyAlignment="1">
      <alignment horizontal="left" vertical="center" wrapText="1"/>
    </xf>
    <xf numFmtId="0" fontId="6" fillId="7" borderId="27" xfId="9" applyFont="1" applyFill="1" applyBorder="1" applyAlignment="1">
      <alignment horizontal="left" vertical="center" wrapText="1"/>
    </xf>
    <xf numFmtId="0" fontId="6" fillId="7" borderId="39" xfId="9" applyFont="1" applyFill="1" applyBorder="1" applyAlignment="1">
      <alignment horizontal="left" vertical="center" wrapText="1"/>
    </xf>
    <xf numFmtId="0" fontId="3" fillId="3" borderId="50" xfId="9" applyFont="1" applyFill="1" applyBorder="1" applyAlignment="1">
      <alignment horizontal="center" vertical="center"/>
    </xf>
    <xf numFmtId="0" fontId="3" fillId="3" borderId="42" xfId="9" applyFont="1" applyFill="1" applyBorder="1" applyAlignment="1">
      <alignment horizontal="center" vertical="center"/>
    </xf>
    <xf numFmtId="0" fontId="3" fillId="3" borderId="43" xfId="9" applyFont="1" applyFill="1" applyBorder="1" applyAlignment="1">
      <alignment horizontal="center" vertical="center"/>
    </xf>
    <xf numFmtId="0" fontId="0" fillId="0" borderId="13"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6" fillId="4" borderId="51" xfId="9" applyFont="1" applyFill="1" applyBorder="1" applyAlignment="1">
      <alignment horizontal="center" vertical="center"/>
    </xf>
    <xf numFmtId="0" fontId="6" fillId="4" borderId="52" xfId="9" applyFont="1" applyFill="1" applyBorder="1" applyAlignment="1">
      <alignment horizontal="center" vertical="center"/>
    </xf>
    <xf numFmtId="43" fontId="37" fillId="0" borderId="13" xfId="23" applyNumberFormat="1" applyFont="1" applyFill="1" applyBorder="1" applyAlignment="1">
      <alignment horizontal="center" vertical="center"/>
    </xf>
    <xf numFmtId="0" fontId="37" fillId="0" borderId="8" xfId="23"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8" xfId="0" applyFont="1" applyBorder="1" applyAlignment="1">
      <alignment horizontal="center" vertical="center"/>
    </xf>
    <xf numFmtId="43" fontId="3" fillId="3" borderId="13" xfId="23" applyNumberFormat="1" applyFont="1" applyFill="1" applyBorder="1" applyAlignment="1">
      <alignment horizontal="center" vertical="center"/>
    </xf>
    <xf numFmtId="0" fontId="3" fillId="3" borderId="8" xfId="23" applyNumberFormat="1" applyFont="1" applyFill="1" applyBorder="1" applyAlignment="1">
      <alignment horizontal="center" vertical="center"/>
    </xf>
    <xf numFmtId="164" fontId="6" fillId="5" borderId="13" xfId="9" applyNumberFormat="1" applyFont="1" applyFill="1" applyBorder="1" applyAlignment="1">
      <alignment horizontal="center"/>
    </xf>
    <xf numFmtId="164" fontId="6" fillId="5" borderId="46" xfId="9" applyNumberFormat="1" applyFont="1" applyFill="1" applyBorder="1" applyAlignment="1">
      <alignment horizontal="center"/>
    </xf>
    <xf numFmtId="164" fontId="6" fillId="5" borderId="33" xfId="9" applyNumberFormat="1" applyFont="1" applyFill="1" applyBorder="1" applyAlignment="1">
      <alignment horizontal="center"/>
    </xf>
    <xf numFmtId="164" fontId="6" fillId="5" borderId="53" xfId="9" applyNumberFormat="1" applyFont="1" applyFill="1" applyBorder="1" applyAlignment="1">
      <alignment horizontal="center"/>
    </xf>
    <xf numFmtId="0" fontId="6" fillId="5" borderId="26" xfId="9" applyFont="1" applyFill="1" applyBorder="1" applyAlignment="1">
      <alignment horizontal="center" vertical="center"/>
    </xf>
    <xf numFmtId="0" fontId="6" fillId="5" borderId="7" xfId="9" applyFont="1" applyFill="1" applyBorder="1" applyAlignment="1">
      <alignment horizontal="center" vertical="center"/>
    </xf>
    <xf numFmtId="0" fontId="6" fillId="5" borderId="44" xfId="9" applyFont="1" applyFill="1" applyBorder="1" applyAlignment="1">
      <alignment horizontal="center" vertical="center"/>
    </xf>
    <xf numFmtId="0" fontId="6" fillId="5" borderId="45" xfId="9" applyFont="1" applyFill="1" applyBorder="1" applyAlignment="1">
      <alignment horizontal="center" vertical="center"/>
    </xf>
    <xf numFmtId="164" fontId="6" fillId="5" borderId="13" xfId="9" applyNumberFormat="1" applyFont="1" applyFill="1" applyBorder="1" applyAlignment="1">
      <alignment horizontal="center" vertical="center"/>
    </xf>
    <xf numFmtId="164" fontId="6" fillId="5" borderId="46" xfId="9" applyNumberFormat="1" applyFont="1" applyFill="1" applyBorder="1" applyAlignment="1">
      <alignment horizontal="center" vertical="center"/>
    </xf>
    <xf numFmtId="0" fontId="0" fillId="0" borderId="47" xfId="0" applyFont="1" applyFill="1" applyBorder="1" applyAlignment="1">
      <alignment horizontal="center" vertical="center" wrapText="1" shrinkToFit="1"/>
    </xf>
    <xf numFmtId="0" fontId="0" fillId="0" borderId="48" xfId="0" applyFont="1" applyFill="1" applyBorder="1" applyAlignment="1">
      <alignment horizontal="center" vertical="center" wrapText="1" shrinkToFit="1"/>
    </xf>
    <xf numFmtId="0" fontId="0" fillId="0" borderId="49" xfId="0" applyFont="1" applyFill="1" applyBorder="1" applyAlignment="1">
      <alignment horizontal="center" vertical="center" wrapText="1" shrinkToFit="1"/>
    </xf>
    <xf numFmtId="0" fontId="16" fillId="0" borderId="9" xfId="0" applyFont="1" applyFill="1" applyBorder="1" applyAlignment="1">
      <alignment horizontal="left" vertical="center" wrapText="1" shrinkToFit="1"/>
    </xf>
    <xf numFmtId="0" fontId="16" fillId="0" borderId="1" xfId="0" applyFont="1" applyFill="1" applyBorder="1" applyAlignment="1">
      <alignment horizontal="left" vertical="center" wrapText="1" shrinkToFit="1"/>
    </xf>
    <xf numFmtId="0" fontId="4" fillId="0" borderId="42" xfId="0" applyFont="1" applyFill="1" applyBorder="1" applyAlignment="1">
      <alignment horizontal="center" vertical="center" wrapText="1" shrinkToFit="1"/>
    </xf>
    <xf numFmtId="0" fontId="4" fillId="0" borderId="43" xfId="0" applyFont="1" applyFill="1" applyBorder="1" applyAlignment="1">
      <alignment horizontal="center" vertical="center" wrapText="1" shrinkToFit="1"/>
    </xf>
    <xf numFmtId="164" fontId="3" fillId="0" borderId="1" xfId="24" applyFont="1" applyFill="1" applyBorder="1" applyAlignment="1">
      <alignment horizontal="center" vertical="center" wrapText="1" shrinkToFit="1"/>
    </xf>
    <xf numFmtId="164" fontId="3" fillId="0" borderId="12" xfId="24" applyFont="1" applyFill="1" applyBorder="1" applyAlignment="1">
      <alignment horizontal="center" vertical="center" wrapText="1" shrinkToFit="1"/>
    </xf>
    <xf numFmtId="49" fontId="0" fillId="0" borderId="1" xfId="0" applyNumberFormat="1"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1" xfId="0" applyFont="1" applyFill="1" applyBorder="1" applyAlignment="1">
      <alignment vertical="center" wrapText="1" shrinkToFit="1"/>
    </xf>
    <xf numFmtId="4" fontId="48" fillId="0" borderId="1" xfId="0" applyNumberFormat="1" applyFont="1" applyFill="1" applyBorder="1" applyAlignment="1">
      <alignment horizontal="center" vertical="center" wrapText="1" shrinkToFit="1"/>
    </xf>
    <xf numFmtId="4" fontId="48" fillId="0" borderId="1" xfId="24" applyNumberFormat="1" applyFont="1" applyFill="1" applyBorder="1" applyAlignment="1">
      <alignment horizontal="center" vertical="center" wrapText="1" shrinkToFit="1"/>
    </xf>
    <xf numFmtId="4" fontId="48" fillId="0" borderId="1" xfId="0" applyNumberFormat="1" applyFont="1" applyFill="1" applyBorder="1" applyAlignment="1">
      <alignment horizontal="center" vertical="center" wrapText="1" shrinkToFit="1"/>
    </xf>
    <xf numFmtId="0" fontId="16" fillId="0" borderId="16" xfId="0" applyFont="1" applyFill="1" applyBorder="1" applyAlignment="1">
      <alignment horizontal="left" vertical="center" wrapText="1" shrinkToFit="1"/>
    </xf>
    <xf numFmtId="0" fontId="16" fillId="0" borderId="27" xfId="0" applyFont="1" applyFill="1" applyBorder="1" applyAlignment="1">
      <alignment horizontal="left" vertical="center" wrapText="1" shrinkToFit="1"/>
    </xf>
  </cellXfs>
  <cellStyles count="25">
    <cellStyle name="Comma 2" xfId="1"/>
    <cellStyle name="Currency 2" xfId="2"/>
    <cellStyle name="Hiperlink" xfId="3" builtinId="8"/>
    <cellStyle name="Moeda" xfId="4" builtinId="4"/>
    <cellStyle name="Moeda 2" xfId="5"/>
    <cellStyle name="Normal" xfId="0" builtinId="0"/>
    <cellStyle name="Normal 2" xfId="6"/>
    <cellStyle name="Normal 2 2" xfId="7"/>
    <cellStyle name="Normal 3" xfId="8"/>
    <cellStyle name="Normal 4" xfId="9"/>
    <cellStyle name="Normal 5" xfId="10"/>
    <cellStyle name="Normal 61 2" xfId="11"/>
    <cellStyle name="Normal_Composição BDI" xfId="12"/>
    <cellStyle name="Normal_Composição do BDI - final" xfId="13"/>
    <cellStyle name="Porcentagem" xfId="14" builtinId="5"/>
    <cellStyle name="Porcentagem 2" xfId="15"/>
    <cellStyle name="Porcentagem 2 2" xfId="16"/>
    <cellStyle name="Porcentagem 3" xfId="17"/>
    <cellStyle name="Porcentagem 4" xfId="18"/>
    <cellStyle name="Separador de milhares 2" xfId="19"/>
    <cellStyle name="Separador de milhares 2 2" xfId="20"/>
    <cellStyle name="Separador de milhares 3" xfId="21"/>
    <cellStyle name="Separador de milhares 4" xfId="22"/>
    <cellStyle name="Separador de milhares 5" xfId="23"/>
    <cellStyle name="Vírgula" xfId="2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76199</xdr:colOff>
          <xdr:row>0</xdr:row>
          <xdr:rowOff>28576</xdr:rowOff>
        </xdr:from>
        <xdr:to>
          <xdr:col>0</xdr:col>
          <xdr:colOff>714374</xdr:colOff>
          <xdr:row>0</xdr:row>
          <xdr:rowOff>723900</xdr:rowOff>
        </xdr:to>
        <xdr:sp macro="" textlink="">
          <xdr:nvSpPr>
            <xdr:cNvPr id="1198" name="Object 174" hidden="1">
              <a:extLst>
                <a:ext uri="{63B3BB69-23CF-44E3-9099-C40C66FF867C}">
                  <a14:compatExt spid="_x0000_s119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180975</xdr:colOff>
          <xdr:row>0</xdr:row>
          <xdr:rowOff>28575</xdr:rowOff>
        </xdr:from>
        <xdr:to>
          <xdr:col>0</xdr:col>
          <xdr:colOff>847725</xdr:colOff>
          <xdr:row>3</xdr:row>
          <xdr:rowOff>171450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19050</xdr:colOff>
      <xdr:row>3</xdr:row>
      <xdr:rowOff>390525</xdr:rowOff>
    </xdr:to>
    <xdr:pic>
      <xdr:nvPicPr>
        <xdr:cNvPr id="15547" name="Picture 8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6762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1</xdr:row>
      <xdr:rowOff>9525</xdr:rowOff>
    </xdr:from>
    <xdr:to>
      <xdr:col>1</xdr:col>
      <xdr:colOff>0</xdr:colOff>
      <xdr:row>3</xdr:row>
      <xdr:rowOff>381000</xdr:rowOff>
    </xdr:to>
    <xdr:pic>
      <xdr:nvPicPr>
        <xdr:cNvPr id="14549" name="Picture 8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71450"/>
          <a:ext cx="6286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0</xdr:col>
      <xdr:colOff>752475</xdr:colOff>
      <xdr:row>3</xdr:row>
      <xdr:rowOff>361950</xdr:rowOff>
    </xdr:to>
    <xdr:pic>
      <xdr:nvPicPr>
        <xdr:cNvPr id="10678" name="Picture 8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42875"/>
          <a:ext cx="6286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0</xdr:row>
          <xdr:rowOff>28575</xdr:rowOff>
        </xdr:from>
        <xdr:to>
          <xdr:col>1</xdr:col>
          <xdr:colOff>552450</xdr:colOff>
          <xdr:row>3</xdr:row>
          <xdr:rowOff>180975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95250</xdr:rowOff>
    </xdr:from>
    <xdr:to>
      <xdr:col>0</xdr:col>
      <xdr:colOff>876300</xdr:colOff>
      <xdr:row>1</xdr:row>
      <xdr:rowOff>419100</xdr:rowOff>
    </xdr:to>
    <xdr:pic>
      <xdr:nvPicPr>
        <xdr:cNvPr id="9831"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5250"/>
          <a:ext cx="771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1</xdr:row>
          <xdr:rowOff>28575</xdr:rowOff>
        </xdr:from>
        <xdr:to>
          <xdr:col>0</xdr:col>
          <xdr:colOff>762000</xdr:colOff>
          <xdr:row>3</xdr:row>
          <xdr:rowOff>228600</xdr:rowOff>
        </xdr:to>
        <xdr:sp macro="" textlink="">
          <xdr:nvSpPr>
            <xdr:cNvPr id="7273" name="Object 105" hidden="1">
              <a:extLst>
                <a:ext uri="{63B3BB69-23CF-44E3-9099-C40C66FF867C}">
                  <a14:compatExt spid="_x0000_s72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0.30\DocObras\Obras\ENGENHARIA\PROPOSTA-%20NOVAS%20OBRAS\PRA&#199;A%20MATRIZ\PRA&#199;A%20NOSSA%20SENHORA%20DO%20LIBANO\PROJETO%20B&#193;SICO\OR&#199;AMENTO\PLANILHA%20MATRIZ%20-%20VERS&#195;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CRONOGRAMA"/>
      <sheetName val="PLANILHA ORÇAMENTARIA"/>
      <sheetName val="MEMORIA DE CÁLCULO"/>
      <sheetName val="INC-COMP"/>
      <sheetName val="SDAI-COMP"/>
      <sheetName val="CAB-COMP"/>
      <sheetName val="SEG-COMP"/>
      <sheetName val="SPDA-COMP"/>
      <sheetName val="BDI-COMP "/>
      <sheetName val="ELE-COMP"/>
      <sheetName val="PAISAGISMO"/>
      <sheetName val="LIXEIRA"/>
      <sheetName val="CONTE"/>
      <sheetName val="COMP-01"/>
      <sheetName val="COMP-02"/>
      <sheetName val="COMP-03"/>
      <sheetName val="COMP-04"/>
      <sheetName val="COMP-05"/>
      <sheetName val="COMP-06"/>
      <sheetName val="COMP-07"/>
      <sheetName val="COMP-08"/>
      <sheetName val="COMP-09"/>
      <sheetName val="COMP-10"/>
      <sheetName val="COMP-11"/>
      <sheetName val="COMP-12"/>
      <sheetName val="COMP-13"/>
      <sheetName val="COMP-15"/>
      <sheetName val="COMP-16"/>
      <sheetName val="COMP-17"/>
      <sheetName val="COMP-18"/>
      <sheetName val="COMP-19"/>
      <sheetName val="COMP-20"/>
      <sheetName val="COMP-21"/>
      <sheetName val="COMP-22"/>
      <sheetName val="COMP-23"/>
      <sheetName val="COMP-24"/>
      <sheetName val="COMP-25"/>
      <sheetName val="COMP-26"/>
      <sheetName val="LABOR"/>
      <sheetName val="COTAÇÕES"/>
      <sheetName val="LABOR-INSUMOS"/>
      <sheetName val="LABOR-SERVIÇOS"/>
      <sheetName val="SINAPI-INSUMOS"/>
      <sheetName val="SINAPI-SERVIÇOS"/>
    </sheetNames>
    <sheetDataSet>
      <sheetData sheetId="0">
        <row r="4">
          <cell r="A4" t="str">
            <v>Local: CENTRO - JOÃO NEIVA/ES</v>
          </cell>
        </row>
      </sheetData>
      <sheetData sheetId="1"/>
      <sheetData sheetId="2">
        <row r="1">
          <cell r="A1" t="str">
            <v>PREFEITURA MUNICIPAL DE JOÃO NEIVA
SECRETARIA MUNICIPAL DE OBRAS E SERVIÇOS URBANOS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3"/>
  <sheetViews>
    <sheetView showZeros="0" tabSelected="1" showWhiteSpace="0" view="pageBreakPreview" topLeftCell="A52" zoomScaleNormal="100" zoomScaleSheetLayoutView="100" workbookViewId="0">
      <selection activeCell="D9" sqref="D9"/>
    </sheetView>
  </sheetViews>
  <sheetFormatPr defaultColWidth="9.28515625" defaultRowHeight="12.75" x14ac:dyDescent="0.2"/>
  <cols>
    <col min="1" max="2" width="13.5703125" style="178" customWidth="1"/>
    <col min="3" max="3" width="7.7109375" style="178" customWidth="1"/>
    <col min="4" max="4" width="74.140625" style="173" customWidth="1"/>
    <col min="5" max="5" width="11.28515625" style="178" customWidth="1"/>
    <col min="6" max="6" width="15" style="178" customWidth="1"/>
    <col min="7" max="7" width="13.5703125" style="178" customWidth="1"/>
    <col min="8" max="8" width="16" style="223" customWidth="1"/>
    <col min="9" max="9" width="20.42578125" style="178" customWidth="1"/>
    <col min="10" max="10" width="20" style="292" customWidth="1"/>
    <col min="11" max="11" width="39.140625" style="305" customWidth="1"/>
    <col min="12" max="12" width="13" style="173" customWidth="1"/>
    <col min="13" max="13" width="11" style="173" customWidth="1"/>
    <col min="14" max="14" width="9.28515625" style="173"/>
    <col min="15" max="15" width="18.140625" style="173" customWidth="1"/>
    <col min="16" max="16384" width="9.28515625" style="173"/>
  </cols>
  <sheetData>
    <row r="1" spans="1:15" ht="58.5" customHeight="1" x14ac:dyDescent="0.2">
      <c r="A1" s="360" t="s">
        <v>0</v>
      </c>
      <c r="B1" s="360"/>
      <c r="C1" s="360"/>
      <c r="D1" s="360"/>
      <c r="E1" s="360"/>
      <c r="F1" s="360"/>
      <c r="G1" s="360"/>
      <c r="H1" s="360"/>
      <c r="I1" s="360"/>
      <c r="K1" s="269"/>
    </row>
    <row r="2" spans="1:15" ht="12.75" customHeight="1" x14ac:dyDescent="0.2">
      <c r="A2" s="338" t="s">
        <v>395</v>
      </c>
      <c r="B2" s="339"/>
      <c r="C2" s="339"/>
      <c r="D2" s="340"/>
      <c r="E2" s="232"/>
      <c r="F2" s="232"/>
      <c r="G2" s="345" t="s">
        <v>210</v>
      </c>
      <c r="H2" s="345"/>
      <c r="I2" s="215" t="s">
        <v>391</v>
      </c>
      <c r="K2" s="269"/>
    </row>
    <row r="3" spans="1:15" ht="17.25" customHeight="1" x14ac:dyDescent="0.2">
      <c r="A3" s="338" t="s">
        <v>394</v>
      </c>
      <c r="B3" s="339"/>
      <c r="C3" s="339"/>
      <c r="D3" s="340"/>
      <c r="E3" s="336" t="s">
        <v>42</v>
      </c>
      <c r="F3" s="337">
        <f>MC!K2</f>
        <v>11591.3</v>
      </c>
      <c r="G3" s="215" t="s">
        <v>294</v>
      </c>
      <c r="H3" s="175">
        <v>0.26540000000000002</v>
      </c>
      <c r="K3" s="269"/>
    </row>
    <row r="4" spans="1:15" ht="17.25" customHeight="1" x14ac:dyDescent="0.2">
      <c r="A4" s="338" t="s">
        <v>392</v>
      </c>
      <c r="B4" s="339"/>
      <c r="C4" s="339"/>
      <c r="D4" s="340"/>
      <c r="E4" s="230"/>
      <c r="F4" s="230"/>
      <c r="G4" s="225" t="s">
        <v>338</v>
      </c>
      <c r="H4" s="226" t="s">
        <v>393</v>
      </c>
      <c r="I4" s="226"/>
      <c r="K4" s="269"/>
    </row>
    <row r="5" spans="1:15" ht="27.75" customHeight="1" x14ac:dyDescent="0.2">
      <c r="A5" s="345" t="s">
        <v>295</v>
      </c>
      <c r="B5" s="345" t="s">
        <v>163</v>
      </c>
      <c r="C5" s="345" t="s">
        <v>1</v>
      </c>
      <c r="D5" s="348" t="s">
        <v>2</v>
      </c>
      <c r="E5" s="345" t="s">
        <v>3</v>
      </c>
      <c r="F5" s="350" t="s">
        <v>17</v>
      </c>
      <c r="G5" s="350" t="s">
        <v>4</v>
      </c>
      <c r="H5" s="350"/>
      <c r="I5" s="350" t="s">
        <v>5</v>
      </c>
      <c r="K5" s="269"/>
    </row>
    <row r="6" spans="1:15" x14ac:dyDescent="0.2">
      <c r="A6" s="345"/>
      <c r="B6" s="345"/>
      <c r="C6" s="345"/>
      <c r="D6" s="348"/>
      <c r="E6" s="345"/>
      <c r="F6" s="350"/>
      <c r="G6" s="181" t="s">
        <v>334</v>
      </c>
      <c r="H6" s="181" t="s">
        <v>15</v>
      </c>
      <c r="I6" s="350"/>
      <c r="K6" s="269"/>
    </row>
    <row r="7" spans="1:15" s="272" customFormat="1" ht="18.600000000000001" customHeight="1" x14ac:dyDescent="0.2">
      <c r="A7" s="343">
        <v>1</v>
      </c>
      <c r="B7" s="343"/>
      <c r="C7" s="343"/>
      <c r="D7" s="341" t="s">
        <v>6</v>
      </c>
      <c r="E7" s="341"/>
      <c r="F7" s="341"/>
      <c r="G7" s="341"/>
      <c r="H7" s="341"/>
      <c r="I7" s="341"/>
      <c r="J7" s="312"/>
      <c r="K7" s="271"/>
    </row>
    <row r="8" spans="1:15" s="275" customFormat="1" ht="20.25" customHeight="1" x14ac:dyDescent="0.2">
      <c r="A8" s="2">
        <v>20305</v>
      </c>
      <c r="B8" s="245" t="s">
        <v>293</v>
      </c>
      <c r="C8" s="178" t="s">
        <v>7</v>
      </c>
      <c r="D8" s="220" t="s">
        <v>337</v>
      </c>
      <c r="E8" s="2" t="s">
        <v>63</v>
      </c>
      <c r="F8" s="179">
        <f>MC!N9</f>
        <v>7.5</v>
      </c>
      <c r="G8" s="221">
        <v>189.61</v>
      </c>
      <c r="H8" s="221">
        <f>(G8*$H$3)+G8</f>
        <v>239.93249400000002</v>
      </c>
      <c r="I8" s="221">
        <f t="shared" ref="I8:I16" si="0">ROUND(H8*F8,2)</f>
        <v>1799.49</v>
      </c>
      <c r="J8" s="292">
        <f>I8/$I$63</f>
        <v>1.6076783379293063E-3</v>
      </c>
      <c r="K8" s="273"/>
      <c r="L8" s="274"/>
      <c r="M8" s="275">
        <v>2</v>
      </c>
      <c r="N8" s="275">
        <v>1.25</v>
      </c>
      <c r="O8" s="275">
        <f>M8*N8</f>
        <v>2.5</v>
      </c>
    </row>
    <row r="9" spans="1:15" s="275" customFormat="1" ht="51" x14ac:dyDescent="0.2">
      <c r="A9" s="245">
        <v>20712</v>
      </c>
      <c r="B9" s="245" t="s">
        <v>293</v>
      </c>
      <c r="C9" s="178" t="s">
        <v>52</v>
      </c>
      <c r="D9" s="220" t="s">
        <v>335</v>
      </c>
      <c r="E9" s="2" t="s">
        <v>95</v>
      </c>
      <c r="F9" s="179">
        <f>MC!N12</f>
        <v>50</v>
      </c>
      <c r="G9" s="221">
        <v>32.24</v>
      </c>
      <c r="H9" s="221">
        <f t="shared" ref="H9:H16" si="1">(G9*$H$3)+G9</f>
        <v>40.796496000000005</v>
      </c>
      <c r="I9" s="221">
        <f t="shared" si="0"/>
        <v>2039.82</v>
      </c>
      <c r="J9" s="292">
        <f t="shared" ref="J9:J61" si="2">I9/$I$63</f>
        <v>1.8223910259434382E-3</v>
      </c>
      <c r="K9" s="273"/>
      <c r="L9" s="274"/>
    </row>
    <row r="10" spans="1:15" s="275" customFormat="1" ht="30" customHeight="1" x14ac:dyDescent="0.2">
      <c r="A10" s="2">
        <v>41598</v>
      </c>
      <c r="B10" s="2" t="s">
        <v>14</v>
      </c>
      <c r="C10" s="178" t="s">
        <v>59</v>
      </c>
      <c r="D10" s="220" t="s">
        <v>220</v>
      </c>
      <c r="E10" s="2" t="s">
        <v>217</v>
      </c>
      <c r="F10" s="179">
        <f>MC!N15</f>
        <v>1</v>
      </c>
      <c r="G10" s="221">
        <v>1311.78</v>
      </c>
      <c r="H10" s="221">
        <f t="shared" si="1"/>
        <v>1659.926412</v>
      </c>
      <c r="I10" s="221">
        <f t="shared" si="0"/>
        <v>1659.93</v>
      </c>
      <c r="J10" s="292">
        <f t="shared" si="2"/>
        <v>1.4829943503320349E-3</v>
      </c>
      <c r="K10" s="273"/>
      <c r="L10" s="274"/>
    </row>
    <row r="11" spans="1:15" s="275" customFormat="1" ht="57.75" customHeight="1" x14ac:dyDescent="0.2">
      <c r="A11" s="245">
        <v>20354</v>
      </c>
      <c r="B11" s="245" t="s">
        <v>293</v>
      </c>
      <c r="C11" s="178" t="s">
        <v>216</v>
      </c>
      <c r="D11" s="220" t="s">
        <v>249</v>
      </c>
      <c r="E11" s="2" t="s">
        <v>221</v>
      </c>
      <c r="F11" s="179">
        <f>MC!N20</f>
        <v>4</v>
      </c>
      <c r="G11" s="221">
        <v>408</v>
      </c>
      <c r="H11" s="221">
        <f t="shared" si="1"/>
        <v>516.28319999999997</v>
      </c>
      <c r="I11" s="221">
        <f t="shared" si="0"/>
        <v>2065.13</v>
      </c>
      <c r="J11" s="292">
        <f t="shared" si="2"/>
        <v>1.8450031764599684E-3</v>
      </c>
      <c r="K11" s="273"/>
      <c r="L11" s="274"/>
    </row>
    <row r="12" spans="1:15" s="275" customFormat="1" ht="60.75" customHeight="1" x14ac:dyDescent="0.2">
      <c r="A12" s="245">
        <v>20355</v>
      </c>
      <c r="B12" s="245" t="s">
        <v>293</v>
      </c>
      <c r="C12" s="178" t="s">
        <v>218</v>
      </c>
      <c r="D12" s="220" t="s">
        <v>248</v>
      </c>
      <c r="E12" s="2" t="s">
        <v>221</v>
      </c>
      <c r="F12" s="179">
        <f>MC!N25</f>
        <v>4</v>
      </c>
      <c r="G12" s="221">
        <v>716</v>
      </c>
      <c r="H12" s="221">
        <f t="shared" si="1"/>
        <v>906.02639999999997</v>
      </c>
      <c r="I12" s="221">
        <f t="shared" si="0"/>
        <v>3624.11</v>
      </c>
      <c r="J12" s="292">
        <f t="shared" si="2"/>
        <v>3.2378080129775539E-3</v>
      </c>
      <c r="K12" s="273"/>
      <c r="L12" s="274"/>
    </row>
    <row r="13" spans="1:15" s="275" customFormat="1" ht="63.75" x14ac:dyDescent="0.2">
      <c r="A13" s="245">
        <v>20343</v>
      </c>
      <c r="B13" s="245" t="s">
        <v>293</v>
      </c>
      <c r="C13" s="178" t="s">
        <v>219</v>
      </c>
      <c r="D13" s="220" t="s">
        <v>401</v>
      </c>
      <c r="E13" s="2" t="s">
        <v>221</v>
      </c>
      <c r="F13" s="179">
        <f>MC!N30</f>
        <v>4</v>
      </c>
      <c r="G13" s="221">
        <v>666.67</v>
      </c>
      <c r="H13" s="221">
        <f t="shared" si="1"/>
        <v>843.60421799999995</v>
      </c>
      <c r="I13" s="221">
        <f t="shared" si="0"/>
        <v>3374.42</v>
      </c>
      <c r="J13" s="292">
        <f t="shared" si="2"/>
        <v>3.0147330282887983E-3</v>
      </c>
      <c r="K13" s="273"/>
      <c r="L13" s="274"/>
    </row>
    <row r="14" spans="1:15" s="275" customFormat="1" ht="38.25" x14ac:dyDescent="0.2">
      <c r="A14" s="310">
        <v>20356</v>
      </c>
      <c r="B14" s="310" t="s">
        <v>293</v>
      </c>
      <c r="C14" s="178" t="s">
        <v>222</v>
      </c>
      <c r="D14" s="308" t="s">
        <v>400</v>
      </c>
      <c r="E14" s="2" t="s">
        <v>221</v>
      </c>
      <c r="F14" s="309">
        <f>MC!N34</f>
        <v>4</v>
      </c>
      <c r="G14" s="221">
        <v>416.67</v>
      </c>
      <c r="H14" s="221">
        <f t="shared" si="1"/>
        <v>527.25421800000004</v>
      </c>
      <c r="I14" s="221">
        <f t="shared" si="0"/>
        <v>2109.02</v>
      </c>
      <c r="J14" s="292"/>
      <c r="K14" s="273"/>
      <c r="L14" s="274"/>
    </row>
    <row r="15" spans="1:15" s="275" customFormat="1" ht="34.5" customHeight="1" x14ac:dyDescent="0.2">
      <c r="A15" s="245">
        <v>20344</v>
      </c>
      <c r="B15" s="245" t="s">
        <v>293</v>
      </c>
      <c r="C15" s="178" t="s">
        <v>223</v>
      </c>
      <c r="D15" s="220" t="s">
        <v>224</v>
      </c>
      <c r="E15" s="2" t="s">
        <v>217</v>
      </c>
      <c r="F15" s="179">
        <f>MC!N38</f>
        <v>4</v>
      </c>
      <c r="G15" s="221">
        <v>875</v>
      </c>
      <c r="H15" s="221">
        <f t="shared" si="1"/>
        <v>1107.2249999999999</v>
      </c>
      <c r="I15" s="221">
        <f t="shared" si="0"/>
        <v>4428.8999999999996</v>
      </c>
      <c r="J15" s="292">
        <f t="shared" si="2"/>
        <v>3.956813647675232E-3</v>
      </c>
      <c r="K15" s="273"/>
      <c r="L15" s="274"/>
    </row>
    <row r="16" spans="1:15" s="275" customFormat="1" ht="39" customHeight="1" x14ac:dyDescent="0.2">
      <c r="A16" s="2" t="s">
        <v>190</v>
      </c>
      <c r="B16" s="2"/>
      <c r="C16" s="178" t="s">
        <v>399</v>
      </c>
      <c r="D16" s="220" t="s">
        <v>232</v>
      </c>
      <c r="E16" s="2" t="s">
        <v>221</v>
      </c>
      <c r="F16" s="179">
        <f>MC!N42</f>
        <v>4</v>
      </c>
      <c r="G16" s="221">
        <f>'COMPOSIÇÃO 01'!I22</f>
        <v>5819.53</v>
      </c>
      <c r="H16" s="221">
        <f t="shared" si="1"/>
        <v>7364.0332619999999</v>
      </c>
      <c r="I16" s="221">
        <f t="shared" si="0"/>
        <v>29456.13</v>
      </c>
      <c r="J16" s="292">
        <f t="shared" si="2"/>
        <v>2.6316335250670789E-2</v>
      </c>
      <c r="K16" s="273"/>
      <c r="L16" s="274"/>
    </row>
    <row r="17" spans="1:17" s="277" customFormat="1" ht="18.600000000000001" customHeight="1" x14ac:dyDescent="0.2">
      <c r="A17" s="344" t="s">
        <v>296</v>
      </c>
      <c r="B17" s="344"/>
      <c r="C17" s="344"/>
      <c r="D17" s="344"/>
      <c r="E17" s="344"/>
      <c r="F17" s="344"/>
      <c r="G17" s="344"/>
      <c r="H17" s="344"/>
      <c r="I17" s="276">
        <f>SUM(I8:I16)</f>
        <v>50556.95</v>
      </c>
      <c r="J17" s="292"/>
      <c r="K17" s="273"/>
      <c r="L17" s="274"/>
    </row>
    <row r="18" spans="1:17" s="214" customFormat="1" ht="21.75" customHeight="1" x14ac:dyDescent="0.2">
      <c r="A18" s="342" t="s">
        <v>86</v>
      </c>
      <c r="B18" s="342"/>
      <c r="C18" s="342"/>
      <c r="D18" s="342"/>
      <c r="E18" s="342"/>
      <c r="F18" s="342"/>
      <c r="G18" s="342"/>
      <c r="H18" s="342"/>
      <c r="I18" s="342"/>
      <c r="J18" s="292"/>
      <c r="K18" s="278"/>
      <c r="L18" s="279"/>
      <c r="M18" s="280"/>
      <c r="N18" s="281"/>
      <c r="O18" s="281"/>
    </row>
    <row r="19" spans="1:17" s="270" customFormat="1" ht="29.25" customHeight="1" x14ac:dyDescent="0.2">
      <c r="A19" s="343">
        <v>2</v>
      </c>
      <c r="B19" s="343"/>
      <c r="C19" s="343"/>
      <c r="D19" s="341" t="s">
        <v>48</v>
      </c>
      <c r="E19" s="341"/>
      <c r="F19" s="341"/>
      <c r="G19" s="341"/>
      <c r="H19" s="341"/>
      <c r="I19" s="341" t="str">
        <f>IF(TOT.P=0,"",H19*100/TOT.P)</f>
        <v/>
      </c>
      <c r="J19" s="292"/>
      <c r="K19" s="282"/>
      <c r="L19" s="283"/>
      <c r="M19" s="284"/>
      <c r="N19" s="285"/>
      <c r="O19" s="285"/>
    </row>
    <row r="20" spans="1:17" s="286" customFormat="1" ht="25.5" customHeight="1" x14ac:dyDescent="0.2">
      <c r="A20" s="218">
        <v>96001</v>
      </c>
      <c r="B20" s="218" t="s">
        <v>14</v>
      </c>
      <c r="C20" s="218" t="s">
        <v>8</v>
      </c>
      <c r="D20" s="224" t="s">
        <v>300</v>
      </c>
      <c r="E20" s="218" t="s">
        <v>299</v>
      </c>
      <c r="F20" s="219">
        <f>MC!N59</f>
        <v>4639.2</v>
      </c>
      <c r="G20" s="219">
        <v>5.17</v>
      </c>
      <c r="H20" s="222">
        <f>(G20*$H$3)+G20</f>
        <v>6.5421180000000003</v>
      </c>
      <c r="I20" s="219">
        <f>F20*H20</f>
        <v>30350.193825599999</v>
      </c>
      <c r="J20" s="292">
        <f t="shared" si="2"/>
        <v>2.7115098814315668E-2</v>
      </c>
      <c r="K20" s="287"/>
      <c r="L20" s="288"/>
      <c r="M20" s="289"/>
      <c r="N20" s="290"/>
      <c r="O20" s="290"/>
    </row>
    <row r="21" spans="1:17" s="286" customFormat="1" ht="12.75" customHeight="1" x14ac:dyDescent="0.2">
      <c r="A21" s="218">
        <v>72942</v>
      </c>
      <c r="B21" s="218" t="s">
        <v>14</v>
      </c>
      <c r="C21" s="218" t="s">
        <v>9</v>
      </c>
      <c r="D21" s="224" t="s">
        <v>303</v>
      </c>
      <c r="E21" s="218" t="s">
        <v>299</v>
      </c>
      <c r="F21" s="219">
        <f>MC!N63</f>
        <v>4639.2</v>
      </c>
      <c r="G21" s="219">
        <v>1.68</v>
      </c>
      <c r="H21" s="222">
        <f t="shared" ref="H21:H23" si="3">(G21*$H$3)+G21</f>
        <v>2.1258720000000002</v>
      </c>
      <c r="I21" s="219">
        <f t="shared" ref="I21:I23" si="4">F21*H21</f>
        <v>9862.3453824000007</v>
      </c>
      <c r="J21" s="292">
        <f t="shared" si="2"/>
        <v>8.8110959396615722E-3</v>
      </c>
      <c r="K21" s="287"/>
      <c r="L21" s="288"/>
      <c r="M21" s="289"/>
      <c r="N21" s="290"/>
      <c r="O21" s="290"/>
    </row>
    <row r="22" spans="1:17" s="286" customFormat="1" ht="25.5" customHeight="1" x14ac:dyDescent="0.2">
      <c r="A22" s="218">
        <v>95995</v>
      </c>
      <c r="B22" s="218" t="s">
        <v>14</v>
      </c>
      <c r="C22" s="218" t="s">
        <v>10</v>
      </c>
      <c r="D22" s="224" t="s">
        <v>302</v>
      </c>
      <c r="E22" s="218" t="s">
        <v>301</v>
      </c>
      <c r="F22" s="219">
        <f>MC!N67</f>
        <v>231.96</v>
      </c>
      <c r="G22" s="219">
        <v>987.93</v>
      </c>
      <c r="H22" s="222">
        <f t="shared" si="3"/>
        <v>1250.126622</v>
      </c>
      <c r="I22" s="219">
        <f t="shared" si="4"/>
        <v>289979.37123912002</v>
      </c>
      <c r="J22" s="292">
        <f t="shared" si="2"/>
        <v>0.25906982177588861</v>
      </c>
      <c r="K22" s="287"/>
      <c r="L22" s="288"/>
      <c r="M22" s="289"/>
      <c r="N22" s="290"/>
      <c r="O22" s="290"/>
    </row>
    <row r="23" spans="1:17" s="286" customFormat="1" ht="39.75" customHeight="1" x14ac:dyDescent="0.2">
      <c r="A23" s="218">
        <v>93177</v>
      </c>
      <c r="B23" s="218" t="s">
        <v>14</v>
      </c>
      <c r="C23" s="218" t="s">
        <v>340</v>
      </c>
      <c r="D23" s="224" t="s">
        <v>235</v>
      </c>
      <c r="E23" s="218" t="s">
        <v>304</v>
      </c>
      <c r="F23" s="219">
        <f>MC!N72</f>
        <v>8582.52</v>
      </c>
      <c r="G23" s="219">
        <v>1.81</v>
      </c>
      <c r="H23" s="222">
        <f t="shared" si="3"/>
        <v>2.2903739999999999</v>
      </c>
      <c r="I23" s="219">
        <f t="shared" si="4"/>
        <v>19657.180662480001</v>
      </c>
      <c r="J23" s="292">
        <f t="shared" si="2"/>
        <v>1.7561877829736172E-2</v>
      </c>
      <c r="K23" s="287"/>
      <c r="L23" s="288"/>
      <c r="M23" s="289"/>
      <c r="N23" s="290"/>
      <c r="O23" s="290"/>
    </row>
    <row r="24" spans="1:17" s="214" customFormat="1" ht="24.75" customHeight="1" x14ac:dyDescent="0.2">
      <c r="A24" s="344" t="s">
        <v>297</v>
      </c>
      <c r="B24" s="344"/>
      <c r="C24" s="344"/>
      <c r="D24" s="344"/>
      <c r="E24" s="344"/>
      <c r="F24" s="344"/>
      <c r="G24" s="344"/>
      <c r="H24" s="344"/>
      <c r="I24" s="276">
        <f>SUM(I20:I23)</f>
        <v>349849.09110960003</v>
      </c>
      <c r="J24" s="292"/>
      <c r="K24" s="278"/>
      <c r="L24" s="279"/>
      <c r="M24" s="280"/>
      <c r="N24" s="281"/>
      <c r="O24" s="281"/>
    </row>
    <row r="25" spans="1:17" s="270" customFormat="1" ht="18.600000000000001" customHeight="1" x14ac:dyDescent="0.2">
      <c r="A25" s="343">
        <v>3</v>
      </c>
      <c r="B25" s="343"/>
      <c r="C25" s="343"/>
      <c r="D25" s="341" t="s">
        <v>324</v>
      </c>
      <c r="E25" s="341"/>
      <c r="F25" s="341"/>
      <c r="G25" s="341"/>
      <c r="H25" s="341"/>
      <c r="I25" s="341" t="str">
        <f>IF(TOT.P=0,"",H25*100/TOT.P)</f>
        <v/>
      </c>
      <c r="J25" s="292"/>
      <c r="K25" s="282"/>
      <c r="L25" s="283"/>
      <c r="M25" s="284"/>
      <c r="N25" s="285"/>
      <c r="O25" s="285"/>
    </row>
    <row r="26" spans="1:17" s="214" customFormat="1" ht="28.5" customHeight="1" x14ac:dyDescent="0.2">
      <c r="A26" s="2">
        <v>72947</v>
      </c>
      <c r="B26" s="2" t="s">
        <v>14</v>
      </c>
      <c r="C26" s="178" t="s">
        <v>11</v>
      </c>
      <c r="D26" s="220" t="s">
        <v>82</v>
      </c>
      <c r="E26" s="2" t="s">
        <v>62</v>
      </c>
      <c r="F26" s="180">
        <f>MC!N81</f>
        <v>214.01000000000002</v>
      </c>
      <c r="G26" s="221">
        <v>16.75</v>
      </c>
      <c r="H26" s="221">
        <f>(G26*$H$3)+G26</f>
        <v>21.195450000000001</v>
      </c>
      <c r="I26" s="221">
        <f t="shared" ref="I26" si="5">ROUND(H26*F26,2)</f>
        <v>4536.04</v>
      </c>
      <c r="J26" s="292">
        <f t="shared" si="2"/>
        <v>4.0525333555512123E-3</v>
      </c>
      <c r="K26" s="278"/>
      <c r="L26" s="279"/>
      <c r="M26" s="280"/>
      <c r="N26" s="281"/>
      <c r="O26" s="281"/>
    </row>
    <row r="27" spans="1:17" s="214" customFormat="1" ht="38.25" x14ac:dyDescent="0.2">
      <c r="A27" s="178">
        <v>40936</v>
      </c>
      <c r="B27" s="178" t="s">
        <v>336</v>
      </c>
      <c r="C27" s="178" t="s">
        <v>12</v>
      </c>
      <c r="D27" s="173" t="s">
        <v>236</v>
      </c>
      <c r="E27" s="2" t="s">
        <v>62</v>
      </c>
      <c r="F27" s="182">
        <f>MC!N94</f>
        <v>4.4710000000000001</v>
      </c>
      <c r="G27" s="221">
        <v>449.38</v>
      </c>
      <c r="H27" s="221">
        <f>(G27*$H$3)+G27</f>
        <v>568.64545199999998</v>
      </c>
      <c r="I27" s="221">
        <f>F27*H27</f>
        <v>2542.413815892</v>
      </c>
      <c r="J27" s="292">
        <f t="shared" si="2"/>
        <v>2.2714122433921589E-3</v>
      </c>
      <c r="K27" s="291"/>
      <c r="L27" s="291"/>
      <c r="M27" s="291"/>
      <c r="N27" s="291"/>
      <c r="O27" s="291"/>
      <c r="P27" s="291"/>
      <c r="Q27" s="291"/>
    </row>
    <row r="28" spans="1:17" s="214" customFormat="1" ht="24.75" customHeight="1" x14ac:dyDescent="0.2">
      <c r="A28" s="344" t="s">
        <v>297</v>
      </c>
      <c r="B28" s="344"/>
      <c r="C28" s="344"/>
      <c r="D28" s="344"/>
      <c r="E28" s="344"/>
      <c r="F28" s="344"/>
      <c r="G28" s="344"/>
      <c r="H28" s="344"/>
      <c r="I28" s="276">
        <f>SUM(I26:I27)</f>
        <v>7078.4538158920004</v>
      </c>
      <c r="J28" s="292"/>
      <c r="K28" s="278"/>
      <c r="L28" s="279"/>
      <c r="M28" s="280"/>
      <c r="N28" s="281"/>
      <c r="O28" s="281"/>
    </row>
    <row r="29" spans="1:17" s="214" customFormat="1" ht="18.600000000000001" customHeight="1" x14ac:dyDescent="0.2">
      <c r="A29" s="342" t="s">
        <v>89</v>
      </c>
      <c r="B29" s="342"/>
      <c r="C29" s="342"/>
      <c r="D29" s="342"/>
      <c r="E29" s="342"/>
      <c r="F29" s="342"/>
      <c r="G29" s="342"/>
      <c r="H29" s="342"/>
      <c r="I29" s="342"/>
      <c r="J29" s="292">
        <f t="shared" si="2"/>
        <v>0</v>
      </c>
      <c r="K29" s="278"/>
      <c r="L29" s="279"/>
      <c r="M29" s="280"/>
      <c r="N29" s="281"/>
      <c r="O29" s="281"/>
    </row>
    <row r="30" spans="1:17" s="270" customFormat="1" ht="27" customHeight="1" x14ac:dyDescent="0.2">
      <c r="A30" s="343">
        <v>4</v>
      </c>
      <c r="B30" s="343"/>
      <c r="C30" s="343"/>
      <c r="D30" s="341" t="s">
        <v>48</v>
      </c>
      <c r="E30" s="341"/>
      <c r="F30" s="341"/>
      <c r="G30" s="341"/>
      <c r="H30" s="341"/>
      <c r="I30" s="341" t="str">
        <f>IF(TOT.P=0,"",H30*100/TOT.P)</f>
        <v/>
      </c>
      <c r="J30" s="292"/>
      <c r="K30" s="282"/>
      <c r="L30" s="283"/>
      <c r="M30" s="284"/>
      <c r="N30" s="285"/>
      <c r="O30" s="285"/>
    </row>
    <row r="31" spans="1:17" s="286" customFormat="1" ht="25.5" customHeight="1" x14ac:dyDescent="0.2">
      <c r="A31" s="218">
        <v>96001</v>
      </c>
      <c r="B31" s="218" t="s">
        <v>14</v>
      </c>
      <c r="C31" s="218" t="s">
        <v>49</v>
      </c>
      <c r="D31" s="224" t="s">
        <v>300</v>
      </c>
      <c r="E31" s="218" t="s">
        <v>299</v>
      </c>
      <c r="F31" s="219">
        <f>MC!N104</f>
        <v>5001.12</v>
      </c>
      <c r="G31" s="219">
        <v>5.17</v>
      </c>
      <c r="H31" s="222">
        <f>(G31*$H$3)+G31</f>
        <v>6.5421180000000003</v>
      </c>
      <c r="I31" s="219">
        <f>F31*H31</f>
        <v>32717.91717216</v>
      </c>
      <c r="J31" s="292">
        <f t="shared" si="2"/>
        <v>2.9230441236042931E-2</v>
      </c>
      <c r="K31" s="287"/>
      <c r="L31" s="288"/>
      <c r="M31" s="289"/>
      <c r="N31" s="290"/>
      <c r="O31" s="290"/>
    </row>
    <row r="32" spans="1:17" s="286" customFormat="1" ht="12.75" customHeight="1" x14ac:dyDescent="0.2">
      <c r="A32" s="218">
        <v>72942</v>
      </c>
      <c r="B32" s="218" t="s">
        <v>14</v>
      </c>
      <c r="C32" s="218" t="s">
        <v>50</v>
      </c>
      <c r="D32" s="224" t="s">
        <v>303</v>
      </c>
      <c r="E32" s="218" t="s">
        <v>299</v>
      </c>
      <c r="F32" s="219">
        <f>MC!N108</f>
        <v>5001.12</v>
      </c>
      <c r="G32" s="219">
        <v>1.68</v>
      </c>
      <c r="H32" s="222">
        <f t="shared" ref="H32:H34" si="6">(G32*$H$3)+G32</f>
        <v>2.1258720000000002</v>
      </c>
      <c r="I32" s="219">
        <f t="shared" ref="I32:I34" si="7">F32*H32</f>
        <v>10631.740976640001</v>
      </c>
      <c r="J32" s="292">
        <f t="shared" si="2"/>
        <v>9.4984799374375501E-3</v>
      </c>
      <c r="K32" s="287"/>
      <c r="L32" s="288"/>
      <c r="M32" s="289"/>
      <c r="N32" s="290"/>
      <c r="O32" s="290"/>
    </row>
    <row r="33" spans="1:15" s="286" customFormat="1" ht="25.5" customHeight="1" x14ac:dyDescent="0.2">
      <c r="A33" s="218">
        <v>95995</v>
      </c>
      <c r="B33" s="218" t="s">
        <v>14</v>
      </c>
      <c r="C33" s="218" t="s">
        <v>51</v>
      </c>
      <c r="D33" s="224" t="s">
        <v>302</v>
      </c>
      <c r="E33" s="218" t="s">
        <v>301</v>
      </c>
      <c r="F33" s="219">
        <f>MC!N112</f>
        <v>250.05600000000001</v>
      </c>
      <c r="G33" s="219">
        <v>987.93</v>
      </c>
      <c r="H33" s="222">
        <f t="shared" si="6"/>
        <v>1250.126622</v>
      </c>
      <c r="I33" s="219">
        <f t="shared" si="7"/>
        <v>312601.66259083204</v>
      </c>
      <c r="J33" s="292">
        <f t="shared" si="2"/>
        <v>0.27928075251763923</v>
      </c>
      <c r="K33" s="287"/>
      <c r="L33" s="288"/>
      <c r="M33" s="289"/>
      <c r="N33" s="290"/>
      <c r="O33" s="290"/>
    </row>
    <row r="34" spans="1:15" s="286" customFormat="1" ht="39.75" customHeight="1" x14ac:dyDescent="0.2">
      <c r="A34" s="218">
        <v>93177</v>
      </c>
      <c r="B34" s="218" t="s">
        <v>14</v>
      </c>
      <c r="C34" s="218" t="s">
        <v>96</v>
      </c>
      <c r="D34" s="224" t="s">
        <v>235</v>
      </c>
      <c r="E34" s="218" t="s">
        <v>304</v>
      </c>
      <c r="F34" s="219">
        <f>MC!N117</f>
        <v>9252.0720000000001</v>
      </c>
      <c r="G34" s="219">
        <v>1.81</v>
      </c>
      <c r="H34" s="222">
        <f t="shared" si="6"/>
        <v>2.2903739999999999</v>
      </c>
      <c r="I34" s="219">
        <f t="shared" si="7"/>
        <v>21190.705154928</v>
      </c>
      <c r="J34" s="292">
        <f t="shared" si="2"/>
        <v>1.8931940518160495E-2</v>
      </c>
      <c r="K34" s="287"/>
      <c r="L34" s="288"/>
      <c r="M34" s="289"/>
      <c r="N34" s="290"/>
      <c r="O34" s="290"/>
    </row>
    <row r="35" spans="1:15" s="214" customFormat="1" ht="24.75" customHeight="1" x14ac:dyDescent="0.2">
      <c r="A35" s="344" t="s">
        <v>297</v>
      </c>
      <c r="B35" s="344"/>
      <c r="C35" s="344"/>
      <c r="D35" s="344"/>
      <c r="E35" s="344"/>
      <c r="F35" s="344"/>
      <c r="G35" s="344"/>
      <c r="H35" s="344"/>
      <c r="I35" s="276">
        <f>SUM(I31:I34)</f>
        <v>377142.02589456004</v>
      </c>
      <c r="J35" s="292"/>
      <c r="K35" s="278"/>
      <c r="L35" s="279"/>
      <c r="M35" s="280"/>
      <c r="N35" s="281"/>
      <c r="O35" s="281"/>
    </row>
    <row r="36" spans="1:15" s="270" customFormat="1" ht="18.600000000000001" customHeight="1" x14ac:dyDescent="0.2">
      <c r="A36" s="343">
        <v>5</v>
      </c>
      <c r="B36" s="343"/>
      <c r="C36" s="343"/>
      <c r="D36" s="341" t="s">
        <v>324</v>
      </c>
      <c r="E36" s="341"/>
      <c r="F36" s="341"/>
      <c r="G36" s="341"/>
      <c r="H36" s="341"/>
      <c r="I36" s="341" t="str">
        <f>IF(TOT.P=0,"",H36*100/TOT.P)</f>
        <v/>
      </c>
      <c r="J36" s="292"/>
      <c r="K36" s="282"/>
      <c r="L36" s="283"/>
      <c r="M36" s="284"/>
      <c r="N36" s="285"/>
      <c r="O36" s="285"/>
    </row>
    <row r="37" spans="1:15" s="214" customFormat="1" ht="34.5" customHeight="1" x14ac:dyDescent="0.2">
      <c r="A37" s="2">
        <v>72947</v>
      </c>
      <c r="B37" s="2" t="s">
        <v>14</v>
      </c>
      <c r="C37" s="178" t="s">
        <v>87</v>
      </c>
      <c r="D37" s="220" t="s">
        <v>82</v>
      </c>
      <c r="E37" s="2" t="s">
        <v>62</v>
      </c>
      <c r="F37" s="180">
        <f>MC!N126</f>
        <v>217.7544</v>
      </c>
      <c r="G37" s="221">
        <v>16.75</v>
      </c>
      <c r="H37" s="221">
        <f>(G37*$H$3)+G37</f>
        <v>21.195450000000001</v>
      </c>
      <c r="I37" s="221">
        <f t="shared" ref="I37" si="8">ROUND(H37*F37,2)</f>
        <v>4615.3999999999996</v>
      </c>
      <c r="J37" s="292">
        <f t="shared" si="2"/>
        <v>4.1234341957326354E-3</v>
      </c>
      <c r="K37" s="278"/>
      <c r="L37" s="279"/>
      <c r="M37" s="280"/>
      <c r="N37" s="281"/>
      <c r="O37" s="281"/>
    </row>
    <row r="38" spans="1:15" s="214" customFormat="1" ht="38.25" x14ac:dyDescent="0.2">
      <c r="A38" s="178">
        <v>40936</v>
      </c>
      <c r="B38" s="178" t="s">
        <v>336</v>
      </c>
      <c r="C38" s="178" t="s">
        <v>88</v>
      </c>
      <c r="D38" s="173" t="s">
        <v>236</v>
      </c>
      <c r="E38" s="2" t="s">
        <v>62</v>
      </c>
      <c r="F38" s="182">
        <f>MC!N139</f>
        <v>5.2349999999999994</v>
      </c>
      <c r="G38" s="221">
        <v>449.38</v>
      </c>
      <c r="H38" s="221">
        <f>(G38*$H$3)+G38</f>
        <v>568.64545199999998</v>
      </c>
      <c r="I38" s="221">
        <f>F38*H38</f>
        <v>2976.8589412199995</v>
      </c>
      <c r="J38" s="292">
        <f t="shared" si="2"/>
        <v>2.6595488915584766E-3</v>
      </c>
      <c r="K38" s="278"/>
      <c r="L38" s="279"/>
      <c r="M38" s="280"/>
      <c r="N38" s="281"/>
      <c r="O38" s="281"/>
    </row>
    <row r="39" spans="1:15" s="214" customFormat="1" ht="24.75" customHeight="1" x14ac:dyDescent="0.2">
      <c r="A39" s="344" t="s">
        <v>297</v>
      </c>
      <c r="B39" s="344"/>
      <c r="C39" s="344"/>
      <c r="D39" s="344"/>
      <c r="E39" s="344"/>
      <c r="F39" s="344"/>
      <c r="G39" s="344"/>
      <c r="H39" s="344"/>
      <c r="I39" s="276">
        <f>SUM(I37:I38)</f>
        <v>7592.2589412199995</v>
      </c>
      <c r="J39" s="292"/>
      <c r="K39" s="278"/>
      <c r="L39" s="279"/>
      <c r="M39" s="280"/>
      <c r="N39" s="281"/>
      <c r="O39" s="281"/>
    </row>
    <row r="40" spans="1:15" s="214" customFormat="1" ht="22.5" customHeight="1" x14ac:dyDescent="0.2">
      <c r="A40" s="342" t="s">
        <v>292</v>
      </c>
      <c r="B40" s="342"/>
      <c r="C40" s="342"/>
      <c r="D40" s="342"/>
      <c r="E40" s="342"/>
      <c r="F40" s="342"/>
      <c r="G40" s="342"/>
      <c r="H40" s="342"/>
      <c r="I40" s="342"/>
      <c r="J40" s="292">
        <f t="shared" si="2"/>
        <v>0</v>
      </c>
      <c r="K40" s="278"/>
      <c r="L40" s="279"/>
      <c r="M40" s="280"/>
      <c r="N40" s="281"/>
      <c r="O40" s="281"/>
    </row>
    <row r="41" spans="1:15" s="270" customFormat="1" ht="22.5" customHeight="1" x14ac:dyDescent="0.2">
      <c r="A41" s="343">
        <v>6</v>
      </c>
      <c r="B41" s="343"/>
      <c r="C41" s="343"/>
      <c r="D41" s="341" t="s">
        <v>48</v>
      </c>
      <c r="E41" s="341"/>
      <c r="F41" s="341"/>
      <c r="G41" s="341"/>
      <c r="H41" s="341"/>
      <c r="I41" s="341"/>
      <c r="J41" s="292">
        <f t="shared" si="2"/>
        <v>0</v>
      </c>
      <c r="K41" s="282"/>
      <c r="L41" s="283"/>
      <c r="M41" s="284"/>
      <c r="N41" s="285"/>
      <c r="O41" s="285"/>
    </row>
    <row r="42" spans="1:15" s="286" customFormat="1" ht="25.5" customHeight="1" x14ac:dyDescent="0.2">
      <c r="A42" s="218">
        <v>96001</v>
      </c>
      <c r="B42" s="218" t="s">
        <v>14</v>
      </c>
      <c r="C42" s="218" t="s">
        <v>144</v>
      </c>
      <c r="D42" s="224" t="s">
        <v>300</v>
      </c>
      <c r="E42" s="218" t="s">
        <v>299</v>
      </c>
      <c r="F42" s="219">
        <f>MC!N146</f>
        <v>1950.98</v>
      </c>
      <c r="G42" s="219">
        <v>5.17</v>
      </c>
      <c r="H42" s="222">
        <f>(G42*$H$3)+G42</f>
        <v>6.5421180000000003</v>
      </c>
      <c r="I42" s="219">
        <f>F42*H42</f>
        <v>12763.541375640001</v>
      </c>
      <c r="J42" s="292">
        <f t="shared" si="2"/>
        <v>1.1403046966018621E-2</v>
      </c>
      <c r="K42" s="287"/>
      <c r="L42" s="288"/>
      <c r="M42" s="289"/>
      <c r="N42" s="290"/>
      <c r="O42" s="290"/>
    </row>
    <row r="43" spans="1:15" s="286" customFormat="1" ht="12.75" customHeight="1" x14ac:dyDescent="0.2">
      <c r="A43" s="218">
        <v>72942</v>
      </c>
      <c r="B43" s="218" t="s">
        <v>14</v>
      </c>
      <c r="C43" s="218" t="s">
        <v>145</v>
      </c>
      <c r="D43" s="224" t="s">
        <v>303</v>
      </c>
      <c r="E43" s="218" t="s">
        <v>299</v>
      </c>
      <c r="F43" s="219">
        <f>MC!N150</f>
        <v>1950.98</v>
      </c>
      <c r="G43" s="219">
        <v>1.68</v>
      </c>
      <c r="H43" s="222">
        <f t="shared" ref="H43:H45" si="9">(G43*$H$3)+G43</f>
        <v>2.1258720000000002</v>
      </c>
      <c r="I43" s="219">
        <f t="shared" ref="I43:I45" si="10">F43*H43</f>
        <v>4147.5337545600005</v>
      </c>
      <c r="J43" s="292">
        <f t="shared" si="2"/>
        <v>3.7054388593638849E-3</v>
      </c>
      <c r="K43" s="287"/>
      <c r="L43" s="288"/>
      <c r="M43" s="289"/>
      <c r="N43" s="290"/>
      <c r="O43" s="290"/>
    </row>
    <row r="44" spans="1:15" s="286" customFormat="1" ht="25.5" customHeight="1" x14ac:dyDescent="0.2">
      <c r="A44" s="218">
        <v>95995</v>
      </c>
      <c r="B44" s="218" t="s">
        <v>14</v>
      </c>
      <c r="C44" s="218" t="s">
        <v>146</v>
      </c>
      <c r="D44" s="224" t="s">
        <v>302</v>
      </c>
      <c r="E44" s="218" t="s">
        <v>301</v>
      </c>
      <c r="F44" s="219">
        <f>MC!N154</f>
        <v>97.549000000000007</v>
      </c>
      <c r="G44" s="219">
        <v>987.93</v>
      </c>
      <c r="H44" s="222">
        <f t="shared" si="9"/>
        <v>1250.126622</v>
      </c>
      <c r="I44" s="219">
        <f t="shared" si="10"/>
        <v>121948.60184947801</v>
      </c>
      <c r="J44" s="292">
        <f t="shared" si="2"/>
        <v>0.10894982774795722</v>
      </c>
      <c r="K44" s="287"/>
      <c r="L44" s="288"/>
      <c r="M44" s="289"/>
      <c r="N44" s="290"/>
      <c r="O44" s="290"/>
    </row>
    <row r="45" spans="1:15" s="286" customFormat="1" ht="39.75" customHeight="1" x14ac:dyDescent="0.2">
      <c r="A45" s="218">
        <v>93177</v>
      </c>
      <c r="B45" s="218" t="s">
        <v>14</v>
      </c>
      <c r="C45" s="218" t="s">
        <v>341</v>
      </c>
      <c r="D45" s="224" t="s">
        <v>235</v>
      </c>
      <c r="E45" s="218" t="s">
        <v>304</v>
      </c>
      <c r="F45" s="219">
        <f>MC!N159</f>
        <v>3609.3130000000001</v>
      </c>
      <c r="G45" s="219">
        <v>1.81</v>
      </c>
      <c r="H45" s="222">
        <f t="shared" si="9"/>
        <v>2.2903739999999999</v>
      </c>
      <c r="I45" s="219">
        <f t="shared" si="10"/>
        <v>8266.6766530620007</v>
      </c>
      <c r="J45" s="292">
        <f t="shared" si="2"/>
        <v>7.3855131074880755E-3</v>
      </c>
      <c r="K45" s="287"/>
      <c r="L45" s="288"/>
      <c r="M45" s="289"/>
      <c r="N45" s="290"/>
      <c r="O45" s="290"/>
    </row>
    <row r="46" spans="1:15" s="214" customFormat="1" ht="24.75" customHeight="1" x14ac:dyDescent="0.2">
      <c r="A46" s="344" t="s">
        <v>297</v>
      </c>
      <c r="B46" s="344"/>
      <c r="C46" s="344"/>
      <c r="D46" s="344"/>
      <c r="E46" s="344"/>
      <c r="F46" s="344"/>
      <c r="G46" s="344"/>
      <c r="H46" s="344"/>
      <c r="I46" s="276">
        <f>SUM(I42:I45)</f>
        <v>147126.35363274001</v>
      </c>
      <c r="J46" s="292"/>
      <c r="K46" s="278"/>
      <c r="L46" s="279"/>
      <c r="M46" s="280"/>
      <c r="N46" s="281"/>
      <c r="O46" s="281"/>
    </row>
    <row r="47" spans="1:15" s="270" customFormat="1" ht="22.5" customHeight="1" x14ac:dyDescent="0.2">
      <c r="A47" s="343">
        <v>7</v>
      </c>
      <c r="B47" s="343"/>
      <c r="C47" s="343"/>
      <c r="D47" s="341" t="s">
        <v>324</v>
      </c>
      <c r="E47" s="341"/>
      <c r="F47" s="341"/>
      <c r="G47" s="341"/>
      <c r="H47" s="341"/>
      <c r="I47" s="341" t="str">
        <f>IF(TOT.P=0,"",H47*100/TOT.P)</f>
        <v/>
      </c>
      <c r="J47" s="292"/>
      <c r="K47" s="282"/>
      <c r="L47" s="283"/>
      <c r="M47" s="284"/>
      <c r="N47" s="285"/>
      <c r="O47" s="285"/>
    </row>
    <row r="48" spans="1:15" s="214" customFormat="1" ht="24.75" customHeight="1" x14ac:dyDescent="0.2">
      <c r="A48" s="2">
        <v>72947</v>
      </c>
      <c r="B48" s="2" t="s">
        <v>14</v>
      </c>
      <c r="C48" s="178" t="s">
        <v>147</v>
      </c>
      <c r="D48" s="220" t="s">
        <v>82</v>
      </c>
      <c r="E48" s="2" t="s">
        <v>62</v>
      </c>
      <c r="F48" s="180">
        <f>MC!N167</f>
        <v>140.80800000000005</v>
      </c>
      <c r="G48" s="221">
        <v>16.75</v>
      </c>
      <c r="H48" s="221">
        <f>(G48*$H$3)+G48</f>
        <v>21.195450000000001</v>
      </c>
      <c r="I48" s="221">
        <f>ROUND(H48*F48,2)</f>
        <v>2984.49</v>
      </c>
      <c r="J48" s="292">
        <f t="shared" si="2"/>
        <v>2.666366538722991E-3</v>
      </c>
      <c r="K48" s="278"/>
      <c r="L48" s="279"/>
      <c r="M48" s="280"/>
      <c r="N48" s="281"/>
      <c r="O48" s="281"/>
    </row>
    <row r="49" spans="1:15" s="214" customFormat="1" ht="38.25" x14ac:dyDescent="0.2">
      <c r="A49" s="178">
        <v>40936</v>
      </c>
      <c r="B49" s="178" t="s">
        <v>336</v>
      </c>
      <c r="C49" s="178" t="s">
        <v>148</v>
      </c>
      <c r="D49" s="173" t="s">
        <v>236</v>
      </c>
      <c r="E49" s="2" t="s">
        <v>62</v>
      </c>
      <c r="F49" s="183">
        <f>MC!N180</f>
        <v>2.7630000000000003</v>
      </c>
      <c r="G49" s="221">
        <v>449.38</v>
      </c>
      <c r="H49" s="221">
        <f>(G49*$H$3)+G49</f>
        <v>568.64545199999998</v>
      </c>
      <c r="I49" s="221">
        <f>F49*H49</f>
        <v>1571.167383876</v>
      </c>
      <c r="J49" s="292">
        <f t="shared" si="2"/>
        <v>1.4036931398999184E-3</v>
      </c>
      <c r="K49" s="278"/>
      <c r="L49" s="279"/>
      <c r="M49" s="280"/>
      <c r="N49" s="281"/>
      <c r="O49" s="281"/>
    </row>
    <row r="50" spans="1:15" s="214" customFormat="1" ht="22.5" customHeight="1" x14ac:dyDescent="0.2">
      <c r="A50" s="344" t="s">
        <v>298</v>
      </c>
      <c r="B50" s="344"/>
      <c r="C50" s="344"/>
      <c r="D50" s="344"/>
      <c r="E50" s="344"/>
      <c r="F50" s="344"/>
      <c r="G50" s="344"/>
      <c r="H50" s="344"/>
      <c r="I50" s="276">
        <f>SUM(I48:I49)</f>
        <v>4555.6573838759996</v>
      </c>
      <c r="J50" s="292">
        <f t="shared" si="2"/>
        <v>4.0700596786229087E-3</v>
      </c>
      <c r="K50" s="278"/>
      <c r="L50" s="279"/>
      <c r="M50" s="280"/>
      <c r="N50" s="281"/>
      <c r="O50" s="281"/>
    </row>
    <row r="51" spans="1:15" s="214" customFormat="1" x14ac:dyDescent="0.2">
      <c r="A51" s="348"/>
      <c r="B51" s="348"/>
      <c r="C51" s="348"/>
      <c r="D51" s="348"/>
      <c r="E51" s="348"/>
      <c r="F51" s="348"/>
      <c r="G51" s="348"/>
      <c r="H51" s="223"/>
      <c r="I51" s="216"/>
      <c r="J51" s="292">
        <f t="shared" si="2"/>
        <v>0</v>
      </c>
      <c r="K51" s="278"/>
      <c r="L51" s="279"/>
      <c r="M51" s="280"/>
      <c r="N51" s="281"/>
      <c r="O51" s="281"/>
    </row>
    <row r="52" spans="1:15" s="214" customFormat="1" ht="22.5" customHeight="1" x14ac:dyDescent="0.2">
      <c r="A52" s="342" t="s">
        <v>339</v>
      </c>
      <c r="B52" s="342"/>
      <c r="C52" s="342"/>
      <c r="D52" s="342"/>
      <c r="E52" s="342"/>
      <c r="F52" s="342"/>
      <c r="G52" s="342"/>
      <c r="H52" s="342"/>
      <c r="I52" s="342"/>
      <c r="J52" s="292">
        <f t="shared" si="2"/>
        <v>0</v>
      </c>
      <c r="K52" s="278"/>
      <c r="L52" s="279"/>
      <c r="M52" s="280"/>
      <c r="N52" s="281"/>
      <c r="O52" s="281"/>
    </row>
    <row r="53" spans="1:15" s="270" customFormat="1" ht="22.5" customHeight="1" x14ac:dyDescent="0.2">
      <c r="A53" s="343">
        <v>8</v>
      </c>
      <c r="B53" s="343"/>
      <c r="C53" s="343"/>
      <c r="D53" s="341" t="s">
        <v>16</v>
      </c>
      <c r="E53" s="341"/>
      <c r="F53" s="341"/>
      <c r="G53" s="341"/>
      <c r="H53" s="341"/>
      <c r="I53" s="341"/>
      <c r="J53" s="292">
        <f t="shared" si="2"/>
        <v>0</v>
      </c>
      <c r="K53" s="282"/>
      <c r="L53" s="283"/>
      <c r="M53" s="284"/>
      <c r="N53" s="285"/>
      <c r="O53" s="285"/>
    </row>
    <row r="54" spans="1:15" ht="25.5" x14ac:dyDescent="0.2">
      <c r="A54" s="178">
        <v>97636</v>
      </c>
      <c r="B54" s="178" t="s">
        <v>14</v>
      </c>
      <c r="C54" s="178" t="s">
        <v>150</v>
      </c>
      <c r="D54" s="173" t="s">
        <v>346</v>
      </c>
      <c r="E54" s="178" t="s">
        <v>299</v>
      </c>
      <c r="F54" s="179">
        <f>MC!N224</f>
        <v>1800.3800000000003</v>
      </c>
      <c r="G54" s="178">
        <v>9.74</v>
      </c>
      <c r="H54" s="217">
        <f>(G54*$H$3)+G54</f>
        <v>12.324996000000001</v>
      </c>
      <c r="I54" s="179">
        <f>F54*H54</f>
        <v>22189.676298480004</v>
      </c>
      <c r="J54" s="292">
        <f t="shared" si="2"/>
        <v>1.9824429094204277E-2</v>
      </c>
      <c r="K54" s="278"/>
      <c r="L54" s="293"/>
      <c r="M54" s="294"/>
      <c r="N54" s="295"/>
      <c r="O54" s="295"/>
    </row>
    <row r="55" spans="1:15" ht="38.25" x14ac:dyDescent="0.2">
      <c r="A55" s="178">
        <v>96396</v>
      </c>
      <c r="B55" s="178" t="s">
        <v>14</v>
      </c>
      <c r="C55" s="178" t="s">
        <v>151</v>
      </c>
      <c r="D55" s="173" t="s">
        <v>342</v>
      </c>
      <c r="E55" s="178" t="s">
        <v>301</v>
      </c>
      <c r="F55" s="179">
        <f>MC!N268</f>
        <v>180.03800000000004</v>
      </c>
      <c r="G55" s="178">
        <v>120.16</v>
      </c>
      <c r="H55" s="217">
        <f t="shared" ref="H55:H61" si="11">(G55*$H$3)+G55</f>
        <v>152.05046400000001</v>
      </c>
      <c r="I55" s="179">
        <f t="shared" ref="I55:I61" si="12">F55*H55</f>
        <v>27374.861437632007</v>
      </c>
      <c r="J55" s="292">
        <f t="shared" si="2"/>
        <v>2.4456913757285276E-2</v>
      </c>
      <c r="K55" s="278"/>
      <c r="L55" s="293"/>
      <c r="M55" s="294"/>
      <c r="N55" s="295"/>
      <c r="O55" s="295"/>
    </row>
    <row r="56" spans="1:15" ht="25.5" x14ac:dyDescent="0.2">
      <c r="A56" s="178">
        <v>95996</v>
      </c>
      <c r="B56" s="178" t="s">
        <v>14</v>
      </c>
      <c r="C56" s="178" t="s">
        <v>90</v>
      </c>
      <c r="D56" s="173" t="s">
        <v>347</v>
      </c>
      <c r="E56" s="178" t="s">
        <v>301</v>
      </c>
      <c r="F56" s="179">
        <f>MC!N312</f>
        <v>90.01900000000002</v>
      </c>
      <c r="G56" s="178">
        <v>937.27</v>
      </c>
      <c r="H56" s="217">
        <f t="shared" si="11"/>
        <v>1186.0214579999999</v>
      </c>
      <c r="I56" s="179">
        <f t="shared" si="12"/>
        <v>106764.46562770201</v>
      </c>
      <c r="J56" s="292">
        <f t="shared" si="2"/>
        <v>9.5384202551975564E-2</v>
      </c>
      <c r="K56" s="278"/>
      <c r="L56" s="293"/>
      <c r="M56" s="294"/>
      <c r="N56" s="295"/>
      <c r="O56" s="295"/>
    </row>
    <row r="57" spans="1:15" ht="25.5" x14ac:dyDescent="0.2">
      <c r="A57" s="178">
        <v>95875</v>
      </c>
      <c r="B57" s="178" t="s">
        <v>14</v>
      </c>
      <c r="C57" s="178" t="s">
        <v>352</v>
      </c>
      <c r="D57" s="173" t="s">
        <v>344</v>
      </c>
      <c r="E57" s="178" t="s">
        <v>343</v>
      </c>
      <c r="F57" s="179">
        <f>MC!N318</f>
        <v>6301.3300000000017</v>
      </c>
      <c r="G57" s="178">
        <v>0.98</v>
      </c>
      <c r="H57" s="217">
        <f t="shared" si="11"/>
        <v>1.240092</v>
      </c>
      <c r="I57" s="179">
        <f t="shared" si="12"/>
        <v>7814.2289223600019</v>
      </c>
      <c r="J57" s="292">
        <f t="shared" si="2"/>
        <v>6.9812927919015062E-3</v>
      </c>
      <c r="K57" s="278"/>
      <c r="L57" s="293"/>
      <c r="M57" s="294"/>
      <c r="N57" s="295"/>
      <c r="O57" s="295"/>
    </row>
    <row r="58" spans="1:15" ht="25.5" x14ac:dyDescent="0.2">
      <c r="A58" s="178">
        <v>98409</v>
      </c>
      <c r="B58" s="178" t="s">
        <v>14</v>
      </c>
      <c r="C58" s="178" t="s">
        <v>353</v>
      </c>
      <c r="D58" s="173" t="s">
        <v>345</v>
      </c>
      <c r="E58" s="178" t="s">
        <v>246</v>
      </c>
      <c r="F58" s="179">
        <f>MC!N329</f>
        <v>6.9000000000000012</v>
      </c>
      <c r="G58" s="178">
        <v>257.62</v>
      </c>
      <c r="H58" s="217">
        <f t="shared" si="11"/>
        <v>325.99234799999999</v>
      </c>
      <c r="I58" s="179">
        <f t="shared" si="12"/>
        <v>2249.3472012000002</v>
      </c>
      <c r="J58" s="292">
        <f t="shared" si="2"/>
        <v>2.0095842543449271E-3</v>
      </c>
      <c r="K58" s="278"/>
      <c r="L58" s="293"/>
      <c r="M58" s="294"/>
      <c r="N58" s="295"/>
      <c r="O58" s="295"/>
    </row>
    <row r="59" spans="1:15" ht="51" x14ac:dyDescent="0.2">
      <c r="A59" s="178" t="s">
        <v>348</v>
      </c>
      <c r="C59" s="178" t="s">
        <v>354</v>
      </c>
      <c r="D59" s="173" t="s">
        <v>230</v>
      </c>
      <c r="E59" s="178" t="s">
        <v>165</v>
      </c>
      <c r="F59" s="179">
        <f>MC!N340</f>
        <v>35</v>
      </c>
      <c r="G59" s="296">
        <f>'COMPOSIÇÃO 02'!I25</f>
        <v>38.627461120000007</v>
      </c>
      <c r="H59" s="217">
        <f t="shared" si="11"/>
        <v>48.879189301248012</v>
      </c>
      <c r="I59" s="179">
        <f t="shared" si="12"/>
        <v>1710.7716255436803</v>
      </c>
      <c r="J59" s="292">
        <f t="shared" si="2"/>
        <v>1.5284166533466046E-3</v>
      </c>
      <c r="K59" s="278"/>
      <c r="L59" s="293"/>
      <c r="M59" s="294"/>
      <c r="N59" s="295"/>
      <c r="O59" s="295"/>
    </row>
    <row r="60" spans="1:15" ht="51" x14ac:dyDescent="0.2">
      <c r="A60" s="178" t="s">
        <v>349</v>
      </c>
      <c r="C60" s="178" t="s">
        <v>355</v>
      </c>
      <c r="D60" s="173" t="s">
        <v>229</v>
      </c>
      <c r="E60" s="178" t="s">
        <v>165</v>
      </c>
      <c r="F60" s="179">
        <f>MC!N351</f>
        <v>35</v>
      </c>
      <c r="G60" s="296">
        <f>'COMPOSIÇÃO 03'!I25</f>
        <v>55.663165120000002</v>
      </c>
      <c r="H60" s="217">
        <f t="shared" si="11"/>
        <v>70.436169142848001</v>
      </c>
      <c r="I60" s="179">
        <f t="shared" si="12"/>
        <v>2465.2659199996801</v>
      </c>
      <c r="J60" s="292">
        <f t="shared" si="2"/>
        <v>2.20248771419616E-3</v>
      </c>
      <c r="K60" s="278"/>
      <c r="L60" s="293"/>
      <c r="M60" s="294"/>
      <c r="N60" s="295"/>
      <c r="O60" s="295"/>
    </row>
    <row r="61" spans="1:15" ht="25.5" x14ac:dyDescent="0.2">
      <c r="A61" s="178">
        <v>78472</v>
      </c>
      <c r="B61" s="178" t="s">
        <v>14</v>
      </c>
      <c r="C61" s="178" t="s">
        <v>356</v>
      </c>
      <c r="D61" s="173" t="s">
        <v>60</v>
      </c>
      <c r="E61" s="178" t="s">
        <v>299</v>
      </c>
      <c r="F61" s="179">
        <f>MC!N357</f>
        <v>11591.3</v>
      </c>
      <c r="G61" s="178">
        <v>0.33</v>
      </c>
      <c r="H61" s="217">
        <f t="shared" si="11"/>
        <v>0.41758200000000001</v>
      </c>
      <c r="I61" s="179">
        <f t="shared" si="12"/>
        <v>4840.3182366000001</v>
      </c>
      <c r="J61" s="292">
        <f t="shared" si="2"/>
        <v>4.3243778946623762E-3</v>
      </c>
      <c r="K61" s="278"/>
      <c r="L61" s="293"/>
      <c r="M61" s="294"/>
      <c r="N61" s="295"/>
      <c r="O61" s="295"/>
    </row>
    <row r="62" spans="1:15" s="214" customFormat="1" ht="22.5" customHeight="1" x14ac:dyDescent="0.2">
      <c r="A62" s="344" t="s">
        <v>298</v>
      </c>
      <c r="B62" s="344"/>
      <c r="C62" s="344"/>
      <c r="D62" s="344"/>
      <c r="E62" s="344"/>
      <c r="F62" s="344"/>
      <c r="G62" s="344"/>
      <c r="H62" s="344"/>
      <c r="I62" s="276">
        <f>SUM(I54:I61)</f>
        <v>175408.93526951739</v>
      </c>
      <c r="J62" s="292"/>
      <c r="K62" s="278"/>
      <c r="L62" s="279"/>
      <c r="M62" s="280"/>
      <c r="N62" s="281"/>
      <c r="O62" s="281"/>
    </row>
    <row r="63" spans="1:15" s="270" customFormat="1" ht="18.600000000000001" customHeight="1" x14ac:dyDescent="0.2">
      <c r="A63" s="343" t="s">
        <v>13</v>
      </c>
      <c r="B63" s="343"/>
      <c r="C63" s="343"/>
      <c r="D63" s="343"/>
      <c r="E63" s="343"/>
      <c r="F63" s="343"/>
      <c r="G63" s="343"/>
      <c r="H63" s="343"/>
      <c r="I63" s="297">
        <f>I17+I24+I28+I35+I39+I46+I50+I62</f>
        <v>1119309.7260474055</v>
      </c>
      <c r="J63" s="312"/>
      <c r="K63" s="298"/>
      <c r="L63" s="283"/>
      <c r="M63" s="284"/>
      <c r="N63" s="285"/>
      <c r="O63" s="285"/>
    </row>
    <row r="64" spans="1:15" s="214" customFormat="1" ht="18.600000000000001" customHeight="1" x14ac:dyDescent="0.2">
      <c r="A64" s="178"/>
      <c r="B64" s="178"/>
      <c r="C64" s="178"/>
      <c r="D64" s="173"/>
      <c r="E64" s="178"/>
      <c r="F64" s="178"/>
      <c r="G64" s="178"/>
      <c r="H64" s="223"/>
      <c r="I64" s="178"/>
      <c r="J64" s="292"/>
      <c r="K64" s="278"/>
      <c r="L64" s="279"/>
      <c r="M64" s="280"/>
      <c r="N64" s="281"/>
      <c r="O64" s="281"/>
    </row>
    <row r="65" spans="1:19" s="214" customFormat="1" ht="18.600000000000001" customHeight="1" x14ac:dyDescent="0.2">
      <c r="A65" s="178"/>
      <c r="B65" s="178"/>
      <c r="C65" s="178"/>
      <c r="D65" s="299"/>
      <c r="E65" s="178"/>
      <c r="F65" s="328"/>
      <c r="G65" s="328"/>
      <c r="H65" s="328"/>
      <c r="I65" s="178"/>
      <c r="J65" s="292"/>
      <c r="K65" s="278"/>
      <c r="L65" s="279"/>
      <c r="M65" s="280"/>
      <c r="N65" s="281"/>
      <c r="O65" s="281"/>
    </row>
    <row r="66" spans="1:19" s="214" customFormat="1" ht="18.600000000000001" customHeight="1" x14ac:dyDescent="0.2">
      <c r="A66" s="178"/>
      <c r="B66" s="178"/>
      <c r="C66" s="178"/>
      <c r="D66" s="299"/>
      <c r="E66" s="178"/>
      <c r="F66" s="328"/>
      <c r="G66" s="328"/>
      <c r="H66" s="328"/>
      <c r="I66" s="178"/>
      <c r="J66" s="292"/>
      <c r="K66" s="278"/>
      <c r="L66" s="279"/>
      <c r="M66" s="280"/>
      <c r="N66" s="281"/>
      <c r="O66" s="281"/>
    </row>
    <row r="67" spans="1:19" s="214" customFormat="1" ht="18.600000000000001" customHeight="1" x14ac:dyDescent="0.2">
      <c r="A67" s="178"/>
      <c r="B67" s="178"/>
      <c r="C67" s="178"/>
      <c r="D67" s="300"/>
      <c r="E67" s="178"/>
      <c r="F67" s="130"/>
      <c r="G67" s="130"/>
      <c r="H67" s="130"/>
      <c r="I67" s="178"/>
      <c r="J67" s="292"/>
      <c r="K67" s="278"/>
      <c r="L67" s="279"/>
      <c r="M67" s="280"/>
      <c r="N67" s="281"/>
      <c r="O67" s="281"/>
    </row>
    <row r="68" spans="1:19" s="214" customFormat="1" ht="18.600000000000001" customHeight="1" x14ac:dyDescent="0.2">
      <c r="A68" s="178"/>
      <c r="B68" s="178"/>
      <c r="C68" s="178"/>
      <c r="D68" s="173"/>
      <c r="E68" s="178"/>
      <c r="F68" s="231"/>
      <c r="G68" s="231"/>
      <c r="H68" s="231"/>
      <c r="I68" s="178"/>
      <c r="J68" s="292"/>
      <c r="K68" s="278"/>
      <c r="L68" s="279"/>
      <c r="M68" s="280"/>
      <c r="N68" s="281"/>
      <c r="O68" s="281"/>
    </row>
    <row r="69" spans="1:19" s="214" customFormat="1" ht="18.600000000000001" customHeight="1" x14ac:dyDescent="0.2">
      <c r="A69" s="178"/>
      <c r="B69" s="178"/>
      <c r="C69" s="178"/>
      <c r="D69" s="173"/>
      <c r="E69" s="178"/>
      <c r="F69" s="178"/>
      <c r="G69" s="178"/>
      <c r="H69" s="223"/>
      <c r="I69" s="178"/>
      <c r="J69" s="292"/>
      <c r="K69" s="278"/>
      <c r="L69" s="279"/>
      <c r="M69" s="280"/>
      <c r="N69" s="281"/>
      <c r="O69" s="281"/>
    </row>
    <row r="70" spans="1:19" s="214" customFormat="1" ht="18.600000000000001" customHeight="1" x14ac:dyDescent="0.2">
      <c r="A70" s="178"/>
      <c r="B70" s="178"/>
      <c r="C70" s="178"/>
      <c r="D70" s="173"/>
      <c r="E70" s="178"/>
      <c r="F70" s="178"/>
      <c r="G70" s="178"/>
      <c r="H70" s="223"/>
      <c r="I70" s="178"/>
      <c r="J70" s="292"/>
      <c r="K70" s="278"/>
      <c r="L70" s="279"/>
      <c r="M70" s="280"/>
      <c r="N70" s="281"/>
      <c r="O70" s="281"/>
    </row>
    <row r="71" spans="1:19" s="214" customFormat="1" ht="18.600000000000001" customHeight="1" x14ac:dyDescent="0.2">
      <c r="A71" s="178"/>
      <c r="B71" s="178"/>
      <c r="C71" s="178"/>
      <c r="D71" s="173"/>
      <c r="E71" s="178"/>
      <c r="F71" s="178"/>
      <c r="G71" s="178"/>
      <c r="H71" s="223"/>
      <c r="I71" s="178"/>
      <c r="J71" s="292"/>
      <c r="K71" s="278"/>
      <c r="L71" s="279"/>
      <c r="M71" s="280"/>
      <c r="N71" s="281"/>
      <c r="O71" s="281"/>
    </row>
    <row r="72" spans="1:19" s="214" customFormat="1" ht="18.600000000000001" customHeight="1" x14ac:dyDescent="0.2">
      <c r="A72" s="178"/>
      <c r="B72" s="178"/>
      <c r="C72" s="178"/>
      <c r="D72" s="300"/>
      <c r="E72" s="301"/>
      <c r="F72" s="301"/>
      <c r="G72" s="178"/>
      <c r="H72" s="223"/>
      <c r="I72" s="178"/>
      <c r="J72" s="292"/>
      <c r="K72" s="278"/>
      <c r="L72" s="279"/>
      <c r="M72" s="280"/>
      <c r="N72" s="281"/>
      <c r="O72" s="281"/>
    </row>
    <row r="73" spans="1:19" s="214" customFormat="1" ht="18.600000000000001" customHeight="1" x14ac:dyDescent="0.2">
      <c r="A73" s="178"/>
      <c r="B73" s="178"/>
      <c r="C73" s="178"/>
      <c r="D73" s="173"/>
      <c r="E73" s="178"/>
      <c r="F73" s="178"/>
      <c r="G73" s="178"/>
      <c r="H73" s="223"/>
      <c r="I73" s="178"/>
      <c r="J73" s="313"/>
      <c r="K73" s="302"/>
      <c r="L73" s="302"/>
      <c r="M73" s="302"/>
      <c r="N73" s="302"/>
      <c r="O73" s="302"/>
      <c r="P73" s="302"/>
      <c r="Q73" s="302"/>
      <c r="R73" s="302"/>
      <c r="S73" s="303"/>
    </row>
    <row r="74" spans="1:19" s="214" customFormat="1" ht="18.600000000000001" customHeight="1" x14ac:dyDescent="0.2">
      <c r="A74" s="178"/>
      <c r="B74" s="178"/>
      <c r="C74" s="178"/>
      <c r="D74" s="173"/>
      <c r="E74" s="178"/>
      <c r="F74" s="178"/>
      <c r="G74" s="178"/>
      <c r="H74" s="223"/>
      <c r="I74" s="178"/>
      <c r="J74" s="313"/>
      <c r="K74" s="302"/>
      <c r="L74" s="302"/>
      <c r="M74" s="302"/>
      <c r="N74" s="302"/>
      <c r="O74" s="302"/>
      <c r="P74" s="302"/>
      <c r="Q74" s="349"/>
      <c r="R74" s="349"/>
      <c r="S74" s="349"/>
    </row>
    <row r="75" spans="1:19" s="214" customFormat="1" ht="18" customHeight="1" x14ac:dyDescent="0.2">
      <c r="A75" s="178"/>
      <c r="B75" s="178"/>
      <c r="C75" s="178"/>
      <c r="D75" s="173"/>
      <c r="E75" s="178"/>
      <c r="F75" s="178"/>
      <c r="G75" s="178"/>
      <c r="H75" s="223"/>
      <c r="I75" s="178"/>
      <c r="J75" s="313"/>
      <c r="K75" s="302"/>
      <c r="L75" s="302"/>
      <c r="M75" s="302"/>
      <c r="N75" s="302"/>
      <c r="O75" s="302"/>
      <c r="P75" s="302"/>
      <c r="Q75" s="349"/>
      <c r="R75" s="349"/>
      <c r="S75" s="349"/>
    </row>
    <row r="76" spans="1:19" x14ac:dyDescent="0.2">
      <c r="J76" s="314"/>
      <c r="K76" s="304"/>
      <c r="L76" s="304"/>
      <c r="M76" s="304"/>
      <c r="N76" s="304"/>
      <c r="O76" s="304"/>
      <c r="P76" s="304"/>
      <c r="Q76" s="346"/>
      <c r="R76" s="346"/>
      <c r="S76" s="346"/>
    </row>
    <row r="77" spans="1:19" ht="15.75" customHeight="1" x14ac:dyDescent="0.2">
      <c r="J77" s="314"/>
      <c r="K77" s="304"/>
      <c r="L77" s="304"/>
      <c r="M77" s="304"/>
      <c r="N77" s="304"/>
      <c r="O77" s="304"/>
      <c r="P77" s="304"/>
      <c r="Q77" s="346"/>
      <c r="R77" s="346"/>
      <c r="S77" s="346"/>
    </row>
    <row r="78" spans="1:19" x14ac:dyDescent="0.2">
      <c r="N78" s="304"/>
      <c r="P78" s="347"/>
      <c r="Q78" s="347"/>
      <c r="R78" s="347"/>
    </row>
    <row r="79" spans="1:19" ht="18" customHeight="1" x14ac:dyDescent="0.2">
      <c r="N79" s="304"/>
      <c r="P79" s="346"/>
      <c r="Q79" s="346"/>
      <c r="R79" s="346"/>
    </row>
    <row r="80" spans="1:19" x14ac:dyDescent="0.2">
      <c r="N80" s="304"/>
      <c r="P80" s="346"/>
      <c r="Q80" s="346"/>
      <c r="R80" s="346"/>
    </row>
    <row r="81" spans="15:18" x14ac:dyDescent="0.2">
      <c r="P81" s="346"/>
      <c r="Q81" s="346"/>
      <c r="R81" s="346"/>
    </row>
    <row r="82" spans="15:18" x14ac:dyDescent="0.2">
      <c r="O82" s="306"/>
      <c r="P82" s="304"/>
      <c r="R82" s="305"/>
    </row>
    <row r="83" spans="15:18" x14ac:dyDescent="0.2">
      <c r="O83" s="304"/>
      <c r="P83" s="304"/>
      <c r="R83" s="305"/>
    </row>
  </sheetData>
  <mergeCells count="51">
    <mergeCell ref="A4:D4"/>
    <mergeCell ref="Q74:S74"/>
    <mergeCell ref="A40:I40"/>
    <mergeCell ref="A41:C41"/>
    <mergeCell ref="A47:C47"/>
    <mergeCell ref="D41:I41"/>
    <mergeCell ref="D47:I47"/>
    <mergeCell ref="A50:H50"/>
    <mergeCell ref="A62:H62"/>
    <mergeCell ref="A5:A6"/>
    <mergeCell ref="I5:I6"/>
    <mergeCell ref="G5:H5"/>
    <mergeCell ref="D5:D6"/>
    <mergeCell ref="E5:E6"/>
    <mergeCell ref="C5:C6"/>
    <mergeCell ref="F5:F6"/>
    <mergeCell ref="B5:B6"/>
    <mergeCell ref="P81:R81"/>
    <mergeCell ref="P78:R78"/>
    <mergeCell ref="A18:I18"/>
    <mergeCell ref="P79:R79"/>
    <mergeCell ref="A51:G51"/>
    <mergeCell ref="P80:R80"/>
    <mergeCell ref="Q75:S75"/>
    <mergeCell ref="Q76:S76"/>
    <mergeCell ref="Q77:S77"/>
    <mergeCell ref="A35:H35"/>
    <mergeCell ref="A24:H24"/>
    <mergeCell ref="A46:H46"/>
    <mergeCell ref="A39:H39"/>
    <mergeCell ref="A63:H63"/>
    <mergeCell ref="D19:I19"/>
    <mergeCell ref="G2:H2"/>
    <mergeCell ref="A1:I1"/>
    <mergeCell ref="A2:D2"/>
    <mergeCell ref="A3:D3"/>
    <mergeCell ref="D7:I7"/>
    <mergeCell ref="A52:I52"/>
    <mergeCell ref="A53:C53"/>
    <mergeCell ref="D53:I53"/>
    <mergeCell ref="A7:C7"/>
    <mergeCell ref="A19:C19"/>
    <mergeCell ref="A25:C25"/>
    <mergeCell ref="A30:C30"/>
    <mergeCell ref="A36:C36"/>
    <mergeCell ref="A28:H28"/>
    <mergeCell ref="A17:H17"/>
    <mergeCell ref="A29:I29"/>
    <mergeCell ref="D36:I36"/>
    <mergeCell ref="D30:I30"/>
    <mergeCell ref="D25:I25"/>
  </mergeCells>
  <phoneticPr fontId="9" type="noConversion"/>
  <printOptions horizontalCentered="1"/>
  <pageMargins left="0.78740157480314965" right="0.78740157480314965" top="1.1811023622047245" bottom="0.98425196850393704" header="0" footer="0"/>
  <pageSetup paperSize="9" scale="71" firstPageNumber="0" fitToHeight="0" orientation="landscape" horizontalDpi="4294967294" verticalDpi="4294967294" r:id="rId1"/>
  <headerFooter alignWithMargins="0"/>
  <rowBreaks count="1" manualBreakCount="1">
    <brk id="68" max="7" man="1"/>
  </rowBreaks>
  <drawing r:id="rId2"/>
  <legacyDrawing r:id="rId3"/>
  <oleObjects>
    <mc:AlternateContent xmlns:mc="http://schemas.openxmlformats.org/markup-compatibility/2006">
      <mc:Choice Requires="x14">
        <oleObject progId="StaticMetafile" shapeId="1198" r:id="rId4">
          <objectPr defaultSize="0" autoPict="0" r:id="rId5">
            <anchor moveWithCells="1" sizeWithCells="1">
              <from>
                <xdr:col>0</xdr:col>
                <xdr:colOff>76200</xdr:colOff>
                <xdr:row>0</xdr:row>
                <xdr:rowOff>28575</xdr:rowOff>
              </from>
              <to>
                <xdr:col>0</xdr:col>
                <xdr:colOff>714375</xdr:colOff>
                <xdr:row>0</xdr:row>
                <xdr:rowOff>723900</xdr:rowOff>
              </to>
            </anchor>
          </objectPr>
        </oleObject>
      </mc:Choice>
      <mc:Fallback>
        <oleObject progId="StaticMetafile" shapeId="119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95"/>
  <sheetViews>
    <sheetView view="pageBreakPreview" zoomScaleNormal="100" zoomScaleSheetLayoutView="100" workbookViewId="0">
      <pane ySplit="5" topLeftCell="A6" activePane="bottomLeft" state="frozenSplit"/>
      <selection pane="bottomLeft" activeCell="A13" sqref="A13:XFD13"/>
    </sheetView>
  </sheetViews>
  <sheetFormatPr defaultRowHeight="12.75" x14ac:dyDescent="0.2"/>
  <cols>
    <col min="1" max="1" width="15.42578125" style="240" customWidth="1"/>
    <col min="2" max="2" width="54.42578125" style="20" customWidth="1"/>
    <col min="3" max="9" width="9.140625" style="241"/>
    <col min="10" max="10" width="13.28515625" style="241" customWidth="1"/>
    <col min="11" max="14" width="9.140625" style="241"/>
    <col min="15" max="16384" width="9.140625" style="20"/>
  </cols>
  <sheetData>
    <row r="1" spans="1:16" s="231" customFormat="1" ht="15" customHeight="1" x14ac:dyDescent="0.2">
      <c r="A1" s="361"/>
      <c r="B1" s="508" t="s">
        <v>37</v>
      </c>
      <c r="C1" s="508"/>
      <c r="D1" s="508"/>
      <c r="E1" s="508"/>
      <c r="F1" s="508"/>
      <c r="G1" s="508"/>
      <c r="H1" s="508"/>
      <c r="I1" s="508"/>
      <c r="J1" s="508"/>
      <c r="K1" s="508"/>
      <c r="L1" s="508"/>
      <c r="M1" s="508"/>
      <c r="N1" s="508"/>
      <c r="O1" s="230"/>
      <c r="P1" s="230"/>
    </row>
    <row r="2" spans="1:16" s="231" customFormat="1" ht="15" customHeight="1" x14ac:dyDescent="0.2">
      <c r="A2" s="362"/>
      <c r="B2" s="509" t="str">
        <f>PLANILHA!A2</f>
        <v>PREFEITURA MUNICIPAL DE JOÃO NEIVA / ES</v>
      </c>
      <c r="C2" s="509"/>
      <c r="D2" s="509"/>
      <c r="E2" s="509"/>
      <c r="F2" s="509"/>
      <c r="G2" s="509"/>
      <c r="H2" s="509"/>
      <c r="I2" s="509"/>
      <c r="J2" s="510" t="s">
        <v>42</v>
      </c>
      <c r="K2" s="511">
        <f>N59+N104+N146</f>
        <v>11591.3</v>
      </c>
      <c r="L2" s="511"/>
      <c r="M2" s="511"/>
      <c r="N2" s="511"/>
    </row>
    <row r="3" spans="1:16" s="231" customFormat="1" ht="15" customHeight="1" x14ac:dyDescent="0.2">
      <c r="A3" s="362"/>
      <c r="B3" s="509" t="str">
        <f>PLANILHA!A3</f>
        <v>OBJETO: RECAPEAMENTO ASFÁLTICO DE DIVERSAS VIAS DA SEDE DO MUNICÍPIO DE JOÃO NEIVA</v>
      </c>
      <c r="C3" s="509"/>
      <c r="D3" s="509"/>
      <c r="E3" s="509"/>
      <c r="F3" s="509"/>
      <c r="G3" s="509"/>
      <c r="H3" s="509"/>
      <c r="I3" s="509"/>
      <c r="J3" s="510" t="s">
        <v>213</v>
      </c>
      <c r="K3" s="512" t="str">
        <f>PLANILHA!H4</f>
        <v>Novembro/2019</v>
      </c>
      <c r="L3" s="512"/>
      <c r="M3" s="512"/>
      <c r="N3" s="512"/>
    </row>
    <row r="4" spans="1:16" s="231" customFormat="1" ht="15" customHeight="1" x14ac:dyDescent="0.2">
      <c r="A4" s="363"/>
      <c r="B4" s="513" t="str">
        <f>PLANILHA!A4</f>
        <v>ORÇAMENTISTA: JEFYSON SILVA LOUREIRO - CREA-ES 0047233/D</v>
      </c>
      <c r="C4" s="514"/>
      <c r="D4" s="514"/>
      <c r="E4" s="514"/>
      <c r="F4" s="514"/>
      <c r="G4" s="514"/>
      <c r="H4" s="514"/>
      <c r="I4" s="514"/>
      <c r="J4" s="514"/>
      <c r="K4" s="514"/>
      <c r="L4" s="514"/>
      <c r="M4" s="514"/>
      <c r="N4" s="500"/>
    </row>
    <row r="5" spans="1:16" s="23" customFormat="1" ht="38.25" x14ac:dyDescent="0.2">
      <c r="A5" s="233" t="s">
        <v>1</v>
      </c>
      <c r="B5" s="234" t="s">
        <v>38</v>
      </c>
      <c r="C5" s="235" t="s">
        <v>39</v>
      </c>
      <c r="D5" s="235" t="s">
        <v>17</v>
      </c>
      <c r="E5" s="235" t="s">
        <v>40</v>
      </c>
      <c r="F5" s="235" t="s">
        <v>41</v>
      </c>
      <c r="G5" s="235" t="s">
        <v>42</v>
      </c>
      <c r="H5" s="235" t="s">
        <v>43</v>
      </c>
      <c r="I5" s="235" t="s">
        <v>44</v>
      </c>
      <c r="J5" s="235" t="s">
        <v>45</v>
      </c>
      <c r="K5" s="235" t="s">
        <v>46</v>
      </c>
      <c r="L5" s="235" t="s">
        <v>47</v>
      </c>
      <c r="M5" s="235" t="s">
        <v>234</v>
      </c>
      <c r="N5" s="235" t="s">
        <v>5</v>
      </c>
      <c r="O5" s="15"/>
    </row>
    <row r="6" spans="1:16" s="237" customFormat="1" x14ac:dyDescent="0.2">
      <c r="A6" s="17"/>
      <c r="B6" s="236"/>
      <c r="C6" s="16"/>
      <c r="D6" s="16"/>
      <c r="E6" s="16"/>
      <c r="F6" s="16"/>
      <c r="G6" s="16"/>
      <c r="H6" s="16"/>
      <c r="I6" s="16"/>
      <c r="J6" s="16"/>
      <c r="K6" s="16"/>
      <c r="L6" s="16"/>
      <c r="M6" s="16"/>
      <c r="N6" s="16"/>
      <c r="O6" s="17"/>
    </row>
    <row r="7" spans="1:16" s="239" customFormat="1" x14ac:dyDescent="0.2">
      <c r="A7" s="238" t="s">
        <v>7</v>
      </c>
      <c r="B7" s="352" t="s">
        <v>54</v>
      </c>
      <c r="C7" s="352"/>
      <c r="D7" s="352"/>
      <c r="E7" s="352"/>
      <c r="F7" s="352"/>
      <c r="G7" s="352"/>
      <c r="H7" s="352"/>
      <c r="I7" s="352"/>
      <c r="J7" s="352"/>
      <c r="K7" s="352"/>
      <c r="L7" s="352"/>
      <c r="M7" s="352"/>
      <c r="N7" s="352"/>
    </row>
    <row r="8" spans="1:16" x14ac:dyDescent="0.2">
      <c r="B8" s="220"/>
      <c r="C8" s="241" t="s">
        <v>179</v>
      </c>
      <c r="D8" s="241">
        <v>3</v>
      </c>
      <c r="E8" s="241">
        <v>2</v>
      </c>
      <c r="F8" s="241">
        <v>1.25</v>
      </c>
      <c r="G8" s="241">
        <f>D8*E8*F8</f>
        <v>7.5</v>
      </c>
      <c r="N8" s="241">
        <f>G8</f>
        <v>7.5</v>
      </c>
    </row>
    <row r="9" spans="1:16" s="243" customFormat="1" x14ac:dyDescent="0.2">
      <c r="A9" s="351" t="s">
        <v>321</v>
      </c>
      <c r="B9" s="351"/>
      <c r="C9" s="351"/>
      <c r="D9" s="351"/>
      <c r="E9" s="351"/>
      <c r="F9" s="351"/>
      <c r="G9" s="351"/>
      <c r="H9" s="351"/>
      <c r="I9" s="351"/>
      <c r="J9" s="351"/>
      <c r="K9" s="351"/>
      <c r="L9" s="351"/>
      <c r="M9" s="351"/>
      <c r="N9" s="242">
        <f>N8</f>
        <v>7.5</v>
      </c>
    </row>
    <row r="10" spans="1:16" s="239" customFormat="1" ht="26.25" customHeight="1" x14ac:dyDescent="0.2">
      <c r="A10" s="238" t="s">
        <v>52</v>
      </c>
      <c r="B10" s="352" t="s">
        <v>403</v>
      </c>
      <c r="C10" s="352"/>
      <c r="D10" s="352"/>
      <c r="E10" s="352"/>
      <c r="F10" s="352"/>
      <c r="G10" s="352"/>
      <c r="H10" s="352"/>
      <c r="I10" s="352"/>
      <c r="J10" s="352"/>
      <c r="K10" s="352"/>
      <c r="L10" s="352"/>
      <c r="M10" s="352"/>
      <c r="N10" s="352"/>
    </row>
    <row r="11" spans="1:16" x14ac:dyDescent="0.2">
      <c r="B11" s="220"/>
      <c r="C11" s="241" t="s">
        <v>246</v>
      </c>
      <c r="D11" s="241">
        <v>1</v>
      </c>
      <c r="E11" s="241">
        <v>50</v>
      </c>
      <c r="N11" s="241">
        <f>D11*E11</f>
        <v>50</v>
      </c>
    </row>
    <row r="12" spans="1:16" s="243" customFormat="1" x14ac:dyDescent="0.2">
      <c r="A12" s="351" t="s">
        <v>357</v>
      </c>
      <c r="B12" s="351"/>
      <c r="C12" s="351"/>
      <c r="D12" s="351"/>
      <c r="E12" s="351"/>
      <c r="F12" s="351"/>
      <c r="G12" s="351"/>
      <c r="H12" s="351"/>
      <c r="I12" s="351"/>
      <c r="J12" s="351"/>
      <c r="K12" s="351"/>
      <c r="L12" s="351"/>
      <c r="M12" s="351"/>
      <c r="N12" s="242">
        <f>N11</f>
        <v>50</v>
      </c>
    </row>
    <row r="13" spans="1:16" s="239" customFormat="1" x14ac:dyDescent="0.2">
      <c r="A13" s="238" t="s">
        <v>59</v>
      </c>
      <c r="B13" s="352" t="s">
        <v>220</v>
      </c>
      <c r="C13" s="352"/>
      <c r="D13" s="352"/>
      <c r="E13" s="352"/>
      <c r="F13" s="352"/>
      <c r="G13" s="352"/>
      <c r="H13" s="352"/>
      <c r="I13" s="352"/>
      <c r="J13" s="352"/>
      <c r="K13" s="352"/>
      <c r="L13" s="352"/>
      <c r="M13" s="352"/>
      <c r="N13" s="352"/>
    </row>
    <row r="14" spans="1:16" x14ac:dyDescent="0.2">
      <c r="B14" s="220"/>
      <c r="C14" s="241" t="s">
        <v>165</v>
      </c>
      <c r="D14" s="241">
        <v>1</v>
      </c>
      <c r="N14" s="241">
        <f>D14</f>
        <v>1</v>
      </c>
    </row>
    <row r="15" spans="1:16" s="243" customFormat="1" x14ac:dyDescent="0.2">
      <c r="A15" s="351" t="s">
        <v>362</v>
      </c>
      <c r="B15" s="351"/>
      <c r="C15" s="351"/>
      <c r="D15" s="351"/>
      <c r="E15" s="351"/>
      <c r="F15" s="351"/>
      <c r="G15" s="351"/>
      <c r="H15" s="351"/>
      <c r="I15" s="351"/>
      <c r="J15" s="351"/>
      <c r="K15" s="351"/>
      <c r="L15" s="351"/>
      <c r="M15" s="351"/>
      <c r="N15" s="242">
        <f>N14</f>
        <v>1</v>
      </c>
    </row>
    <row r="16" spans="1:16" s="243" customFormat="1" x14ac:dyDescent="0.2">
      <c r="A16" s="244"/>
      <c r="B16" s="244"/>
      <c r="C16" s="244"/>
      <c r="D16" s="244"/>
      <c r="E16" s="244"/>
      <c r="F16" s="244"/>
      <c r="G16" s="244"/>
      <c r="H16" s="244"/>
      <c r="I16" s="244"/>
      <c r="J16" s="244"/>
      <c r="K16" s="244"/>
      <c r="L16" s="244"/>
      <c r="M16" s="244"/>
      <c r="N16" s="242"/>
    </row>
    <row r="17" spans="1:14" s="239" customFormat="1" ht="26.25" customHeight="1" x14ac:dyDescent="0.2">
      <c r="A17" s="238" t="s">
        <v>216</v>
      </c>
      <c r="B17" s="352" t="s">
        <v>404</v>
      </c>
      <c r="C17" s="352"/>
      <c r="D17" s="352"/>
      <c r="E17" s="352"/>
      <c r="F17" s="352"/>
      <c r="G17" s="352"/>
      <c r="H17" s="352"/>
      <c r="I17" s="352"/>
      <c r="J17" s="352"/>
      <c r="K17" s="352"/>
      <c r="L17" s="352"/>
      <c r="M17" s="352"/>
      <c r="N17" s="352"/>
    </row>
    <row r="18" spans="1:14" s="246" customFormat="1" ht="26.25" customHeight="1" x14ac:dyDescent="0.2">
      <c r="A18" s="2"/>
      <c r="B18" s="220"/>
      <c r="C18" s="245"/>
      <c r="D18" s="245" t="s">
        <v>358</v>
      </c>
      <c r="E18" s="355" t="s">
        <v>359</v>
      </c>
      <c r="F18" s="355"/>
      <c r="G18" s="245"/>
      <c r="H18" s="245"/>
      <c r="I18" s="245"/>
      <c r="J18" s="245"/>
      <c r="K18" s="245"/>
      <c r="L18" s="245"/>
      <c r="M18" s="245"/>
      <c r="N18" s="245"/>
    </row>
    <row r="19" spans="1:14" x14ac:dyDescent="0.2">
      <c r="B19" s="220"/>
      <c r="C19" s="241" t="s">
        <v>231</v>
      </c>
      <c r="D19" s="241">
        <v>4</v>
      </c>
      <c r="E19" s="356">
        <v>1</v>
      </c>
      <c r="F19" s="356"/>
      <c r="N19" s="241">
        <f>D19*E19</f>
        <v>4</v>
      </c>
    </row>
    <row r="20" spans="1:14" s="243" customFormat="1" x14ac:dyDescent="0.2">
      <c r="A20" s="351" t="s">
        <v>390</v>
      </c>
      <c r="B20" s="351"/>
      <c r="C20" s="351"/>
      <c r="D20" s="351"/>
      <c r="E20" s="351"/>
      <c r="F20" s="351"/>
      <c r="G20" s="351"/>
      <c r="H20" s="351"/>
      <c r="I20" s="351"/>
      <c r="J20" s="351"/>
      <c r="K20" s="351"/>
      <c r="L20" s="351"/>
      <c r="M20" s="351"/>
      <c r="N20" s="242">
        <f>N19</f>
        <v>4</v>
      </c>
    </row>
    <row r="21" spans="1:14" s="243" customFormat="1" x14ac:dyDescent="0.2">
      <c r="A21" s="244"/>
      <c r="B21" s="244"/>
      <c r="C21" s="244"/>
      <c r="D21" s="244"/>
      <c r="E21" s="244"/>
      <c r="F21" s="244"/>
      <c r="G21" s="244"/>
      <c r="H21" s="244"/>
      <c r="I21" s="244"/>
      <c r="J21" s="244"/>
      <c r="K21" s="244"/>
      <c r="L21" s="244"/>
      <c r="M21" s="244"/>
      <c r="N21" s="242"/>
    </row>
    <row r="22" spans="1:14" s="239" customFormat="1" ht="26.25" customHeight="1" x14ac:dyDescent="0.2">
      <c r="A22" s="238" t="s">
        <v>218</v>
      </c>
      <c r="B22" s="352" t="s">
        <v>402</v>
      </c>
      <c r="C22" s="352"/>
      <c r="D22" s="352"/>
      <c r="E22" s="352"/>
      <c r="F22" s="352"/>
      <c r="G22" s="352"/>
      <c r="H22" s="352"/>
      <c r="I22" s="352"/>
      <c r="J22" s="352"/>
      <c r="K22" s="352"/>
      <c r="L22" s="352"/>
      <c r="M22" s="352"/>
      <c r="N22" s="352"/>
    </row>
    <row r="23" spans="1:14" s="246" customFormat="1" ht="26.25" customHeight="1" x14ac:dyDescent="0.2">
      <c r="A23" s="2"/>
      <c r="B23" s="220"/>
      <c r="C23" s="245"/>
      <c r="D23" s="245" t="s">
        <v>358</v>
      </c>
      <c r="E23" s="355" t="s">
        <v>359</v>
      </c>
      <c r="F23" s="355"/>
      <c r="G23" s="245"/>
      <c r="H23" s="245"/>
      <c r="I23" s="245"/>
      <c r="J23" s="245"/>
      <c r="K23" s="245"/>
      <c r="L23" s="245"/>
      <c r="M23" s="245"/>
      <c r="N23" s="245"/>
    </row>
    <row r="24" spans="1:14" x14ac:dyDescent="0.2">
      <c r="B24" s="220"/>
      <c r="C24" s="241" t="s">
        <v>231</v>
      </c>
      <c r="D24" s="241">
        <v>4</v>
      </c>
      <c r="E24" s="356">
        <v>1</v>
      </c>
      <c r="F24" s="356"/>
      <c r="N24" s="241">
        <f>D24*E24</f>
        <v>4</v>
      </c>
    </row>
    <row r="25" spans="1:14" s="243" customFormat="1" x14ac:dyDescent="0.2">
      <c r="A25" s="351" t="s">
        <v>390</v>
      </c>
      <c r="B25" s="351"/>
      <c r="C25" s="351"/>
      <c r="D25" s="351"/>
      <c r="E25" s="351"/>
      <c r="F25" s="351"/>
      <c r="G25" s="351"/>
      <c r="H25" s="351"/>
      <c r="I25" s="351"/>
      <c r="J25" s="351"/>
      <c r="K25" s="351"/>
      <c r="L25" s="351"/>
      <c r="M25" s="351"/>
      <c r="N25" s="242">
        <f>N24</f>
        <v>4</v>
      </c>
    </row>
    <row r="26" spans="1:14" s="243" customFormat="1" x14ac:dyDescent="0.2">
      <c r="A26" s="244"/>
      <c r="B26" s="244"/>
      <c r="C26" s="244"/>
      <c r="D26" s="244"/>
      <c r="E26" s="244"/>
      <c r="F26" s="244"/>
      <c r="G26" s="244"/>
      <c r="H26" s="244"/>
      <c r="I26" s="244"/>
      <c r="J26" s="244"/>
      <c r="K26" s="244"/>
      <c r="L26" s="244"/>
      <c r="M26" s="244"/>
      <c r="N26" s="242"/>
    </row>
    <row r="27" spans="1:14" s="239" customFormat="1" ht="30" customHeight="1" x14ac:dyDescent="0.2">
      <c r="A27" s="238" t="s">
        <v>219</v>
      </c>
      <c r="B27" s="352" t="s">
        <v>401</v>
      </c>
      <c r="C27" s="352"/>
      <c r="D27" s="352"/>
      <c r="E27" s="352"/>
      <c r="F27" s="352"/>
      <c r="G27" s="352"/>
      <c r="H27" s="352"/>
      <c r="I27" s="352"/>
      <c r="J27" s="352"/>
      <c r="K27" s="352"/>
      <c r="L27" s="352"/>
      <c r="M27" s="352"/>
      <c r="N27" s="352"/>
    </row>
    <row r="28" spans="1:14" s="246" customFormat="1" ht="26.25" customHeight="1" x14ac:dyDescent="0.2">
      <c r="A28" s="2"/>
      <c r="B28" s="220"/>
      <c r="C28" s="245"/>
      <c r="D28" s="245" t="s">
        <v>358</v>
      </c>
      <c r="E28" s="355" t="s">
        <v>359</v>
      </c>
      <c r="F28" s="355"/>
      <c r="G28" s="245"/>
      <c r="H28" s="245"/>
      <c r="I28" s="245"/>
      <c r="J28" s="245"/>
      <c r="K28" s="245"/>
      <c r="L28" s="245"/>
      <c r="M28" s="245"/>
      <c r="N28" s="245"/>
    </row>
    <row r="29" spans="1:14" x14ac:dyDescent="0.2">
      <c r="B29" s="220"/>
      <c r="C29" s="241" t="s">
        <v>231</v>
      </c>
      <c r="D29" s="241">
        <v>4</v>
      </c>
      <c r="E29" s="356">
        <v>1</v>
      </c>
      <c r="F29" s="356"/>
      <c r="N29" s="241">
        <f>D29*E29</f>
        <v>4</v>
      </c>
    </row>
    <row r="30" spans="1:14" s="243" customFormat="1" x14ac:dyDescent="0.2">
      <c r="A30" s="351" t="s">
        <v>390</v>
      </c>
      <c r="B30" s="351"/>
      <c r="C30" s="351"/>
      <c r="D30" s="351"/>
      <c r="E30" s="351"/>
      <c r="F30" s="351"/>
      <c r="G30" s="351"/>
      <c r="H30" s="351"/>
      <c r="I30" s="351"/>
      <c r="J30" s="351"/>
      <c r="K30" s="351"/>
      <c r="L30" s="351"/>
      <c r="M30" s="351"/>
      <c r="N30" s="242">
        <f>N29</f>
        <v>4</v>
      </c>
    </row>
    <row r="31" spans="1:14" s="243" customFormat="1" ht="28.5" customHeight="1" x14ac:dyDescent="0.2">
      <c r="A31" s="238" t="s">
        <v>222</v>
      </c>
      <c r="B31" s="357" t="s">
        <v>400</v>
      </c>
      <c r="C31" s="358"/>
      <c r="D31" s="358"/>
      <c r="E31" s="358"/>
      <c r="F31" s="358"/>
      <c r="G31" s="358"/>
      <c r="H31" s="358"/>
      <c r="I31" s="358"/>
      <c r="J31" s="358"/>
      <c r="K31" s="358"/>
      <c r="L31" s="358"/>
      <c r="M31" s="358"/>
      <c r="N31" s="359"/>
    </row>
    <row r="32" spans="1:14" s="243" customFormat="1" ht="25.5" x14ac:dyDescent="0.2">
      <c r="A32" s="307"/>
      <c r="B32" s="307"/>
      <c r="C32" s="310"/>
      <c r="D32" s="310" t="s">
        <v>358</v>
      </c>
      <c r="E32" s="355" t="s">
        <v>359</v>
      </c>
      <c r="F32" s="355"/>
      <c r="G32" s="307"/>
      <c r="H32" s="307"/>
      <c r="I32" s="307"/>
      <c r="J32" s="307"/>
      <c r="K32" s="307"/>
      <c r="L32" s="307"/>
      <c r="M32" s="307"/>
      <c r="N32" s="242"/>
    </row>
    <row r="33" spans="1:14" s="243" customFormat="1" x14ac:dyDescent="0.2">
      <c r="A33" s="307"/>
      <c r="B33" s="307"/>
      <c r="C33" s="311" t="s">
        <v>231</v>
      </c>
      <c r="D33" s="311">
        <v>4</v>
      </c>
      <c r="E33" s="356">
        <v>1</v>
      </c>
      <c r="F33" s="356"/>
      <c r="G33" s="307"/>
      <c r="H33" s="307"/>
      <c r="I33" s="307"/>
      <c r="J33" s="307"/>
      <c r="K33" s="307"/>
      <c r="L33" s="307"/>
      <c r="M33" s="307"/>
      <c r="N33" s="242">
        <f>D33*E33</f>
        <v>4</v>
      </c>
    </row>
    <row r="34" spans="1:14" s="243" customFormat="1" x14ac:dyDescent="0.2">
      <c r="A34" s="351" t="s">
        <v>390</v>
      </c>
      <c r="B34" s="351"/>
      <c r="C34" s="351"/>
      <c r="D34" s="351"/>
      <c r="E34" s="351"/>
      <c r="F34" s="351"/>
      <c r="G34" s="351"/>
      <c r="H34" s="351"/>
      <c r="I34" s="351"/>
      <c r="J34" s="351"/>
      <c r="K34" s="351"/>
      <c r="L34" s="351"/>
      <c r="M34" s="351"/>
      <c r="N34" s="242">
        <f>N33</f>
        <v>4</v>
      </c>
    </row>
    <row r="35" spans="1:14" s="239" customFormat="1" x14ac:dyDescent="0.2">
      <c r="A35" s="238" t="s">
        <v>223</v>
      </c>
      <c r="B35" s="352" t="s">
        <v>224</v>
      </c>
      <c r="C35" s="352"/>
      <c r="D35" s="352"/>
      <c r="E35" s="352"/>
      <c r="F35" s="352"/>
      <c r="G35" s="352"/>
      <c r="H35" s="352"/>
      <c r="I35" s="352"/>
      <c r="J35" s="352"/>
      <c r="K35" s="352"/>
      <c r="L35" s="352"/>
      <c r="M35" s="352"/>
      <c r="N35" s="352"/>
    </row>
    <row r="36" spans="1:14" s="246" customFormat="1" ht="26.25" customHeight="1" x14ac:dyDescent="0.2">
      <c r="A36" s="2"/>
      <c r="B36" s="220"/>
      <c r="C36" s="245"/>
      <c r="D36" s="245"/>
      <c r="E36" s="355" t="s">
        <v>359</v>
      </c>
      <c r="F36" s="355"/>
      <c r="G36" s="245"/>
      <c r="H36" s="245"/>
      <c r="I36" s="245"/>
      <c r="J36" s="245"/>
      <c r="K36" s="245"/>
      <c r="L36" s="245"/>
      <c r="M36" s="245"/>
      <c r="N36" s="245"/>
    </row>
    <row r="37" spans="1:14" x14ac:dyDescent="0.2">
      <c r="B37" s="220"/>
      <c r="E37" s="356">
        <v>4</v>
      </c>
      <c r="F37" s="356"/>
      <c r="N37" s="241">
        <f>E37</f>
        <v>4</v>
      </c>
    </row>
    <row r="38" spans="1:14" s="243" customFormat="1" x14ac:dyDescent="0.2">
      <c r="A38" s="351" t="s">
        <v>362</v>
      </c>
      <c r="B38" s="351"/>
      <c r="C38" s="351"/>
      <c r="D38" s="351"/>
      <c r="E38" s="351"/>
      <c r="F38" s="351"/>
      <c r="G38" s="351"/>
      <c r="H38" s="351"/>
      <c r="I38" s="351"/>
      <c r="J38" s="351"/>
      <c r="K38" s="351"/>
      <c r="L38" s="351"/>
      <c r="M38" s="351"/>
      <c r="N38" s="242">
        <f>N37</f>
        <v>4</v>
      </c>
    </row>
    <row r="39" spans="1:14" s="243" customFormat="1" x14ac:dyDescent="0.2">
      <c r="A39" s="244"/>
      <c r="B39" s="244"/>
      <c r="C39" s="244"/>
      <c r="D39" s="244"/>
      <c r="E39" s="244"/>
      <c r="F39" s="244"/>
      <c r="G39" s="244"/>
      <c r="H39" s="244"/>
      <c r="I39" s="244"/>
      <c r="J39" s="244"/>
      <c r="K39" s="244"/>
      <c r="L39" s="244"/>
      <c r="M39" s="244"/>
      <c r="N39" s="242"/>
    </row>
    <row r="40" spans="1:14" s="239" customFormat="1" x14ac:dyDescent="0.2">
      <c r="A40" s="238" t="s">
        <v>399</v>
      </c>
      <c r="B40" s="352" t="s">
        <v>232</v>
      </c>
      <c r="C40" s="352"/>
      <c r="D40" s="352"/>
      <c r="E40" s="352"/>
      <c r="F40" s="352"/>
      <c r="G40" s="352"/>
      <c r="H40" s="352"/>
      <c r="I40" s="352"/>
      <c r="J40" s="352"/>
      <c r="K40" s="352"/>
      <c r="L40" s="352"/>
      <c r="M40" s="352"/>
      <c r="N40" s="352"/>
    </row>
    <row r="41" spans="1:14" x14ac:dyDescent="0.2">
      <c r="B41" s="220"/>
      <c r="C41" s="247"/>
      <c r="D41" s="247">
        <v>4</v>
      </c>
      <c r="E41" s="247"/>
      <c r="F41" s="247"/>
      <c r="G41" s="247"/>
      <c r="H41" s="247"/>
      <c r="I41" s="247"/>
      <c r="J41" s="247"/>
      <c r="K41" s="247"/>
      <c r="L41" s="247"/>
      <c r="M41" s="247"/>
      <c r="N41" s="247">
        <f>D41</f>
        <v>4</v>
      </c>
    </row>
    <row r="42" spans="1:14" s="243" customFormat="1" x14ac:dyDescent="0.2">
      <c r="A42" s="351" t="s">
        <v>390</v>
      </c>
      <c r="B42" s="351"/>
      <c r="C42" s="351"/>
      <c r="D42" s="351"/>
      <c r="E42" s="351"/>
      <c r="F42" s="351"/>
      <c r="G42" s="351"/>
      <c r="H42" s="351"/>
      <c r="I42" s="351"/>
      <c r="J42" s="351"/>
      <c r="K42" s="351"/>
      <c r="L42" s="351"/>
      <c r="M42" s="351"/>
      <c r="N42" s="242">
        <f>N41</f>
        <v>4</v>
      </c>
    </row>
    <row r="43" spans="1:14" s="243" customFormat="1" x14ac:dyDescent="0.2">
      <c r="A43" s="244"/>
      <c r="B43" s="244"/>
      <c r="C43" s="244"/>
      <c r="D43" s="244"/>
      <c r="E43" s="244"/>
      <c r="F43" s="244"/>
      <c r="G43" s="244"/>
      <c r="H43" s="244"/>
      <c r="I43" s="244"/>
      <c r="J43" s="244"/>
      <c r="K43" s="244"/>
      <c r="L43" s="244"/>
      <c r="M43" s="244"/>
      <c r="N43" s="242"/>
    </row>
    <row r="44" spans="1:14" s="239" customFormat="1" x14ac:dyDescent="0.2">
      <c r="A44" s="238" t="s">
        <v>8</v>
      </c>
      <c r="B44" s="352" t="s">
        <v>300</v>
      </c>
      <c r="C44" s="352"/>
      <c r="D44" s="352"/>
      <c r="E44" s="352"/>
      <c r="F44" s="352"/>
      <c r="G44" s="352"/>
      <c r="H44" s="352"/>
      <c r="I44" s="352"/>
      <c r="J44" s="352"/>
      <c r="K44" s="352"/>
      <c r="L44" s="352"/>
      <c r="M44" s="352"/>
      <c r="N44" s="352"/>
    </row>
    <row r="45" spans="1:14" s="243" customFormat="1" ht="25.5" x14ac:dyDescent="0.2">
      <c r="A45" s="248"/>
      <c r="B45" s="249" t="s">
        <v>305</v>
      </c>
      <c r="C45" s="250"/>
      <c r="D45" s="250"/>
      <c r="E45" s="250"/>
      <c r="F45" s="250" t="s">
        <v>307</v>
      </c>
      <c r="G45" s="250"/>
      <c r="H45" s="250"/>
      <c r="I45" s="250"/>
      <c r="J45" s="250"/>
      <c r="K45" s="250"/>
      <c r="L45" s="250"/>
      <c r="M45" s="250"/>
      <c r="N45" s="250"/>
    </row>
    <row r="46" spans="1:14" x14ac:dyDescent="0.2">
      <c r="B46" s="220" t="s">
        <v>306</v>
      </c>
      <c r="C46" s="247"/>
      <c r="D46" s="247"/>
      <c r="E46" s="247">
        <v>552</v>
      </c>
      <c r="F46" s="247">
        <f>G46/E46</f>
        <v>7.5528985507246373</v>
      </c>
      <c r="G46" s="247">
        <v>4169.2</v>
      </c>
      <c r="H46" s="247"/>
      <c r="I46" s="247"/>
      <c r="J46" s="247"/>
      <c r="K46" s="247"/>
      <c r="L46" s="247"/>
      <c r="M46" s="247"/>
      <c r="N46" s="247">
        <f>G46</f>
        <v>4169.2</v>
      </c>
    </row>
    <row r="47" spans="1:14" s="243" customFormat="1" x14ac:dyDescent="0.2">
      <c r="A47" s="248"/>
      <c r="B47" s="249" t="s">
        <v>308</v>
      </c>
      <c r="C47" s="250"/>
      <c r="D47" s="250"/>
      <c r="E47" s="250"/>
      <c r="F47" s="250"/>
      <c r="G47" s="250"/>
      <c r="H47" s="247"/>
      <c r="I47" s="247"/>
      <c r="J47" s="247"/>
      <c r="K47" s="247"/>
      <c r="L47" s="250"/>
      <c r="M47" s="250"/>
      <c r="N47" s="247"/>
    </row>
    <row r="48" spans="1:14" x14ac:dyDescent="0.2">
      <c r="B48" s="220" t="s">
        <v>317</v>
      </c>
      <c r="C48" s="247"/>
      <c r="D48" s="247"/>
      <c r="E48" s="247">
        <v>5</v>
      </c>
      <c r="F48" s="247">
        <f>G48/E48</f>
        <v>8.9959999999999987</v>
      </c>
      <c r="G48" s="247">
        <v>44.98</v>
      </c>
      <c r="H48" s="247"/>
      <c r="I48" s="247"/>
      <c r="J48" s="247"/>
      <c r="K48" s="247"/>
      <c r="L48" s="247"/>
      <c r="M48" s="247"/>
      <c r="N48" s="247">
        <f t="shared" ref="N48:N58" si="0">G48</f>
        <v>44.98</v>
      </c>
    </row>
    <row r="49" spans="1:14" x14ac:dyDescent="0.2">
      <c r="B49" s="220" t="s">
        <v>318</v>
      </c>
      <c r="C49" s="247"/>
      <c r="D49" s="247"/>
      <c r="E49" s="247">
        <v>5</v>
      </c>
      <c r="F49" s="247">
        <f t="shared" ref="F49:F58" si="1">G49/E49</f>
        <v>4.1859999999999999</v>
      </c>
      <c r="G49" s="247">
        <v>20.93</v>
      </c>
      <c r="H49" s="247"/>
      <c r="I49" s="247"/>
      <c r="J49" s="247"/>
      <c r="K49" s="247"/>
      <c r="L49" s="247"/>
      <c r="M49" s="247"/>
      <c r="N49" s="247">
        <f t="shared" si="0"/>
        <v>20.93</v>
      </c>
    </row>
    <row r="50" spans="1:14" x14ac:dyDescent="0.2">
      <c r="B50" s="220" t="s">
        <v>309</v>
      </c>
      <c r="C50" s="247"/>
      <c r="D50" s="247"/>
      <c r="E50" s="247">
        <v>5</v>
      </c>
      <c r="F50" s="247">
        <f t="shared" si="1"/>
        <v>6.2840000000000007</v>
      </c>
      <c r="G50" s="247">
        <v>31.42</v>
      </c>
      <c r="H50" s="247"/>
      <c r="I50" s="247"/>
      <c r="J50" s="247"/>
      <c r="K50" s="247"/>
      <c r="L50" s="247"/>
      <c r="M50" s="247"/>
      <c r="N50" s="247">
        <f t="shared" si="0"/>
        <v>31.42</v>
      </c>
    </row>
    <row r="51" spans="1:14" x14ac:dyDescent="0.2">
      <c r="B51" s="220" t="s">
        <v>310</v>
      </c>
      <c r="C51" s="247"/>
      <c r="D51" s="247"/>
      <c r="E51" s="247">
        <v>5</v>
      </c>
      <c r="F51" s="247">
        <f t="shared" si="1"/>
        <v>5.0340000000000007</v>
      </c>
      <c r="G51" s="247">
        <v>25.17</v>
      </c>
      <c r="H51" s="247"/>
      <c r="I51" s="247"/>
      <c r="J51" s="247"/>
      <c r="K51" s="247"/>
      <c r="L51" s="247"/>
      <c r="M51" s="247"/>
      <c r="N51" s="247">
        <f t="shared" si="0"/>
        <v>25.17</v>
      </c>
    </row>
    <row r="52" spans="1:14" x14ac:dyDescent="0.2">
      <c r="B52" s="220" t="s">
        <v>311</v>
      </c>
      <c r="C52" s="247"/>
      <c r="D52" s="247"/>
      <c r="E52" s="247">
        <v>5</v>
      </c>
      <c r="F52" s="247">
        <f t="shared" si="1"/>
        <v>9.645999999999999</v>
      </c>
      <c r="G52" s="247">
        <v>48.23</v>
      </c>
      <c r="H52" s="247"/>
      <c r="I52" s="247"/>
      <c r="J52" s="247"/>
      <c r="K52" s="247"/>
      <c r="L52" s="247"/>
      <c r="M52" s="247"/>
      <c r="N52" s="247">
        <f t="shared" si="0"/>
        <v>48.23</v>
      </c>
    </row>
    <row r="53" spans="1:14" x14ac:dyDescent="0.2">
      <c r="B53" s="220" t="s">
        <v>312</v>
      </c>
      <c r="C53" s="247"/>
      <c r="D53" s="247"/>
      <c r="E53" s="247">
        <v>5</v>
      </c>
      <c r="F53" s="247">
        <f t="shared" si="1"/>
        <v>8.5920000000000005</v>
      </c>
      <c r="G53" s="247">
        <v>42.96</v>
      </c>
      <c r="H53" s="247"/>
      <c r="I53" s="247"/>
      <c r="J53" s="247"/>
      <c r="K53" s="247"/>
      <c r="L53" s="247"/>
      <c r="M53" s="247"/>
      <c r="N53" s="247">
        <f t="shared" si="0"/>
        <v>42.96</v>
      </c>
    </row>
    <row r="54" spans="1:14" x14ac:dyDescent="0.2">
      <c r="B54" s="220" t="s">
        <v>313</v>
      </c>
      <c r="C54" s="247"/>
      <c r="D54" s="247"/>
      <c r="E54" s="247">
        <v>5</v>
      </c>
      <c r="F54" s="247">
        <f t="shared" si="1"/>
        <v>5.85</v>
      </c>
      <c r="G54" s="247">
        <v>29.25</v>
      </c>
      <c r="H54" s="247"/>
      <c r="I54" s="247"/>
      <c r="J54" s="247"/>
      <c r="K54" s="247"/>
      <c r="L54" s="247"/>
      <c r="M54" s="247"/>
      <c r="N54" s="247">
        <f t="shared" si="0"/>
        <v>29.25</v>
      </c>
    </row>
    <row r="55" spans="1:14" x14ac:dyDescent="0.2">
      <c r="B55" s="220" t="s">
        <v>314</v>
      </c>
      <c r="C55" s="247"/>
      <c r="D55" s="247"/>
      <c r="E55" s="247">
        <v>5</v>
      </c>
      <c r="F55" s="247">
        <f t="shared" si="1"/>
        <v>15.35</v>
      </c>
      <c r="G55" s="247">
        <v>76.75</v>
      </c>
      <c r="H55" s="247"/>
      <c r="I55" s="247"/>
      <c r="J55" s="247"/>
      <c r="K55" s="247"/>
      <c r="L55" s="247"/>
      <c r="M55" s="247"/>
      <c r="N55" s="247">
        <f t="shared" si="0"/>
        <v>76.75</v>
      </c>
    </row>
    <row r="56" spans="1:14" x14ac:dyDescent="0.2">
      <c r="B56" s="224" t="s">
        <v>315</v>
      </c>
      <c r="E56" s="247">
        <v>5</v>
      </c>
      <c r="F56" s="247">
        <f t="shared" si="1"/>
        <v>7.2620000000000005</v>
      </c>
      <c r="G56" s="241">
        <v>36.31</v>
      </c>
      <c r="H56" s="247"/>
      <c r="I56" s="247"/>
      <c r="J56" s="247"/>
      <c r="K56" s="247"/>
      <c r="N56" s="247">
        <f t="shared" si="0"/>
        <v>36.31</v>
      </c>
    </row>
    <row r="57" spans="1:14" x14ac:dyDescent="0.2">
      <c r="B57" s="224" t="s">
        <v>316</v>
      </c>
      <c r="E57" s="247">
        <v>5</v>
      </c>
      <c r="F57" s="247">
        <f t="shared" si="1"/>
        <v>13.95</v>
      </c>
      <c r="G57" s="241">
        <v>69.75</v>
      </c>
      <c r="H57" s="247"/>
      <c r="I57" s="247"/>
      <c r="J57" s="247"/>
      <c r="K57" s="247"/>
      <c r="N57" s="247">
        <f t="shared" si="0"/>
        <v>69.75</v>
      </c>
    </row>
    <row r="58" spans="1:14" x14ac:dyDescent="0.2">
      <c r="B58" s="224" t="s">
        <v>319</v>
      </c>
      <c r="E58" s="247">
        <v>5</v>
      </c>
      <c r="F58" s="247">
        <f t="shared" si="1"/>
        <v>8.85</v>
      </c>
      <c r="G58" s="241">
        <v>44.25</v>
      </c>
      <c r="H58" s="247"/>
      <c r="I58" s="247"/>
      <c r="J58" s="247"/>
      <c r="K58" s="247"/>
      <c r="N58" s="247">
        <f t="shared" si="0"/>
        <v>44.25</v>
      </c>
    </row>
    <row r="59" spans="1:14" s="243" customFormat="1" x14ac:dyDescent="0.2">
      <c r="A59" s="351" t="s">
        <v>321</v>
      </c>
      <c r="B59" s="351"/>
      <c r="C59" s="351"/>
      <c r="D59" s="351"/>
      <c r="E59" s="351"/>
      <c r="F59" s="351"/>
      <c r="G59" s="351"/>
      <c r="H59" s="351"/>
      <c r="I59" s="351"/>
      <c r="J59" s="351"/>
      <c r="K59" s="351"/>
      <c r="L59" s="351"/>
      <c r="M59" s="351"/>
      <c r="N59" s="242">
        <f>SUM(N46:N58)</f>
        <v>4639.2</v>
      </c>
    </row>
    <row r="60" spans="1:14" s="243" customFormat="1" x14ac:dyDescent="0.2">
      <c r="A60" s="248"/>
      <c r="B60" s="244"/>
      <c r="C60" s="248"/>
      <c r="D60" s="248"/>
      <c r="E60" s="248"/>
      <c r="F60" s="248"/>
      <c r="G60" s="248"/>
      <c r="H60" s="248"/>
      <c r="I60" s="248"/>
      <c r="J60" s="248"/>
      <c r="K60" s="248"/>
      <c r="L60" s="248"/>
      <c r="M60" s="248"/>
      <c r="N60" s="242"/>
    </row>
    <row r="61" spans="1:14" s="239" customFormat="1" x14ac:dyDescent="0.2">
      <c r="A61" s="238" t="s">
        <v>9</v>
      </c>
      <c r="B61" s="352" t="s">
        <v>303</v>
      </c>
      <c r="C61" s="352"/>
      <c r="D61" s="352"/>
      <c r="E61" s="352"/>
      <c r="F61" s="352"/>
      <c r="G61" s="352"/>
      <c r="H61" s="352"/>
      <c r="I61" s="352"/>
      <c r="J61" s="352"/>
      <c r="K61" s="352"/>
      <c r="L61" s="352"/>
      <c r="M61" s="352"/>
      <c r="N61" s="352"/>
    </row>
    <row r="62" spans="1:14" x14ac:dyDescent="0.2">
      <c r="B62" s="220" t="s">
        <v>320</v>
      </c>
      <c r="C62" s="247"/>
      <c r="D62" s="247"/>
      <c r="E62" s="247"/>
      <c r="F62" s="247"/>
      <c r="G62" s="247">
        <f>N59</f>
        <v>4639.2</v>
      </c>
      <c r="H62" s="247"/>
      <c r="I62" s="247"/>
      <c r="J62" s="247"/>
      <c r="K62" s="247"/>
      <c r="L62" s="247"/>
      <c r="M62" s="247"/>
      <c r="N62" s="247">
        <f>G62</f>
        <v>4639.2</v>
      </c>
    </row>
    <row r="63" spans="1:14" s="243" customFormat="1" x14ac:dyDescent="0.2">
      <c r="A63" s="351" t="s">
        <v>321</v>
      </c>
      <c r="B63" s="351"/>
      <c r="C63" s="351"/>
      <c r="D63" s="351"/>
      <c r="E63" s="351"/>
      <c r="F63" s="351"/>
      <c r="G63" s="351"/>
      <c r="H63" s="351"/>
      <c r="I63" s="351"/>
      <c r="J63" s="351"/>
      <c r="K63" s="351"/>
      <c r="L63" s="351"/>
      <c r="M63" s="351"/>
      <c r="N63" s="250">
        <f>N62</f>
        <v>4639.2</v>
      </c>
    </row>
    <row r="64" spans="1:14" s="243" customFormat="1" x14ac:dyDescent="0.2">
      <c r="A64" s="248"/>
      <c r="B64" s="244"/>
      <c r="C64" s="248"/>
      <c r="D64" s="248"/>
      <c r="E64" s="248"/>
      <c r="F64" s="248"/>
      <c r="G64" s="248"/>
      <c r="H64" s="248"/>
      <c r="I64" s="248"/>
      <c r="J64" s="248"/>
      <c r="K64" s="248"/>
      <c r="L64" s="248"/>
      <c r="M64" s="248"/>
      <c r="N64" s="250"/>
    </row>
    <row r="65" spans="1:14" s="239" customFormat="1" x14ac:dyDescent="0.2">
      <c r="A65" s="238" t="s">
        <v>10</v>
      </c>
      <c r="B65" s="352" t="s">
        <v>302</v>
      </c>
      <c r="C65" s="352"/>
      <c r="D65" s="352"/>
      <c r="E65" s="352"/>
      <c r="F65" s="352"/>
      <c r="G65" s="352"/>
      <c r="H65" s="352"/>
      <c r="I65" s="352"/>
      <c r="J65" s="352"/>
      <c r="K65" s="352"/>
      <c r="L65" s="352"/>
      <c r="M65" s="352"/>
      <c r="N65" s="352"/>
    </row>
    <row r="66" spans="1:14" x14ac:dyDescent="0.2">
      <c r="B66" s="220" t="s">
        <v>320</v>
      </c>
      <c r="C66" s="247"/>
      <c r="D66" s="247"/>
      <c r="E66" s="247"/>
      <c r="F66" s="247"/>
      <c r="G66" s="247">
        <f>N59</f>
        <v>4639.2</v>
      </c>
      <c r="H66" s="247">
        <v>0.05</v>
      </c>
      <c r="I66" s="247">
        <f>G66*H66</f>
        <v>231.96</v>
      </c>
      <c r="J66" s="247"/>
      <c r="K66" s="247"/>
      <c r="L66" s="247"/>
      <c r="M66" s="247"/>
      <c r="N66" s="247">
        <f>I66</f>
        <v>231.96</v>
      </c>
    </row>
    <row r="67" spans="1:14" s="243" customFormat="1" x14ac:dyDescent="0.2">
      <c r="A67" s="351" t="s">
        <v>322</v>
      </c>
      <c r="B67" s="351"/>
      <c r="C67" s="351"/>
      <c r="D67" s="351"/>
      <c r="E67" s="351"/>
      <c r="F67" s="351"/>
      <c r="G67" s="351"/>
      <c r="H67" s="351"/>
      <c r="I67" s="351"/>
      <c r="J67" s="351"/>
      <c r="K67" s="351"/>
      <c r="L67" s="351"/>
      <c r="M67" s="351"/>
      <c r="N67" s="250">
        <f>N66</f>
        <v>231.96</v>
      </c>
    </row>
    <row r="68" spans="1:14" s="243" customFormat="1" x14ac:dyDescent="0.2">
      <c r="A68" s="248"/>
      <c r="B68" s="244"/>
      <c r="C68" s="248"/>
      <c r="D68" s="248"/>
      <c r="E68" s="248"/>
      <c r="F68" s="248"/>
      <c r="G68" s="248"/>
      <c r="H68" s="248"/>
      <c r="I68" s="248"/>
      <c r="J68" s="248"/>
      <c r="K68" s="248"/>
      <c r="L68" s="248"/>
      <c r="M68" s="248"/>
      <c r="N68" s="250"/>
    </row>
    <row r="69" spans="1:14" s="239" customFormat="1" x14ac:dyDescent="0.2">
      <c r="A69" s="238" t="s">
        <v>340</v>
      </c>
      <c r="B69" s="352" t="s">
        <v>235</v>
      </c>
      <c r="C69" s="352"/>
      <c r="D69" s="352"/>
      <c r="E69" s="352"/>
      <c r="F69" s="352"/>
      <c r="G69" s="352"/>
      <c r="H69" s="352"/>
      <c r="I69" s="352"/>
      <c r="J69" s="352"/>
      <c r="K69" s="352"/>
      <c r="L69" s="352"/>
      <c r="M69" s="352"/>
      <c r="N69" s="352"/>
    </row>
    <row r="70" spans="1:14" s="251" customFormat="1" ht="25.5" x14ac:dyDescent="0.2">
      <c r="B70" s="252" t="s">
        <v>300</v>
      </c>
      <c r="C70" s="247"/>
      <c r="D70" s="247"/>
      <c r="E70" s="247"/>
      <c r="F70" s="247"/>
      <c r="G70" s="247">
        <f>N59</f>
        <v>4639.2</v>
      </c>
      <c r="H70" s="247">
        <v>0.05</v>
      </c>
      <c r="I70" s="247">
        <f>G70*H70</f>
        <v>231.96</v>
      </c>
      <c r="J70" s="247">
        <v>1.85</v>
      </c>
      <c r="K70" s="247">
        <f>I70*J70</f>
        <v>429.12600000000003</v>
      </c>
      <c r="L70" s="247">
        <v>10</v>
      </c>
      <c r="M70" s="247">
        <f>K70*L70</f>
        <v>4291.26</v>
      </c>
      <c r="N70" s="247">
        <f>M70</f>
        <v>4291.26</v>
      </c>
    </row>
    <row r="71" spans="1:14" s="251" customFormat="1" ht="38.25" x14ac:dyDescent="0.2">
      <c r="B71" s="252" t="s">
        <v>302</v>
      </c>
      <c r="C71" s="247"/>
      <c r="D71" s="247"/>
      <c r="E71" s="247"/>
      <c r="F71" s="247"/>
      <c r="G71" s="247">
        <f>N59</f>
        <v>4639.2</v>
      </c>
      <c r="H71" s="247">
        <v>0.05</v>
      </c>
      <c r="I71" s="247">
        <f>G71*H71</f>
        <v>231.96</v>
      </c>
      <c r="J71" s="247">
        <v>1.85</v>
      </c>
      <c r="K71" s="247">
        <f>I71*J71</f>
        <v>429.12600000000003</v>
      </c>
      <c r="L71" s="247">
        <v>10</v>
      </c>
      <c r="M71" s="247">
        <f>K71*L71</f>
        <v>4291.26</v>
      </c>
      <c r="N71" s="247">
        <f>M71</f>
        <v>4291.26</v>
      </c>
    </row>
    <row r="72" spans="1:14" s="243" customFormat="1" x14ac:dyDescent="0.2">
      <c r="A72" s="351" t="s">
        <v>323</v>
      </c>
      <c r="B72" s="351"/>
      <c r="C72" s="351"/>
      <c r="D72" s="351"/>
      <c r="E72" s="351"/>
      <c r="F72" s="351"/>
      <c r="G72" s="351"/>
      <c r="H72" s="351"/>
      <c r="I72" s="351"/>
      <c r="J72" s="351"/>
      <c r="K72" s="351"/>
      <c r="L72" s="351"/>
      <c r="M72" s="351"/>
      <c r="N72" s="250">
        <f>SUM(N70:N71)</f>
        <v>8582.52</v>
      </c>
    </row>
    <row r="73" spans="1:14" s="253" customFormat="1" x14ac:dyDescent="0.2">
      <c r="A73" s="131"/>
      <c r="B73" s="220"/>
      <c r="C73" s="245"/>
      <c r="D73" s="245"/>
      <c r="E73" s="245"/>
      <c r="F73" s="245"/>
      <c r="G73" s="245"/>
      <c r="H73" s="245"/>
      <c r="I73" s="245"/>
      <c r="J73" s="245"/>
      <c r="K73" s="245"/>
      <c r="L73" s="245"/>
      <c r="M73" s="245"/>
      <c r="N73" s="245"/>
    </row>
    <row r="74" spans="1:14" s="239" customFormat="1" x14ac:dyDescent="0.2">
      <c r="A74" s="238" t="s">
        <v>11</v>
      </c>
      <c r="B74" s="352" t="s">
        <v>82</v>
      </c>
      <c r="C74" s="352"/>
      <c r="D74" s="352"/>
      <c r="E74" s="352"/>
      <c r="F74" s="352"/>
      <c r="G74" s="352"/>
      <c r="H74" s="352"/>
      <c r="I74" s="352"/>
      <c r="J74" s="352"/>
      <c r="K74" s="352"/>
      <c r="L74" s="352"/>
      <c r="M74" s="352"/>
      <c r="N74" s="352"/>
    </row>
    <row r="75" spans="1:14" s="23" customFormat="1" ht="24" x14ac:dyDescent="0.2">
      <c r="A75" s="254"/>
      <c r="B75" s="4" t="s">
        <v>191</v>
      </c>
      <c r="C75" s="2"/>
      <c r="D75" s="18">
        <v>1</v>
      </c>
      <c r="E75" s="18">
        <f>8.5+10.18+6.24+8.31+7.9+8.88+4.98</f>
        <v>54.990000000000009</v>
      </c>
      <c r="F75" s="18">
        <v>1.8</v>
      </c>
      <c r="G75" s="99">
        <f>D75*E75*F75</f>
        <v>98.982000000000014</v>
      </c>
      <c r="H75" s="18"/>
      <c r="I75" s="18"/>
      <c r="J75" s="18"/>
      <c r="K75" s="18"/>
      <c r="L75" s="18"/>
      <c r="M75" s="255"/>
      <c r="N75" s="255">
        <f>G75</f>
        <v>98.982000000000014</v>
      </c>
    </row>
    <row r="76" spans="1:14" s="23" customFormat="1" x14ac:dyDescent="0.2">
      <c r="A76" s="254"/>
      <c r="B76" s="4" t="s">
        <v>187</v>
      </c>
      <c r="C76" s="2"/>
      <c r="D76" s="18"/>
      <c r="E76" s="18"/>
      <c r="F76" s="18"/>
      <c r="G76" s="99">
        <f t="shared" ref="G76:G80" si="2">D76*E76*F76</f>
        <v>0</v>
      </c>
      <c r="H76" s="18"/>
      <c r="I76" s="18"/>
      <c r="J76" s="18"/>
      <c r="K76" s="18"/>
      <c r="L76" s="18"/>
      <c r="M76" s="255"/>
      <c r="N76" s="255">
        <f t="shared" ref="N76:N80" si="3">G76</f>
        <v>0</v>
      </c>
    </row>
    <row r="77" spans="1:14" s="23" customFormat="1" ht="24" x14ac:dyDescent="0.2">
      <c r="A77" s="254"/>
      <c r="B77" s="4" t="s">
        <v>85</v>
      </c>
      <c r="C77" s="2"/>
      <c r="D77" s="18">
        <v>1</v>
      </c>
      <c r="E77" s="18">
        <v>27</v>
      </c>
      <c r="F77" s="18">
        <v>0.1</v>
      </c>
      <c r="G77" s="99">
        <f t="shared" si="2"/>
        <v>2.7</v>
      </c>
      <c r="H77" s="18"/>
      <c r="I77" s="18"/>
      <c r="J77" s="18"/>
      <c r="K77" s="18"/>
      <c r="L77" s="18"/>
      <c r="M77" s="255"/>
      <c r="N77" s="255">
        <f t="shared" si="3"/>
        <v>2.7</v>
      </c>
    </row>
    <row r="78" spans="1:14" s="23" customFormat="1" x14ac:dyDescent="0.2">
      <c r="A78" s="254"/>
      <c r="B78" s="4" t="s">
        <v>186</v>
      </c>
      <c r="C78" s="2"/>
      <c r="D78" s="18">
        <v>2</v>
      </c>
      <c r="E78" s="18">
        <v>552</v>
      </c>
      <c r="F78" s="18">
        <v>0.1</v>
      </c>
      <c r="G78" s="99">
        <f t="shared" si="2"/>
        <v>110.4</v>
      </c>
      <c r="H78" s="18"/>
      <c r="I78" s="18"/>
      <c r="J78" s="18"/>
      <c r="K78" s="18"/>
      <c r="L78" s="18"/>
      <c r="M78" s="255"/>
      <c r="N78" s="255">
        <f t="shared" si="3"/>
        <v>110.4</v>
      </c>
    </row>
    <row r="79" spans="1:14" s="23" customFormat="1" x14ac:dyDescent="0.2">
      <c r="A79" s="254"/>
      <c r="B79" s="4" t="s">
        <v>188</v>
      </c>
      <c r="C79" s="2"/>
      <c r="D79" s="18"/>
      <c r="E79" s="18"/>
      <c r="F79" s="18"/>
      <c r="G79" s="99">
        <f t="shared" si="2"/>
        <v>0</v>
      </c>
      <c r="H79" s="18"/>
      <c r="I79" s="18"/>
      <c r="J79" s="18"/>
      <c r="K79" s="18"/>
      <c r="L79" s="18"/>
      <c r="M79" s="255"/>
      <c r="N79" s="255">
        <f t="shared" si="3"/>
        <v>0</v>
      </c>
    </row>
    <row r="80" spans="1:14" s="23" customFormat="1" ht="12.75" customHeight="1" x14ac:dyDescent="0.2">
      <c r="A80" s="254"/>
      <c r="B80" s="4" t="s">
        <v>207</v>
      </c>
      <c r="C80" s="2"/>
      <c r="D80" s="18">
        <v>1</v>
      </c>
      <c r="E80" s="18">
        <v>19.28</v>
      </c>
      <c r="F80" s="18">
        <v>0.1</v>
      </c>
      <c r="G80" s="99">
        <f t="shared" si="2"/>
        <v>1.9280000000000002</v>
      </c>
      <c r="H80" s="18"/>
      <c r="I80" s="18"/>
      <c r="J80" s="18"/>
      <c r="K80" s="18"/>
      <c r="L80" s="18"/>
      <c r="M80" s="255"/>
      <c r="N80" s="255">
        <f t="shared" si="3"/>
        <v>1.9280000000000002</v>
      </c>
    </row>
    <row r="81" spans="1:14" s="243" customFormat="1" x14ac:dyDescent="0.2">
      <c r="A81" s="351" t="s">
        <v>321</v>
      </c>
      <c r="B81" s="351"/>
      <c r="C81" s="351"/>
      <c r="D81" s="351"/>
      <c r="E81" s="351"/>
      <c r="F81" s="351"/>
      <c r="G81" s="351"/>
      <c r="H81" s="351"/>
      <c r="I81" s="351"/>
      <c r="J81" s="351"/>
      <c r="K81" s="351"/>
      <c r="L81" s="351"/>
      <c r="M81" s="351"/>
      <c r="N81" s="250">
        <f>SUM(N75:N80)</f>
        <v>214.01000000000002</v>
      </c>
    </row>
    <row r="82" spans="1:14" s="243" customFormat="1" x14ac:dyDescent="0.2">
      <c r="A82" s="244"/>
      <c r="B82" s="244"/>
      <c r="C82" s="244"/>
      <c r="D82" s="244"/>
      <c r="E82" s="244"/>
      <c r="F82" s="244"/>
      <c r="G82" s="244"/>
      <c r="H82" s="244"/>
      <c r="I82" s="244"/>
      <c r="J82" s="244"/>
      <c r="K82" s="244"/>
      <c r="L82" s="244"/>
      <c r="M82" s="244"/>
      <c r="N82" s="250"/>
    </row>
    <row r="83" spans="1:14" s="239" customFormat="1" x14ac:dyDescent="0.2">
      <c r="A83" s="238" t="s">
        <v>12</v>
      </c>
      <c r="B83" s="352" t="s">
        <v>236</v>
      </c>
      <c r="C83" s="352"/>
      <c r="D83" s="352"/>
      <c r="E83" s="352"/>
      <c r="F83" s="352"/>
      <c r="G83" s="352"/>
      <c r="H83" s="352"/>
      <c r="I83" s="352"/>
      <c r="J83" s="352"/>
      <c r="K83" s="352"/>
      <c r="L83" s="352"/>
      <c r="M83" s="352"/>
      <c r="N83" s="352"/>
    </row>
    <row r="84" spans="1:14" s="23" customFormat="1" x14ac:dyDescent="0.2">
      <c r="A84" s="254"/>
      <c r="B84" s="4" t="s">
        <v>200</v>
      </c>
      <c r="C84" s="2"/>
      <c r="D84" s="18">
        <v>7</v>
      </c>
      <c r="E84" s="2"/>
      <c r="F84" s="256"/>
      <c r="G84" s="18">
        <v>0.3</v>
      </c>
      <c r="H84" s="18"/>
      <c r="I84" s="18"/>
      <c r="J84" s="18"/>
      <c r="K84" s="256"/>
      <c r="L84" s="18"/>
      <c r="M84" s="255"/>
      <c r="N84" s="257">
        <f>D84*G84</f>
        <v>2.1</v>
      </c>
    </row>
    <row r="85" spans="1:14" s="23" customFormat="1" x14ac:dyDescent="0.2">
      <c r="A85" s="254"/>
      <c r="B85" s="4" t="s">
        <v>198</v>
      </c>
      <c r="C85" s="2"/>
      <c r="D85" s="18">
        <v>2</v>
      </c>
      <c r="E85" s="2"/>
      <c r="F85" s="256"/>
      <c r="G85" s="18">
        <v>0.126</v>
      </c>
      <c r="H85" s="18"/>
      <c r="I85" s="18"/>
      <c r="J85" s="18"/>
      <c r="K85" s="256"/>
      <c r="L85" s="18"/>
      <c r="M85" s="255"/>
      <c r="N85" s="257">
        <f t="shared" ref="N85:N93" si="4">D85*G85</f>
        <v>0.252</v>
      </c>
    </row>
    <row r="86" spans="1:14" s="23" customFormat="1" x14ac:dyDescent="0.2">
      <c r="A86" s="254"/>
      <c r="B86" s="4" t="s">
        <v>201</v>
      </c>
      <c r="C86" s="2"/>
      <c r="D86" s="18">
        <v>7</v>
      </c>
      <c r="E86" s="2"/>
      <c r="F86" s="256"/>
      <c r="G86" s="18">
        <v>0.20200000000000001</v>
      </c>
      <c r="H86" s="18"/>
      <c r="I86" s="18"/>
      <c r="J86" s="18"/>
      <c r="K86" s="256"/>
      <c r="L86" s="18"/>
      <c r="M86" s="255"/>
      <c r="N86" s="257">
        <f t="shared" si="4"/>
        <v>1.4140000000000001</v>
      </c>
    </row>
    <row r="87" spans="1:14" s="23" customFormat="1" x14ac:dyDescent="0.2">
      <c r="A87" s="254"/>
      <c r="B87" s="4" t="s">
        <v>202</v>
      </c>
      <c r="C87" s="2"/>
      <c r="D87" s="18">
        <v>0</v>
      </c>
      <c r="E87" s="2"/>
      <c r="F87" s="256"/>
      <c r="G87" s="18">
        <v>0.20200000000000001</v>
      </c>
      <c r="H87" s="18"/>
      <c r="I87" s="18"/>
      <c r="J87" s="18"/>
      <c r="K87" s="256"/>
      <c r="L87" s="18"/>
      <c r="M87" s="255"/>
      <c r="N87" s="257">
        <f t="shared" si="4"/>
        <v>0</v>
      </c>
    </row>
    <row r="88" spans="1:14" s="23" customFormat="1" x14ac:dyDescent="0.2">
      <c r="A88" s="254"/>
      <c r="B88" s="4" t="s">
        <v>203</v>
      </c>
      <c r="C88" s="2"/>
      <c r="D88" s="18">
        <v>0</v>
      </c>
      <c r="E88" s="2"/>
      <c r="F88" s="256"/>
      <c r="G88" s="18">
        <v>0.20200000000000001</v>
      </c>
      <c r="H88" s="18"/>
      <c r="I88" s="18"/>
      <c r="J88" s="18"/>
      <c r="K88" s="256"/>
      <c r="L88" s="18"/>
      <c r="M88" s="255"/>
      <c r="N88" s="257">
        <f t="shared" si="4"/>
        <v>0</v>
      </c>
    </row>
    <row r="89" spans="1:14" s="23" customFormat="1" x14ac:dyDescent="0.2">
      <c r="A89" s="254"/>
      <c r="B89" s="4" t="s">
        <v>199</v>
      </c>
      <c r="C89" s="2"/>
      <c r="D89" s="18">
        <v>1</v>
      </c>
      <c r="E89" s="2"/>
      <c r="F89" s="256"/>
      <c r="G89" s="18">
        <v>0.13</v>
      </c>
      <c r="H89" s="18"/>
      <c r="I89" s="18"/>
      <c r="J89" s="18"/>
      <c r="K89" s="256"/>
      <c r="L89" s="18"/>
      <c r="M89" s="255"/>
      <c r="N89" s="257">
        <f t="shared" si="4"/>
        <v>0.13</v>
      </c>
    </row>
    <row r="90" spans="1:14" s="23" customFormat="1" x14ac:dyDescent="0.2">
      <c r="A90" s="254"/>
      <c r="B90" s="4" t="s">
        <v>206</v>
      </c>
      <c r="C90" s="2"/>
      <c r="D90" s="18">
        <v>0</v>
      </c>
      <c r="E90" s="2"/>
      <c r="F90" s="256"/>
      <c r="G90" s="18">
        <v>0.35</v>
      </c>
      <c r="H90" s="18"/>
      <c r="I90" s="18"/>
      <c r="J90" s="18"/>
      <c r="K90" s="256"/>
      <c r="L90" s="18"/>
      <c r="M90" s="255"/>
      <c r="N90" s="257">
        <f t="shared" si="4"/>
        <v>0</v>
      </c>
    </row>
    <row r="91" spans="1:14" s="23" customFormat="1" x14ac:dyDescent="0.2">
      <c r="A91" s="254"/>
      <c r="B91" s="4" t="s">
        <v>205</v>
      </c>
      <c r="C91" s="2"/>
      <c r="D91" s="18">
        <v>0</v>
      </c>
      <c r="E91" s="2"/>
      <c r="F91" s="256"/>
      <c r="G91" s="18">
        <v>0.35</v>
      </c>
      <c r="H91" s="18"/>
      <c r="I91" s="18"/>
      <c r="J91" s="18"/>
      <c r="K91" s="256"/>
      <c r="L91" s="18"/>
      <c r="M91" s="255"/>
      <c r="N91" s="257">
        <f t="shared" si="4"/>
        <v>0</v>
      </c>
    </row>
    <row r="92" spans="1:14" s="23" customFormat="1" x14ac:dyDescent="0.2">
      <c r="A92" s="254"/>
      <c r="B92" s="4" t="s">
        <v>204</v>
      </c>
      <c r="C92" s="2"/>
      <c r="D92" s="18">
        <v>1</v>
      </c>
      <c r="E92" s="2"/>
      <c r="F92" s="256"/>
      <c r="G92" s="18">
        <v>0.35</v>
      </c>
      <c r="H92" s="18"/>
      <c r="I92" s="18"/>
      <c r="J92" s="18"/>
      <c r="K92" s="256"/>
      <c r="L92" s="18"/>
      <c r="M92" s="255"/>
      <c r="N92" s="257">
        <f t="shared" si="4"/>
        <v>0.35</v>
      </c>
    </row>
    <row r="93" spans="1:14" s="23" customFormat="1" x14ac:dyDescent="0.2">
      <c r="A93" s="254"/>
      <c r="B93" s="4" t="s">
        <v>214</v>
      </c>
      <c r="C93" s="2"/>
      <c r="D93" s="18">
        <v>2</v>
      </c>
      <c r="E93" s="2"/>
      <c r="F93" s="256"/>
      <c r="G93" s="18">
        <v>0.1125</v>
      </c>
      <c r="H93" s="18"/>
      <c r="I93" s="18"/>
      <c r="J93" s="18"/>
      <c r="K93" s="256"/>
      <c r="L93" s="18"/>
      <c r="M93" s="255"/>
      <c r="N93" s="257">
        <f t="shared" si="4"/>
        <v>0.22500000000000001</v>
      </c>
    </row>
    <row r="94" spans="1:14" s="243" customFormat="1" x14ac:dyDescent="0.2">
      <c r="A94" s="351" t="s">
        <v>321</v>
      </c>
      <c r="B94" s="351"/>
      <c r="C94" s="351"/>
      <c r="D94" s="351"/>
      <c r="E94" s="351"/>
      <c r="F94" s="351"/>
      <c r="G94" s="351"/>
      <c r="H94" s="351"/>
      <c r="I94" s="351"/>
      <c r="J94" s="351"/>
      <c r="K94" s="351"/>
      <c r="L94" s="351"/>
      <c r="M94" s="351"/>
      <c r="N94" s="250">
        <f>SUM(N84:N93)</f>
        <v>4.4710000000000001</v>
      </c>
    </row>
    <row r="95" spans="1:14" s="243" customFormat="1" x14ac:dyDescent="0.2">
      <c r="A95" s="244"/>
      <c r="B95" s="244"/>
      <c r="C95" s="244"/>
      <c r="D95" s="244"/>
      <c r="E95" s="244"/>
      <c r="F95" s="244"/>
      <c r="G95" s="244"/>
      <c r="H95" s="244"/>
      <c r="I95" s="244"/>
      <c r="J95" s="244"/>
      <c r="K95" s="244"/>
      <c r="L95" s="244"/>
      <c r="M95" s="244"/>
      <c r="N95" s="250"/>
    </row>
    <row r="96" spans="1:14" s="239" customFormat="1" x14ac:dyDescent="0.2">
      <c r="A96" s="238" t="s">
        <v>49</v>
      </c>
      <c r="B96" s="352" t="s">
        <v>300</v>
      </c>
      <c r="C96" s="352"/>
      <c r="D96" s="352"/>
      <c r="E96" s="352"/>
      <c r="F96" s="352"/>
      <c r="G96" s="352"/>
      <c r="H96" s="352"/>
      <c r="I96" s="352"/>
      <c r="J96" s="352"/>
      <c r="K96" s="352"/>
      <c r="L96" s="352"/>
      <c r="M96" s="352"/>
      <c r="N96" s="352"/>
    </row>
    <row r="97" spans="1:14" s="243" customFormat="1" ht="25.5" x14ac:dyDescent="0.2">
      <c r="A97" s="248"/>
      <c r="B97" s="249" t="s">
        <v>325</v>
      </c>
      <c r="C97" s="250"/>
      <c r="D97" s="250"/>
      <c r="E97" s="250"/>
      <c r="F97" s="250" t="s">
        <v>307</v>
      </c>
      <c r="G97" s="250"/>
      <c r="H97" s="250"/>
      <c r="I97" s="250"/>
      <c r="J97" s="250"/>
      <c r="K97" s="250"/>
      <c r="L97" s="250"/>
      <c r="M97" s="250"/>
      <c r="N97" s="250"/>
    </row>
    <row r="98" spans="1:14" x14ac:dyDescent="0.2">
      <c r="B98" s="220" t="s">
        <v>326</v>
      </c>
      <c r="C98" s="247"/>
      <c r="D98" s="247"/>
      <c r="E98" s="247">
        <v>580</v>
      </c>
      <c r="F98" s="247">
        <f>G98/E98</f>
        <v>8.3036551724137926</v>
      </c>
      <c r="G98" s="247">
        <v>4816.12</v>
      </c>
      <c r="H98" s="247"/>
      <c r="I98" s="247"/>
      <c r="J98" s="247"/>
      <c r="K98" s="247"/>
      <c r="L98" s="247"/>
      <c r="M98" s="247"/>
      <c r="N98" s="247">
        <f>G98</f>
        <v>4816.12</v>
      </c>
    </row>
    <row r="99" spans="1:14" s="243" customFormat="1" x14ac:dyDescent="0.2">
      <c r="A99" s="248"/>
      <c r="B99" s="249" t="s">
        <v>308</v>
      </c>
      <c r="C99" s="250"/>
      <c r="D99" s="250"/>
      <c r="E99" s="250"/>
      <c r="F99" s="250"/>
      <c r="G99" s="250"/>
      <c r="H99" s="247"/>
      <c r="I99" s="247"/>
      <c r="J99" s="247"/>
      <c r="K99" s="247"/>
      <c r="L99" s="250"/>
      <c r="M99" s="250"/>
      <c r="N99" s="247"/>
    </row>
    <row r="100" spans="1:14" x14ac:dyDescent="0.2">
      <c r="B100" s="220" t="s">
        <v>327</v>
      </c>
      <c r="C100" s="247"/>
      <c r="D100" s="247"/>
      <c r="E100" s="247">
        <v>5</v>
      </c>
      <c r="F100" s="247">
        <f>G100/E100</f>
        <v>12</v>
      </c>
      <c r="G100" s="247">
        <v>60</v>
      </c>
      <c r="H100" s="247"/>
      <c r="I100" s="247"/>
      <c r="J100" s="247"/>
      <c r="K100" s="247"/>
      <c r="L100" s="247"/>
      <c r="M100" s="247"/>
      <c r="N100" s="247">
        <f t="shared" ref="N100:N103" si="5">G100</f>
        <v>60</v>
      </c>
    </row>
    <row r="101" spans="1:14" x14ac:dyDescent="0.2">
      <c r="B101" s="220" t="s">
        <v>328</v>
      </c>
      <c r="C101" s="247"/>
      <c r="D101" s="247"/>
      <c r="E101" s="247">
        <v>5</v>
      </c>
      <c r="F101" s="247">
        <f t="shared" ref="F101:F103" si="6">G101/E101</f>
        <v>12</v>
      </c>
      <c r="G101" s="247">
        <v>60</v>
      </c>
      <c r="H101" s="247"/>
      <c r="I101" s="247"/>
      <c r="J101" s="247"/>
      <c r="K101" s="247"/>
      <c r="L101" s="247"/>
      <c r="M101" s="247"/>
      <c r="N101" s="247">
        <f t="shared" si="5"/>
        <v>60</v>
      </c>
    </row>
    <row r="102" spans="1:14" x14ac:dyDescent="0.2">
      <c r="B102" s="220" t="s">
        <v>329</v>
      </c>
      <c r="C102" s="247"/>
      <c r="D102" s="247"/>
      <c r="E102" s="247">
        <v>5</v>
      </c>
      <c r="F102" s="247">
        <f t="shared" si="6"/>
        <v>5</v>
      </c>
      <c r="G102" s="247">
        <v>25</v>
      </c>
      <c r="H102" s="247"/>
      <c r="I102" s="247"/>
      <c r="J102" s="247"/>
      <c r="K102" s="247"/>
      <c r="L102" s="247"/>
      <c r="M102" s="247"/>
      <c r="N102" s="247">
        <f t="shared" si="5"/>
        <v>25</v>
      </c>
    </row>
    <row r="103" spans="1:14" x14ac:dyDescent="0.2">
      <c r="B103" s="220" t="s">
        <v>330</v>
      </c>
      <c r="C103" s="247"/>
      <c r="D103" s="247"/>
      <c r="E103" s="247">
        <v>5</v>
      </c>
      <c r="F103" s="247">
        <f t="shared" si="6"/>
        <v>8</v>
      </c>
      <c r="G103" s="247">
        <v>40</v>
      </c>
      <c r="H103" s="247"/>
      <c r="I103" s="247"/>
      <c r="J103" s="247"/>
      <c r="K103" s="247"/>
      <c r="L103" s="247"/>
      <c r="M103" s="247"/>
      <c r="N103" s="247">
        <f t="shared" si="5"/>
        <v>40</v>
      </c>
    </row>
    <row r="104" spans="1:14" s="243" customFormat="1" x14ac:dyDescent="0.2">
      <c r="A104" s="351" t="s">
        <v>321</v>
      </c>
      <c r="B104" s="351"/>
      <c r="C104" s="351"/>
      <c r="D104" s="351"/>
      <c r="E104" s="351"/>
      <c r="F104" s="351"/>
      <c r="G104" s="351"/>
      <c r="H104" s="351"/>
      <c r="I104" s="351"/>
      <c r="J104" s="351"/>
      <c r="K104" s="351"/>
      <c r="L104" s="351"/>
      <c r="M104" s="351"/>
      <c r="N104" s="242">
        <f>SUM(N98:N103)</f>
        <v>5001.12</v>
      </c>
    </row>
    <row r="105" spans="1:14" s="253" customFormat="1" x14ac:dyDescent="0.2">
      <c r="A105" s="131"/>
      <c r="B105" s="224"/>
      <c r="C105" s="251"/>
      <c r="D105" s="251"/>
      <c r="E105" s="251"/>
      <c r="F105" s="251"/>
      <c r="G105" s="251"/>
      <c r="H105" s="251"/>
      <c r="I105" s="251"/>
      <c r="J105" s="251"/>
      <c r="K105" s="251"/>
      <c r="L105" s="251"/>
      <c r="M105" s="251"/>
      <c r="N105" s="251"/>
    </row>
    <row r="106" spans="1:14" s="239" customFormat="1" x14ac:dyDescent="0.2">
      <c r="A106" s="238" t="s">
        <v>50</v>
      </c>
      <c r="B106" s="352" t="s">
        <v>303</v>
      </c>
      <c r="C106" s="352"/>
      <c r="D106" s="352"/>
      <c r="E106" s="352"/>
      <c r="F106" s="352"/>
      <c r="G106" s="352"/>
      <c r="H106" s="352"/>
      <c r="I106" s="352"/>
      <c r="J106" s="352"/>
      <c r="K106" s="352"/>
      <c r="L106" s="352"/>
      <c r="M106" s="352"/>
      <c r="N106" s="352"/>
    </row>
    <row r="107" spans="1:14" x14ac:dyDescent="0.2">
      <c r="B107" s="353" t="s">
        <v>331</v>
      </c>
      <c r="C107" s="353"/>
      <c r="D107" s="245"/>
      <c r="E107" s="247"/>
      <c r="F107" s="247"/>
      <c r="G107" s="247">
        <f>N104</f>
        <v>5001.12</v>
      </c>
      <c r="H107" s="247"/>
      <c r="I107" s="247"/>
      <c r="J107" s="247"/>
      <c r="K107" s="247"/>
      <c r="L107" s="247"/>
      <c r="M107" s="247"/>
      <c r="N107" s="247">
        <f>G107</f>
        <v>5001.12</v>
      </c>
    </row>
    <row r="108" spans="1:14" s="243" customFormat="1" x14ac:dyDescent="0.2">
      <c r="A108" s="351" t="s">
        <v>321</v>
      </c>
      <c r="B108" s="351"/>
      <c r="C108" s="351"/>
      <c r="D108" s="351"/>
      <c r="E108" s="351"/>
      <c r="F108" s="351"/>
      <c r="G108" s="351"/>
      <c r="H108" s="351"/>
      <c r="I108" s="351"/>
      <c r="J108" s="351"/>
      <c r="K108" s="351"/>
      <c r="L108" s="351"/>
      <c r="M108" s="351"/>
      <c r="N108" s="250">
        <f>N107</f>
        <v>5001.12</v>
      </c>
    </row>
    <row r="109" spans="1:14" s="253" customFormat="1" x14ac:dyDescent="0.2">
      <c r="A109" s="131"/>
      <c r="B109" s="224"/>
      <c r="C109" s="251"/>
      <c r="D109" s="251"/>
      <c r="E109" s="251"/>
      <c r="F109" s="251"/>
      <c r="G109" s="251"/>
      <c r="H109" s="251"/>
      <c r="I109" s="251"/>
      <c r="J109" s="251"/>
      <c r="K109" s="251"/>
      <c r="L109" s="251"/>
      <c r="M109" s="251"/>
      <c r="N109" s="251"/>
    </row>
    <row r="110" spans="1:14" s="239" customFormat="1" x14ac:dyDescent="0.2">
      <c r="A110" s="238" t="s">
        <v>51</v>
      </c>
      <c r="B110" s="352" t="s">
        <v>302</v>
      </c>
      <c r="C110" s="352"/>
      <c r="D110" s="352"/>
      <c r="E110" s="352"/>
      <c r="F110" s="352"/>
      <c r="G110" s="352"/>
      <c r="H110" s="352"/>
      <c r="I110" s="352"/>
      <c r="J110" s="352"/>
      <c r="K110" s="352"/>
      <c r="L110" s="352"/>
      <c r="M110" s="352"/>
      <c r="N110" s="352"/>
    </row>
    <row r="111" spans="1:14" x14ac:dyDescent="0.2">
      <c r="B111" s="220" t="s">
        <v>320</v>
      </c>
      <c r="C111" s="247"/>
      <c r="D111" s="247"/>
      <c r="E111" s="247"/>
      <c r="F111" s="247"/>
      <c r="G111" s="247">
        <f>N104</f>
        <v>5001.12</v>
      </c>
      <c r="H111" s="247">
        <v>0.05</v>
      </c>
      <c r="I111" s="247">
        <f>G111*H111</f>
        <v>250.05600000000001</v>
      </c>
      <c r="J111" s="247"/>
      <c r="K111" s="247"/>
      <c r="L111" s="247"/>
      <c r="M111" s="247"/>
      <c r="N111" s="247">
        <f>I111</f>
        <v>250.05600000000001</v>
      </c>
    </row>
    <row r="112" spans="1:14" s="243" customFormat="1" x14ac:dyDescent="0.2">
      <c r="A112" s="351" t="s">
        <v>322</v>
      </c>
      <c r="B112" s="351"/>
      <c r="C112" s="351"/>
      <c r="D112" s="351"/>
      <c r="E112" s="351"/>
      <c r="F112" s="351"/>
      <c r="G112" s="351"/>
      <c r="H112" s="351"/>
      <c r="I112" s="351"/>
      <c r="J112" s="351"/>
      <c r="K112" s="351"/>
      <c r="L112" s="351"/>
      <c r="M112" s="351"/>
      <c r="N112" s="250">
        <f>N111</f>
        <v>250.05600000000001</v>
      </c>
    </row>
    <row r="113" spans="1:14" s="253" customFormat="1" x14ac:dyDescent="0.2">
      <c r="A113" s="131"/>
      <c r="B113" s="224"/>
      <c r="C113" s="251"/>
      <c r="D113" s="251"/>
      <c r="E113" s="251"/>
      <c r="F113" s="251"/>
      <c r="G113" s="251"/>
      <c r="H113" s="251"/>
      <c r="I113" s="251"/>
      <c r="J113" s="251"/>
      <c r="K113" s="251"/>
      <c r="L113" s="251"/>
      <c r="M113" s="251"/>
      <c r="N113" s="251"/>
    </row>
    <row r="114" spans="1:14" s="239" customFormat="1" ht="26.25" customHeight="1" x14ac:dyDescent="0.2">
      <c r="A114" s="238" t="s">
        <v>96</v>
      </c>
      <c r="B114" s="352" t="s">
        <v>235</v>
      </c>
      <c r="C114" s="352"/>
      <c r="D114" s="352"/>
      <c r="E114" s="352"/>
      <c r="F114" s="352"/>
      <c r="G114" s="352"/>
      <c r="H114" s="352"/>
      <c r="I114" s="352"/>
      <c r="J114" s="352"/>
      <c r="K114" s="352"/>
      <c r="L114" s="352"/>
      <c r="M114" s="352"/>
      <c r="N114" s="352"/>
    </row>
    <row r="115" spans="1:14" s="251" customFormat="1" ht="25.5" x14ac:dyDescent="0.2">
      <c r="B115" s="252" t="s">
        <v>300</v>
      </c>
      <c r="C115" s="247"/>
      <c r="D115" s="247"/>
      <c r="E115" s="247"/>
      <c r="F115" s="247"/>
      <c r="G115" s="247">
        <f>N104</f>
        <v>5001.12</v>
      </c>
      <c r="H115" s="247">
        <v>0.05</v>
      </c>
      <c r="I115" s="247">
        <f>G115*H115</f>
        <v>250.05600000000001</v>
      </c>
      <c r="J115" s="247">
        <v>1.85</v>
      </c>
      <c r="K115" s="247">
        <f>I115*J115</f>
        <v>462.60360000000003</v>
      </c>
      <c r="L115" s="247">
        <v>10</v>
      </c>
      <c r="M115" s="247">
        <f>K115*L115</f>
        <v>4626.0360000000001</v>
      </c>
      <c r="N115" s="247">
        <f>M115</f>
        <v>4626.0360000000001</v>
      </c>
    </row>
    <row r="116" spans="1:14" s="251" customFormat="1" ht="38.25" x14ac:dyDescent="0.2">
      <c r="B116" s="252" t="s">
        <v>302</v>
      </c>
      <c r="C116" s="247"/>
      <c r="D116" s="247"/>
      <c r="E116" s="247"/>
      <c r="F116" s="247"/>
      <c r="G116" s="247">
        <f>N104</f>
        <v>5001.12</v>
      </c>
      <c r="H116" s="247">
        <v>0.05</v>
      </c>
      <c r="I116" s="247">
        <f>G116*H116</f>
        <v>250.05600000000001</v>
      </c>
      <c r="J116" s="247">
        <v>1.85</v>
      </c>
      <c r="K116" s="247">
        <f>I116*J116</f>
        <v>462.60360000000003</v>
      </c>
      <c r="L116" s="247">
        <v>10</v>
      </c>
      <c r="M116" s="247">
        <f>K116*L116</f>
        <v>4626.0360000000001</v>
      </c>
      <c r="N116" s="247">
        <f>M116</f>
        <v>4626.0360000000001</v>
      </c>
    </row>
    <row r="117" spans="1:14" s="243" customFormat="1" x14ac:dyDescent="0.2">
      <c r="A117" s="351" t="s">
        <v>323</v>
      </c>
      <c r="B117" s="351"/>
      <c r="C117" s="351"/>
      <c r="D117" s="351"/>
      <c r="E117" s="351"/>
      <c r="F117" s="351"/>
      <c r="G117" s="351"/>
      <c r="H117" s="351"/>
      <c r="I117" s="351"/>
      <c r="J117" s="351"/>
      <c r="K117" s="351"/>
      <c r="L117" s="351"/>
      <c r="M117" s="351"/>
      <c r="N117" s="250">
        <f>SUM(N115:N116)</f>
        <v>9252.0720000000001</v>
      </c>
    </row>
    <row r="118" spans="1:14" x14ac:dyDescent="0.2">
      <c r="B118" s="258"/>
    </row>
    <row r="119" spans="1:14" s="239" customFormat="1" x14ac:dyDescent="0.2">
      <c r="A119" s="238" t="s">
        <v>87</v>
      </c>
      <c r="B119" s="352" t="s">
        <v>82</v>
      </c>
      <c r="C119" s="352"/>
      <c r="D119" s="352"/>
      <c r="E119" s="352"/>
      <c r="F119" s="352"/>
      <c r="G119" s="352"/>
      <c r="H119" s="352"/>
      <c r="I119" s="352"/>
      <c r="J119" s="352"/>
      <c r="K119" s="352"/>
      <c r="L119" s="352"/>
      <c r="M119" s="352"/>
      <c r="N119" s="352"/>
    </row>
    <row r="120" spans="1:14" s="23" customFormat="1" ht="24" x14ac:dyDescent="0.2">
      <c r="A120" s="254"/>
      <c r="B120" s="4" t="s">
        <v>191</v>
      </c>
      <c r="C120" s="2"/>
      <c r="D120" s="18">
        <v>1</v>
      </c>
      <c r="E120" s="18">
        <f>9.95+10.08+8.64+13.46</f>
        <v>42.13</v>
      </c>
      <c r="F120" s="18">
        <v>1.8</v>
      </c>
      <c r="G120" s="18">
        <f>D120*E120*F120</f>
        <v>75.834000000000003</v>
      </c>
      <c r="H120" s="18"/>
      <c r="I120" s="18"/>
      <c r="J120" s="18"/>
      <c r="K120" s="256"/>
      <c r="L120" s="18"/>
      <c r="M120" s="255"/>
      <c r="N120" s="255">
        <f>G120</f>
        <v>75.834000000000003</v>
      </c>
    </row>
    <row r="121" spans="1:14" s="23" customFormat="1" x14ac:dyDescent="0.2">
      <c r="A121" s="254"/>
      <c r="B121" s="4" t="s">
        <v>187</v>
      </c>
      <c r="C121" s="2"/>
      <c r="D121" s="18">
        <v>1</v>
      </c>
      <c r="E121" s="18">
        <v>1.7</v>
      </c>
      <c r="F121" s="18">
        <v>1.7</v>
      </c>
      <c r="G121" s="18">
        <f t="shared" ref="G121:G125" si="7">D121*E121*F121</f>
        <v>2.8899999999999997</v>
      </c>
      <c r="H121" s="18"/>
      <c r="I121" s="18"/>
      <c r="J121" s="18"/>
      <c r="K121" s="256"/>
      <c r="L121" s="18"/>
      <c r="M121" s="255"/>
      <c r="N121" s="255">
        <f t="shared" ref="N121:N125" si="8">G121</f>
        <v>2.8899999999999997</v>
      </c>
    </row>
    <row r="122" spans="1:14" s="23" customFormat="1" ht="24" x14ac:dyDescent="0.2">
      <c r="A122" s="254"/>
      <c r="B122" s="4" t="s">
        <v>85</v>
      </c>
      <c r="C122" s="2"/>
      <c r="D122" s="18">
        <v>1</v>
      </c>
      <c r="E122" s="18">
        <v>126.16</v>
      </c>
      <c r="F122" s="18">
        <v>0.1</v>
      </c>
      <c r="G122" s="18">
        <f t="shared" si="7"/>
        <v>12.616</v>
      </c>
      <c r="H122" s="18"/>
      <c r="I122" s="18"/>
      <c r="J122" s="18"/>
      <c r="K122" s="256"/>
      <c r="L122" s="18"/>
      <c r="M122" s="255"/>
      <c r="N122" s="255">
        <f t="shared" si="8"/>
        <v>12.616</v>
      </c>
    </row>
    <row r="123" spans="1:14" s="23" customFormat="1" x14ac:dyDescent="0.2">
      <c r="A123" s="254"/>
      <c r="B123" s="4" t="s">
        <v>186</v>
      </c>
      <c r="C123" s="2"/>
      <c r="D123" s="18">
        <v>2</v>
      </c>
      <c r="E123" s="18">
        <v>580</v>
      </c>
      <c r="F123" s="18">
        <v>0.1</v>
      </c>
      <c r="G123" s="18">
        <f t="shared" si="7"/>
        <v>116</v>
      </c>
      <c r="H123" s="18"/>
      <c r="I123" s="18"/>
      <c r="J123" s="18"/>
      <c r="K123" s="256"/>
      <c r="L123" s="18"/>
      <c r="M123" s="255"/>
      <c r="N123" s="255">
        <f t="shared" si="8"/>
        <v>116</v>
      </c>
    </row>
    <row r="124" spans="1:14" s="23" customFormat="1" x14ac:dyDescent="0.2">
      <c r="A124" s="254"/>
      <c r="B124" s="4" t="s">
        <v>188</v>
      </c>
      <c r="C124" s="2"/>
      <c r="D124" s="18">
        <v>1</v>
      </c>
      <c r="E124" s="18">
        <v>0.4</v>
      </c>
      <c r="F124" s="18">
        <v>1.7</v>
      </c>
      <c r="G124" s="18">
        <f t="shared" si="7"/>
        <v>0.68</v>
      </c>
      <c r="H124" s="18"/>
      <c r="I124" s="18"/>
      <c r="J124" s="18"/>
      <c r="K124" s="256"/>
      <c r="L124" s="18"/>
      <c r="M124" s="255"/>
      <c r="N124" s="255">
        <f t="shared" si="8"/>
        <v>0.68</v>
      </c>
    </row>
    <row r="125" spans="1:14" s="23" customFormat="1" x14ac:dyDescent="0.2">
      <c r="A125" s="254"/>
      <c r="B125" s="4" t="s">
        <v>209</v>
      </c>
      <c r="C125" s="2"/>
      <c r="D125" s="18">
        <v>1</v>
      </c>
      <c r="E125" s="18">
        <f>10.08+8.64</f>
        <v>18.72</v>
      </c>
      <c r="F125" s="18">
        <v>0.52</v>
      </c>
      <c r="G125" s="18">
        <f t="shared" si="7"/>
        <v>9.7343999999999991</v>
      </c>
      <c r="H125" s="18"/>
      <c r="I125" s="18"/>
      <c r="J125" s="18"/>
      <c r="K125" s="256"/>
      <c r="L125" s="18"/>
      <c r="M125" s="255"/>
      <c r="N125" s="255">
        <f t="shared" si="8"/>
        <v>9.7343999999999991</v>
      </c>
    </row>
    <row r="126" spans="1:14" s="243" customFormat="1" x14ac:dyDescent="0.2">
      <c r="A126" s="351" t="s">
        <v>321</v>
      </c>
      <c r="B126" s="351"/>
      <c r="C126" s="351"/>
      <c r="D126" s="351"/>
      <c r="E126" s="351"/>
      <c r="F126" s="351"/>
      <c r="G126" s="351"/>
      <c r="H126" s="351"/>
      <c r="I126" s="351"/>
      <c r="J126" s="351"/>
      <c r="K126" s="351"/>
      <c r="L126" s="351"/>
      <c r="M126" s="351"/>
      <c r="N126" s="250">
        <f>SUM(N120:N125)</f>
        <v>217.7544</v>
      </c>
    </row>
    <row r="127" spans="1:14" s="243" customFormat="1" x14ac:dyDescent="0.2">
      <c r="A127" s="244"/>
      <c r="B127" s="244"/>
      <c r="C127" s="244"/>
      <c r="D127" s="244"/>
      <c r="E127" s="244"/>
      <c r="F127" s="244"/>
      <c r="G127" s="244"/>
      <c r="H127" s="244"/>
      <c r="I127" s="244"/>
      <c r="J127" s="244"/>
      <c r="K127" s="244"/>
      <c r="L127" s="244"/>
      <c r="M127" s="244"/>
      <c r="N127" s="250"/>
    </row>
    <row r="128" spans="1:14" s="239" customFormat="1" x14ac:dyDescent="0.2">
      <c r="A128" s="238" t="s">
        <v>88</v>
      </c>
      <c r="B128" s="352" t="s">
        <v>236</v>
      </c>
      <c r="C128" s="352"/>
      <c r="D128" s="352"/>
      <c r="E128" s="352"/>
      <c r="F128" s="352"/>
      <c r="G128" s="352"/>
      <c r="H128" s="352"/>
      <c r="I128" s="352"/>
      <c r="J128" s="352"/>
      <c r="K128" s="352"/>
      <c r="L128" s="352"/>
      <c r="M128" s="352"/>
      <c r="N128" s="352"/>
    </row>
    <row r="129" spans="1:14" s="23" customFormat="1" x14ac:dyDescent="0.2">
      <c r="A129" s="254"/>
      <c r="B129" s="4" t="s">
        <v>200</v>
      </c>
      <c r="C129" s="2"/>
      <c r="D129" s="18">
        <v>5</v>
      </c>
      <c r="E129" s="256"/>
      <c r="F129" s="256"/>
      <c r="G129" s="18">
        <v>0.3</v>
      </c>
      <c r="H129" s="18"/>
      <c r="I129" s="18"/>
      <c r="J129" s="18"/>
      <c r="K129" s="256"/>
      <c r="L129" s="256"/>
      <c r="M129" s="256"/>
      <c r="N129" s="18">
        <f>D129*G129</f>
        <v>1.5</v>
      </c>
    </row>
    <row r="130" spans="1:14" s="23" customFormat="1" x14ac:dyDescent="0.2">
      <c r="A130" s="254"/>
      <c r="B130" s="4" t="s">
        <v>198</v>
      </c>
      <c r="C130" s="2"/>
      <c r="D130" s="18">
        <v>2</v>
      </c>
      <c r="E130" s="256"/>
      <c r="F130" s="256"/>
      <c r="G130" s="18">
        <v>0.126</v>
      </c>
      <c r="H130" s="18"/>
      <c r="I130" s="18"/>
      <c r="J130" s="18"/>
      <c r="K130" s="256"/>
      <c r="L130" s="256"/>
      <c r="M130" s="256"/>
      <c r="N130" s="18">
        <f t="shared" ref="N130:N138" si="9">D130*G130</f>
        <v>0.252</v>
      </c>
    </row>
    <row r="131" spans="1:14" s="23" customFormat="1" x14ac:dyDescent="0.2">
      <c r="A131" s="254"/>
      <c r="B131" s="4" t="s">
        <v>201</v>
      </c>
      <c r="C131" s="2"/>
      <c r="D131" s="18">
        <v>3</v>
      </c>
      <c r="E131" s="256"/>
      <c r="F131" s="256"/>
      <c r="G131" s="18">
        <v>0.20200000000000001</v>
      </c>
      <c r="H131" s="18"/>
      <c r="I131" s="18"/>
      <c r="J131" s="18"/>
      <c r="K131" s="256"/>
      <c r="L131" s="256"/>
      <c r="M131" s="256"/>
      <c r="N131" s="18">
        <f t="shared" si="9"/>
        <v>0.60600000000000009</v>
      </c>
    </row>
    <row r="132" spans="1:14" s="23" customFormat="1" x14ac:dyDescent="0.2">
      <c r="A132" s="254"/>
      <c r="B132" s="4" t="s">
        <v>202</v>
      </c>
      <c r="C132" s="2"/>
      <c r="D132" s="18">
        <v>4</v>
      </c>
      <c r="E132" s="256"/>
      <c r="F132" s="256"/>
      <c r="G132" s="18">
        <v>0.20200000000000001</v>
      </c>
      <c r="H132" s="18"/>
      <c r="I132" s="18"/>
      <c r="J132" s="18"/>
      <c r="K132" s="256"/>
      <c r="L132" s="256"/>
      <c r="M132" s="256"/>
      <c r="N132" s="18">
        <f t="shared" si="9"/>
        <v>0.80800000000000005</v>
      </c>
    </row>
    <row r="133" spans="1:14" s="23" customFormat="1" x14ac:dyDescent="0.2">
      <c r="A133" s="254"/>
      <c r="B133" s="4" t="s">
        <v>203</v>
      </c>
      <c r="C133" s="2"/>
      <c r="D133" s="18">
        <v>2</v>
      </c>
      <c r="E133" s="256"/>
      <c r="F133" s="256"/>
      <c r="G133" s="18">
        <v>0.20200000000000001</v>
      </c>
      <c r="H133" s="18"/>
      <c r="I133" s="18"/>
      <c r="J133" s="18"/>
      <c r="K133" s="256"/>
      <c r="L133" s="256"/>
      <c r="M133" s="256"/>
      <c r="N133" s="18">
        <f t="shared" si="9"/>
        <v>0.40400000000000003</v>
      </c>
    </row>
    <row r="134" spans="1:14" s="23" customFormat="1" x14ac:dyDescent="0.2">
      <c r="A134" s="254"/>
      <c r="B134" s="4" t="s">
        <v>199</v>
      </c>
      <c r="C134" s="2"/>
      <c r="D134" s="18">
        <v>3</v>
      </c>
      <c r="E134" s="256"/>
      <c r="F134" s="256"/>
      <c r="G134" s="18">
        <v>0.13</v>
      </c>
      <c r="H134" s="18"/>
      <c r="I134" s="18"/>
      <c r="J134" s="18"/>
      <c r="K134" s="256"/>
      <c r="L134" s="256"/>
      <c r="M134" s="256"/>
      <c r="N134" s="18">
        <f t="shared" si="9"/>
        <v>0.39</v>
      </c>
    </row>
    <row r="135" spans="1:14" s="23" customFormat="1" x14ac:dyDescent="0.2">
      <c r="A135" s="254"/>
      <c r="B135" s="4" t="s">
        <v>206</v>
      </c>
      <c r="C135" s="2"/>
      <c r="D135" s="18">
        <v>1</v>
      </c>
      <c r="E135" s="256"/>
      <c r="F135" s="256"/>
      <c r="G135" s="18">
        <v>0.35</v>
      </c>
      <c r="H135" s="18"/>
      <c r="I135" s="18"/>
      <c r="J135" s="18"/>
      <c r="K135" s="256"/>
      <c r="L135" s="256"/>
      <c r="M135" s="256"/>
      <c r="N135" s="18">
        <f t="shared" si="9"/>
        <v>0.35</v>
      </c>
    </row>
    <row r="136" spans="1:14" s="23" customFormat="1" x14ac:dyDescent="0.2">
      <c r="A136" s="254"/>
      <c r="B136" s="4" t="s">
        <v>205</v>
      </c>
      <c r="C136" s="2"/>
      <c r="D136" s="18">
        <v>1</v>
      </c>
      <c r="E136" s="256"/>
      <c r="F136" s="256"/>
      <c r="G136" s="18">
        <v>0.35</v>
      </c>
      <c r="H136" s="18"/>
      <c r="I136" s="18"/>
      <c r="J136" s="18"/>
      <c r="K136" s="256"/>
      <c r="L136" s="256"/>
      <c r="M136" s="256"/>
      <c r="N136" s="18">
        <f t="shared" si="9"/>
        <v>0.35</v>
      </c>
    </row>
    <row r="137" spans="1:14" s="23" customFormat="1" x14ac:dyDescent="0.2">
      <c r="A137" s="254"/>
      <c r="B137" s="4" t="s">
        <v>204</v>
      </c>
      <c r="C137" s="2"/>
      <c r="D137" s="18">
        <v>1</v>
      </c>
      <c r="E137" s="256"/>
      <c r="F137" s="256"/>
      <c r="G137" s="18">
        <v>0.35</v>
      </c>
      <c r="H137" s="18"/>
      <c r="I137" s="18"/>
      <c r="J137" s="18"/>
      <c r="K137" s="256"/>
      <c r="L137" s="256"/>
      <c r="M137" s="256"/>
      <c r="N137" s="18">
        <f t="shared" si="9"/>
        <v>0.35</v>
      </c>
    </row>
    <row r="138" spans="1:14" s="23" customFormat="1" x14ac:dyDescent="0.2">
      <c r="A138" s="254"/>
      <c r="B138" s="4" t="s">
        <v>214</v>
      </c>
      <c r="C138" s="2"/>
      <c r="D138" s="18">
        <v>2</v>
      </c>
      <c r="E138" s="256"/>
      <c r="F138" s="256"/>
      <c r="G138" s="18">
        <v>0.1125</v>
      </c>
      <c r="H138" s="18"/>
      <c r="I138" s="18"/>
      <c r="J138" s="18"/>
      <c r="K138" s="256"/>
      <c r="L138" s="256"/>
      <c r="M138" s="256"/>
      <c r="N138" s="18">
        <f t="shared" si="9"/>
        <v>0.22500000000000001</v>
      </c>
    </row>
    <row r="139" spans="1:14" s="259" customFormat="1" x14ac:dyDescent="0.2">
      <c r="A139" s="354" t="s">
        <v>321</v>
      </c>
      <c r="B139" s="354"/>
      <c r="C139" s="354"/>
      <c r="D139" s="354"/>
      <c r="E139" s="354"/>
      <c r="F139" s="354"/>
      <c r="G139" s="354"/>
      <c r="H139" s="354"/>
      <c r="I139" s="354"/>
      <c r="J139" s="354"/>
      <c r="K139" s="354"/>
      <c r="L139" s="354"/>
      <c r="M139" s="354"/>
      <c r="N139" s="250">
        <f>SUM(N129:N138)</f>
        <v>5.2349999999999994</v>
      </c>
    </row>
    <row r="140" spans="1:14" s="259" customFormat="1" x14ac:dyDescent="0.2">
      <c r="A140" s="260"/>
      <c r="B140" s="260"/>
      <c r="C140" s="260"/>
      <c r="D140" s="260"/>
      <c r="E140" s="260"/>
      <c r="F140" s="260"/>
      <c r="G140" s="260"/>
      <c r="H140" s="260"/>
      <c r="I140" s="260"/>
      <c r="J140" s="260"/>
      <c r="K140" s="260"/>
      <c r="L140" s="260"/>
      <c r="M140" s="260"/>
      <c r="N140" s="250"/>
    </row>
    <row r="141" spans="1:14" s="239" customFormat="1" x14ac:dyDescent="0.2">
      <c r="A141" s="238" t="s">
        <v>144</v>
      </c>
      <c r="B141" s="352" t="s">
        <v>300</v>
      </c>
      <c r="C141" s="352"/>
      <c r="D141" s="352"/>
      <c r="E141" s="352"/>
      <c r="F141" s="352"/>
      <c r="G141" s="352"/>
      <c r="H141" s="352"/>
      <c r="I141" s="352"/>
      <c r="J141" s="352"/>
      <c r="K141" s="352"/>
      <c r="L141" s="352"/>
      <c r="M141" s="352"/>
      <c r="N141" s="352"/>
    </row>
    <row r="142" spans="1:14" s="243" customFormat="1" ht="25.5" x14ac:dyDescent="0.2">
      <c r="A142" s="248"/>
      <c r="B142" s="249" t="s">
        <v>292</v>
      </c>
      <c r="C142" s="250"/>
      <c r="D142" s="250"/>
      <c r="E142" s="250"/>
      <c r="F142" s="250" t="s">
        <v>307</v>
      </c>
      <c r="G142" s="250"/>
      <c r="H142" s="250"/>
      <c r="I142" s="250"/>
      <c r="J142" s="250"/>
      <c r="K142" s="250"/>
      <c r="L142" s="250"/>
      <c r="M142" s="250"/>
      <c r="N142" s="250"/>
    </row>
    <row r="143" spans="1:14" x14ac:dyDescent="0.2">
      <c r="B143" s="220" t="s">
        <v>332</v>
      </c>
      <c r="C143" s="247"/>
      <c r="D143" s="247"/>
      <c r="E143" s="247">
        <v>235.25</v>
      </c>
      <c r="F143" s="247">
        <f>G143/E143</f>
        <v>8.0889266737513292</v>
      </c>
      <c r="G143" s="247">
        <v>1902.92</v>
      </c>
      <c r="H143" s="247"/>
      <c r="I143" s="247"/>
      <c r="J143" s="247"/>
      <c r="K143" s="247"/>
      <c r="L143" s="247"/>
      <c r="M143" s="247"/>
      <c r="N143" s="247">
        <f>G143</f>
        <v>1902.92</v>
      </c>
    </row>
    <row r="144" spans="1:14" s="243" customFormat="1" x14ac:dyDescent="0.2">
      <c r="A144" s="248"/>
      <c r="B144" s="249" t="s">
        <v>308</v>
      </c>
      <c r="C144" s="250"/>
      <c r="D144" s="250"/>
      <c r="E144" s="250"/>
      <c r="F144" s="250"/>
      <c r="G144" s="250"/>
      <c r="H144" s="247"/>
      <c r="I144" s="247"/>
      <c r="J144" s="247"/>
      <c r="K144" s="247"/>
      <c r="L144" s="250"/>
      <c r="M144" s="250"/>
      <c r="N144" s="247"/>
    </row>
    <row r="145" spans="1:14" x14ac:dyDescent="0.2">
      <c r="B145" s="220" t="s">
        <v>333</v>
      </c>
      <c r="C145" s="247"/>
      <c r="D145" s="247"/>
      <c r="E145" s="247">
        <v>5</v>
      </c>
      <c r="F145" s="247">
        <f>G145/E145</f>
        <v>9.6120000000000001</v>
      </c>
      <c r="G145" s="247">
        <v>48.06</v>
      </c>
      <c r="H145" s="247"/>
      <c r="I145" s="247"/>
      <c r="J145" s="247"/>
      <c r="K145" s="247"/>
      <c r="L145" s="247"/>
      <c r="M145" s="247"/>
      <c r="N145" s="247">
        <f t="shared" ref="N145" si="10">G145</f>
        <v>48.06</v>
      </c>
    </row>
    <row r="146" spans="1:14" s="243" customFormat="1" x14ac:dyDescent="0.2">
      <c r="A146" s="351" t="s">
        <v>321</v>
      </c>
      <c r="B146" s="351"/>
      <c r="C146" s="351"/>
      <c r="D146" s="351"/>
      <c r="E146" s="351"/>
      <c r="F146" s="351"/>
      <c r="G146" s="351"/>
      <c r="H146" s="351"/>
      <c r="I146" s="351"/>
      <c r="J146" s="351"/>
      <c r="K146" s="351"/>
      <c r="L146" s="351"/>
      <c r="M146" s="351"/>
      <c r="N146" s="242">
        <f>SUM(N143:N145)</f>
        <v>1950.98</v>
      </c>
    </row>
    <row r="147" spans="1:14" s="253" customFormat="1" x14ac:dyDescent="0.2">
      <c r="A147" s="131"/>
      <c r="B147" s="224"/>
      <c r="C147" s="251"/>
      <c r="D147" s="251"/>
      <c r="E147" s="251"/>
      <c r="F147" s="251"/>
      <c r="G147" s="251"/>
      <c r="H147" s="251"/>
      <c r="I147" s="251"/>
      <c r="J147" s="251"/>
      <c r="K147" s="251"/>
      <c r="L147" s="251"/>
      <c r="M147" s="251"/>
      <c r="N147" s="251"/>
    </row>
    <row r="148" spans="1:14" s="239" customFormat="1" x14ac:dyDescent="0.2">
      <c r="A148" s="238" t="s">
        <v>145</v>
      </c>
      <c r="B148" s="352" t="s">
        <v>303</v>
      </c>
      <c r="C148" s="352"/>
      <c r="D148" s="352"/>
      <c r="E148" s="352"/>
      <c r="F148" s="352"/>
      <c r="G148" s="352"/>
      <c r="H148" s="352"/>
      <c r="I148" s="352"/>
      <c r="J148" s="352"/>
      <c r="K148" s="352"/>
      <c r="L148" s="352"/>
      <c r="M148" s="352"/>
      <c r="N148" s="352"/>
    </row>
    <row r="149" spans="1:14" x14ac:dyDescent="0.2">
      <c r="B149" s="353" t="s">
        <v>331</v>
      </c>
      <c r="C149" s="353"/>
      <c r="D149" s="245"/>
      <c r="E149" s="247"/>
      <c r="F149" s="247"/>
      <c r="G149" s="247">
        <f>N146</f>
        <v>1950.98</v>
      </c>
      <c r="H149" s="247"/>
      <c r="I149" s="247"/>
      <c r="J149" s="247"/>
      <c r="K149" s="247"/>
      <c r="L149" s="247"/>
      <c r="M149" s="247"/>
      <c r="N149" s="247">
        <f>G149</f>
        <v>1950.98</v>
      </c>
    </row>
    <row r="150" spans="1:14" s="243" customFormat="1" x14ac:dyDescent="0.2">
      <c r="A150" s="351" t="s">
        <v>321</v>
      </c>
      <c r="B150" s="351"/>
      <c r="C150" s="351"/>
      <c r="D150" s="351"/>
      <c r="E150" s="351"/>
      <c r="F150" s="351"/>
      <c r="G150" s="351"/>
      <c r="H150" s="351"/>
      <c r="I150" s="351"/>
      <c r="J150" s="351"/>
      <c r="K150" s="351"/>
      <c r="L150" s="351"/>
      <c r="M150" s="351"/>
      <c r="N150" s="250">
        <f>N149</f>
        <v>1950.98</v>
      </c>
    </row>
    <row r="151" spans="1:14" s="253" customFormat="1" x14ac:dyDescent="0.2">
      <c r="A151" s="131"/>
      <c r="B151" s="224"/>
      <c r="C151" s="251"/>
      <c r="D151" s="251"/>
      <c r="E151" s="251"/>
      <c r="F151" s="251"/>
      <c r="G151" s="251"/>
      <c r="H151" s="251"/>
      <c r="I151" s="251"/>
      <c r="J151" s="251"/>
      <c r="K151" s="251"/>
      <c r="L151" s="251"/>
      <c r="M151" s="251"/>
      <c r="N151" s="251"/>
    </row>
    <row r="152" spans="1:14" s="239" customFormat="1" x14ac:dyDescent="0.2">
      <c r="A152" s="238" t="s">
        <v>146</v>
      </c>
      <c r="B152" s="352" t="s">
        <v>302</v>
      </c>
      <c r="C152" s="352"/>
      <c r="D152" s="352"/>
      <c r="E152" s="352"/>
      <c r="F152" s="352"/>
      <c r="G152" s="352"/>
      <c r="H152" s="352"/>
      <c r="I152" s="352"/>
      <c r="J152" s="352"/>
      <c r="K152" s="352"/>
      <c r="L152" s="352"/>
      <c r="M152" s="352"/>
      <c r="N152" s="352"/>
    </row>
    <row r="153" spans="1:14" x14ac:dyDescent="0.2">
      <c r="B153" s="220" t="s">
        <v>320</v>
      </c>
      <c r="C153" s="247"/>
      <c r="D153" s="247"/>
      <c r="E153" s="247"/>
      <c r="F153" s="247"/>
      <c r="G153" s="247">
        <f>N146</f>
        <v>1950.98</v>
      </c>
      <c r="H153" s="247">
        <v>0.05</v>
      </c>
      <c r="I153" s="247">
        <f>G153*H153</f>
        <v>97.549000000000007</v>
      </c>
      <c r="J153" s="247"/>
      <c r="K153" s="247"/>
      <c r="L153" s="247"/>
      <c r="M153" s="247"/>
      <c r="N153" s="247">
        <f>I153</f>
        <v>97.549000000000007</v>
      </c>
    </row>
    <row r="154" spans="1:14" s="243" customFormat="1" x14ac:dyDescent="0.2">
      <c r="A154" s="351" t="s">
        <v>322</v>
      </c>
      <c r="B154" s="351"/>
      <c r="C154" s="351"/>
      <c r="D154" s="351"/>
      <c r="E154" s="351"/>
      <c r="F154" s="351"/>
      <c r="G154" s="351"/>
      <c r="H154" s="351"/>
      <c r="I154" s="351"/>
      <c r="J154" s="351"/>
      <c r="K154" s="351"/>
      <c r="L154" s="351"/>
      <c r="M154" s="351"/>
      <c r="N154" s="250">
        <f>N153</f>
        <v>97.549000000000007</v>
      </c>
    </row>
    <row r="155" spans="1:14" s="253" customFormat="1" x14ac:dyDescent="0.2">
      <c r="A155" s="131"/>
      <c r="B155" s="224"/>
      <c r="C155" s="251"/>
      <c r="D155" s="251"/>
      <c r="E155" s="251"/>
      <c r="F155" s="251"/>
      <c r="G155" s="251"/>
      <c r="H155" s="251"/>
      <c r="I155" s="251"/>
      <c r="J155" s="251"/>
      <c r="K155" s="251"/>
      <c r="L155" s="251"/>
      <c r="M155" s="251"/>
      <c r="N155" s="251"/>
    </row>
    <row r="156" spans="1:14" s="239" customFormat="1" x14ac:dyDescent="0.2">
      <c r="A156" s="238" t="s">
        <v>341</v>
      </c>
      <c r="B156" s="352" t="s">
        <v>235</v>
      </c>
      <c r="C156" s="352"/>
      <c r="D156" s="352"/>
      <c r="E156" s="352"/>
      <c r="F156" s="352"/>
      <c r="G156" s="352"/>
      <c r="H156" s="352"/>
      <c r="I156" s="352"/>
      <c r="J156" s="352"/>
      <c r="K156" s="352"/>
      <c r="L156" s="352"/>
      <c r="M156" s="352"/>
      <c r="N156" s="352"/>
    </row>
    <row r="157" spans="1:14" s="251" customFormat="1" ht="25.5" x14ac:dyDescent="0.2">
      <c r="B157" s="252" t="s">
        <v>300</v>
      </c>
      <c r="C157" s="247"/>
      <c r="D157" s="247"/>
      <c r="E157" s="247"/>
      <c r="F157" s="247"/>
      <c r="G157" s="247">
        <f>N146</f>
        <v>1950.98</v>
      </c>
      <c r="H157" s="247">
        <v>0.05</v>
      </c>
      <c r="I157" s="247">
        <f>G157*H157</f>
        <v>97.549000000000007</v>
      </c>
      <c r="J157" s="247">
        <v>1.85</v>
      </c>
      <c r="K157" s="247">
        <f>I157*J157</f>
        <v>180.46565000000001</v>
      </c>
      <c r="L157" s="247">
        <v>10</v>
      </c>
      <c r="M157" s="247">
        <f>K157*L157</f>
        <v>1804.6565000000001</v>
      </c>
      <c r="N157" s="247">
        <f>M157</f>
        <v>1804.6565000000001</v>
      </c>
    </row>
    <row r="158" spans="1:14" s="251" customFormat="1" ht="38.25" x14ac:dyDescent="0.2">
      <c r="B158" s="252" t="s">
        <v>302</v>
      </c>
      <c r="C158" s="247"/>
      <c r="D158" s="247"/>
      <c r="E158" s="247"/>
      <c r="F158" s="247"/>
      <c r="G158" s="247">
        <f>N146</f>
        <v>1950.98</v>
      </c>
      <c r="H158" s="247">
        <v>0.05</v>
      </c>
      <c r="I158" s="247">
        <f>G158*H158</f>
        <v>97.549000000000007</v>
      </c>
      <c r="J158" s="247">
        <v>1.85</v>
      </c>
      <c r="K158" s="247">
        <f>I158*J158</f>
        <v>180.46565000000001</v>
      </c>
      <c r="L158" s="247">
        <v>10</v>
      </c>
      <c r="M158" s="247">
        <f>K158*L158</f>
        <v>1804.6565000000001</v>
      </c>
      <c r="N158" s="247">
        <f>M158</f>
        <v>1804.6565000000001</v>
      </c>
    </row>
    <row r="159" spans="1:14" s="243" customFormat="1" x14ac:dyDescent="0.2">
      <c r="A159" s="351" t="s">
        <v>323</v>
      </c>
      <c r="B159" s="351"/>
      <c r="C159" s="351"/>
      <c r="D159" s="351"/>
      <c r="E159" s="351"/>
      <c r="F159" s="351"/>
      <c r="G159" s="351"/>
      <c r="H159" s="351"/>
      <c r="I159" s="351"/>
      <c r="J159" s="351"/>
      <c r="K159" s="351"/>
      <c r="L159" s="351"/>
      <c r="M159" s="351"/>
      <c r="N159" s="250">
        <f>SUM(N157:N158)</f>
        <v>3609.3130000000001</v>
      </c>
    </row>
    <row r="160" spans="1:14" x14ac:dyDescent="0.2">
      <c r="B160" s="258"/>
    </row>
    <row r="161" spans="1:14" s="239" customFormat="1" x14ac:dyDescent="0.2">
      <c r="A161" s="238" t="s">
        <v>147</v>
      </c>
      <c r="B161" s="352" t="s">
        <v>82</v>
      </c>
      <c r="C161" s="352"/>
      <c r="D161" s="352"/>
      <c r="E161" s="352"/>
      <c r="F161" s="352"/>
      <c r="G161" s="352"/>
      <c r="H161" s="352"/>
      <c r="I161" s="352"/>
      <c r="J161" s="352"/>
      <c r="K161" s="352"/>
      <c r="L161" s="352"/>
      <c r="M161" s="352"/>
      <c r="N161" s="352"/>
    </row>
    <row r="162" spans="1:14" s="237" customFormat="1" ht="24" x14ac:dyDescent="0.2">
      <c r="A162" s="178"/>
      <c r="B162" s="4" t="s">
        <v>191</v>
      </c>
      <c r="C162" s="2"/>
      <c r="D162" s="18">
        <v>1</v>
      </c>
      <c r="E162" s="18">
        <f>8.03+9.32+21.66</f>
        <v>39.010000000000005</v>
      </c>
      <c r="F162" s="18">
        <v>1.8</v>
      </c>
      <c r="G162" s="18">
        <f>D162*E162*F162</f>
        <v>70.218000000000018</v>
      </c>
      <c r="H162" s="18"/>
      <c r="I162" s="18"/>
      <c r="J162" s="18"/>
      <c r="K162" s="261"/>
      <c r="L162" s="18"/>
      <c r="M162" s="261"/>
      <c r="N162" s="262">
        <f>G162</f>
        <v>70.218000000000018</v>
      </c>
    </row>
    <row r="163" spans="1:14" s="237" customFormat="1" x14ac:dyDescent="0.2">
      <c r="A163" s="178"/>
      <c r="B163" s="4" t="s">
        <v>189</v>
      </c>
      <c r="C163" s="2"/>
      <c r="D163" s="18">
        <v>2</v>
      </c>
      <c r="E163" s="18">
        <v>1.7</v>
      </c>
      <c r="F163" s="18">
        <v>1.7</v>
      </c>
      <c r="G163" s="18">
        <f t="shared" ref="G163:G166" si="11">D163*E163*F163</f>
        <v>5.7799999999999994</v>
      </c>
      <c r="H163" s="18"/>
      <c r="I163" s="18"/>
      <c r="J163" s="18"/>
      <c r="K163" s="261"/>
      <c r="L163" s="18"/>
      <c r="M163" s="261"/>
      <c r="N163" s="262">
        <f t="shared" ref="N163:N166" si="12">G163</f>
        <v>5.7799999999999994</v>
      </c>
    </row>
    <row r="164" spans="1:14" s="237" customFormat="1" ht="24" x14ac:dyDescent="0.2">
      <c r="A164" s="178"/>
      <c r="B164" s="4" t="s">
        <v>85</v>
      </c>
      <c r="C164" s="2"/>
      <c r="D164" s="18">
        <v>1</v>
      </c>
      <c r="E164" s="18">
        <v>164</v>
      </c>
      <c r="F164" s="18">
        <v>0.1</v>
      </c>
      <c r="G164" s="18">
        <f t="shared" si="11"/>
        <v>16.400000000000002</v>
      </c>
      <c r="H164" s="18"/>
      <c r="I164" s="18"/>
      <c r="J164" s="18"/>
      <c r="K164" s="261"/>
      <c r="L164" s="18"/>
      <c r="M164" s="261"/>
      <c r="N164" s="262">
        <f t="shared" si="12"/>
        <v>16.400000000000002</v>
      </c>
    </row>
    <row r="165" spans="1:14" s="237" customFormat="1" x14ac:dyDescent="0.2">
      <c r="A165" s="178"/>
      <c r="B165" s="4" t="s">
        <v>186</v>
      </c>
      <c r="C165" s="2"/>
      <c r="D165" s="18">
        <v>2</v>
      </c>
      <c r="E165" s="18">
        <v>235.25</v>
      </c>
      <c r="F165" s="18">
        <v>0.1</v>
      </c>
      <c r="G165" s="18">
        <f t="shared" si="11"/>
        <v>47.050000000000004</v>
      </c>
      <c r="H165" s="18"/>
      <c r="I165" s="18"/>
      <c r="J165" s="18"/>
      <c r="K165" s="261"/>
      <c r="L165" s="18"/>
      <c r="M165" s="261"/>
      <c r="N165" s="262">
        <f t="shared" si="12"/>
        <v>47.050000000000004</v>
      </c>
    </row>
    <row r="166" spans="1:14" s="237" customFormat="1" x14ac:dyDescent="0.2">
      <c r="A166" s="178"/>
      <c r="B166" s="4" t="s">
        <v>188</v>
      </c>
      <c r="C166" s="2"/>
      <c r="D166" s="18">
        <v>2</v>
      </c>
      <c r="E166" s="18">
        <v>0.4</v>
      </c>
      <c r="F166" s="18">
        <v>1.7</v>
      </c>
      <c r="G166" s="18">
        <f t="shared" si="11"/>
        <v>1.36</v>
      </c>
      <c r="H166" s="18"/>
      <c r="I166" s="18"/>
      <c r="J166" s="18"/>
      <c r="K166" s="261"/>
      <c r="L166" s="18"/>
      <c r="M166" s="261"/>
      <c r="N166" s="262">
        <f t="shared" si="12"/>
        <v>1.36</v>
      </c>
    </row>
    <row r="167" spans="1:14" s="243" customFormat="1" x14ac:dyDescent="0.2">
      <c r="A167" s="351" t="s">
        <v>321</v>
      </c>
      <c r="B167" s="351"/>
      <c r="C167" s="351"/>
      <c r="D167" s="351"/>
      <c r="E167" s="351"/>
      <c r="F167" s="351"/>
      <c r="G167" s="351"/>
      <c r="H167" s="351"/>
      <c r="I167" s="351"/>
      <c r="J167" s="351"/>
      <c r="K167" s="351"/>
      <c r="L167" s="351"/>
      <c r="M167" s="351"/>
      <c r="N167" s="250">
        <f>SUM(N162:N166)</f>
        <v>140.80800000000005</v>
      </c>
    </row>
    <row r="168" spans="1:14" s="243" customFormat="1" x14ac:dyDescent="0.2">
      <c r="A168" s="244"/>
      <c r="B168" s="244"/>
      <c r="C168" s="244"/>
      <c r="D168" s="244"/>
      <c r="E168" s="244"/>
      <c r="F168" s="244"/>
      <c r="G168" s="244"/>
      <c r="H168" s="244"/>
      <c r="I168" s="244"/>
      <c r="J168" s="244"/>
      <c r="K168" s="244"/>
      <c r="L168" s="244"/>
      <c r="M168" s="244"/>
      <c r="N168" s="250"/>
    </row>
    <row r="169" spans="1:14" s="239" customFormat="1" x14ac:dyDescent="0.2">
      <c r="A169" s="238" t="s">
        <v>148</v>
      </c>
      <c r="B169" s="352" t="s">
        <v>236</v>
      </c>
      <c r="C169" s="352"/>
      <c r="D169" s="352"/>
      <c r="E169" s="352"/>
      <c r="F169" s="352"/>
      <c r="G169" s="352"/>
      <c r="H169" s="352"/>
      <c r="I169" s="352"/>
      <c r="J169" s="352"/>
      <c r="K169" s="352"/>
      <c r="L169" s="352"/>
      <c r="M169" s="352"/>
      <c r="N169" s="352"/>
    </row>
    <row r="170" spans="1:14" s="237" customFormat="1" x14ac:dyDescent="0.2">
      <c r="A170" s="178"/>
      <c r="B170" s="4" t="s">
        <v>200</v>
      </c>
      <c r="C170" s="2"/>
      <c r="D170" s="18">
        <v>3</v>
      </c>
      <c r="E170" s="261"/>
      <c r="F170" s="261"/>
      <c r="G170" s="18">
        <v>0.3</v>
      </c>
      <c r="H170" s="18"/>
      <c r="I170" s="18"/>
      <c r="J170" s="18"/>
      <c r="K170" s="261"/>
      <c r="L170" s="18"/>
      <c r="M170" s="261"/>
      <c r="N170" s="263">
        <f>D170*G170</f>
        <v>0.89999999999999991</v>
      </c>
    </row>
    <row r="171" spans="1:14" s="237" customFormat="1" x14ac:dyDescent="0.2">
      <c r="A171" s="178"/>
      <c r="B171" s="4" t="s">
        <v>198</v>
      </c>
      <c r="C171" s="2"/>
      <c r="D171" s="18">
        <v>0</v>
      </c>
      <c r="E171" s="261"/>
      <c r="F171" s="261"/>
      <c r="G171" s="18">
        <v>0.126</v>
      </c>
      <c r="H171" s="18"/>
      <c r="I171" s="18"/>
      <c r="J171" s="18"/>
      <c r="K171" s="261"/>
      <c r="L171" s="18"/>
      <c r="M171" s="261"/>
      <c r="N171" s="263">
        <f t="shared" ref="N171:N179" si="13">D171*G171</f>
        <v>0</v>
      </c>
    </row>
    <row r="172" spans="1:14" s="237" customFormat="1" x14ac:dyDescent="0.2">
      <c r="A172" s="178"/>
      <c r="B172" s="4" t="s">
        <v>201</v>
      </c>
      <c r="C172" s="2"/>
      <c r="D172" s="18">
        <v>4</v>
      </c>
      <c r="E172" s="261"/>
      <c r="F172" s="261"/>
      <c r="G172" s="18">
        <v>0.20200000000000001</v>
      </c>
      <c r="H172" s="18"/>
      <c r="I172" s="18"/>
      <c r="J172" s="18"/>
      <c r="K172" s="261"/>
      <c r="L172" s="18"/>
      <c r="M172" s="261"/>
      <c r="N172" s="263">
        <f t="shared" si="13"/>
        <v>0.80800000000000005</v>
      </c>
    </row>
    <row r="173" spans="1:14" s="237" customFormat="1" x14ac:dyDescent="0.2">
      <c r="A173" s="178"/>
      <c r="B173" s="4" t="s">
        <v>202</v>
      </c>
      <c r="C173" s="2"/>
      <c r="D173" s="18">
        <v>0</v>
      </c>
      <c r="E173" s="261"/>
      <c r="F173" s="261"/>
      <c r="G173" s="18">
        <v>0.20200000000000001</v>
      </c>
      <c r="H173" s="18"/>
      <c r="I173" s="18"/>
      <c r="J173" s="18"/>
      <c r="K173" s="261"/>
      <c r="L173" s="18"/>
      <c r="M173" s="261"/>
      <c r="N173" s="263">
        <f t="shared" si="13"/>
        <v>0</v>
      </c>
    </row>
    <row r="174" spans="1:14" s="237" customFormat="1" x14ac:dyDescent="0.2">
      <c r="A174" s="178"/>
      <c r="B174" s="4" t="s">
        <v>203</v>
      </c>
      <c r="C174" s="2"/>
      <c r="D174" s="18">
        <v>0</v>
      </c>
      <c r="E174" s="261"/>
      <c r="F174" s="261"/>
      <c r="G174" s="18">
        <v>0.20200000000000001</v>
      </c>
      <c r="H174" s="18"/>
      <c r="I174" s="18"/>
      <c r="J174" s="18"/>
      <c r="K174" s="261"/>
      <c r="L174" s="18"/>
      <c r="M174" s="261"/>
      <c r="N174" s="263">
        <f t="shared" si="13"/>
        <v>0</v>
      </c>
    </row>
    <row r="175" spans="1:14" s="237" customFormat="1" x14ac:dyDescent="0.2">
      <c r="A175" s="178"/>
      <c r="B175" s="4" t="s">
        <v>199</v>
      </c>
      <c r="C175" s="2"/>
      <c r="D175" s="18">
        <v>1</v>
      </c>
      <c r="E175" s="261"/>
      <c r="F175" s="261"/>
      <c r="G175" s="18">
        <v>0.13</v>
      </c>
      <c r="H175" s="18"/>
      <c r="I175" s="18"/>
      <c r="J175" s="18"/>
      <c r="K175" s="261"/>
      <c r="L175" s="18"/>
      <c r="M175" s="261"/>
      <c r="N175" s="263">
        <f t="shared" si="13"/>
        <v>0.13</v>
      </c>
    </row>
    <row r="176" spans="1:14" s="237" customFormat="1" x14ac:dyDescent="0.2">
      <c r="A176" s="178"/>
      <c r="B176" s="4" t="s">
        <v>206</v>
      </c>
      <c r="C176" s="2"/>
      <c r="D176" s="18">
        <v>1</v>
      </c>
      <c r="E176" s="261"/>
      <c r="F176" s="261"/>
      <c r="G176" s="18">
        <v>0.35</v>
      </c>
      <c r="H176" s="18"/>
      <c r="I176" s="18"/>
      <c r="J176" s="18"/>
      <c r="K176" s="261"/>
      <c r="L176" s="18"/>
      <c r="M176" s="261"/>
      <c r="N176" s="263">
        <f t="shared" si="13"/>
        <v>0.35</v>
      </c>
    </row>
    <row r="177" spans="1:14" s="237" customFormat="1" x14ac:dyDescent="0.2">
      <c r="A177" s="178"/>
      <c r="B177" s="4" t="s">
        <v>205</v>
      </c>
      <c r="C177" s="2"/>
      <c r="D177" s="18">
        <v>1</v>
      </c>
      <c r="E177" s="261"/>
      <c r="F177" s="261"/>
      <c r="G177" s="18">
        <v>0.35</v>
      </c>
      <c r="H177" s="18"/>
      <c r="I177" s="18"/>
      <c r="J177" s="18"/>
      <c r="K177" s="261"/>
      <c r="L177" s="18"/>
      <c r="M177" s="261"/>
      <c r="N177" s="263">
        <f t="shared" si="13"/>
        <v>0.35</v>
      </c>
    </row>
    <row r="178" spans="1:14" s="237" customFormat="1" x14ac:dyDescent="0.2">
      <c r="A178" s="178"/>
      <c r="B178" s="4" t="s">
        <v>204</v>
      </c>
      <c r="C178" s="2"/>
      <c r="D178" s="18">
        <v>0</v>
      </c>
      <c r="E178" s="261"/>
      <c r="F178" s="261"/>
      <c r="G178" s="18">
        <v>0.35</v>
      </c>
      <c r="H178" s="18"/>
      <c r="I178" s="18"/>
      <c r="J178" s="18"/>
      <c r="K178" s="261"/>
      <c r="L178" s="18"/>
      <c r="M178" s="261"/>
      <c r="N178" s="263">
        <f t="shared" si="13"/>
        <v>0</v>
      </c>
    </row>
    <row r="179" spans="1:14" s="237" customFormat="1" x14ac:dyDescent="0.2">
      <c r="A179" s="178"/>
      <c r="B179" s="4" t="s">
        <v>214</v>
      </c>
      <c r="C179" s="2"/>
      <c r="D179" s="18">
        <v>2</v>
      </c>
      <c r="E179" s="261"/>
      <c r="F179" s="261"/>
      <c r="G179" s="18">
        <v>0.1125</v>
      </c>
      <c r="H179" s="18"/>
      <c r="I179" s="18"/>
      <c r="J179" s="18"/>
      <c r="K179" s="261"/>
      <c r="L179" s="18"/>
      <c r="M179" s="261"/>
      <c r="N179" s="263">
        <f t="shared" si="13"/>
        <v>0.22500000000000001</v>
      </c>
    </row>
    <row r="180" spans="1:14" s="243" customFormat="1" x14ac:dyDescent="0.2">
      <c r="A180" s="351" t="s">
        <v>321</v>
      </c>
      <c r="B180" s="351"/>
      <c r="C180" s="351"/>
      <c r="D180" s="351"/>
      <c r="E180" s="351"/>
      <c r="F180" s="351"/>
      <c r="G180" s="351"/>
      <c r="H180" s="351"/>
      <c r="I180" s="351"/>
      <c r="J180" s="351"/>
      <c r="K180" s="351"/>
      <c r="L180" s="351"/>
      <c r="M180" s="351"/>
      <c r="N180" s="250">
        <f>SUM(N170:N179)</f>
        <v>2.7630000000000003</v>
      </c>
    </row>
    <row r="181" spans="1:14" s="243" customFormat="1" x14ac:dyDescent="0.2">
      <c r="A181" s="244"/>
      <c r="B181" s="244"/>
      <c r="C181" s="244"/>
      <c r="D181" s="244"/>
      <c r="E181" s="244"/>
      <c r="F181" s="244"/>
      <c r="G181" s="244"/>
      <c r="H181" s="244"/>
      <c r="I181" s="244"/>
      <c r="J181" s="244"/>
      <c r="K181" s="244"/>
      <c r="L181" s="244"/>
      <c r="M181" s="244"/>
      <c r="N181" s="250"/>
    </row>
    <row r="182" spans="1:14" s="239" customFormat="1" x14ac:dyDescent="0.2">
      <c r="A182" s="238" t="s">
        <v>150</v>
      </c>
      <c r="B182" s="352" t="s">
        <v>346</v>
      </c>
      <c r="C182" s="352"/>
      <c r="D182" s="352"/>
      <c r="E182" s="352"/>
      <c r="F182" s="352"/>
      <c r="G182" s="352"/>
      <c r="H182" s="352"/>
      <c r="I182" s="352"/>
      <c r="J182" s="352"/>
      <c r="K182" s="352"/>
      <c r="L182" s="352"/>
      <c r="M182" s="352"/>
      <c r="N182" s="352"/>
    </row>
    <row r="183" spans="1:14" s="265" customFormat="1" ht="15" x14ac:dyDescent="0.25">
      <c r="A183" s="264"/>
      <c r="B183" s="366" t="s">
        <v>363</v>
      </c>
      <c r="C183" s="366"/>
      <c r="D183" s="366"/>
      <c r="E183" s="366"/>
      <c r="F183" s="366"/>
      <c r="G183" s="366"/>
      <c r="H183" s="366"/>
      <c r="I183" s="366"/>
      <c r="J183" s="366"/>
      <c r="K183" s="251"/>
    </row>
    <row r="184" spans="1:14" s="253" customFormat="1" ht="15" x14ac:dyDescent="0.2">
      <c r="A184" s="264"/>
      <c r="B184" s="228" t="s">
        <v>364</v>
      </c>
      <c r="D184" s="227">
        <v>5</v>
      </c>
      <c r="E184" s="227">
        <v>1</v>
      </c>
      <c r="F184" s="227">
        <v>1</v>
      </c>
      <c r="G184" s="227">
        <f>D184*E184*F184</f>
        <v>5</v>
      </c>
      <c r="H184" s="227"/>
      <c r="I184" s="227"/>
      <c r="J184" s="227"/>
      <c r="K184" s="229"/>
      <c r="N184" s="227">
        <f>G184</f>
        <v>5</v>
      </c>
    </row>
    <row r="185" spans="1:14" s="253" customFormat="1" ht="15" x14ac:dyDescent="0.2">
      <c r="A185" s="264"/>
      <c r="B185" s="365" t="s">
        <v>365</v>
      </c>
      <c r="D185" s="227">
        <v>3</v>
      </c>
      <c r="E185" s="227">
        <v>1.5</v>
      </c>
      <c r="F185" s="227">
        <v>1.5</v>
      </c>
      <c r="G185" s="227">
        <f t="shared" ref="G185:G198" si="14">D185*E185*F185</f>
        <v>6.75</v>
      </c>
      <c r="H185" s="227"/>
      <c r="I185" s="227"/>
      <c r="J185" s="227"/>
      <c r="K185" s="229"/>
      <c r="N185" s="227">
        <f t="shared" ref="N185:N223" si="15">G185</f>
        <v>6.75</v>
      </c>
    </row>
    <row r="186" spans="1:14" s="253" customFormat="1" ht="15" x14ac:dyDescent="0.2">
      <c r="A186" s="264"/>
      <c r="B186" s="365"/>
      <c r="D186" s="227">
        <v>1</v>
      </c>
      <c r="E186" s="227">
        <v>0.8</v>
      </c>
      <c r="F186" s="227">
        <v>0.8</v>
      </c>
      <c r="G186" s="227">
        <f t="shared" si="14"/>
        <v>0.64000000000000012</v>
      </c>
      <c r="H186" s="227"/>
      <c r="I186" s="227"/>
      <c r="J186" s="227"/>
      <c r="K186" s="229"/>
      <c r="N186" s="227">
        <f t="shared" si="15"/>
        <v>0.64000000000000012</v>
      </c>
    </row>
    <row r="187" spans="1:14" s="253" customFormat="1" ht="15" x14ac:dyDescent="0.2">
      <c r="A187" s="264"/>
      <c r="B187" s="365"/>
      <c r="D187" s="227">
        <v>3</v>
      </c>
      <c r="E187" s="227">
        <v>1</v>
      </c>
      <c r="F187" s="227">
        <v>1</v>
      </c>
      <c r="G187" s="227">
        <f t="shared" si="14"/>
        <v>3</v>
      </c>
      <c r="H187" s="227"/>
      <c r="I187" s="227"/>
      <c r="J187" s="227"/>
      <c r="K187" s="229"/>
      <c r="N187" s="227">
        <f t="shared" si="15"/>
        <v>3</v>
      </c>
    </row>
    <row r="188" spans="1:14" s="253" customFormat="1" ht="15" x14ac:dyDescent="0.2">
      <c r="A188" s="264"/>
      <c r="B188" s="228" t="s">
        <v>366</v>
      </c>
      <c r="D188" s="227">
        <v>14</v>
      </c>
      <c r="E188" s="227">
        <v>1</v>
      </c>
      <c r="F188" s="227">
        <v>1</v>
      </c>
      <c r="G188" s="227">
        <f t="shared" si="14"/>
        <v>14</v>
      </c>
      <c r="H188" s="227"/>
      <c r="I188" s="227"/>
      <c r="J188" s="227"/>
      <c r="K188" s="229"/>
      <c r="N188" s="227">
        <f t="shared" si="15"/>
        <v>14</v>
      </c>
    </row>
    <row r="189" spans="1:14" s="253" customFormat="1" ht="15" x14ac:dyDescent="0.2">
      <c r="A189" s="264"/>
      <c r="B189" s="228" t="s">
        <v>367</v>
      </c>
      <c r="D189" s="227">
        <v>2</v>
      </c>
      <c r="E189" s="227">
        <v>0.7</v>
      </c>
      <c r="F189" s="227">
        <v>0.7</v>
      </c>
      <c r="G189" s="227">
        <f t="shared" si="14"/>
        <v>0.97999999999999987</v>
      </c>
      <c r="H189" s="227"/>
      <c r="I189" s="227"/>
      <c r="J189" s="227"/>
      <c r="K189" s="229"/>
      <c r="N189" s="227">
        <f t="shared" si="15"/>
        <v>0.97999999999999987</v>
      </c>
    </row>
    <row r="190" spans="1:14" s="253" customFormat="1" ht="15" x14ac:dyDescent="0.2">
      <c r="A190" s="264"/>
      <c r="B190" s="365" t="s">
        <v>368</v>
      </c>
      <c r="D190" s="227">
        <v>1</v>
      </c>
      <c r="E190" s="227">
        <v>60</v>
      </c>
      <c r="F190" s="227">
        <v>4.5</v>
      </c>
      <c r="G190" s="227">
        <f t="shared" si="14"/>
        <v>270</v>
      </c>
      <c r="H190" s="227"/>
      <c r="I190" s="227"/>
      <c r="J190" s="227"/>
      <c r="K190" s="229"/>
      <c r="N190" s="227">
        <f t="shared" si="15"/>
        <v>270</v>
      </c>
    </row>
    <row r="191" spans="1:14" s="253" customFormat="1" ht="15" x14ac:dyDescent="0.2">
      <c r="A191" s="264"/>
      <c r="B191" s="365"/>
      <c r="D191" s="227">
        <v>1</v>
      </c>
      <c r="E191" s="227">
        <v>33</v>
      </c>
      <c r="F191" s="227">
        <v>4</v>
      </c>
      <c r="G191" s="227">
        <f t="shared" si="14"/>
        <v>132</v>
      </c>
      <c r="H191" s="227"/>
      <c r="I191" s="227"/>
      <c r="J191" s="227"/>
      <c r="K191" s="229"/>
      <c r="N191" s="227">
        <f t="shared" si="15"/>
        <v>132</v>
      </c>
    </row>
    <row r="192" spans="1:14" s="253" customFormat="1" ht="15" x14ac:dyDescent="0.2">
      <c r="A192" s="264"/>
      <c r="B192" s="228" t="s">
        <v>369</v>
      </c>
      <c r="D192" s="227">
        <v>1</v>
      </c>
      <c r="E192" s="227">
        <v>43</v>
      </c>
      <c r="F192" s="227">
        <v>9</v>
      </c>
      <c r="G192" s="227">
        <f t="shared" si="14"/>
        <v>387</v>
      </c>
      <c r="H192" s="227"/>
      <c r="I192" s="227"/>
      <c r="J192" s="227"/>
      <c r="K192" s="229"/>
      <c r="N192" s="227">
        <f t="shared" si="15"/>
        <v>387</v>
      </c>
    </row>
    <row r="193" spans="1:14" s="253" customFormat="1" ht="15" x14ac:dyDescent="0.2">
      <c r="A193" s="264"/>
      <c r="B193" s="228" t="s">
        <v>370</v>
      </c>
      <c r="D193" s="227">
        <v>1</v>
      </c>
      <c r="E193" s="227">
        <v>6</v>
      </c>
      <c r="F193" s="227">
        <v>4.5</v>
      </c>
      <c r="G193" s="227">
        <f t="shared" si="14"/>
        <v>27</v>
      </c>
      <c r="H193" s="227"/>
      <c r="I193" s="227"/>
      <c r="J193" s="227"/>
      <c r="K193" s="229"/>
      <c r="N193" s="227">
        <f t="shared" si="15"/>
        <v>27</v>
      </c>
    </row>
    <row r="194" spans="1:14" s="253" customFormat="1" ht="15" x14ac:dyDescent="0.2">
      <c r="A194" s="264"/>
      <c r="B194" s="365" t="s">
        <v>371</v>
      </c>
      <c r="D194" s="227">
        <v>1</v>
      </c>
      <c r="E194" s="227">
        <v>11</v>
      </c>
      <c r="F194" s="227">
        <v>4.5</v>
      </c>
      <c r="G194" s="227">
        <f t="shared" si="14"/>
        <v>49.5</v>
      </c>
      <c r="H194" s="227"/>
      <c r="I194" s="227"/>
      <c r="J194" s="227"/>
      <c r="K194" s="229"/>
      <c r="N194" s="227">
        <f t="shared" si="15"/>
        <v>49.5</v>
      </c>
    </row>
    <row r="195" spans="1:14" s="253" customFormat="1" ht="15" x14ac:dyDescent="0.2">
      <c r="A195" s="264"/>
      <c r="B195" s="365"/>
      <c r="D195" s="227">
        <v>1</v>
      </c>
      <c r="E195" s="227">
        <v>9</v>
      </c>
      <c r="F195" s="227">
        <v>4.5</v>
      </c>
      <c r="G195" s="227">
        <f t="shared" si="14"/>
        <v>40.5</v>
      </c>
      <c r="H195" s="227"/>
      <c r="I195" s="227"/>
      <c r="J195" s="227"/>
      <c r="K195" s="229"/>
      <c r="N195" s="227">
        <f t="shared" si="15"/>
        <v>40.5</v>
      </c>
    </row>
    <row r="196" spans="1:14" s="253" customFormat="1" ht="15" x14ac:dyDescent="0.2">
      <c r="A196" s="264"/>
      <c r="B196" s="228" t="s">
        <v>372</v>
      </c>
      <c r="D196" s="227">
        <v>1</v>
      </c>
      <c r="E196" s="227">
        <v>5</v>
      </c>
      <c r="F196" s="227">
        <v>1.5</v>
      </c>
      <c r="G196" s="227">
        <f t="shared" si="14"/>
        <v>7.5</v>
      </c>
      <c r="H196" s="227"/>
      <c r="I196" s="227"/>
      <c r="J196" s="227"/>
      <c r="K196" s="229"/>
      <c r="N196" s="227">
        <f t="shared" si="15"/>
        <v>7.5</v>
      </c>
    </row>
    <row r="197" spans="1:14" s="253" customFormat="1" ht="15" x14ac:dyDescent="0.2">
      <c r="A197" s="264"/>
      <c r="B197" s="228" t="s">
        <v>373</v>
      </c>
      <c r="D197" s="227">
        <v>1</v>
      </c>
      <c r="E197" s="227">
        <v>8</v>
      </c>
      <c r="F197" s="227">
        <v>5</v>
      </c>
      <c r="G197" s="227">
        <f t="shared" si="14"/>
        <v>40</v>
      </c>
      <c r="H197" s="227"/>
      <c r="I197" s="227"/>
      <c r="J197" s="227"/>
      <c r="K197" s="229"/>
      <c r="N197" s="227">
        <f t="shared" si="15"/>
        <v>40</v>
      </c>
    </row>
    <row r="198" spans="1:14" s="253" customFormat="1" ht="15" x14ac:dyDescent="0.2">
      <c r="A198" s="264"/>
      <c r="B198" s="228" t="s">
        <v>374</v>
      </c>
      <c r="D198" s="227">
        <v>1</v>
      </c>
      <c r="E198" s="227">
        <v>1.7</v>
      </c>
      <c r="F198" s="227">
        <v>4</v>
      </c>
      <c r="G198" s="227">
        <f t="shared" si="14"/>
        <v>6.8</v>
      </c>
      <c r="H198" s="227"/>
      <c r="I198" s="227"/>
      <c r="J198" s="227"/>
      <c r="K198" s="229"/>
      <c r="N198" s="227">
        <f t="shared" si="15"/>
        <v>6.8</v>
      </c>
    </row>
    <row r="199" spans="1:14" s="253" customFormat="1" ht="15" x14ac:dyDescent="0.2">
      <c r="A199" s="264"/>
      <c r="B199" s="366" t="s">
        <v>375</v>
      </c>
      <c r="C199" s="366"/>
      <c r="D199" s="366"/>
      <c r="E199" s="366"/>
      <c r="F199" s="366"/>
      <c r="G199" s="366"/>
      <c r="H199" s="366"/>
      <c r="I199" s="366"/>
      <c r="J199" s="366"/>
      <c r="K199" s="251"/>
      <c r="N199" s="266"/>
    </row>
    <row r="200" spans="1:14" s="253" customFormat="1" ht="15" x14ac:dyDescent="0.2">
      <c r="A200" s="264"/>
      <c r="B200" s="228" t="s">
        <v>376</v>
      </c>
      <c r="D200" s="227">
        <v>1</v>
      </c>
      <c r="E200" s="227">
        <v>22</v>
      </c>
      <c r="F200" s="227">
        <v>7.5</v>
      </c>
      <c r="G200" s="227">
        <f>D200*E200*F200</f>
        <v>165</v>
      </c>
      <c r="H200" s="227"/>
      <c r="I200" s="227"/>
      <c r="J200" s="227"/>
      <c r="K200" s="229"/>
      <c r="N200" s="227">
        <f t="shared" si="15"/>
        <v>165</v>
      </c>
    </row>
    <row r="201" spans="1:14" s="253" customFormat="1" ht="15" x14ac:dyDescent="0.2">
      <c r="A201" s="264"/>
      <c r="B201" s="365" t="s">
        <v>377</v>
      </c>
      <c r="D201" s="227">
        <v>1</v>
      </c>
      <c r="E201" s="227">
        <v>8</v>
      </c>
      <c r="F201" s="227">
        <v>3</v>
      </c>
      <c r="G201" s="227">
        <f t="shared" ref="G201:G214" si="16">D201*E201*F201</f>
        <v>24</v>
      </c>
      <c r="H201" s="227"/>
      <c r="I201" s="227"/>
      <c r="J201" s="227"/>
      <c r="K201" s="229"/>
      <c r="N201" s="227">
        <f t="shared" si="15"/>
        <v>24</v>
      </c>
    </row>
    <row r="202" spans="1:14" s="253" customFormat="1" ht="15" x14ac:dyDescent="0.2">
      <c r="A202" s="264"/>
      <c r="B202" s="365"/>
      <c r="D202" s="227">
        <v>1</v>
      </c>
      <c r="E202" s="227">
        <v>5</v>
      </c>
      <c r="F202" s="227">
        <v>2</v>
      </c>
      <c r="G202" s="227">
        <f t="shared" si="16"/>
        <v>10</v>
      </c>
      <c r="H202" s="227"/>
      <c r="I202" s="227"/>
      <c r="J202" s="227"/>
      <c r="K202" s="229"/>
      <c r="N202" s="227">
        <f t="shared" si="15"/>
        <v>10</v>
      </c>
    </row>
    <row r="203" spans="1:14" s="253" customFormat="1" ht="15" x14ac:dyDescent="0.2">
      <c r="A203" s="264"/>
      <c r="B203" s="365"/>
      <c r="D203" s="227">
        <v>1</v>
      </c>
      <c r="E203" s="227">
        <v>5</v>
      </c>
      <c r="F203" s="227">
        <v>2</v>
      </c>
      <c r="G203" s="227">
        <f t="shared" si="16"/>
        <v>10</v>
      </c>
      <c r="H203" s="227"/>
      <c r="I203" s="227"/>
      <c r="J203" s="227"/>
      <c r="K203" s="229"/>
      <c r="N203" s="227">
        <f t="shared" si="15"/>
        <v>10</v>
      </c>
    </row>
    <row r="204" spans="1:14" s="253" customFormat="1" ht="15" x14ac:dyDescent="0.2">
      <c r="A204" s="264"/>
      <c r="B204" s="365" t="s">
        <v>378</v>
      </c>
      <c r="D204" s="227">
        <v>1</v>
      </c>
      <c r="E204" s="227">
        <v>15</v>
      </c>
      <c r="F204" s="227">
        <v>8</v>
      </c>
      <c r="G204" s="227">
        <f t="shared" si="16"/>
        <v>120</v>
      </c>
      <c r="H204" s="227"/>
      <c r="I204" s="227"/>
      <c r="J204" s="227"/>
      <c r="K204" s="229"/>
      <c r="N204" s="227">
        <f t="shared" si="15"/>
        <v>120</v>
      </c>
    </row>
    <row r="205" spans="1:14" s="253" customFormat="1" ht="15" x14ac:dyDescent="0.2">
      <c r="A205" s="264"/>
      <c r="B205" s="365"/>
      <c r="D205" s="227">
        <v>1</v>
      </c>
      <c r="E205" s="227">
        <v>6</v>
      </c>
      <c r="F205" s="227">
        <v>8</v>
      </c>
      <c r="G205" s="227">
        <f t="shared" si="16"/>
        <v>48</v>
      </c>
      <c r="H205" s="227"/>
      <c r="I205" s="227"/>
      <c r="J205" s="227"/>
      <c r="K205" s="229"/>
      <c r="N205" s="227">
        <f t="shared" si="15"/>
        <v>48</v>
      </c>
    </row>
    <row r="206" spans="1:14" s="253" customFormat="1" ht="15" x14ac:dyDescent="0.2">
      <c r="A206" s="264"/>
      <c r="B206" s="365"/>
      <c r="D206" s="227">
        <v>1</v>
      </c>
      <c r="E206" s="227">
        <v>6</v>
      </c>
      <c r="F206" s="227">
        <v>2.2000000000000002</v>
      </c>
      <c r="G206" s="227">
        <f t="shared" si="16"/>
        <v>13.200000000000001</v>
      </c>
      <c r="H206" s="227"/>
      <c r="I206" s="227"/>
      <c r="J206" s="227"/>
      <c r="K206" s="229"/>
      <c r="N206" s="227">
        <f t="shared" si="15"/>
        <v>13.200000000000001</v>
      </c>
    </row>
    <row r="207" spans="1:14" s="253" customFormat="1" ht="15" x14ac:dyDescent="0.2">
      <c r="A207" s="264"/>
      <c r="B207" s="228" t="s">
        <v>379</v>
      </c>
      <c r="D207" s="227">
        <v>3</v>
      </c>
      <c r="E207" s="227">
        <v>1</v>
      </c>
      <c r="F207" s="227">
        <v>1</v>
      </c>
      <c r="G207" s="227">
        <f t="shared" si="16"/>
        <v>3</v>
      </c>
      <c r="H207" s="227"/>
      <c r="I207" s="227"/>
      <c r="J207" s="227"/>
      <c r="K207" s="229"/>
      <c r="N207" s="227">
        <f t="shared" si="15"/>
        <v>3</v>
      </c>
    </row>
    <row r="208" spans="1:14" s="253" customFormat="1" ht="15" x14ac:dyDescent="0.2">
      <c r="A208" s="264"/>
      <c r="B208" s="365" t="s">
        <v>380</v>
      </c>
      <c r="D208" s="227">
        <v>6</v>
      </c>
      <c r="E208" s="227">
        <v>0.6</v>
      </c>
      <c r="F208" s="227">
        <v>0.6</v>
      </c>
      <c r="G208" s="227">
        <f t="shared" si="16"/>
        <v>2.1599999999999997</v>
      </c>
      <c r="H208" s="227"/>
      <c r="I208" s="227"/>
      <c r="J208" s="227"/>
      <c r="K208" s="229"/>
      <c r="N208" s="227">
        <f t="shared" si="15"/>
        <v>2.1599999999999997</v>
      </c>
    </row>
    <row r="209" spans="1:14" s="253" customFormat="1" ht="15" x14ac:dyDescent="0.2">
      <c r="A209" s="264"/>
      <c r="B209" s="365"/>
      <c r="D209" s="227">
        <v>1</v>
      </c>
      <c r="E209" s="227">
        <v>35</v>
      </c>
      <c r="F209" s="227">
        <v>6</v>
      </c>
      <c r="G209" s="227">
        <f t="shared" si="16"/>
        <v>210</v>
      </c>
      <c r="H209" s="227"/>
      <c r="I209" s="227"/>
      <c r="J209" s="227"/>
      <c r="K209" s="229"/>
      <c r="N209" s="227">
        <f t="shared" si="15"/>
        <v>210</v>
      </c>
    </row>
    <row r="210" spans="1:14" s="253" customFormat="1" ht="15" x14ac:dyDescent="0.2">
      <c r="A210" s="264"/>
      <c r="B210" s="365" t="s">
        <v>381</v>
      </c>
      <c r="D210" s="227">
        <v>20</v>
      </c>
      <c r="E210" s="227">
        <v>0.6</v>
      </c>
      <c r="F210" s="227">
        <v>0.6</v>
      </c>
      <c r="G210" s="227">
        <f t="shared" si="16"/>
        <v>7.1999999999999993</v>
      </c>
      <c r="H210" s="227"/>
      <c r="I210" s="227"/>
      <c r="J210" s="227"/>
      <c r="K210" s="229"/>
      <c r="N210" s="227">
        <f t="shared" si="15"/>
        <v>7.1999999999999993</v>
      </c>
    </row>
    <row r="211" spans="1:14" s="253" customFormat="1" ht="15" x14ac:dyDescent="0.2">
      <c r="A211" s="264"/>
      <c r="B211" s="365"/>
      <c r="D211" s="227">
        <v>2</v>
      </c>
      <c r="E211" s="227">
        <v>2.5</v>
      </c>
      <c r="F211" s="227">
        <v>1.5</v>
      </c>
      <c r="G211" s="227">
        <f t="shared" si="16"/>
        <v>7.5</v>
      </c>
      <c r="H211" s="227"/>
      <c r="I211" s="227"/>
      <c r="J211" s="227"/>
      <c r="K211" s="229"/>
      <c r="N211" s="227">
        <f t="shared" si="15"/>
        <v>7.5</v>
      </c>
    </row>
    <row r="212" spans="1:14" s="253" customFormat="1" ht="15" x14ac:dyDescent="0.2">
      <c r="A212" s="264"/>
      <c r="B212" s="228" t="s">
        <v>382</v>
      </c>
      <c r="D212" s="227">
        <v>1</v>
      </c>
      <c r="E212" s="227">
        <v>9</v>
      </c>
      <c r="F212" s="227">
        <v>1.5</v>
      </c>
      <c r="G212" s="227">
        <f t="shared" si="16"/>
        <v>13.5</v>
      </c>
      <c r="H212" s="227"/>
      <c r="I212" s="227"/>
      <c r="J212" s="227"/>
      <c r="K212" s="229"/>
      <c r="N212" s="227">
        <f t="shared" si="15"/>
        <v>13.5</v>
      </c>
    </row>
    <row r="213" spans="1:14" s="253" customFormat="1" ht="15" x14ac:dyDescent="0.2">
      <c r="A213" s="264"/>
      <c r="B213" s="228" t="s">
        <v>383</v>
      </c>
      <c r="D213" s="227">
        <v>1</v>
      </c>
      <c r="E213" s="227">
        <v>22</v>
      </c>
      <c r="F213" s="227">
        <v>2</v>
      </c>
      <c r="G213" s="227">
        <f t="shared" si="16"/>
        <v>44</v>
      </c>
      <c r="H213" s="227"/>
      <c r="I213" s="227"/>
      <c r="J213" s="227"/>
      <c r="K213" s="229"/>
      <c r="N213" s="227">
        <f t="shared" si="15"/>
        <v>44</v>
      </c>
    </row>
    <row r="214" spans="1:14" s="253" customFormat="1" ht="15" x14ac:dyDescent="0.2">
      <c r="A214" s="264"/>
      <c r="B214" s="228" t="s">
        <v>384</v>
      </c>
      <c r="D214" s="227">
        <v>25</v>
      </c>
      <c r="E214" s="227">
        <v>1.2</v>
      </c>
      <c r="F214" s="227">
        <v>1.2</v>
      </c>
      <c r="G214" s="227">
        <f t="shared" si="16"/>
        <v>36</v>
      </c>
      <c r="H214" s="227"/>
      <c r="I214" s="227"/>
      <c r="J214" s="227"/>
      <c r="K214" s="229"/>
      <c r="N214" s="227">
        <f t="shared" si="15"/>
        <v>36</v>
      </c>
    </row>
    <row r="215" spans="1:14" s="253" customFormat="1" ht="15" x14ac:dyDescent="0.2">
      <c r="A215" s="264"/>
      <c r="B215" s="366" t="s">
        <v>385</v>
      </c>
      <c r="C215" s="366"/>
      <c r="D215" s="366"/>
      <c r="E215" s="366"/>
      <c r="F215" s="366"/>
      <c r="G215" s="366"/>
      <c r="H215" s="366"/>
      <c r="I215" s="366"/>
      <c r="J215" s="366"/>
      <c r="K215" s="251"/>
      <c r="N215" s="266"/>
    </row>
    <row r="216" spans="1:14" s="253" customFormat="1" ht="15" x14ac:dyDescent="0.2">
      <c r="A216" s="264"/>
      <c r="B216" s="365" t="s">
        <v>386</v>
      </c>
      <c r="D216" s="227">
        <v>1</v>
      </c>
      <c r="E216" s="227">
        <v>12</v>
      </c>
      <c r="F216" s="227">
        <v>2.5</v>
      </c>
      <c r="G216" s="227">
        <f>D216*E216*F216</f>
        <v>30</v>
      </c>
      <c r="H216" s="227"/>
      <c r="I216" s="227"/>
      <c r="J216" s="227"/>
      <c r="K216" s="229"/>
      <c r="N216" s="227">
        <f t="shared" si="15"/>
        <v>30</v>
      </c>
    </row>
    <row r="217" spans="1:14" s="253" customFormat="1" ht="15" x14ac:dyDescent="0.2">
      <c r="A217" s="264"/>
      <c r="B217" s="365"/>
      <c r="D217" s="227">
        <v>4</v>
      </c>
      <c r="E217" s="227">
        <v>3</v>
      </c>
      <c r="F217" s="227">
        <v>2.5</v>
      </c>
      <c r="G217" s="227">
        <f t="shared" ref="G217:G223" si="17">D217*E217*F217</f>
        <v>30</v>
      </c>
      <c r="H217" s="227"/>
      <c r="I217" s="227"/>
      <c r="J217" s="227"/>
      <c r="K217" s="229"/>
      <c r="N217" s="227">
        <f t="shared" si="15"/>
        <v>30</v>
      </c>
    </row>
    <row r="218" spans="1:14" s="253" customFormat="1" ht="15" x14ac:dyDescent="0.2">
      <c r="A218" s="264"/>
      <c r="B218" s="365" t="s">
        <v>387</v>
      </c>
      <c r="D218" s="227">
        <v>1</v>
      </c>
      <c r="E218" s="227">
        <v>1.5</v>
      </c>
      <c r="F218" s="227">
        <v>1</v>
      </c>
      <c r="G218" s="227">
        <f t="shared" si="17"/>
        <v>1.5</v>
      </c>
      <c r="H218" s="227"/>
      <c r="I218" s="227"/>
      <c r="J218" s="227"/>
      <c r="K218" s="229"/>
      <c r="N218" s="227">
        <f t="shared" si="15"/>
        <v>1.5</v>
      </c>
    </row>
    <row r="219" spans="1:14" s="253" customFormat="1" ht="15" x14ac:dyDescent="0.2">
      <c r="A219" s="264"/>
      <c r="B219" s="365"/>
      <c r="D219" s="227">
        <v>1</v>
      </c>
      <c r="E219" s="227">
        <v>2</v>
      </c>
      <c r="F219" s="227">
        <v>2</v>
      </c>
      <c r="G219" s="227">
        <f t="shared" si="17"/>
        <v>4</v>
      </c>
      <c r="H219" s="227"/>
      <c r="I219" s="227"/>
      <c r="J219" s="227"/>
      <c r="K219" s="229"/>
      <c r="N219" s="227">
        <f t="shared" si="15"/>
        <v>4</v>
      </c>
    </row>
    <row r="220" spans="1:14" s="253" customFormat="1" ht="15" x14ac:dyDescent="0.2">
      <c r="A220" s="264"/>
      <c r="B220" s="365"/>
      <c r="D220" s="227">
        <v>1</v>
      </c>
      <c r="E220" s="227">
        <v>1</v>
      </c>
      <c r="F220" s="227">
        <v>1</v>
      </c>
      <c r="G220" s="227">
        <f t="shared" si="17"/>
        <v>1</v>
      </c>
      <c r="H220" s="227"/>
      <c r="I220" s="227"/>
      <c r="J220" s="227"/>
      <c r="K220" s="229"/>
      <c r="N220" s="227">
        <f t="shared" si="15"/>
        <v>1</v>
      </c>
    </row>
    <row r="221" spans="1:14" s="253" customFormat="1" ht="15" x14ac:dyDescent="0.2">
      <c r="A221" s="264"/>
      <c r="B221" s="365" t="s">
        <v>388</v>
      </c>
      <c r="D221" s="227">
        <v>10</v>
      </c>
      <c r="E221" s="227">
        <v>0.8</v>
      </c>
      <c r="F221" s="227">
        <v>0.8</v>
      </c>
      <c r="G221" s="227">
        <f t="shared" si="17"/>
        <v>6.4</v>
      </c>
      <c r="H221" s="227"/>
      <c r="I221" s="227"/>
      <c r="J221" s="227"/>
      <c r="K221" s="229"/>
      <c r="N221" s="227">
        <f t="shared" si="15"/>
        <v>6.4</v>
      </c>
    </row>
    <row r="222" spans="1:14" s="253" customFormat="1" ht="15" x14ac:dyDescent="0.2">
      <c r="A222" s="264"/>
      <c r="B222" s="365"/>
      <c r="D222" s="227">
        <v>1</v>
      </c>
      <c r="E222" s="227">
        <v>1.5</v>
      </c>
      <c r="F222" s="227">
        <v>1.5</v>
      </c>
      <c r="G222" s="227">
        <f t="shared" si="17"/>
        <v>2.25</v>
      </c>
      <c r="H222" s="227"/>
      <c r="I222" s="227"/>
      <c r="J222" s="227"/>
      <c r="K222" s="229"/>
      <c r="N222" s="227">
        <f t="shared" si="15"/>
        <v>2.25</v>
      </c>
    </row>
    <row r="223" spans="1:14" s="253" customFormat="1" ht="15" x14ac:dyDescent="0.2">
      <c r="A223" s="264"/>
      <c r="B223" s="228" t="s">
        <v>389</v>
      </c>
      <c r="D223" s="227">
        <v>1</v>
      </c>
      <c r="E223" s="227">
        <v>7</v>
      </c>
      <c r="F223" s="227">
        <v>3</v>
      </c>
      <c r="G223" s="227">
        <f t="shared" si="17"/>
        <v>21</v>
      </c>
      <c r="H223" s="227"/>
      <c r="I223" s="227"/>
      <c r="J223" s="227"/>
      <c r="K223" s="229"/>
      <c r="N223" s="227">
        <f t="shared" si="15"/>
        <v>21</v>
      </c>
    </row>
    <row r="224" spans="1:14" s="243" customFormat="1" x14ac:dyDescent="0.2">
      <c r="A224" s="351" t="s">
        <v>321</v>
      </c>
      <c r="B224" s="351"/>
      <c r="C224" s="351"/>
      <c r="D224" s="351"/>
      <c r="E224" s="351"/>
      <c r="F224" s="351"/>
      <c r="G224" s="351"/>
      <c r="H224" s="351"/>
      <c r="I224" s="351"/>
      <c r="J224" s="351"/>
      <c r="K224" s="351"/>
      <c r="L224" s="351"/>
      <c r="M224" s="351"/>
      <c r="N224" s="250">
        <f>SUM(N184:N198,N200:N214,N216:N223)</f>
        <v>1800.3800000000003</v>
      </c>
    </row>
    <row r="225" spans="1:14" s="253" customFormat="1" x14ac:dyDescent="0.2">
      <c r="A225" s="131"/>
      <c r="B225" s="173"/>
      <c r="C225" s="251"/>
      <c r="D225" s="251"/>
      <c r="E225" s="251"/>
      <c r="F225" s="251"/>
      <c r="G225" s="251"/>
      <c r="H225" s="251"/>
      <c r="I225" s="251"/>
      <c r="J225" s="251"/>
      <c r="K225" s="251"/>
      <c r="L225" s="251"/>
      <c r="M225" s="251"/>
      <c r="N225" s="251"/>
    </row>
    <row r="226" spans="1:14" s="239" customFormat="1" x14ac:dyDescent="0.2">
      <c r="A226" s="238" t="s">
        <v>151</v>
      </c>
      <c r="B226" s="352" t="s">
        <v>342</v>
      </c>
      <c r="C226" s="352"/>
      <c r="D226" s="352"/>
      <c r="E226" s="352"/>
      <c r="F226" s="352"/>
      <c r="G226" s="352"/>
      <c r="H226" s="352"/>
      <c r="I226" s="352"/>
      <c r="J226" s="352"/>
      <c r="K226" s="352"/>
      <c r="L226" s="352"/>
      <c r="M226" s="352"/>
      <c r="N226" s="352"/>
    </row>
    <row r="227" spans="1:14" s="265" customFormat="1" ht="15" x14ac:dyDescent="0.25">
      <c r="A227" s="264"/>
      <c r="B227" s="366" t="s">
        <v>363</v>
      </c>
      <c r="C227" s="366"/>
      <c r="D227" s="366"/>
      <c r="E227" s="366"/>
      <c r="F227" s="366"/>
      <c r="G227" s="366"/>
      <c r="H227" s="366"/>
      <c r="I227" s="366"/>
      <c r="J227" s="366"/>
      <c r="K227" s="251"/>
    </row>
    <row r="228" spans="1:14" s="253" customFormat="1" ht="15" x14ac:dyDescent="0.2">
      <c r="A228" s="264"/>
      <c r="B228" s="228" t="s">
        <v>364</v>
      </c>
      <c r="D228" s="227">
        <v>5</v>
      </c>
      <c r="E228" s="227">
        <v>1</v>
      </c>
      <c r="F228" s="227">
        <v>1</v>
      </c>
      <c r="G228" s="227">
        <f>D228*E228*F228</f>
        <v>5</v>
      </c>
      <c r="H228" s="227">
        <v>0.1</v>
      </c>
      <c r="I228" s="227">
        <f>G228*H228</f>
        <v>0.5</v>
      </c>
      <c r="J228" s="227"/>
      <c r="K228" s="229"/>
      <c r="N228" s="227">
        <f>I228</f>
        <v>0.5</v>
      </c>
    </row>
    <row r="229" spans="1:14" s="253" customFormat="1" ht="15" x14ac:dyDescent="0.2">
      <c r="A229" s="264"/>
      <c r="B229" s="365" t="s">
        <v>365</v>
      </c>
      <c r="D229" s="227">
        <v>3</v>
      </c>
      <c r="E229" s="227">
        <v>1.5</v>
      </c>
      <c r="F229" s="227">
        <v>1.5</v>
      </c>
      <c r="G229" s="227">
        <f t="shared" ref="G229:G242" si="18">D229*E229*F229</f>
        <v>6.75</v>
      </c>
      <c r="H229" s="227">
        <v>0.1</v>
      </c>
      <c r="I229" s="227">
        <f t="shared" ref="I229:I242" si="19">G229*H229</f>
        <v>0.67500000000000004</v>
      </c>
      <c r="J229" s="227"/>
      <c r="K229" s="229"/>
      <c r="N229" s="227">
        <f t="shared" ref="N229:N241" si="20">I229</f>
        <v>0.67500000000000004</v>
      </c>
    </row>
    <row r="230" spans="1:14" s="253" customFormat="1" ht="15" x14ac:dyDescent="0.2">
      <c r="A230" s="264"/>
      <c r="B230" s="365"/>
      <c r="D230" s="227">
        <v>1</v>
      </c>
      <c r="E230" s="227">
        <v>0.8</v>
      </c>
      <c r="F230" s="227">
        <v>0.8</v>
      </c>
      <c r="G230" s="227">
        <f t="shared" si="18"/>
        <v>0.64000000000000012</v>
      </c>
      <c r="H230" s="227">
        <v>0.1</v>
      </c>
      <c r="I230" s="227">
        <f t="shared" si="19"/>
        <v>6.4000000000000015E-2</v>
      </c>
      <c r="J230" s="227"/>
      <c r="K230" s="229"/>
      <c r="N230" s="227">
        <f t="shared" si="20"/>
        <v>6.4000000000000015E-2</v>
      </c>
    </row>
    <row r="231" spans="1:14" s="253" customFormat="1" ht="15" x14ac:dyDescent="0.2">
      <c r="A231" s="264"/>
      <c r="B231" s="365"/>
      <c r="D231" s="227">
        <v>3</v>
      </c>
      <c r="E231" s="227">
        <v>1</v>
      </c>
      <c r="F231" s="227">
        <v>1</v>
      </c>
      <c r="G231" s="227">
        <f t="shared" si="18"/>
        <v>3</v>
      </c>
      <c r="H231" s="227">
        <v>0.1</v>
      </c>
      <c r="I231" s="227">
        <f t="shared" si="19"/>
        <v>0.30000000000000004</v>
      </c>
      <c r="J231" s="227"/>
      <c r="K231" s="229"/>
      <c r="N231" s="227">
        <f t="shared" si="20"/>
        <v>0.30000000000000004</v>
      </c>
    </row>
    <row r="232" spans="1:14" s="253" customFormat="1" ht="15" x14ac:dyDescent="0.2">
      <c r="A232" s="264"/>
      <c r="B232" s="228" t="s">
        <v>366</v>
      </c>
      <c r="D232" s="227">
        <v>14</v>
      </c>
      <c r="E232" s="227">
        <v>1</v>
      </c>
      <c r="F232" s="227">
        <v>1</v>
      </c>
      <c r="G232" s="227">
        <f t="shared" si="18"/>
        <v>14</v>
      </c>
      <c r="H232" s="227">
        <v>0.1</v>
      </c>
      <c r="I232" s="227">
        <f t="shared" si="19"/>
        <v>1.4000000000000001</v>
      </c>
      <c r="J232" s="227"/>
      <c r="K232" s="229"/>
      <c r="N232" s="227">
        <f t="shared" si="20"/>
        <v>1.4000000000000001</v>
      </c>
    </row>
    <row r="233" spans="1:14" s="253" customFormat="1" ht="15" x14ac:dyDescent="0.2">
      <c r="A233" s="264"/>
      <c r="B233" s="228" t="s">
        <v>367</v>
      </c>
      <c r="D233" s="227">
        <v>2</v>
      </c>
      <c r="E233" s="227">
        <v>0.7</v>
      </c>
      <c r="F233" s="227">
        <v>0.7</v>
      </c>
      <c r="G233" s="227">
        <f t="shared" si="18"/>
        <v>0.97999999999999987</v>
      </c>
      <c r="H233" s="227">
        <v>0.1</v>
      </c>
      <c r="I233" s="227">
        <f t="shared" si="19"/>
        <v>9.799999999999999E-2</v>
      </c>
      <c r="J233" s="227"/>
      <c r="K233" s="229"/>
      <c r="N233" s="227">
        <f t="shared" si="20"/>
        <v>9.799999999999999E-2</v>
      </c>
    </row>
    <row r="234" spans="1:14" s="253" customFormat="1" ht="15" x14ac:dyDescent="0.2">
      <c r="A234" s="264"/>
      <c r="B234" s="365" t="s">
        <v>368</v>
      </c>
      <c r="D234" s="227">
        <v>1</v>
      </c>
      <c r="E234" s="227">
        <v>60</v>
      </c>
      <c r="F234" s="227">
        <v>4.5</v>
      </c>
      <c r="G234" s="227">
        <f t="shared" si="18"/>
        <v>270</v>
      </c>
      <c r="H234" s="227">
        <v>0.1</v>
      </c>
      <c r="I234" s="227">
        <f t="shared" si="19"/>
        <v>27</v>
      </c>
      <c r="J234" s="227"/>
      <c r="K234" s="229"/>
      <c r="N234" s="227">
        <f t="shared" si="20"/>
        <v>27</v>
      </c>
    </row>
    <row r="235" spans="1:14" s="253" customFormat="1" ht="15" x14ac:dyDescent="0.2">
      <c r="A235" s="264"/>
      <c r="B235" s="365"/>
      <c r="D235" s="227">
        <v>1</v>
      </c>
      <c r="E235" s="227">
        <v>33</v>
      </c>
      <c r="F235" s="227">
        <v>4</v>
      </c>
      <c r="G235" s="227">
        <f t="shared" si="18"/>
        <v>132</v>
      </c>
      <c r="H235" s="227">
        <v>0.1</v>
      </c>
      <c r="I235" s="227">
        <f t="shared" si="19"/>
        <v>13.200000000000001</v>
      </c>
      <c r="J235" s="227"/>
      <c r="K235" s="229"/>
      <c r="N235" s="227">
        <f t="shared" si="20"/>
        <v>13.200000000000001</v>
      </c>
    </row>
    <row r="236" spans="1:14" s="253" customFormat="1" ht="15" x14ac:dyDescent="0.2">
      <c r="A236" s="264"/>
      <c r="B236" s="228" t="s">
        <v>369</v>
      </c>
      <c r="D236" s="227">
        <v>1</v>
      </c>
      <c r="E236" s="227">
        <v>43</v>
      </c>
      <c r="F236" s="227">
        <v>9</v>
      </c>
      <c r="G236" s="227">
        <f t="shared" si="18"/>
        <v>387</v>
      </c>
      <c r="H236" s="227">
        <v>0.1</v>
      </c>
      <c r="I236" s="227">
        <f t="shared" si="19"/>
        <v>38.700000000000003</v>
      </c>
      <c r="J236" s="227"/>
      <c r="K236" s="229"/>
      <c r="N236" s="227">
        <f t="shared" si="20"/>
        <v>38.700000000000003</v>
      </c>
    </row>
    <row r="237" spans="1:14" s="253" customFormat="1" ht="15" x14ac:dyDescent="0.2">
      <c r="A237" s="264"/>
      <c r="B237" s="228" t="s">
        <v>370</v>
      </c>
      <c r="D237" s="227">
        <v>1</v>
      </c>
      <c r="E237" s="227">
        <v>6</v>
      </c>
      <c r="F237" s="227">
        <v>4.5</v>
      </c>
      <c r="G237" s="227">
        <f t="shared" si="18"/>
        <v>27</v>
      </c>
      <c r="H237" s="227">
        <v>0.1</v>
      </c>
      <c r="I237" s="227">
        <f t="shared" si="19"/>
        <v>2.7</v>
      </c>
      <c r="J237" s="227"/>
      <c r="K237" s="229"/>
      <c r="N237" s="227">
        <f t="shared" si="20"/>
        <v>2.7</v>
      </c>
    </row>
    <row r="238" spans="1:14" s="253" customFormat="1" ht="15" x14ac:dyDescent="0.2">
      <c r="A238" s="264"/>
      <c r="B238" s="365" t="s">
        <v>371</v>
      </c>
      <c r="D238" s="227">
        <v>1</v>
      </c>
      <c r="E238" s="227">
        <v>11</v>
      </c>
      <c r="F238" s="227">
        <v>4.5</v>
      </c>
      <c r="G238" s="227">
        <f t="shared" si="18"/>
        <v>49.5</v>
      </c>
      <c r="H238" s="227">
        <v>0.1</v>
      </c>
      <c r="I238" s="227">
        <f t="shared" si="19"/>
        <v>4.95</v>
      </c>
      <c r="J238" s="227"/>
      <c r="K238" s="229"/>
      <c r="N238" s="227">
        <f t="shared" si="20"/>
        <v>4.95</v>
      </c>
    </row>
    <row r="239" spans="1:14" s="253" customFormat="1" ht="15" x14ac:dyDescent="0.2">
      <c r="A239" s="264"/>
      <c r="B239" s="365"/>
      <c r="D239" s="227">
        <v>1</v>
      </c>
      <c r="E239" s="227">
        <v>9</v>
      </c>
      <c r="F239" s="227">
        <v>4.5</v>
      </c>
      <c r="G239" s="227">
        <f t="shared" si="18"/>
        <v>40.5</v>
      </c>
      <c r="H239" s="227">
        <v>0.1</v>
      </c>
      <c r="I239" s="227">
        <f t="shared" si="19"/>
        <v>4.05</v>
      </c>
      <c r="J239" s="227"/>
      <c r="K239" s="229"/>
      <c r="N239" s="227">
        <f t="shared" si="20"/>
        <v>4.05</v>
      </c>
    </row>
    <row r="240" spans="1:14" s="253" customFormat="1" ht="15" x14ac:dyDescent="0.2">
      <c r="A240" s="264"/>
      <c r="B240" s="228" t="s">
        <v>372</v>
      </c>
      <c r="D240" s="227">
        <v>1</v>
      </c>
      <c r="E240" s="227">
        <v>5</v>
      </c>
      <c r="F240" s="227">
        <v>1.5</v>
      </c>
      <c r="G240" s="227">
        <f t="shared" si="18"/>
        <v>7.5</v>
      </c>
      <c r="H240" s="227">
        <v>0.1</v>
      </c>
      <c r="I240" s="227">
        <f t="shared" si="19"/>
        <v>0.75</v>
      </c>
      <c r="J240" s="227"/>
      <c r="K240" s="229"/>
      <c r="N240" s="227">
        <f t="shared" si="20"/>
        <v>0.75</v>
      </c>
    </row>
    <row r="241" spans="1:14" s="253" customFormat="1" ht="15" x14ac:dyDescent="0.2">
      <c r="A241" s="264"/>
      <c r="B241" s="228" t="s">
        <v>373</v>
      </c>
      <c r="D241" s="227">
        <v>1</v>
      </c>
      <c r="E241" s="227">
        <v>8</v>
      </c>
      <c r="F241" s="227">
        <v>5</v>
      </c>
      <c r="G241" s="227">
        <f t="shared" si="18"/>
        <v>40</v>
      </c>
      <c r="H241" s="227">
        <v>0.1</v>
      </c>
      <c r="I241" s="227">
        <f t="shared" si="19"/>
        <v>4</v>
      </c>
      <c r="J241" s="227"/>
      <c r="K241" s="229"/>
      <c r="N241" s="227">
        <f t="shared" si="20"/>
        <v>4</v>
      </c>
    </row>
    <row r="242" spans="1:14" s="253" customFormat="1" ht="15" x14ac:dyDescent="0.2">
      <c r="A242" s="264"/>
      <c r="B242" s="228" t="s">
        <v>374</v>
      </c>
      <c r="D242" s="227">
        <v>1</v>
      </c>
      <c r="E242" s="227">
        <v>1.7</v>
      </c>
      <c r="F242" s="227">
        <v>4</v>
      </c>
      <c r="G242" s="227">
        <f t="shared" si="18"/>
        <v>6.8</v>
      </c>
      <c r="H242" s="227">
        <v>0.1</v>
      </c>
      <c r="I242" s="227">
        <f t="shared" si="19"/>
        <v>0.68</v>
      </c>
      <c r="J242" s="227"/>
      <c r="K242" s="229"/>
      <c r="N242" s="227">
        <f>I242</f>
        <v>0.68</v>
      </c>
    </row>
    <row r="243" spans="1:14" s="253" customFormat="1" ht="15" x14ac:dyDescent="0.2">
      <c r="A243" s="264"/>
      <c r="B243" s="366" t="s">
        <v>375</v>
      </c>
      <c r="C243" s="366"/>
      <c r="D243" s="366"/>
      <c r="E243" s="366"/>
      <c r="F243" s="366"/>
      <c r="G243" s="366"/>
      <c r="H243" s="366"/>
      <c r="I243" s="366"/>
      <c r="J243" s="366"/>
      <c r="K243" s="251"/>
      <c r="N243" s="266"/>
    </row>
    <row r="244" spans="1:14" s="253" customFormat="1" ht="15" x14ac:dyDescent="0.2">
      <c r="A244" s="264"/>
      <c r="B244" s="228" t="s">
        <v>376</v>
      </c>
      <c r="D244" s="227">
        <v>1</v>
      </c>
      <c r="E244" s="227">
        <v>22</v>
      </c>
      <c r="F244" s="227">
        <v>7.5</v>
      </c>
      <c r="G244" s="227">
        <f>D244*E244*F244</f>
        <v>165</v>
      </c>
      <c r="H244" s="227">
        <v>0.1</v>
      </c>
      <c r="I244" s="227">
        <f>G244*H244</f>
        <v>16.5</v>
      </c>
      <c r="J244" s="227"/>
      <c r="K244" s="229"/>
      <c r="N244" s="227">
        <f>I244</f>
        <v>16.5</v>
      </c>
    </row>
    <row r="245" spans="1:14" s="253" customFormat="1" ht="15" x14ac:dyDescent="0.2">
      <c r="A245" s="264"/>
      <c r="B245" s="365" t="s">
        <v>377</v>
      </c>
      <c r="D245" s="227">
        <v>1</v>
      </c>
      <c r="E245" s="227">
        <v>8</v>
      </c>
      <c r="F245" s="227">
        <v>3</v>
      </c>
      <c r="G245" s="227">
        <f t="shared" ref="G245:G258" si="21">D245*E245*F245</f>
        <v>24</v>
      </c>
      <c r="H245" s="227">
        <v>0.1</v>
      </c>
      <c r="I245" s="227">
        <f t="shared" ref="I245:I258" si="22">G245*H245</f>
        <v>2.4000000000000004</v>
      </c>
      <c r="J245" s="227"/>
      <c r="K245" s="229"/>
      <c r="N245" s="227">
        <f t="shared" ref="N245:N258" si="23">I245</f>
        <v>2.4000000000000004</v>
      </c>
    </row>
    <row r="246" spans="1:14" s="253" customFormat="1" ht="15" x14ac:dyDescent="0.2">
      <c r="A246" s="264"/>
      <c r="B246" s="365"/>
      <c r="D246" s="227">
        <v>1</v>
      </c>
      <c r="E246" s="227">
        <v>5</v>
      </c>
      <c r="F246" s="227">
        <v>2</v>
      </c>
      <c r="G246" s="227">
        <f t="shared" si="21"/>
        <v>10</v>
      </c>
      <c r="H246" s="227">
        <v>0.1</v>
      </c>
      <c r="I246" s="227">
        <f t="shared" si="22"/>
        <v>1</v>
      </c>
      <c r="J246" s="227"/>
      <c r="K246" s="229"/>
      <c r="N246" s="227">
        <f t="shared" si="23"/>
        <v>1</v>
      </c>
    </row>
    <row r="247" spans="1:14" s="253" customFormat="1" ht="15" x14ac:dyDescent="0.2">
      <c r="A247" s="264"/>
      <c r="B247" s="365"/>
      <c r="D247" s="227">
        <v>1</v>
      </c>
      <c r="E247" s="227">
        <v>5</v>
      </c>
      <c r="F247" s="227">
        <v>2</v>
      </c>
      <c r="G247" s="227">
        <f t="shared" si="21"/>
        <v>10</v>
      </c>
      <c r="H247" s="227">
        <v>0.1</v>
      </c>
      <c r="I247" s="227">
        <f t="shared" si="22"/>
        <v>1</v>
      </c>
      <c r="J247" s="227"/>
      <c r="K247" s="229"/>
      <c r="N247" s="227">
        <f t="shared" si="23"/>
        <v>1</v>
      </c>
    </row>
    <row r="248" spans="1:14" s="253" customFormat="1" ht="15" x14ac:dyDescent="0.2">
      <c r="A248" s="264"/>
      <c r="B248" s="365" t="s">
        <v>378</v>
      </c>
      <c r="D248" s="227">
        <v>1</v>
      </c>
      <c r="E248" s="227">
        <v>15</v>
      </c>
      <c r="F248" s="227">
        <v>8</v>
      </c>
      <c r="G248" s="227">
        <f t="shared" si="21"/>
        <v>120</v>
      </c>
      <c r="H248" s="227">
        <v>0.1</v>
      </c>
      <c r="I248" s="227">
        <f t="shared" si="22"/>
        <v>12</v>
      </c>
      <c r="J248" s="227"/>
      <c r="K248" s="229"/>
      <c r="N248" s="227">
        <f t="shared" si="23"/>
        <v>12</v>
      </c>
    </row>
    <row r="249" spans="1:14" s="253" customFormat="1" ht="15" x14ac:dyDescent="0.2">
      <c r="A249" s="264"/>
      <c r="B249" s="365"/>
      <c r="D249" s="227">
        <v>1</v>
      </c>
      <c r="E249" s="227">
        <v>6</v>
      </c>
      <c r="F249" s="227">
        <v>8</v>
      </c>
      <c r="G249" s="227">
        <f t="shared" si="21"/>
        <v>48</v>
      </c>
      <c r="H249" s="227">
        <v>0.1</v>
      </c>
      <c r="I249" s="227">
        <f t="shared" si="22"/>
        <v>4.8000000000000007</v>
      </c>
      <c r="J249" s="227"/>
      <c r="K249" s="229"/>
      <c r="N249" s="227">
        <f t="shared" si="23"/>
        <v>4.8000000000000007</v>
      </c>
    </row>
    <row r="250" spans="1:14" s="253" customFormat="1" ht="15" x14ac:dyDescent="0.2">
      <c r="A250" s="264"/>
      <c r="B250" s="365"/>
      <c r="D250" s="227">
        <v>1</v>
      </c>
      <c r="E250" s="227">
        <v>6</v>
      </c>
      <c r="F250" s="227">
        <v>2.2000000000000002</v>
      </c>
      <c r="G250" s="227">
        <f t="shared" si="21"/>
        <v>13.200000000000001</v>
      </c>
      <c r="H250" s="227">
        <v>0.1</v>
      </c>
      <c r="I250" s="227">
        <f t="shared" si="22"/>
        <v>1.3200000000000003</v>
      </c>
      <c r="J250" s="227"/>
      <c r="K250" s="229"/>
      <c r="N250" s="227">
        <f t="shared" si="23"/>
        <v>1.3200000000000003</v>
      </c>
    </row>
    <row r="251" spans="1:14" s="253" customFormat="1" ht="15" x14ac:dyDescent="0.2">
      <c r="A251" s="264"/>
      <c r="B251" s="228" t="s">
        <v>379</v>
      </c>
      <c r="D251" s="227">
        <v>3</v>
      </c>
      <c r="E251" s="227">
        <v>1</v>
      </c>
      <c r="F251" s="227">
        <v>1</v>
      </c>
      <c r="G251" s="227">
        <f t="shared" si="21"/>
        <v>3</v>
      </c>
      <c r="H251" s="227">
        <v>0.1</v>
      </c>
      <c r="I251" s="227">
        <f t="shared" si="22"/>
        <v>0.30000000000000004</v>
      </c>
      <c r="J251" s="227"/>
      <c r="K251" s="229"/>
      <c r="N251" s="227">
        <f t="shared" si="23"/>
        <v>0.30000000000000004</v>
      </c>
    </row>
    <row r="252" spans="1:14" s="253" customFormat="1" ht="15" x14ac:dyDescent="0.2">
      <c r="A252" s="264"/>
      <c r="B252" s="365" t="s">
        <v>380</v>
      </c>
      <c r="D252" s="227">
        <v>6</v>
      </c>
      <c r="E252" s="227">
        <v>0.6</v>
      </c>
      <c r="F252" s="227">
        <v>0.6</v>
      </c>
      <c r="G252" s="227">
        <f t="shared" si="21"/>
        <v>2.1599999999999997</v>
      </c>
      <c r="H252" s="227">
        <v>0.1</v>
      </c>
      <c r="I252" s="227">
        <f t="shared" si="22"/>
        <v>0.21599999999999997</v>
      </c>
      <c r="J252" s="227"/>
      <c r="K252" s="229"/>
      <c r="N252" s="227">
        <f t="shared" si="23"/>
        <v>0.21599999999999997</v>
      </c>
    </row>
    <row r="253" spans="1:14" s="253" customFormat="1" ht="15" x14ac:dyDescent="0.2">
      <c r="A253" s="264"/>
      <c r="B253" s="365"/>
      <c r="D253" s="227">
        <v>1</v>
      </c>
      <c r="E253" s="227">
        <v>35</v>
      </c>
      <c r="F253" s="227">
        <v>6</v>
      </c>
      <c r="G253" s="227">
        <f t="shared" si="21"/>
        <v>210</v>
      </c>
      <c r="H253" s="227">
        <v>0.1</v>
      </c>
      <c r="I253" s="227">
        <f t="shared" si="22"/>
        <v>21</v>
      </c>
      <c r="J253" s="227"/>
      <c r="K253" s="229"/>
      <c r="N253" s="227">
        <f t="shared" si="23"/>
        <v>21</v>
      </c>
    </row>
    <row r="254" spans="1:14" s="253" customFormat="1" ht="15" x14ac:dyDescent="0.2">
      <c r="A254" s="264"/>
      <c r="B254" s="365" t="s">
        <v>381</v>
      </c>
      <c r="D254" s="227">
        <v>20</v>
      </c>
      <c r="E254" s="227">
        <v>0.6</v>
      </c>
      <c r="F254" s="227">
        <v>0.6</v>
      </c>
      <c r="G254" s="227">
        <f t="shared" si="21"/>
        <v>7.1999999999999993</v>
      </c>
      <c r="H254" s="227">
        <v>0.1</v>
      </c>
      <c r="I254" s="227">
        <f t="shared" si="22"/>
        <v>0.72</v>
      </c>
      <c r="J254" s="227"/>
      <c r="K254" s="229"/>
      <c r="N254" s="227">
        <f t="shared" si="23"/>
        <v>0.72</v>
      </c>
    </row>
    <row r="255" spans="1:14" s="253" customFormat="1" ht="15" x14ac:dyDescent="0.2">
      <c r="A255" s="264"/>
      <c r="B255" s="365"/>
      <c r="D255" s="227">
        <v>2</v>
      </c>
      <c r="E255" s="227">
        <v>2.5</v>
      </c>
      <c r="F255" s="227">
        <v>1.5</v>
      </c>
      <c r="G255" s="227">
        <f t="shared" si="21"/>
        <v>7.5</v>
      </c>
      <c r="H255" s="227">
        <v>0.1</v>
      </c>
      <c r="I255" s="227">
        <f t="shared" si="22"/>
        <v>0.75</v>
      </c>
      <c r="J255" s="227"/>
      <c r="K255" s="229"/>
      <c r="N255" s="227">
        <f t="shared" si="23"/>
        <v>0.75</v>
      </c>
    </row>
    <row r="256" spans="1:14" s="253" customFormat="1" ht="15" x14ac:dyDescent="0.2">
      <c r="A256" s="264"/>
      <c r="B256" s="228" t="s">
        <v>382</v>
      </c>
      <c r="D256" s="227">
        <v>1</v>
      </c>
      <c r="E256" s="227">
        <v>9</v>
      </c>
      <c r="F256" s="227">
        <v>1.5</v>
      </c>
      <c r="G256" s="227">
        <f t="shared" si="21"/>
        <v>13.5</v>
      </c>
      <c r="H256" s="227">
        <v>0.1</v>
      </c>
      <c r="I256" s="227">
        <f t="shared" si="22"/>
        <v>1.35</v>
      </c>
      <c r="J256" s="227"/>
      <c r="K256" s="229"/>
      <c r="N256" s="227">
        <f t="shared" si="23"/>
        <v>1.35</v>
      </c>
    </row>
    <row r="257" spans="1:14" s="253" customFormat="1" ht="15" x14ac:dyDescent="0.2">
      <c r="A257" s="264"/>
      <c r="B257" s="228" t="s">
        <v>383</v>
      </c>
      <c r="D257" s="227">
        <v>1</v>
      </c>
      <c r="E257" s="227">
        <v>22</v>
      </c>
      <c r="F257" s="227">
        <v>2</v>
      </c>
      <c r="G257" s="227">
        <f t="shared" si="21"/>
        <v>44</v>
      </c>
      <c r="H257" s="227">
        <v>0.1</v>
      </c>
      <c r="I257" s="227">
        <f t="shared" si="22"/>
        <v>4.4000000000000004</v>
      </c>
      <c r="J257" s="227"/>
      <c r="K257" s="229"/>
      <c r="N257" s="227">
        <f t="shared" si="23"/>
        <v>4.4000000000000004</v>
      </c>
    </row>
    <row r="258" spans="1:14" s="253" customFormat="1" ht="15" x14ac:dyDescent="0.2">
      <c r="A258" s="264"/>
      <c r="B258" s="228" t="s">
        <v>384</v>
      </c>
      <c r="D258" s="227">
        <v>25</v>
      </c>
      <c r="E258" s="227">
        <v>1.2</v>
      </c>
      <c r="F258" s="227">
        <v>1.2</v>
      </c>
      <c r="G258" s="227">
        <f t="shared" si="21"/>
        <v>36</v>
      </c>
      <c r="H258" s="227">
        <v>0.1</v>
      </c>
      <c r="I258" s="227">
        <f t="shared" si="22"/>
        <v>3.6</v>
      </c>
      <c r="J258" s="227"/>
      <c r="K258" s="229"/>
      <c r="N258" s="227">
        <f t="shared" si="23"/>
        <v>3.6</v>
      </c>
    </row>
    <row r="259" spans="1:14" s="253" customFormat="1" ht="15" x14ac:dyDescent="0.2">
      <c r="A259" s="264"/>
      <c r="B259" s="366" t="s">
        <v>385</v>
      </c>
      <c r="C259" s="366"/>
      <c r="D259" s="366"/>
      <c r="E259" s="366"/>
      <c r="F259" s="366"/>
      <c r="G259" s="366"/>
      <c r="H259" s="366"/>
      <c r="I259" s="366"/>
      <c r="J259" s="366"/>
      <c r="K259" s="251"/>
      <c r="N259" s="266"/>
    </row>
    <row r="260" spans="1:14" s="253" customFormat="1" ht="15" x14ac:dyDescent="0.2">
      <c r="A260" s="264"/>
      <c r="B260" s="365" t="s">
        <v>386</v>
      </c>
      <c r="D260" s="227">
        <v>1</v>
      </c>
      <c r="E260" s="227">
        <v>12</v>
      </c>
      <c r="F260" s="227">
        <v>2.5</v>
      </c>
      <c r="G260" s="227">
        <f>D260*E260*F260</f>
        <v>30</v>
      </c>
      <c r="H260" s="227">
        <v>0.1</v>
      </c>
      <c r="I260" s="227">
        <f>G260*H260</f>
        <v>3</v>
      </c>
      <c r="J260" s="227"/>
      <c r="K260" s="229"/>
      <c r="N260" s="227">
        <f>I260</f>
        <v>3</v>
      </c>
    </row>
    <row r="261" spans="1:14" s="253" customFormat="1" ht="15" x14ac:dyDescent="0.2">
      <c r="A261" s="264"/>
      <c r="B261" s="365"/>
      <c r="D261" s="227">
        <v>4</v>
      </c>
      <c r="E261" s="227">
        <v>3</v>
      </c>
      <c r="F261" s="227">
        <v>2.5</v>
      </c>
      <c r="G261" s="227">
        <f t="shared" ref="G261:G267" si="24">D261*E261*F261</f>
        <v>30</v>
      </c>
      <c r="H261" s="227">
        <v>0.1</v>
      </c>
      <c r="I261" s="227">
        <f t="shared" ref="I261:I267" si="25">G261*H261</f>
        <v>3</v>
      </c>
      <c r="J261" s="227"/>
      <c r="K261" s="229"/>
      <c r="N261" s="227">
        <f t="shared" ref="N261:N267" si="26">I261</f>
        <v>3</v>
      </c>
    </row>
    <row r="262" spans="1:14" s="253" customFormat="1" ht="15" x14ac:dyDescent="0.2">
      <c r="A262" s="264"/>
      <c r="B262" s="365" t="s">
        <v>387</v>
      </c>
      <c r="D262" s="227">
        <v>1</v>
      </c>
      <c r="E262" s="227">
        <v>1.5</v>
      </c>
      <c r="F262" s="227">
        <v>1</v>
      </c>
      <c r="G262" s="227">
        <f t="shared" si="24"/>
        <v>1.5</v>
      </c>
      <c r="H262" s="227">
        <v>0.1</v>
      </c>
      <c r="I262" s="227">
        <f t="shared" si="25"/>
        <v>0.15000000000000002</v>
      </c>
      <c r="J262" s="227"/>
      <c r="K262" s="229"/>
      <c r="N262" s="227">
        <f t="shared" si="26"/>
        <v>0.15000000000000002</v>
      </c>
    </row>
    <row r="263" spans="1:14" s="253" customFormat="1" ht="15" x14ac:dyDescent="0.2">
      <c r="A263" s="264"/>
      <c r="B263" s="365"/>
      <c r="D263" s="227">
        <v>1</v>
      </c>
      <c r="E263" s="227">
        <v>2</v>
      </c>
      <c r="F263" s="227">
        <v>2</v>
      </c>
      <c r="G263" s="227">
        <f t="shared" si="24"/>
        <v>4</v>
      </c>
      <c r="H263" s="227">
        <v>0.1</v>
      </c>
      <c r="I263" s="227">
        <f t="shared" si="25"/>
        <v>0.4</v>
      </c>
      <c r="J263" s="227"/>
      <c r="K263" s="229"/>
      <c r="N263" s="227">
        <f t="shared" si="26"/>
        <v>0.4</v>
      </c>
    </row>
    <row r="264" spans="1:14" s="253" customFormat="1" ht="15" x14ac:dyDescent="0.2">
      <c r="A264" s="264"/>
      <c r="B264" s="365"/>
      <c r="D264" s="227">
        <v>1</v>
      </c>
      <c r="E264" s="227">
        <v>1</v>
      </c>
      <c r="F264" s="227">
        <v>1</v>
      </c>
      <c r="G264" s="227">
        <f t="shared" si="24"/>
        <v>1</v>
      </c>
      <c r="H264" s="227">
        <v>0.1</v>
      </c>
      <c r="I264" s="227">
        <f t="shared" si="25"/>
        <v>0.1</v>
      </c>
      <c r="J264" s="227"/>
      <c r="K264" s="229"/>
      <c r="N264" s="227">
        <f t="shared" si="26"/>
        <v>0.1</v>
      </c>
    </row>
    <row r="265" spans="1:14" s="253" customFormat="1" ht="15" x14ac:dyDescent="0.2">
      <c r="A265" s="264"/>
      <c r="B265" s="365" t="s">
        <v>388</v>
      </c>
      <c r="D265" s="227">
        <v>10</v>
      </c>
      <c r="E265" s="227">
        <v>0.8</v>
      </c>
      <c r="F265" s="227">
        <v>0.8</v>
      </c>
      <c r="G265" s="227">
        <f t="shared" si="24"/>
        <v>6.4</v>
      </c>
      <c r="H265" s="227">
        <v>0.1</v>
      </c>
      <c r="I265" s="227">
        <f t="shared" si="25"/>
        <v>0.64000000000000012</v>
      </c>
      <c r="J265" s="227"/>
      <c r="K265" s="229"/>
      <c r="N265" s="227">
        <f t="shared" si="26"/>
        <v>0.64000000000000012</v>
      </c>
    </row>
    <row r="266" spans="1:14" s="253" customFormat="1" ht="15" x14ac:dyDescent="0.2">
      <c r="A266" s="264"/>
      <c r="B266" s="365"/>
      <c r="D266" s="227">
        <v>1</v>
      </c>
      <c r="E266" s="227">
        <v>1.5</v>
      </c>
      <c r="F266" s="227">
        <v>1.5</v>
      </c>
      <c r="G266" s="227">
        <f t="shared" si="24"/>
        <v>2.25</v>
      </c>
      <c r="H266" s="227">
        <v>0.1</v>
      </c>
      <c r="I266" s="227">
        <f t="shared" si="25"/>
        <v>0.22500000000000001</v>
      </c>
      <c r="J266" s="227"/>
      <c r="K266" s="229"/>
      <c r="N266" s="227">
        <f t="shared" si="26"/>
        <v>0.22500000000000001</v>
      </c>
    </row>
    <row r="267" spans="1:14" s="253" customFormat="1" ht="15" x14ac:dyDescent="0.2">
      <c r="A267" s="264"/>
      <c r="B267" s="228" t="s">
        <v>389</v>
      </c>
      <c r="D267" s="227">
        <v>1</v>
      </c>
      <c r="E267" s="227">
        <v>7</v>
      </c>
      <c r="F267" s="227">
        <v>3</v>
      </c>
      <c r="G267" s="227">
        <f t="shared" si="24"/>
        <v>21</v>
      </c>
      <c r="H267" s="227">
        <v>0.1</v>
      </c>
      <c r="I267" s="227">
        <f t="shared" si="25"/>
        <v>2.1</v>
      </c>
      <c r="J267" s="227"/>
      <c r="K267" s="229"/>
      <c r="N267" s="227">
        <f t="shared" si="26"/>
        <v>2.1</v>
      </c>
    </row>
    <row r="268" spans="1:14" s="243" customFormat="1" x14ac:dyDescent="0.2">
      <c r="A268" s="351" t="s">
        <v>322</v>
      </c>
      <c r="B268" s="351"/>
      <c r="C268" s="351"/>
      <c r="D268" s="351"/>
      <c r="E268" s="351"/>
      <c r="F268" s="351"/>
      <c r="G268" s="351"/>
      <c r="H268" s="351"/>
      <c r="I268" s="351"/>
      <c r="J268" s="351"/>
      <c r="K268" s="351"/>
      <c r="L268" s="351"/>
      <c r="M268" s="351"/>
      <c r="N268" s="250">
        <f>SUM(N228:N242,N244:N258,N260:N267)</f>
        <v>180.03800000000004</v>
      </c>
    </row>
    <row r="269" spans="1:14" s="253" customFormat="1" x14ac:dyDescent="0.2">
      <c r="A269" s="131"/>
      <c r="B269" s="173"/>
      <c r="C269" s="251"/>
      <c r="D269" s="251"/>
      <c r="E269" s="251"/>
      <c r="F269" s="251"/>
      <c r="G269" s="251"/>
      <c r="H269" s="251"/>
      <c r="I269" s="251"/>
      <c r="J269" s="251"/>
      <c r="K269" s="251"/>
      <c r="L269" s="251"/>
      <c r="M269" s="251"/>
      <c r="N269" s="251"/>
    </row>
    <row r="270" spans="1:14" s="239" customFormat="1" x14ac:dyDescent="0.2">
      <c r="A270" s="238" t="s">
        <v>90</v>
      </c>
      <c r="B270" s="352" t="s">
        <v>347</v>
      </c>
      <c r="C270" s="352"/>
      <c r="D270" s="352"/>
      <c r="E270" s="352"/>
      <c r="F270" s="352"/>
      <c r="G270" s="352"/>
      <c r="H270" s="352"/>
      <c r="I270" s="352"/>
      <c r="J270" s="352"/>
      <c r="K270" s="352"/>
      <c r="L270" s="352"/>
      <c r="M270" s="352"/>
      <c r="N270" s="352"/>
    </row>
    <row r="271" spans="1:14" s="265" customFormat="1" ht="15" x14ac:dyDescent="0.25">
      <c r="A271" s="264"/>
      <c r="B271" s="366" t="s">
        <v>363</v>
      </c>
      <c r="C271" s="366"/>
      <c r="D271" s="366"/>
      <c r="E271" s="366"/>
      <c r="F271" s="366"/>
      <c r="G271" s="366"/>
      <c r="H271" s="366"/>
      <c r="I271" s="366"/>
      <c r="J271" s="366"/>
      <c r="K271" s="251"/>
    </row>
    <row r="272" spans="1:14" s="253" customFormat="1" ht="15" x14ac:dyDescent="0.2">
      <c r="A272" s="264"/>
      <c r="B272" s="228" t="s">
        <v>364</v>
      </c>
      <c r="D272" s="227">
        <v>5</v>
      </c>
      <c r="E272" s="227">
        <v>1</v>
      </c>
      <c r="F272" s="227">
        <v>1</v>
      </c>
      <c r="G272" s="227">
        <f>D272*E272*F272</f>
        <v>5</v>
      </c>
      <c r="H272" s="227">
        <v>0.05</v>
      </c>
      <c r="I272" s="227">
        <f>G272*H272</f>
        <v>0.25</v>
      </c>
      <c r="J272" s="227"/>
      <c r="K272" s="229"/>
      <c r="N272" s="227">
        <f>I272</f>
        <v>0.25</v>
      </c>
    </row>
    <row r="273" spans="1:14" s="253" customFormat="1" ht="15" x14ac:dyDescent="0.2">
      <c r="A273" s="264"/>
      <c r="B273" s="365" t="s">
        <v>365</v>
      </c>
      <c r="D273" s="227">
        <v>3</v>
      </c>
      <c r="E273" s="227">
        <v>1.5</v>
      </c>
      <c r="F273" s="227">
        <v>1.5</v>
      </c>
      <c r="G273" s="227">
        <f t="shared" ref="G273:G286" si="27">D273*E273*F273</f>
        <v>6.75</v>
      </c>
      <c r="H273" s="227">
        <v>0.05</v>
      </c>
      <c r="I273" s="227">
        <f t="shared" ref="I273:I286" si="28">G273*H273</f>
        <v>0.33750000000000002</v>
      </c>
      <c r="J273" s="227"/>
      <c r="K273" s="229"/>
      <c r="N273" s="227">
        <f t="shared" ref="N273:N285" si="29">I273</f>
        <v>0.33750000000000002</v>
      </c>
    </row>
    <row r="274" spans="1:14" s="253" customFormat="1" ht="15" x14ac:dyDescent="0.2">
      <c r="A274" s="264"/>
      <c r="B274" s="365"/>
      <c r="D274" s="227">
        <v>1</v>
      </c>
      <c r="E274" s="227">
        <v>0.8</v>
      </c>
      <c r="F274" s="227">
        <v>0.8</v>
      </c>
      <c r="G274" s="227">
        <f t="shared" si="27"/>
        <v>0.64000000000000012</v>
      </c>
      <c r="H274" s="227">
        <v>0.05</v>
      </c>
      <c r="I274" s="227">
        <f t="shared" si="28"/>
        <v>3.2000000000000008E-2</v>
      </c>
      <c r="J274" s="227"/>
      <c r="K274" s="229"/>
      <c r="N274" s="227">
        <f t="shared" si="29"/>
        <v>3.2000000000000008E-2</v>
      </c>
    </row>
    <row r="275" spans="1:14" s="253" customFormat="1" ht="15" x14ac:dyDescent="0.2">
      <c r="A275" s="264"/>
      <c r="B275" s="365"/>
      <c r="D275" s="227">
        <v>3</v>
      </c>
      <c r="E275" s="227">
        <v>1</v>
      </c>
      <c r="F275" s="227">
        <v>1</v>
      </c>
      <c r="G275" s="227">
        <f t="shared" si="27"/>
        <v>3</v>
      </c>
      <c r="H275" s="227">
        <v>0.05</v>
      </c>
      <c r="I275" s="227">
        <f t="shared" si="28"/>
        <v>0.15000000000000002</v>
      </c>
      <c r="J275" s="227"/>
      <c r="K275" s="229"/>
      <c r="N275" s="227">
        <f t="shared" si="29"/>
        <v>0.15000000000000002</v>
      </c>
    </row>
    <row r="276" spans="1:14" s="253" customFormat="1" ht="15" x14ac:dyDescent="0.2">
      <c r="A276" s="264"/>
      <c r="B276" s="228" t="s">
        <v>366</v>
      </c>
      <c r="D276" s="227">
        <v>14</v>
      </c>
      <c r="E276" s="227">
        <v>1</v>
      </c>
      <c r="F276" s="227">
        <v>1</v>
      </c>
      <c r="G276" s="227">
        <f t="shared" si="27"/>
        <v>14</v>
      </c>
      <c r="H276" s="227">
        <v>0.05</v>
      </c>
      <c r="I276" s="227">
        <f t="shared" si="28"/>
        <v>0.70000000000000007</v>
      </c>
      <c r="J276" s="227"/>
      <c r="K276" s="229"/>
      <c r="N276" s="227">
        <f t="shared" si="29"/>
        <v>0.70000000000000007</v>
      </c>
    </row>
    <row r="277" spans="1:14" s="253" customFormat="1" ht="15" x14ac:dyDescent="0.2">
      <c r="A277" s="264"/>
      <c r="B277" s="228" t="s">
        <v>367</v>
      </c>
      <c r="D277" s="227">
        <v>2</v>
      </c>
      <c r="E277" s="227">
        <v>0.7</v>
      </c>
      <c r="F277" s="227">
        <v>0.7</v>
      </c>
      <c r="G277" s="227">
        <f t="shared" si="27"/>
        <v>0.97999999999999987</v>
      </c>
      <c r="H277" s="227">
        <v>0.05</v>
      </c>
      <c r="I277" s="227">
        <f t="shared" si="28"/>
        <v>4.8999999999999995E-2</v>
      </c>
      <c r="J277" s="227"/>
      <c r="K277" s="229"/>
      <c r="N277" s="227">
        <f t="shared" si="29"/>
        <v>4.8999999999999995E-2</v>
      </c>
    </row>
    <row r="278" spans="1:14" s="253" customFormat="1" ht="15" x14ac:dyDescent="0.2">
      <c r="A278" s="264"/>
      <c r="B278" s="365" t="s">
        <v>368</v>
      </c>
      <c r="D278" s="227">
        <v>1</v>
      </c>
      <c r="E278" s="227">
        <v>60</v>
      </c>
      <c r="F278" s="227">
        <v>4.5</v>
      </c>
      <c r="G278" s="227">
        <f t="shared" si="27"/>
        <v>270</v>
      </c>
      <c r="H278" s="227">
        <v>0.05</v>
      </c>
      <c r="I278" s="227">
        <f t="shared" si="28"/>
        <v>13.5</v>
      </c>
      <c r="J278" s="227"/>
      <c r="K278" s="229"/>
      <c r="N278" s="227">
        <f t="shared" si="29"/>
        <v>13.5</v>
      </c>
    </row>
    <row r="279" spans="1:14" s="253" customFormat="1" ht="15" x14ac:dyDescent="0.2">
      <c r="A279" s="264"/>
      <c r="B279" s="365"/>
      <c r="D279" s="227">
        <v>1</v>
      </c>
      <c r="E279" s="227">
        <v>33</v>
      </c>
      <c r="F279" s="227">
        <v>4</v>
      </c>
      <c r="G279" s="227">
        <f t="shared" si="27"/>
        <v>132</v>
      </c>
      <c r="H279" s="227">
        <v>0.05</v>
      </c>
      <c r="I279" s="227">
        <f t="shared" si="28"/>
        <v>6.6000000000000005</v>
      </c>
      <c r="J279" s="227"/>
      <c r="K279" s="229"/>
      <c r="N279" s="227">
        <f t="shared" si="29"/>
        <v>6.6000000000000005</v>
      </c>
    </row>
    <row r="280" spans="1:14" s="253" customFormat="1" ht="15" x14ac:dyDescent="0.2">
      <c r="A280" s="264"/>
      <c r="B280" s="228" t="s">
        <v>369</v>
      </c>
      <c r="D280" s="227">
        <v>1</v>
      </c>
      <c r="E280" s="227">
        <v>43</v>
      </c>
      <c r="F280" s="227">
        <v>9</v>
      </c>
      <c r="G280" s="227">
        <f t="shared" si="27"/>
        <v>387</v>
      </c>
      <c r="H280" s="227">
        <v>0.05</v>
      </c>
      <c r="I280" s="227">
        <f t="shared" si="28"/>
        <v>19.350000000000001</v>
      </c>
      <c r="J280" s="227"/>
      <c r="K280" s="229"/>
      <c r="N280" s="227">
        <f t="shared" si="29"/>
        <v>19.350000000000001</v>
      </c>
    </row>
    <row r="281" spans="1:14" s="253" customFormat="1" ht="15" x14ac:dyDescent="0.2">
      <c r="A281" s="264"/>
      <c r="B281" s="228" t="s">
        <v>370</v>
      </c>
      <c r="D281" s="227">
        <v>1</v>
      </c>
      <c r="E281" s="227">
        <v>6</v>
      </c>
      <c r="F281" s="227">
        <v>4.5</v>
      </c>
      <c r="G281" s="227">
        <f t="shared" si="27"/>
        <v>27</v>
      </c>
      <c r="H281" s="227">
        <v>0.05</v>
      </c>
      <c r="I281" s="227">
        <f t="shared" si="28"/>
        <v>1.35</v>
      </c>
      <c r="J281" s="227"/>
      <c r="K281" s="229"/>
      <c r="N281" s="227">
        <f t="shared" si="29"/>
        <v>1.35</v>
      </c>
    </row>
    <row r="282" spans="1:14" s="253" customFormat="1" ht="15" x14ac:dyDescent="0.2">
      <c r="A282" s="264"/>
      <c r="B282" s="365" t="s">
        <v>371</v>
      </c>
      <c r="D282" s="227">
        <v>1</v>
      </c>
      <c r="E282" s="227">
        <v>11</v>
      </c>
      <c r="F282" s="227">
        <v>4.5</v>
      </c>
      <c r="G282" s="227">
        <f t="shared" si="27"/>
        <v>49.5</v>
      </c>
      <c r="H282" s="227">
        <v>0.05</v>
      </c>
      <c r="I282" s="227">
        <f t="shared" si="28"/>
        <v>2.4750000000000001</v>
      </c>
      <c r="J282" s="227"/>
      <c r="K282" s="229"/>
      <c r="N282" s="227">
        <f t="shared" si="29"/>
        <v>2.4750000000000001</v>
      </c>
    </row>
    <row r="283" spans="1:14" s="253" customFormat="1" ht="15" x14ac:dyDescent="0.2">
      <c r="A283" s="264"/>
      <c r="B283" s="365"/>
      <c r="D283" s="227">
        <v>1</v>
      </c>
      <c r="E283" s="227">
        <v>9</v>
      </c>
      <c r="F283" s="227">
        <v>4.5</v>
      </c>
      <c r="G283" s="227">
        <f t="shared" si="27"/>
        <v>40.5</v>
      </c>
      <c r="H283" s="227">
        <v>0.05</v>
      </c>
      <c r="I283" s="227">
        <f t="shared" si="28"/>
        <v>2.0249999999999999</v>
      </c>
      <c r="J283" s="227"/>
      <c r="K283" s="229"/>
      <c r="N283" s="227">
        <f t="shared" si="29"/>
        <v>2.0249999999999999</v>
      </c>
    </row>
    <row r="284" spans="1:14" s="253" customFormat="1" ht="15" x14ac:dyDescent="0.2">
      <c r="A284" s="264"/>
      <c r="B284" s="228" t="s">
        <v>372</v>
      </c>
      <c r="D284" s="227">
        <v>1</v>
      </c>
      <c r="E284" s="227">
        <v>5</v>
      </c>
      <c r="F284" s="227">
        <v>1.5</v>
      </c>
      <c r="G284" s="227">
        <f t="shared" si="27"/>
        <v>7.5</v>
      </c>
      <c r="H284" s="227">
        <v>0.05</v>
      </c>
      <c r="I284" s="227">
        <f t="shared" si="28"/>
        <v>0.375</v>
      </c>
      <c r="J284" s="227"/>
      <c r="K284" s="229"/>
      <c r="N284" s="227">
        <f t="shared" si="29"/>
        <v>0.375</v>
      </c>
    </row>
    <row r="285" spans="1:14" s="253" customFormat="1" ht="15" x14ac:dyDescent="0.2">
      <c r="A285" s="264"/>
      <c r="B285" s="228" t="s">
        <v>373</v>
      </c>
      <c r="D285" s="227">
        <v>1</v>
      </c>
      <c r="E285" s="227">
        <v>8</v>
      </c>
      <c r="F285" s="227">
        <v>5</v>
      </c>
      <c r="G285" s="227">
        <f t="shared" si="27"/>
        <v>40</v>
      </c>
      <c r="H285" s="227">
        <v>0.05</v>
      </c>
      <c r="I285" s="227">
        <f t="shared" si="28"/>
        <v>2</v>
      </c>
      <c r="J285" s="227"/>
      <c r="K285" s="229"/>
      <c r="N285" s="227">
        <f t="shared" si="29"/>
        <v>2</v>
      </c>
    </row>
    <row r="286" spans="1:14" s="253" customFormat="1" ht="15" x14ac:dyDescent="0.2">
      <c r="A286" s="264"/>
      <c r="B286" s="228" t="s">
        <v>374</v>
      </c>
      <c r="D286" s="227">
        <v>1</v>
      </c>
      <c r="E286" s="227">
        <v>1.7</v>
      </c>
      <c r="F286" s="227">
        <v>4</v>
      </c>
      <c r="G286" s="227">
        <f t="shared" si="27"/>
        <v>6.8</v>
      </c>
      <c r="H286" s="227">
        <v>0.05</v>
      </c>
      <c r="I286" s="227">
        <f t="shared" si="28"/>
        <v>0.34</v>
      </c>
      <c r="J286" s="227"/>
      <c r="K286" s="229"/>
      <c r="N286" s="227">
        <f>I286</f>
        <v>0.34</v>
      </c>
    </row>
    <row r="287" spans="1:14" s="253" customFormat="1" ht="15" x14ac:dyDescent="0.2">
      <c r="A287" s="264"/>
      <c r="B287" s="366" t="s">
        <v>375</v>
      </c>
      <c r="C287" s="366"/>
      <c r="D287" s="366"/>
      <c r="E287" s="366"/>
      <c r="F287" s="366"/>
      <c r="G287" s="366"/>
      <c r="H287" s="366"/>
      <c r="I287" s="366"/>
      <c r="J287" s="366"/>
      <c r="K287" s="251"/>
      <c r="N287" s="266"/>
    </row>
    <row r="288" spans="1:14" s="253" customFormat="1" ht="15" x14ac:dyDescent="0.2">
      <c r="A288" s="264"/>
      <c r="B288" s="228" t="s">
        <v>376</v>
      </c>
      <c r="D288" s="227">
        <v>1</v>
      </c>
      <c r="E288" s="227">
        <v>22</v>
      </c>
      <c r="F288" s="227">
        <v>7.5</v>
      </c>
      <c r="G288" s="227">
        <f>D288*E288*F288</f>
        <v>165</v>
      </c>
      <c r="H288" s="227">
        <v>0.05</v>
      </c>
      <c r="I288" s="227">
        <f>G288*H288</f>
        <v>8.25</v>
      </c>
      <c r="J288" s="227"/>
      <c r="K288" s="229"/>
      <c r="N288" s="227">
        <f>I288</f>
        <v>8.25</v>
      </c>
    </row>
    <row r="289" spans="1:14" s="253" customFormat="1" ht="15" x14ac:dyDescent="0.2">
      <c r="A289" s="264"/>
      <c r="B289" s="365" t="s">
        <v>377</v>
      </c>
      <c r="D289" s="227">
        <v>1</v>
      </c>
      <c r="E289" s="227">
        <v>8</v>
      </c>
      <c r="F289" s="227">
        <v>3</v>
      </c>
      <c r="G289" s="227">
        <f t="shared" ref="G289:G302" si="30">D289*E289*F289</f>
        <v>24</v>
      </c>
      <c r="H289" s="227">
        <v>0.05</v>
      </c>
      <c r="I289" s="227">
        <f t="shared" ref="I289:I302" si="31">G289*H289</f>
        <v>1.2000000000000002</v>
      </c>
      <c r="J289" s="227"/>
      <c r="K289" s="229"/>
      <c r="N289" s="227">
        <f t="shared" ref="N289:N302" si="32">I289</f>
        <v>1.2000000000000002</v>
      </c>
    </row>
    <row r="290" spans="1:14" s="253" customFormat="1" ht="15" x14ac:dyDescent="0.2">
      <c r="A290" s="264"/>
      <c r="B290" s="365"/>
      <c r="D290" s="227">
        <v>1</v>
      </c>
      <c r="E290" s="227">
        <v>5</v>
      </c>
      <c r="F290" s="227">
        <v>2</v>
      </c>
      <c r="G290" s="227">
        <f t="shared" si="30"/>
        <v>10</v>
      </c>
      <c r="H290" s="227">
        <v>0.05</v>
      </c>
      <c r="I290" s="227">
        <f t="shared" si="31"/>
        <v>0.5</v>
      </c>
      <c r="J290" s="227"/>
      <c r="K290" s="229"/>
      <c r="N290" s="227">
        <f t="shared" si="32"/>
        <v>0.5</v>
      </c>
    </row>
    <row r="291" spans="1:14" s="253" customFormat="1" ht="15" x14ac:dyDescent="0.2">
      <c r="A291" s="264"/>
      <c r="B291" s="365"/>
      <c r="D291" s="227">
        <v>1</v>
      </c>
      <c r="E291" s="227">
        <v>5</v>
      </c>
      <c r="F291" s="227">
        <v>2</v>
      </c>
      <c r="G291" s="227">
        <f t="shared" si="30"/>
        <v>10</v>
      </c>
      <c r="H291" s="227">
        <v>0.05</v>
      </c>
      <c r="I291" s="227">
        <f t="shared" si="31"/>
        <v>0.5</v>
      </c>
      <c r="J291" s="227"/>
      <c r="K291" s="229"/>
      <c r="N291" s="227">
        <f t="shared" si="32"/>
        <v>0.5</v>
      </c>
    </row>
    <row r="292" spans="1:14" s="253" customFormat="1" ht="15" x14ac:dyDescent="0.2">
      <c r="A292" s="264"/>
      <c r="B292" s="365" t="s">
        <v>378</v>
      </c>
      <c r="D292" s="227">
        <v>1</v>
      </c>
      <c r="E292" s="227">
        <v>15</v>
      </c>
      <c r="F292" s="227">
        <v>8</v>
      </c>
      <c r="G292" s="227">
        <f t="shared" si="30"/>
        <v>120</v>
      </c>
      <c r="H292" s="227">
        <v>0.05</v>
      </c>
      <c r="I292" s="227">
        <f t="shared" si="31"/>
        <v>6</v>
      </c>
      <c r="J292" s="227"/>
      <c r="K292" s="229"/>
      <c r="N292" s="227">
        <f t="shared" si="32"/>
        <v>6</v>
      </c>
    </row>
    <row r="293" spans="1:14" s="253" customFormat="1" ht="15" x14ac:dyDescent="0.2">
      <c r="A293" s="264"/>
      <c r="B293" s="365"/>
      <c r="D293" s="227">
        <v>1</v>
      </c>
      <c r="E293" s="227">
        <v>6</v>
      </c>
      <c r="F293" s="227">
        <v>8</v>
      </c>
      <c r="G293" s="227">
        <f t="shared" si="30"/>
        <v>48</v>
      </c>
      <c r="H293" s="227">
        <v>0.05</v>
      </c>
      <c r="I293" s="227">
        <f t="shared" si="31"/>
        <v>2.4000000000000004</v>
      </c>
      <c r="J293" s="227"/>
      <c r="K293" s="229"/>
      <c r="N293" s="227">
        <f t="shared" si="32"/>
        <v>2.4000000000000004</v>
      </c>
    </row>
    <row r="294" spans="1:14" s="253" customFormat="1" ht="15" x14ac:dyDescent="0.2">
      <c r="A294" s="264"/>
      <c r="B294" s="365"/>
      <c r="D294" s="227">
        <v>1</v>
      </c>
      <c r="E294" s="227">
        <v>6</v>
      </c>
      <c r="F294" s="227">
        <v>2.2000000000000002</v>
      </c>
      <c r="G294" s="227">
        <f t="shared" si="30"/>
        <v>13.200000000000001</v>
      </c>
      <c r="H294" s="227">
        <v>0.05</v>
      </c>
      <c r="I294" s="227">
        <f t="shared" si="31"/>
        <v>0.66000000000000014</v>
      </c>
      <c r="J294" s="227"/>
      <c r="K294" s="229"/>
      <c r="N294" s="227">
        <f t="shared" si="32"/>
        <v>0.66000000000000014</v>
      </c>
    </row>
    <row r="295" spans="1:14" s="253" customFormat="1" ht="15" x14ac:dyDescent="0.2">
      <c r="A295" s="264"/>
      <c r="B295" s="228" t="s">
        <v>379</v>
      </c>
      <c r="D295" s="227">
        <v>3</v>
      </c>
      <c r="E295" s="227">
        <v>1</v>
      </c>
      <c r="F295" s="227">
        <v>1</v>
      </c>
      <c r="G295" s="227">
        <f t="shared" si="30"/>
        <v>3</v>
      </c>
      <c r="H295" s="227">
        <v>0.05</v>
      </c>
      <c r="I295" s="227">
        <f t="shared" si="31"/>
        <v>0.15000000000000002</v>
      </c>
      <c r="J295" s="227"/>
      <c r="K295" s="229"/>
      <c r="N295" s="227">
        <f t="shared" si="32"/>
        <v>0.15000000000000002</v>
      </c>
    </row>
    <row r="296" spans="1:14" s="253" customFormat="1" ht="15" x14ac:dyDescent="0.2">
      <c r="A296" s="264"/>
      <c r="B296" s="365" t="s">
        <v>380</v>
      </c>
      <c r="D296" s="227">
        <v>6</v>
      </c>
      <c r="E296" s="227">
        <v>0.6</v>
      </c>
      <c r="F296" s="227">
        <v>0.6</v>
      </c>
      <c r="G296" s="227">
        <f t="shared" si="30"/>
        <v>2.1599999999999997</v>
      </c>
      <c r="H296" s="227">
        <v>0.05</v>
      </c>
      <c r="I296" s="227">
        <f t="shared" si="31"/>
        <v>0.10799999999999998</v>
      </c>
      <c r="J296" s="227"/>
      <c r="K296" s="229"/>
      <c r="N296" s="227">
        <f t="shared" si="32"/>
        <v>0.10799999999999998</v>
      </c>
    </row>
    <row r="297" spans="1:14" s="253" customFormat="1" ht="15" x14ac:dyDescent="0.2">
      <c r="A297" s="264"/>
      <c r="B297" s="365"/>
      <c r="D297" s="227">
        <v>1</v>
      </c>
      <c r="E297" s="227">
        <v>35</v>
      </c>
      <c r="F297" s="227">
        <v>6</v>
      </c>
      <c r="G297" s="227">
        <f t="shared" si="30"/>
        <v>210</v>
      </c>
      <c r="H297" s="227">
        <v>0.05</v>
      </c>
      <c r="I297" s="227">
        <f t="shared" si="31"/>
        <v>10.5</v>
      </c>
      <c r="J297" s="227"/>
      <c r="K297" s="229"/>
      <c r="N297" s="227">
        <f t="shared" si="32"/>
        <v>10.5</v>
      </c>
    </row>
    <row r="298" spans="1:14" s="253" customFormat="1" ht="15" x14ac:dyDescent="0.2">
      <c r="A298" s="264"/>
      <c r="B298" s="365" t="s">
        <v>381</v>
      </c>
      <c r="D298" s="227">
        <v>20</v>
      </c>
      <c r="E298" s="227">
        <v>0.6</v>
      </c>
      <c r="F298" s="227">
        <v>0.6</v>
      </c>
      <c r="G298" s="227">
        <f t="shared" si="30"/>
        <v>7.1999999999999993</v>
      </c>
      <c r="H298" s="227">
        <v>0.05</v>
      </c>
      <c r="I298" s="227">
        <f t="shared" si="31"/>
        <v>0.36</v>
      </c>
      <c r="J298" s="227"/>
      <c r="K298" s="229"/>
      <c r="N298" s="227">
        <f t="shared" si="32"/>
        <v>0.36</v>
      </c>
    </row>
    <row r="299" spans="1:14" s="253" customFormat="1" ht="15" x14ac:dyDescent="0.2">
      <c r="A299" s="264"/>
      <c r="B299" s="365"/>
      <c r="D299" s="227">
        <v>2</v>
      </c>
      <c r="E299" s="227">
        <v>2.5</v>
      </c>
      <c r="F299" s="227">
        <v>1.5</v>
      </c>
      <c r="G299" s="227">
        <f t="shared" si="30"/>
        <v>7.5</v>
      </c>
      <c r="H299" s="227">
        <v>0.05</v>
      </c>
      <c r="I299" s="227">
        <f t="shared" si="31"/>
        <v>0.375</v>
      </c>
      <c r="J299" s="227"/>
      <c r="K299" s="229"/>
      <c r="N299" s="227">
        <f t="shared" si="32"/>
        <v>0.375</v>
      </c>
    </row>
    <row r="300" spans="1:14" s="253" customFormat="1" ht="15" x14ac:dyDescent="0.2">
      <c r="A300" s="264"/>
      <c r="B300" s="228" t="s">
        <v>382</v>
      </c>
      <c r="D300" s="227">
        <v>1</v>
      </c>
      <c r="E300" s="227">
        <v>9</v>
      </c>
      <c r="F300" s="227">
        <v>1.5</v>
      </c>
      <c r="G300" s="227">
        <f t="shared" si="30"/>
        <v>13.5</v>
      </c>
      <c r="H300" s="227">
        <v>0.05</v>
      </c>
      <c r="I300" s="227">
        <f t="shared" si="31"/>
        <v>0.67500000000000004</v>
      </c>
      <c r="J300" s="227"/>
      <c r="K300" s="229"/>
      <c r="N300" s="227">
        <f t="shared" si="32"/>
        <v>0.67500000000000004</v>
      </c>
    </row>
    <row r="301" spans="1:14" s="253" customFormat="1" ht="15" x14ac:dyDescent="0.2">
      <c r="A301" s="264"/>
      <c r="B301" s="228" t="s">
        <v>383</v>
      </c>
      <c r="D301" s="227">
        <v>1</v>
      </c>
      <c r="E301" s="227">
        <v>22</v>
      </c>
      <c r="F301" s="227">
        <v>2</v>
      </c>
      <c r="G301" s="227">
        <f t="shared" si="30"/>
        <v>44</v>
      </c>
      <c r="H301" s="227">
        <v>0.05</v>
      </c>
      <c r="I301" s="227">
        <f t="shared" si="31"/>
        <v>2.2000000000000002</v>
      </c>
      <c r="J301" s="227"/>
      <c r="K301" s="229"/>
      <c r="N301" s="227">
        <f t="shared" si="32"/>
        <v>2.2000000000000002</v>
      </c>
    </row>
    <row r="302" spans="1:14" s="253" customFormat="1" ht="15" x14ac:dyDescent="0.2">
      <c r="A302" s="264"/>
      <c r="B302" s="228" t="s">
        <v>384</v>
      </c>
      <c r="D302" s="227">
        <v>25</v>
      </c>
      <c r="E302" s="227">
        <v>1.2</v>
      </c>
      <c r="F302" s="227">
        <v>1.2</v>
      </c>
      <c r="G302" s="227">
        <f t="shared" si="30"/>
        <v>36</v>
      </c>
      <c r="H302" s="227">
        <v>0.05</v>
      </c>
      <c r="I302" s="227">
        <f t="shared" si="31"/>
        <v>1.8</v>
      </c>
      <c r="J302" s="227"/>
      <c r="K302" s="229"/>
      <c r="N302" s="227">
        <f t="shared" si="32"/>
        <v>1.8</v>
      </c>
    </row>
    <row r="303" spans="1:14" s="253" customFormat="1" ht="15" x14ac:dyDescent="0.2">
      <c r="A303" s="264"/>
      <c r="B303" s="366" t="s">
        <v>385</v>
      </c>
      <c r="C303" s="366"/>
      <c r="D303" s="366"/>
      <c r="E303" s="366"/>
      <c r="F303" s="366"/>
      <c r="G303" s="366"/>
      <c r="H303" s="366"/>
      <c r="I303" s="366"/>
      <c r="J303" s="366"/>
      <c r="K303" s="251"/>
      <c r="N303" s="266"/>
    </row>
    <row r="304" spans="1:14" s="253" customFormat="1" ht="15" x14ac:dyDescent="0.2">
      <c r="A304" s="264"/>
      <c r="B304" s="365" t="s">
        <v>386</v>
      </c>
      <c r="D304" s="227">
        <v>1</v>
      </c>
      <c r="E304" s="227">
        <v>12</v>
      </c>
      <c r="F304" s="227">
        <v>2.5</v>
      </c>
      <c r="G304" s="227">
        <f>D304*E304*F304</f>
        <v>30</v>
      </c>
      <c r="H304" s="227">
        <v>0.05</v>
      </c>
      <c r="I304" s="227">
        <f>G304*H304</f>
        <v>1.5</v>
      </c>
      <c r="J304" s="227"/>
      <c r="K304" s="229"/>
      <c r="N304" s="227">
        <f>I304</f>
        <v>1.5</v>
      </c>
    </row>
    <row r="305" spans="1:14" s="253" customFormat="1" ht="15" x14ac:dyDescent="0.2">
      <c r="A305" s="264"/>
      <c r="B305" s="365"/>
      <c r="D305" s="227">
        <v>4</v>
      </c>
      <c r="E305" s="227">
        <v>3</v>
      </c>
      <c r="F305" s="227">
        <v>2.5</v>
      </c>
      <c r="G305" s="227">
        <f t="shared" ref="G305:G311" si="33">D305*E305*F305</f>
        <v>30</v>
      </c>
      <c r="H305" s="227">
        <v>0.05</v>
      </c>
      <c r="I305" s="227">
        <f t="shared" ref="I305:I311" si="34">G305*H305</f>
        <v>1.5</v>
      </c>
      <c r="J305" s="227"/>
      <c r="K305" s="229"/>
      <c r="N305" s="227">
        <f t="shared" ref="N305:N311" si="35">I305</f>
        <v>1.5</v>
      </c>
    </row>
    <row r="306" spans="1:14" s="253" customFormat="1" ht="15" x14ac:dyDescent="0.2">
      <c r="A306" s="264"/>
      <c r="B306" s="365" t="s">
        <v>387</v>
      </c>
      <c r="D306" s="227">
        <v>1</v>
      </c>
      <c r="E306" s="227">
        <v>1.5</v>
      </c>
      <c r="F306" s="227">
        <v>1</v>
      </c>
      <c r="G306" s="227">
        <f t="shared" si="33"/>
        <v>1.5</v>
      </c>
      <c r="H306" s="227">
        <v>0.05</v>
      </c>
      <c r="I306" s="227">
        <f t="shared" si="34"/>
        <v>7.5000000000000011E-2</v>
      </c>
      <c r="J306" s="227"/>
      <c r="K306" s="229"/>
      <c r="N306" s="227">
        <f t="shared" si="35"/>
        <v>7.5000000000000011E-2</v>
      </c>
    </row>
    <row r="307" spans="1:14" s="253" customFormat="1" ht="15" x14ac:dyDescent="0.2">
      <c r="A307" s="264"/>
      <c r="B307" s="365"/>
      <c r="D307" s="227">
        <v>1</v>
      </c>
      <c r="E307" s="227">
        <v>2</v>
      </c>
      <c r="F307" s="227">
        <v>2</v>
      </c>
      <c r="G307" s="227">
        <f t="shared" si="33"/>
        <v>4</v>
      </c>
      <c r="H307" s="227">
        <v>0.05</v>
      </c>
      <c r="I307" s="227">
        <f t="shared" si="34"/>
        <v>0.2</v>
      </c>
      <c r="J307" s="227"/>
      <c r="K307" s="229"/>
      <c r="N307" s="227">
        <f t="shared" si="35"/>
        <v>0.2</v>
      </c>
    </row>
    <row r="308" spans="1:14" s="253" customFormat="1" ht="15" x14ac:dyDescent="0.2">
      <c r="A308" s="264"/>
      <c r="B308" s="365"/>
      <c r="D308" s="227">
        <v>1</v>
      </c>
      <c r="E308" s="227">
        <v>1</v>
      </c>
      <c r="F308" s="227">
        <v>1</v>
      </c>
      <c r="G308" s="227">
        <f t="shared" si="33"/>
        <v>1</v>
      </c>
      <c r="H308" s="227">
        <v>0.05</v>
      </c>
      <c r="I308" s="227">
        <f t="shared" si="34"/>
        <v>0.05</v>
      </c>
      <c r="J308" s="227"/>
      <c r="K308" s="229"/>
      <c r="N308" s="227">
        <f t="shared" si="35"/>
        <v>0.05</v>
      </c>
    </row>
    <row r="309" spans="1:14" s="253" customFormat="1" ht="15" x14ac:dyDescent="0.2">
      <c r="A309" s="264"/>
      <c r="B309" s="365" t="s">
        <v>388</v>
      </c>
      <c r="D309" s="227">
        <v>10</v>
      </c>
      <c r="E309" s="227">
        <v>0.8</v>
      </c>
      <c r="F309" s="227">
        <v>0.8</v>
      </c>
      <c r="G309" s="227">
        <f t="shared" si="33"/>
        <v>6.4</v>
      </c>
      <c r="H309" s="227">
        <v>0.05</v>
      </c>
      <c r="I309" s="227">
        <f t="shared" si="34"/>
        <v>0.32000000000000006</v>
      </c>
      <c r="J309" s="227"/>
      <c r="K309" s="229"/>
      <c r="N309" s="227">
        <f t="shared" si="35"/>
        <v>0.32000000000000006</v>
      </c>
    </row>
    <row r="310" spans="1:14" s="253" customFormat="1" ht="15" x14ac:dyDescent="0.2">
      <c r="A310" s="264"/>
      <c r="B310" s="365"/>
      <c r="D310" s="227">
        <v>1</v>
      </c>
      <c r="E310" s="227">
        <v>1.5</v>
      </c>
      <c r="F310" s="227">
        <v>1.5</v>
      </c>
      <c r="G310" s="227">
        <f t="shared" si="33"/>
        <v>2.25</v>
      </c>
      <c r="H310" s="227">
        <v>0.05</v>
      </c>
      <c r="I310" s="227">
        <f t="shared" si="34"/>
        <v>0.1125</v>
      </c>
      <c r="J310" s="227"/>
      <c r="K310" s="229"/>
      <c r="N310" s="227">
        <f t="shared" si="35"/>
        <v>0.1125</v>
      </c>
    </row>
    <row r="311" spans="1:14" s="253" customFormat="1" ht="15" x14ac:dyDescent="0.2">
      <c r="A311" s="264"/>
      <c r="B311" s="228" t="s">
        <v>389</v>
      </c>
      <c r="D311" s="227">
        <v>1</v>
      </c>
      <c r="E311" s="227">
        <v>7</v>
      </c>
      <c r="F311" s="227">
        <v>3</v>
      </c>
      <c r="G311" s="227">
        <f t="shared" si="33"/>
        <v>21</v>
      </c>
      <c r="H311" s="227">
        <v>0.05</v>
      </c>
      <c r="I311" s="227">
        <f t="shared" si="34"/>
        <v>1.05</v>
      </c>
      <c r="J311" s="227"/>
      <c r="K311" s="229"/>
      <c r="N311" s="227">
        <f t="shared" si="35"/>
        <v>1.05</v>
      </c>
    </row>
    <row r="312" spans="1:14" s="243" customFormat="1" x14ac:dyDescent="0.2">
      <c r="A312" s="351" t="s">
        <v>322</v>
      </c>
      <c r="B312" s="351"/>
      <c r="C312" s="351"/>
      <c r="D312" s="351"/>
      <c r="E312" s="351"/>
      <c r="F312" s="351"/>
      <c r="G312" s="351"/>
      <c r="H312" s="351"/>
      <c r="I312" s="351"/>
      <c r="J312" s="351"/>
      <c r="K312" s="351"/>
      <c r="L312" s="351"/>
      <c r="M312" s="351"/>
      <c r="N312" s="250">
        <f>SUM(N272:N286,N288:N302,N304:N311)</f>
        <v>90.01900000000002</v>
      </c>
    </row>
    <row r="313" spans="1:14" x14ac:dyDescent="0.2">
      <c r="B313" s="173"/>
    </row>
    <row r="314" spans="1:14" s="239" customFormat="1" x14ac:dyDescent="0.2">
      <c r="A314" s="238" t="s">
        <v>352</v>
      </c>
      <c r="B314" s="352" t="s">
        <v>344</v>
      </c>
      <c r="C314" s="352"/>
      <c r="D314" s="352"/>
      <c r="E314" s="352"/>
      <c r="F314" s="352"/>
      <c r="G314" s="352"/>
      <c r="H314" s="352"/>
      <c r="I314" s="352"/>
      <c r="J314" s="352"/>
      <c r="K314" s="352"/>
      <c r="L314" s="352"/>
      <c r="M314" s="352"/>
      <c r="N314" s="352"/>
    </row>
    <row r="315" spans="1:14" ht="38.25" x14ac:dyDescent="0.2">
      <c r="B315" s="173" t="s">
        <v>346</v>
      </c>
      <c r="G315" s="241">
        <f>N224</f>
        <v>1800.3800000000003</v>
      </c>
      <c r="H315" s="241">
        <v>0.2</v>
      </c>
      <c r="I315" s="241">
        <f>G315*H315</f>
        <v>360.07600000000008</v>
      </c>
      <c r="L315" s="241">
        <v>10</v>
      </c>
      <c r="M315" s="241">
        <f>I315*L315</f>
        <v>3600.7600000000007</v>
      </c>
      <c r="N315" s="241">
        <f>M315</f>
        <v>3600.7600000000007</v>
      </c>
    </row>
    <row r="316" spans="1:14" ht="38.25" x14ac:dyDescent="0.2">
      <c r="B316" s="173" t="s">
        <v>342</v>
      </c>
      <c r="H316" s="20"/>
      <c r="I316" s="241">
        <f>N268</f>
        <v>180.03800000000004</v>
      </c>
      <c r="L316" s="241">
        <v>10</v>
      </c>
      <c r="M316" s="241">
        <f t="shared" ref="M316:M317" si="36">I316*L316</f>
        <v>1800.3800000000003</v>
      </c>
      <c r="N316" s="241">
        <f t="shared" ref="N316:N317" si="37">M316</f>
        <v>1800.3800000000003</v>
      </c>
    </row>
    <row r="317" spans="1:14" ht="38.25" x14ac:dyDescent="0.2">
      <c r="B317" s="173" t="s">
        <v>347</v>
      </c>
      <c r="H317" s="20"/>
      <c r="I317" s="241">
        <f>N312</f>
        <v>90.01900000000002</v>
      </c>
      <c r="L317" s="241">
        <v>10</v>
      </c>
      <c r="M317" s="241">
        <f t="shared" si="36"/>
        <v>900.19000000000017</v>
      </c>
      <c r="N317" s="241">
        <f t="shared" si="37"/>
        <v>900.19000000000017</v>
      </c>
    </row>
    <row r="318" spans="1:14" s="243" customFormat="1" x14ac:dyDescent="0.2">
      <c r="A318" s="351" t="s">
        <v>322</v>
      </c>
      <c r="B318" s="351"/>
      <c r="C318" s="351"/>
      <c r="D318" s="351"/>
      <c r="E318" s="351"/>
      <c r="F318" s="351"/>
      <c r="G318" s="351"/>
      <c r="H318" s="351"/>
      <c r="I318" s="351"/>
      <c r="J318" s="351"/>
      <c r="K318" s="351"/>
      <c r="L318" s="351"/>
      <c r="M318" s="351"/>
      <c r="N318" s="250">
        <f>SUM(N315:N317)</f>
        <v>6301.3300000000017</v>
      </c>
    </row>
    <row r="319" spans="1:14" x14ac:dyDescent="0.2">
      <c r="B319" s="173"/>
    </row>
    <row r="320" spans="1:14" s="239" customFormat="1" x14ac:dyDescent="0.2">
      <c r="A320" s="238" t="s">
        <v>353</v>
      </c>
      <c r="B320" s="352" t="s">
        <v>345</v>
      </c>
      <c r="C320" s="352"/>
      <c r="D320" s="352"/>
      <c r="E320" s="352"/>
      <c r="F320" s="352"/>
      <c r="G320" s="352"/>
      <c r="H320" s="352"/>
      <c r="I320" s="352"/>
      <c r="J320" s="352"/>
      <c r="K320" s="352"/>
      <c r="L320" s="352"/>
      <c r="M320" s="352"/>
      <c r="N320" s="352"/>
    </row>
    <row r="321" spans="1:14" x14ac:dyDescent="0.2">
      <c r="B321" s="364" t="s">
        <v>360</v>
      </c>
    </row>
    <row r="322" spans="1:14" x14ac:dyDescent="0.2">
      <c r="B322" s="364"/>
    </row>
    <row r="323" spans="1:14" x14ac:dyDescent="0.2">
      <c r="B323" s="249" t="s">
        <v>305</v>
      </c>
    </row>
    <row r="324" spans="1:14" x14ac:dyDescent="0.2">
      <c r="B324" s="220" t="s">
        <v>306</v>
      </c>
      <c r="D324" s="241">
        <v>28</v>
      </c>
      <c r="E324" s="241">
        <v>552</v>
      </c>
      <c r="H324" s="241">
        <v>0.1</v>
      </c>
      <c r="N324" s="241">
        <f>D324*H324</f>
        <v>2.8000000000000003</v>
      </c>
    </row>
    <row r="325" spans="1:14" x14ac:dyDescent="0.2">
      <c r="B325" s="249" t="s">
        <v>325</v>
      </c>
      <c r="N325" s="241">
        <f t="shared" ref="N325:N328" si="38">D325*H325</f>
        <v>0</v>
      </c>
    </row>
    <row r="326" spans="1:14" x14ac:dyDescent="0.2">
      <c r="B326" s="220" t="s">
        <v>326</v>
      </c>
      <c r="D326" s="241">
        <f>E326/20</f>
        <v>29</v>
      </c>
      <c r="E326" s="241">
        <v>580</v>
      </c>
      <c r="H326" s="241">
        <v>0.1</v>
      </c>
      <c r="N326" s="241">
        <f t="shared" si="38"/>
        <v>2.9000000000000004</v>
      </c>
    </row>
    <row r="327" spans="1:14" x14ac:dyDescent="0.2">
      <c r="B327" s="249" t="s">
        <v>292</v>
      </c>
      <c r="N327" s="241">
        <f t="shared" si="38"/>
        <v>0</v>
      </c>
    </row>
    <row r="328" spans="1:14" x14ac:dyDescent="0.2">
      <c r="B328" s="220" t="s">
        <v>332</v>
      </c>
      <c r="D328" s="241">
        <v>12</v>
      </c>
      <c r="E328" s="241">
        <v>235.25</v>
      </c>
      <c r="H328" s="241">
        <v>0.1</v>
      </c>
      <c r="N328" s="241">
        <f t="shared" si="38"/>
        <v>1.2000000000000002</v>
      </c>
    </row>
    <row r="329" spans="1:14" s="243" customFormat="1" x14ac:dyDescent="0.2">
      <c r="A329" s="351" t="s">
        <v>321</v>
      </c>
      <c r="B329" s="351"/>
      <c r="C329" s="351"/>
      <c r="D329" s="351"/>
      <c r="E329" s="351"/>
      <c r="F329" s="351"/>
      <c r="G329" s="351"/>
      <c r="H329" s="351"/>
      <c r="I329" s="351"/>
      <c r="J329" s="351"/>
      <c r="K329" s="351"/>
      <c r="L329" s="351"/>
      <c r="M329" s="351"/>
      <c r="N329" s="250">
        <f>SUM(N324:N328)</f>
        <v>6.9000000000000012</v>
      </c>
    </row>
    <row r="330" spans="1:14" x14ac:dyDescent="0.2">
      <c r="B330" s="220"/>
    </row>
    <row r="331" spans="1:14" s="239" customFormat="1" ht="26.25" customHeight="1" x14ac:dyDescent="0.2">
      <c r="A331" s="238" t="s">
        <v>354</v>
      </c>
      <c r="B331" s="352" t="s">
        <v>230</v>
      </c>
      <c r="C331" s="352"/>
      <c r="D331" s="352"/>
      <c r="E331" s="352"/>
      <c r="F331" s="352"/>
      <c r="G331" s="352"/>
      <c r="H331" s="352"/>
      <c r="I331" s="352"/>
      <c r="J331" s="352"/>
      <c r="K331" s="352"/>
      <c r="L331" s="352"/>
      <c r="M331" s="352"/>
      <c r="N331" s="352"/>
    </row>
    <row r="332" spans="1:14" x14ac:dyDescent="0.2">
      <c r="B332" s="364" t="s">
        <v>361</v>
      </c>
    </row>
    <row r="333" spans="1:14" x14ac:dyDescent="0.2">
      <c r="B333" s="364"/>
    </row>
    <row r="334" spans="1:14" x14ac:dyDescent="0.2">
      <c r="B334" s="249" t="s">
        <v>305</v>
      </c>
    </row>
    <row r="335" spans="1:14" x14ac:dyDescent="0.2">
      <c r="B335" s="220" t="s">
        <v>306</v>
      </c>
      <c r="D335" s="241">
        <v>14</v>
      </c>
      <c r="E335" s="241">
        <v>552</v>
      </c>
      <c r="N335" s="241">
        <f>D335</f>
        <v>14</v>
      </c>
    </row>
    <row r="336" spans="1:14" x14ac:dyDescent="0.2">
      <c r="B336" s="249" t="s">
        <v>325</v>
      </c>
      <c r="N336" s="241">
        <f t="shared" ref="N336:N339" si="39">D336</f>
        <v>0</v>
      </c>
    </row>
    <row r="337" spans="1:14" x14ac:dyDescent="0.2">
      <c r="B337" s="220" t="s">
        <v>326</v>
      </c>
      <c r="D337" s="241">
        <v>15</v>
      </c>
      <c r="E337" s="241">
        <v>580</v>
      </c>
      <c r="N337" s="241">
        <f t="shared" si="39"/>
        <v>15</v>
      </c>
    </row>
    <row r="338" spans="1:14" x14ac:dyDescent="0.2">
      <c r="B338" s="249" t="s">
        <v>292</v>
      </c>
      <c r="N338" s="241">
        <f t="shared" si="39"/>
        <v>0</v>
      </c>
    </row>
    <row r="339" spans="1:14" x14ac:dyDescent="0.2">
      <c r="B339" s="220" t="s">
        <v>332</v>
      </c>
      <c r="D339" s="241">
        <v>6</v>
      </c>
      <c r="E339" s="241">
        <v>235.25</v>
      </c>
      <c r="N339" s="241">
        <f t="shared" si="39"/>
        <v>6</v>
      </c>
    </row>
    <row r="340" spans="1:14" s="243" customFormat="1" x14ac:dyDescent="0.2">
      <c r="A340" s="351" t="s">
        <v>362</v>
      </c>
      <c r="B340" s="351"/>
      <c r="C340" s="351"/>
      <c r="D340" s="351"/>
      <c r="E340" s="351"/>
      <c r="F340" s="351"/>
      <c r="G340" s="351"/>
      <c r="H340" s="351"/>
      <c r="I340" s="351"/>
      <c r="J340" s="351"/>
      <c r="K340" s="351"/>
      <c r="L340" s="351"/>
      <c r="M340" s="351"/>
      <c r="N340" s="250">
        <f>SUM(N335:N339)</f>
        <v>35</v>
      </c>
    </row>
    <row r="341" spans="1:14" x14ac:dyDescent="0.2">
      <c r="B341" s="173"/>
    </row>
    <row r="342" spans="1:14" s="239" customFormat="1" ht="26.25" customHeight="1" x14ac:dyDescent="0.2">
      <c r="A342" s="238" t="s">
        <v>355</v>
      </c>
      <c r="B342" s="352" t="s">
        <v>229</v>
      </c>
      <c r="C342" s="352"/>
      <c r="D342" s="352"/>
      <c r="E342" s="352"/>
      <c r="F342" s="352"/>
      <c r="G342" s="352"/>
      <c r="H342" s="352"/>
      <c r="I342" s="352"/>
      <c r="J342" s="352"/>
      <c r="K342" s="352"/>
      <c r="L342" s="352"/>
      <c r="M342" s="352"/>
      <c r="N342" s="352"/>
    </row>
    <row r="343" spans="1:14" x14ac:dyDescent="0.2">
      <c r="B343" s="364" t="s">
        <v>361</v>
      </c>
    </row>
    <row r="344" spans="1:14" x14ac:dyDescent="0.2">
      <c r="B344" s="364"/>
    </row>
    <row r="345" spans="1:14" x14ac:dyDescent="0.2">
      <c r="B345" s="249" t="s">
        <v>305</v>
      </c>
    </row>
    <row r="346" spans="1:14" x14ac:dyDescent="0.2">
      <c r="B346" s="220" t="s">
        <v>306</v>
      </c>
      <c r="D346" s="241">
        <v>14</v>
      </c>
      <c r="E346" s="241">
        <v>552</v>
      </c>
      <c r="N346" s="241">
        <f>D346</f>
        <v>14</v>
      </c>
    </row>
    <row r="347" spans="1:14" x14ac:dyDescent="0.2">
      <c r="B347" s="249" t="s">
        <v>325</v>
      </c>
      <c r="N347" s="241">
        <f t="shared" ref="N347:N350" si="40">D347</f>
        <v>0</v>
      </c>
    </row>
    <row r="348" spans="1:14" x14ac:dyDescent="0.2">
      <c r="B348" s="220" t="s">
        <v>326</v>
      </c>
      <c r="D348" s="241">
        <v>15</v>
      </c>
      <c r="E348" s="241">
        <v>580</v>
      </c>
      <c r="N348" s="241">
        <f t="shared" si="40"/>
        <v>15</v>
      </c>
    </row>
    <row r="349" spans="1:14" x14ac:dyDescent="0.2">
      <c r="B349" s="249" t="s">
        <v>292</v>
      </c>
      <c r="N349" s="241">
        <f t="shared" si="40"/>
        <v>0</v>
      </c>
    </row>
    <row r="350" spans="1:14" x14ac:dyDescent="0.2">
      <c r="B350" s="220" t="s">
        <v>332</v>
      </c>
      <c r="D350" s="241">
        <v>6</v>
      </c>
      <c r="E350" s="241">
        <v>235.25</v>
      </c>
      <c r="N350" s="241">
        <f t="shared" si="40"/>
        <v>6</v>
      </c>
    </row>
    <row r="351" spans="1:14" s="243" customFormat="1" x14ac:dyDescent="0.2">
      <c r="A351" s="351" t="s">
        <v>362</v>
      </c>
      <c r="B351" s="351"/>
      <c r="C351" s="351"/>
      <c r="D351" s="351"/>
      <c r="E351" s="351"/>
      <c r="F351" s="351"/>
      <c r="G351" s="351"/>
      <c r="H351" s="351"/>
      <c r="I351" s="351"/>
      <c r="J351" s="351"/>
      <c r="K351" s="351"/>
      <c r="L351" s="351"/>
      <c r="M351" s="351"/>
      <c r="N351" s="250">
        <f>SUM(N346:N350)</f>
        <v>35</v>
      </c>
    </row>
    <row r="352" spans="1:14" x14ac:dyDescent="0.2">
      <c r="B352" s="173"/>
    </row>
    <row r="353" spans="1:14" s="239" customFormat="1" x14ac:dyDescent="0.2">
      <c r="A353" s="238" t="s">
        <v>356</v>
      </c>
      <c r="B353" s="352" t="s">
        <v>60</v>
      </c>
      <c r="C353" s="352"/>
      <c r="D353" s="352"/>
      <c r="E353" s="352"/>
      <c r="F353" s="352"/>
      <c r="G353" s="352"/>
      <c r="H353" s="352"/>
      <c r="I353" s="352"/>
      <c r="J353" s="352"/>
      <c r="K353" s="352"/>
      <c r="L353" s="352"/>
      <c r="M353" s="352"/>
      <c r="N353" s="352"/>
    </row>
    <row r="354" spans="1:14" x14ac:dyDescent="0.2">
      <c r="B354" s="249" t="s">
        <v>305</v>
      </c>
      <c r="G354" s="241">
        <f>N59</f>
        <v>4639.2</v>
      </c>
      <c r="N354" s="241">
        <f>G354</f>
        <v>4639.2</v>
      </c>
    </row>
    <row r="355" spans="1:14" x14ac:dyDescent="0.2">
      <c r="B355" s="267" t="s">
        <v>325</v>
      </c>
      <c r="G355" s="241">
        <f>N104</f>
        <v>5001.12</v>
      </c>
      <c r="N355" s="241">
        <f t="shared" ref="N355:N356" si="41">G355</f>
        <v>5001.12</v>
      </c>
    </row>
    <row r="356" spans="1:14" x14ac:dyDescent="0.2">
      <c r="B356" s="267" t="s">
        <v>292</v>
      </c>
      <c r="G356" s="241">
        <f>N146</f>
        <v>1950.98</v>
      </c>
      <c r="N356" s="241">
        <f t="shared" si="41"/>
        <v>1950.98</v>
      </c>
    </row>
    <row r="357" spans="1:14" s="243" customFormat="1" x14ac:dyDescent="0.2">
      <c r="A357" s="351" t="s">
        <v>321</v>
      </c>
      <c r="B357" s="351"/>
      <c r="C357" s="351"/>
      <c r="D357" s="351"/>
      <c r="E357" s="351"/>
      <c r="F357" s="351"/>
      <c r="G357" s="351"/>
      <c r="H357" s="351"/>
      <c r="I357" s="351"/>
      <c r="J357" s="351"/>
      <c r="K357" s="351"/>
      <c r="L357" s="351"/>
      <c r="M357" s="351"/>
      <c r="N357" s="250">
        <f>SUM(N354:N356)</f>
        <v>11591.3</v>
      </c>
    </row>
    <row r="358" spans="1:14" x14ac:dyDescent="0.2">
      <c r="B358" s="268"/>
    </row>
    <row r="359" spans="1:14" x14ac:dyDescent="0.2">
      <c r="B359" s="268"/>
    </row>
    <row r="360" spans="1:14" x14ac:dyDescent="0.2">
      <c r="B360" s="258"/>
    </row>
    <row r="361" spans="1:14" x14ac:dyDescent="0.2">
      <c r="B361" s="258"/>
    </row>
    <row r="362" spans="1:14" x14ac:dyDescent="0.2">
      <c r="B362" s="258"/>
    </row>
    <row r="363" spans="1:14" x14ac:dyDescent="0.2">
      <c r="B363" s="258"/>
    </row>
    <row r="364" spans="1:14" x14ac:dyDescent="0.2">
      <c r="B364" s="258"/>
    </row>
    <row r="365" spans="1:14" x14ac:dyDescent="0.2">
      <c r="B365" s="258"/>
    </row>
    <row r="366" spans="1:14" x14ac:dyDescent="0.2">
      <c r="B366" s="258"/>
    </row>
    <row r="367" spans="1:14" x14ac:dyDescent="0.2">
      <c r="B367" s="258"/>
    </row>
    <row r="368" spans="1:14" x14ac:dyDescent="0.2">
      <c r="B368" s="258"/>
    </row>
    <row r="369" spans="2:2" x14ac:dyDescent="0.2">
      <c r="B369" s="258"/>
    </row>
    <row r="370" spans="2:2" x14ac:dyDescent="0.2">
      <c r="B370" s="258"/>
    </row>
    <row r="371" spans="2:2" x14ac:dyDescent="0.2">
      <c r="B371" s="258"/>
    </row>
    <row r="372" spans="2:2" x14ac:dyDescent="0.2">
      <c r="B372" s="258"/>
    </row>
    <row r="373" spans="2:2" x14ac:dyDescent="0.2">
      <c r="B373" s="258"/>
    </row>
    <row r="374" spans="2:2" x14ac:dyDescent="0.2">
      <c r="B374" s="258"/>
    </row>
    <row r="375" spans="2:2" x14ac:dyDescent="0.2">
      <c r="B375" s="258"/>
    </row>
    <row r="376" spans="2:2" x14ac:dyDescent="0.2">
      <c r="B376" s="258"/>
    </row>
    <row r="377" spans="2:2" x14ac:dyDescent="0.2">
      <c r="B377" s="258"/>
    </row>
    <row r="378" spans="2:2" x14ac:dyDescent="0.2">
      <c r="B378" s="258"/>
    </row>
    <row r="379" spans="2:2" x14ac:dyDescent="0.2">
      <c r="B379" s="258"/>
    </row>
    <row r="380" spans="2:2" x14ac:dyDescent="0.2">
      <c r="B380" s="258"/>
    </row>
    <row r="381" spans="2:2" x14ac:dyDescent="0.2">
      <c r="B381" s="258"/>
    </row>
    <row r="382" spans="2:2" x14ac:dyDescent="0.2">
      <c r="B382" s="258"/>
    </row>
    <row r="383" spans="2:2" x14ac:dyDescent="0.2">
      <c r="B383" s="258"/>
    </row>
    <row r="384" spans="2:2" x14ac:dyDescent="0.2">
      <c r="B384" s="258"/>
    </row>
    <row r="385" spans="2:2" x14ac:dyDescent="0.2">
      <c r="B385" s="258"/>
    </row>
    <row r="386" spans="2:2" x14ac:dyDescent="0.2">
      <c r="B386" s="258"/>
    </row>
    <row r="387" spans="2:2" x14ac:dyDescent="0.2">
      <c r="B387" s="258"/>
    </row>
    <row r="388" spans="2:2" x14ac:dyDescent="0.2">
      <c r="B388" s="258"/>
    </row>
    <row r="389" spans="2:2" x14ac:dyDescent="0.2">
      <c r="B389" s="258"/>
    </row>
    <row r="390" spans="2:2" x14ac:dyDescent="0.2">
      <c r="B390" s="258"/>
    </row>
    <row r="391" spans="2:2" x14ac:dyDescent="0.2">
      <c r="B391" s="258"/>
    </row>
    <row r="392" spans="2:2" x14ac:dyDescent="0.2">
      <c r="B392" s="258"/>
    </row>
    <row r="393" spans="2:2" x14ac:dyDescent="0.2">
      <c r="B393" s="258"/>
    </row>
    <row r="394" spans="2:2" x14ac:dyDescent="0.2">
      <c r="B394" s="258"/>
    </row>
    <row r="395" spans="2:2" x14ac:dyDescent="0.2">
      <c r="B395" s="258"/>
    </row>
    <row r="396" spans="2:2" x14ac:dyDescent="0.2">
      <c r="B396" s="258"/>
    </row>
    <row r="397" spans="2:2" x14ac:dyDescent="0.2">
      <c r="B397" s="258"/>
    </row>
    <row r="398" spans="2:2" x14ac:dyDescent="0.2">
      <c r="B398" s="258"/>
    </row>
    <row r="399" spans="2:2" x14ac:dyDescent="0.2">
      <c r="B399" s="258"/>
    </row>
    <row r="400" spans="2:2" x14ac:dyDescent="0.2">
      <c r="B400" s="258"/>
    </row>
    <row r="401" spans="2:2" x14ac:dyDescent="0.2">
      <c r="B401" s="258"/>
    </row>
    <row r="402" spans="2:2" x14ac:dyDescent="0.2">
      <c r="B402" s="258"/>
    </row>
    <row r="403" spans="2:2" x14ac:dyDescent="0.2">
      <c r="B403" s="258"/>
    </row>
    <row r="404" spans="2:2" x14ac:dyDescent="0.2">
      <c r="B404" s="258"/>
    </row>
    <row r="405" spans="2:2" x14ac:dyDescent="0.2">
      <c r="B405" s="258"/>
    </row>
    <row r="406" spans="2:2" x14ac:dyDescent="0.2">
      <c r="B406" s="258"/>
    </row>
    <row r="407" spans="2:2" x14ac:dyDescent="0.2">
      <c r="B407" s="258"/>
    </row>
    <row r="408" spans="2:2" x14ac:dyDescent="0.2">
      <c r="B408" s="258"/>
    </row>
    <row r="409" spans="2:2" x14ac:dyDescent="0.2">
      <c r="B409" s="258"/>
    </row>
    <row r="410" spans="2:2" x14ac:dyDescent="0.2">
      <c r="B410" s="258"/>
    </row>
    <row r="411" spans="2:2" x14ac:dyDescent="0.2">
      <c r="B411" s="258"/>
    </row>
    <row r="412" spans="2:2" x14ac:dyDescent="0.2">
      <c r="B412" s="258"/>
    </row>
    <row r="413" spans="2:2" x14ac:dyDescent="0.2">
      <c r="B413" s="258"/>
    </row>
    <row r="414" spans="2:2" x14ac:dyDescent="0.2">
      <c r="B414" s="258"/>
    </row>
    <row r="415" spans="2:2" x14ac:dyDescent="0.2">
      <c r="B415" s="258"/>
    </row>
    <row r="416" spans="2:2" x14ac:dyDescent="0.2">
      <c r="B416" s="258"/>
    </row>
    <row r="417" spans="2:2" x14ac:dyDescent="0.2">
      <c r="B417" s="258"/>
    </row>
    <row r="418" spans="2:2" x14ac:dyDescent="0.2">
      <c r="B418" s="258"/>
    </row>
    <row r="419" spans="2:2" x14ac:dyDescent="0.2">
      <c r="B419" s="258"/>
    </row>
    <row r="420" spans="2:2" x14ac:dyDescent="0.2">
      <c r="B420" s="258"/>
    </row>
    <row r="421" spans="2:2" x14ac:dyDescent="0.2">
      <c r="B421" s="258"/>
    </row>
    <row r="422" spans="2:2" x14ac:dyDescent="0.2">
      <c r="B422" s="258"/>
    </row>
    <row r="423" spans="2:2" x14ac:dyDescent="0.2">
      <c r="B423" s="258"/>
    </row>
    <row r="424" spans="2:2" x14ac:dyDescent="0.2">
      <c r="B424" s="258"/>
    </row>
    <row r="425" spans="2:2" x14ac:dyDescent="0.2">
      <c r="B425" s="258"/>
    </row>
    <row r="426" spans="2:2" x14ac:dyDescent="0.2">
      <c r="B426" s="258"/>
    </row>
    <row r="427" spans="2:2" x14ac:dyDescent="0.2">
      <c r="B427" s="258"/>
    </row>
    <row r="428" spans="2:2" x14ac:dyDescent="0.2">
      <c r="B428" s="258"/>
    </row>
    <row r="429" spans="2:2" x14ac:dyDescent="0.2">
      <c r="B429" s="258"/>
    </row>
    <row r="430" spans="2:2" x14ac:dyDescent="0.2">
      <c r="B430" s="258"/>
    </row>
    <row r="431" spans="2:2" x14ac:dyDescent="0.2">
      <c r="B431" s="258"/>
    </row>
    <row r="432" spans="2:2" x14ac:dyDescent="0.2">
      <c r="B432" s="258"/>
    </row>
    <row r="433" spans="2:2" x14ac:dyDescent="0.2">
      <c r="B433" s="258"/>
    </row>
    <row r="434" spans="2:2" x14ac:dyDescent="0.2">
      <c r="B434" s="258"/>
    </row>
    <row r="435" spans="2:2" x14ac:dyDescent="0.2">
      <c r="B435" s="258"/>
    </row>
    <row r="436" spans="2:2" x14ac:dyDescent="0.2">
      <c r="B436" s="258"/>
    </row>
    <row r="437" spans="2:2" x14ac:dyDescent="0.2">
      <c r="B437" s="258"/>
    </row>
    <row r="438" spans="2:2" x14ac:dyDescent="0.2">
      <c r="B438" s="258"/>
    </row>
    <row r="439" spans="2:2" x14ac:dyDescent="0.2">
      <c r="B439" s="258"/>
    </row>
    <row r="440" spans="2:2" x14ac:dyDescent="0.2">
      <c r="B440" s="258"/>
    </row>
    <row r="441" spans="2:2" x14ac:dyDescent="0.2">
      <c r="B441" s="258"/>
    </row>
    <row r="442" spans="2:2" x14ac:dyDescent="0.2">
      <c r="B442" s="258"/>
    </row>
    <row r="443" spans="2:2" x14ac:dyDescent="0.2">
      <c r="B443" s="258"/>
    </row>
    <row r="444" spans="2:2" x14ac:dyDescent="0.2">
      <c r="B444" s="258"/>
    </row>
    <row r="445" spans="2:2" x14ac:dyDescent="0.2">
      <c r="B445" s="258"/>
    </row>
    <row r="446" spans="2:2" x14ac:dyDescent="0.2">
      <c r="B446" s="258"/>
    </row>
    <row r="447" spans="2:2" x14ac:dyDescent="0.2">
      <c r="B447" s="258"/>
    </row>
    <row r="448" spans="2:2" x14ac:dyDescent="0.2">
      <c r="B448" s="258"/>
    </row>
    <row r="449" spans="2:2" x14ac:dyDescent="0.2">
      <c r="B449" s="258"/>
    </row>
    <row r="450" spans="2:2" x14ac:dyDescent="0.2">
      <c r="B450" s="258"/>
    </row>
    <row r="451" spans="2:2" x14ac:dyDescent="0.2">
      <c r="B451" s="258"/>
    </row>
    <row r="452" spans="2:2" x14ac:dyDescent="0.2">
      <c r="B452" s="258"/>
    </row>
    <row r="453" spans="2:2" x14ac:dyDescent="0.2">
      <c r="B453" s="258"/>
    </row>
    <row r="454" spans="2:2" x14ac:dyDescent="0.2">
      <c r="B454" s="258"/>
    </row>
    <row r="455" spans="2:2" x14ac:dyDescent="0.2">
      <c r="B455" s="258"/>
    </row>
    <row r="456" spans="2:2" x14ac:dyDescent="0.2">
      <c r="B456" s="258"/>
    </row>
    <row r="457" spans="2:2" x14ac:dyDescent="0.2">
      <c r="B457" s="258"/>
    </row>
    <row r="458" spans="2:2" x14ac:dyDescent="0.2">
      <c r="B458" s="258"/>
    </row>
    <row r="459" spans="2:2" x14ac:dyDescent="0.2">
      <c r="B459" s="258"/>
    </row>
    <row r="460" spans="2:2" x14ac:dyDescent="0.2">
      <c r="B460" s="258"/>
    </row>
    <row r="461" spans="2:2" x14ac:dyDescent="0.2">
      <c r="B461" s="258"/>
    </row>
    <row r="462" spans="2:2" x14ac:dyDescent="0.2">
      <c r="B462" s="258"/>
    </row>
    <row r="463" spans="2:2" x14ac:dyDescent="0.2">
      <c r="B463" s="258"/>
    </row>
    <row r="464" spans="2:2" x14ac:dyDescent="0.2">
      <c r="B464" s="258"/>
    </row>
    <row r="465" spans="2:2" x14ac:dyDescent="0.2">
      <c r="B465" s="258"/>
    </row>
    <row r="466" spans="2:2" x14ac:dyDescent="0.2">
      <c r="B466" s="258"/>
    </row>
    <row r="467" spans="2:2" x14ac:dyDescent="0.2">
      <c r="B467" s="258"/>
    </row>
    <row r="468" spans="2:2" x14ac:dyDescent="0.2">
      <c r="B468" s="258"/>
    </row>
    <row r="469" spans="2:2" x14ac:dyDescent="0.2">
      <c r="B469" s="258"/>
    </row>
    <row r="470" spans="2:2" x14ac:dyDescent="0.2">
      <c r="B470" s="258"/>
    </row>
    <row r="471" spans="2:2" x14ac:dyDescent="0.2">
      <c r="B471" s="258"/>
    </row>
    <row r="472" spans="2:2" x14ac:dyDescent="0.2">
      <c r="B472" s="258"/>
    </row>
    <row r="473" spans="2:2" x14ac:dyDescent="0.2">
      <c r="B473" s="258"/>
    </row>
    <row r="474" spans="2:2" x14ac:dyDescent="0.2">
      <c r="B474" s="258"/>
    </row>
    <row r="475" spans="2:2" x14ac:dyDescent="0.2">
      <c r="B475" s="258"/>
    </row>
    <row r="476" spans="2:2" x14ac:dyDescent="0.2">
      <c r="B476" s="258"/>
    </row>
    <row r="477" spans="2:2" x14ac:dyDescent="0.2">
      <c r="B477" s="258"/>
    </row>
    <row r="478" spans="2:2" x14ac:dyDescent="0.2">
      <c r="B478" s="258"/>
    </row>
    <row r="479" spans="2:2" x14ac:dyDescent="0.2">
      <c r="B479" s="258"/>
    </row>
    <row r="480" spans="2:2" x14ac:dyDescent="0.2">
      <c r="B480" s="258"/>
    </row>
    <row r="481" spans="2:2" x14ac:dyDescent="0.2">
      <c r="B481" s="258"/>
    </row>
    <row r="482" spans="2:2" x14ac:dyDescent="0.2">
      <c r="B482" s="258"/>
    </row>
    <row r="483" spans="2:2" x14ac:dyDescent="0.2">
      <c r="B483" s="258"/>
    </row>
    <row r="484" spans="2:2" x14ac:dyDescent="0.2">
      <c r="B484" s="258"/>
    </row>
    <row r="485" spans="2:2" x14ac:dyDescent="0.2">
      <c r="B485" s="258"/>
    </row>
    <row r="486" spans="2:2" x14ac:dyDescent="0.2">
      <c r="B486" s="258"/>
    </row>
    <row r="487" spans="2:2" x14ac:dyDescent="0.2">
      <c r="B487" s="258"/>
    </row>
    <row r="488" spans="2:2" x14ac:dyDescent="0.2">
      <c r="B488" s="258"/>
    </row>
    <row r="489" spans="2:2" x14ac:dyDescent="0.2">
      <c r="B489" s="258"/>
    </row>
    <row r="490" spans="2:2" x14ac:dyDescent="0.2">
      <c r="B490" s="258"/>
    </row>
    <row r="491" spans="2:2" x14ac:dyDescent="0.2">
      <c r="B491" s="258"/>
    </row>
    <row r="492" spans="2:2" x14ac:dyDescent="0.2">
      <c r="B492" s="258"/>
    </row>
    <row r="493" spans="2:2" x14ac:dyDescent="0.2">
      <c r="B493" s="258"/>
    </row>
    <row r="494" spans="2:2" x14ac:dyDescent="0.2">
      <c r="B494" s="258"/>
    </row>
    <row r="495" spans="2:2" x14ac:dyDescent="0.2">
      <c r="B495" s="258"/>
    </row>
    <row r="496" spans="2:2" x14ac:dyDescent="0.2">
      <c r="B496" s="258"/>
    </row>
    <row r="497" spans="2:2" x14ac:dyDescent="0.2">
      <c r="B497" s="258"/>
    </row>
    <row r="498" spans="2:2" x14ac:dyDescent="0.2">
      <c r="B498" s="258"/>
    </row>
    <row r="499" spans="2:2" x14ac:dyDescent="0.2">
      <c r="B499" s="258"/>
    </row>
    <row r="500" spans="2:2" x14ac:dyDescent="0.2">
      <c r="B500" s="258"/>
    </row>
    <row r="501" spans="2:2" x14ac:dyDescent="0.2">
      <c r="B501" s="258"/>
    </row>
    <row r="502" spans="2:2" x14ac:dyDescent="0.2">
      <c r="B502" s="258"/>
    </row>
    <row r="503" spans="2:2" x14ac:dyDescent="0.2">
      <c r="B503" s="258"/>
    </row>
    <row r="504" spans="2:2" x14ac:dyDescent="0.2">
      <c r="B504" s="258"/>
    </row>
    <row r="505" spans="2:2" x14ac:dyDescent="0.2">
      <c r="B505" s="258"/>
    </row>
    <row r="506" spans="2:2" x14ac:dyDescent="0.2">
      <c r="B506" s="258"/>
    </row>
    <row r="507" spans="2:2" x14ac:dyDescent="0.2">
      <c r="B507" s="258"/>
    </row>
    <row r="508" spans="2:2" x14ac:dyDescent="0.2">
      <c r="B508" s="258"/>
    </row>
    <row r="509" spans="2:2" x14ac:dyDescent="0.2">
      <c r="B509" s="258"/>
    </row>
    <row r="510" spans="2:2" x14ac:dyDescent="0.2">
      <c r="B510" s="258"/>
    </row>
    <row r="511" spans="2:2" x14ac:dyDescent="0.2">
      <c r="B511" s="258"/>
    </row>
    <row r="512" spans="2:2" x14ac:dyDescent="0.2">
      <c r="B512" s="258"/>
    </row>
    <row r="513" spans="2:2" x14ac:dyDescent="0.2">
      <c r="B513" s="258"/>
    </row>
    <row r="514" spans="2:2" x14ac:dyDescent="0.2">
      <c r="B514" s="258"/>
    </row>
    <row r="515" spans="2:2" x14ac:dyDescent="0.2">
      <c r="B515" s="258"/>
    </row>
    <row r="516" spans="2:2" x14ac:dyDescent="0.2">
      <c r="B516" s="258"/>
    </row>
    <row r="517" spans="2:2" x14ac:dyDescent="0.2">
      <c r="B517" s="258"/>
    </row>
    <row r="518" spans="2:2" x14ac:dyDescent="0.2">
      <c r="B518" s="258"/>
    </row>
    <row r="519" spans="2:2" x14ac:dyDescent="0.2">
      <c r="B519" s="258"/>
    </row>
    <row r="520" spans="2:2" x14ac:dyDescent="0.2">
      <c r="B520" s="258"/>
    </row>
    <row r="521" spans="2:2" x14ac:dyDescent="0.2">
      <c r="B521" s="258"/>
    </row>
    <row r="522" spans="2:2" x14ac:dyDescent="0.2">
      <c r="B522" s="258"/>
    </row>
    <row r="523" spans="2:2" x14ac:dyDescent="0.2">
      <c r="B523" s="258"/>
    </row>
    <row r="524" spans="2:2" x14ac:dyDescent="0.2">
      <c r="B524" s="258"/>
    </row>
    <row r="525" spans="2:2" x14ac:dyDescent="0.2">
      <c r="B525" s="258"/>
    </row>
    <row r="526" spans="2:2" x14ac:dyDescent="0.2">
      <c r="B526" s="258"/>
    </row>
    <row r="527" spans="2:2" x14ac:dyDescent="0.2">
      <c r="B527" s="258"/>
    </row>
    <row r="528" spans="2:2" x14ac:dyDescent="0.2">
      <c r="B528" s="258"/>
    </row>
    <row r="529" spans="2:2" x14ac:dyDescent="0.2">
      <c r="B529" s="258"/>
    </row>
    <row r="530" spans="2:2" x14ac:dyDescent="0.2">
      <c r="B530" s="258"/>
    </row>
    <row r="531" spans="2:2" x14ac:dyDescent="0.2">
      <c r="B531" s="258"/>
    </row>
    <row r="532" spans="2:2" x14ac:dyDescent="0.2">
      <c r="B532" s="258"/>
    </row>
    <row r="533" spans="2:2" x14ac:dyDescent="0.2">
      <c r="B533" s="258"/>
    </row>
    <row r="534" spans="2:2" x14ac:dyDescent="0.2">
      <c r="B534" s="258"/>
    </row>
    <row r="535" spans="2:2" x14ac:dyDescent="0.2">
      <c r="B535" s="258"/>
    </row>
    <row r="536" spans="2:2" x14ac:dyDescent="0.2">
      <c r="B536" s="258"/>
    </row>
    <row r="537" spans="2:2" x14ac:dyDescent="0.2">
      <c r="B537" s="258"/>
    </row>
    <row r="538" spans="2:2" x14ac:dyDescent="0.2">
      <c r="B538" s="258"/>
    </row>
    <row r="539" spans="2:2" x14ac:dyDescent="0.2">
      <c r="B539" s="258"/>
    </row>
    <row r="540" spans="2:2" x14ac:dyDescent="0.2">
      <c r="B540" s="258"/>
    </row>
    <row r="541" spans="2:2" x14ac:dyDescent="0.2">
      <c r="B541" s="258"/>
    </row>
    <row r="542" spans="2:2" x14ac:dyDescent="0.2">
      <c r="B542" s="258"/>
    </row>
    <row r="543" spans="2:2" x14ac:dyDescent="0.2">
      <c r="B543" s="258"/>
    </row>
    <row r="544" spans="2:2" x14ac:dyDescent="0.2">
      <c r="B544" s="258"/>
    </row>
    <row r="545" spans="2:2" x14ac:dyDescent="0.2">
      <c r="B545" s="258"/>
    </row>
    <row r="546" spans="2:2" x14ac:dyDescent="0.2">
      <c r="B546" s="258"/>
    </row>
    <row r="547" spans="2:2" x14ac:dyDescent="0.2">
      <c r="B547" s="258"/>
    </row>
    <row r="548" spans="2:2" x14ac:dyDescent="0.2">
      <c r="B548" s="258"/>
    </row>
    <row r="549" spans="2:2" x14ac:dyDescent="0.2">
      <c r="B549" s="258"/>
    </row>
    <row r="550" spans="2:2" x14ac:dyDescent="0.2">
      <c r="B550" s="258"/>
    </row>
    <row r="551" spans="2:2" x14ac:dyDescent="0.2">
      <c r="B551" s="258"/>
    </row>
    <row r="552" spans="2:2" x14ac:dyDescent="0.2">
      <c r="B552" s="258"/>
    </row>
    <row r="553" spans="2:2" x14ac:dyDescent="0.2">
      <c r="B553" s="258"/>
    </row>
    <row r="554" spans="2:2" x14ac:dyDescent="0.2">
      <c r="B554" s="258"/>
    </row>
    <row r="555" spans="2:2" x14ac:dyDescent="0.2">
      <c r="B555" s="258"/>
    </row>
    <row r="556" spans="2:2" x14ac:dyDescent="0.2">
      <c r="B556" s="258"/>
    </row>
    <row r="557" spans="2:2" x14ac:dyDescent="0.2">
      <c r="B557" s="258"/>
    </row>
    <row r="558" spans="2:2" x14ac:dyDescent="0.2">
      <c r="B558" s="258"/>
    </row>
    <row r="559" spans="2:2" x14ac:dyDescent="0.2">
      <c r="B559" s="258"/>
    </row>
    <row r="560" spans="2:2" x14ac:dyDescent="0.2">
      <c r="B560" s="258"/>
    </row>
    <row r="561" spans="2:2" x14ac:dyDescent="0.2">
      <c r="B561" s="258"/>
    </row>
    <row r="562" spans="2:2" x14ac:dyDescent="0.2">
      <c r="B562" s="258"/>
    </row>
    <row r="563" spans="2:2" x14ac:dyDescent="0.2">
      <c r="B563" s="258"/>
    </row>
    <row r="564" spans="2:2" x14ac:dyDescent="0.2">
      <c r="B564" s="258"/>
    </row>
    <row r="565" spans="2:2" x14ac:dyDescent="0.2">
      <c r="B565" s="258"/>
    </row>
    <row r="566" spans="2:2" x14ac:dyDescent="0.2">
      <c r="B566" s="258"/>
    </row>
    <row r="567" spans="2:2" x14ac:dyDescent="0.2">
      <c r="B567" s="258"/>
    </row>
    <row r="568" spans="2:2" x14ac:dyDescent="0.2">
      <c r="B568" s="258"/>
    </row>
    <row r="569" spans="2:2" x14ac:dyDescent="0.2">
      <c r="B569" s="258"/>
    </row>
    <row r="570" spans="2:2" x14ac:dyDescent="0.2">
      <c r="B570" s="258"/>
    </row>
    <row r="571" spans="2:2" x14ac:dyDescent="0.2">
      <c r="B571" s="258"/>
    </row>
    <row r="572" spans="2:2" x14ac:dyDescent="0.2">
      <c r="B572" s="258"/>
    </row>
    <row r="573" spans="2:2" x14ac:dyDescent="0.2">
      <c r="B573" s="258"/>
    </row>
    <row r="574" spans="2:2" x14ac:dyDescent="0.2">
      <c r="B574" s="258"/>
    </row>
    <row r="575" spans="2:2" x14ac:dyDescent="0.2">
      <c r="B575" s="258"/>
    </row>
    <row r="576" spans="2:2" x14ac:dyDescent="0.2">
      <c r="B576" s="258"/>
    </row>
    <row r="577" spans="2:2" x14ac:dyDescent="0.2">
      <c r="B577" s="258"/>
    </row>
    <row r="578" spans="2:2" x14ac:dyDescent="0.2">
      <c r="B578" s="258"/>
    </row>
    <row r="579" spans="2:2" x14ac:dyDescent="0.2">
      <c r="B579" s="258"/>
    </row>
    <row r="580" spans="2:2" x14ac:dyDescent="0.2">
      <c r="B580" s="258"/>
    </row>
    <row r="581" spans="2:2" x14ac:dyDescent="0.2">
      <c r="B581" s="258"/>
    </row>
    <row r="582" spans="2:2" x14ac:dyDescent="0.2">
      <c r="B582" s="258"/>
    </row>
    <row r="583" spans="2:2" x14ac:dyDescent="0.2">
      <c r="B583" s="258"/>
    </row>
    <row r="584" spans="2:2" x14ac:dyDescent="0.2">
      <c r="B584" s="258"/>
    </row>
    <row r="585" spans="2:2" x14ac:dyDescent="0.2">
      <c r="B585" s="258"/>
    </row>
    <row r="586" spans="2:2" x14ac:dyDescent="0.2">
      <c r="B586" s="258"/>
    </row>
    <row r="587" spans="2:2" x14ac:dyDescent="0.2">
      <c r="B587" s="258"/>
    </row>
    <row r="588" spans="2:2" x14ac:dyDescent="0.2">
      <c r="B588" s="258"/>
    </row>
    <row r="589" spans="2:2" x14ac:dyDescent="0.2">
      <c r="B589" s="258"/>
    </row>
    <row r="590" spans="2:2" x14ac:dyDescent="0.2">
      <c r="B590" s="258"/>
    </row>
    <row r="591" spans="2:2" x14ac:dyDescent="0.2">
      <c r="B591" s="258"/>
    </row>
    <row r="592" spans="2:2" x14ac:dyDescent="0.2">
      <c r="B592" s="258"/>
    </row>
    <row r="593" spans="2:2" x14ac:dyDescent="0.2">
      <c r="B593" s="258"/>
    </row>
    <row r="594" spans="2:2" x14ac:dyDescent="0.2">
      <c r="B594" s="258"/>
    </row>
    <row r="595" spans="2:2" x14ac:dyDescent="0.2">
      <c r="B595" s="258"/>
    </row>
    <row r="596" spans="2:2" x14ac:dyDescent="0.2">
      <c r="B596" s="258"/>
    </row>
    <row r="597" spans="2:2" x14ac:dyDescent="0.2">
      <c r="B597" s="258"/>
    </row>
    <row r="598" spans="2:2" x14ac:dyDescent="0.2">
      <c r="B598" s="258"/>
    </row>
    <row r="599" spans="2:2" x14ac:dyDescent="0.2">
      <c r="B599" s="258"/>
    </row>
    <row r="600" spans="2:2" x14ac:dyDescent="0.2">
      <c r="B600" s="258"/>
    </row>
    <row r="601" spans="2:2" x14ac:dyDescent="0.2">
      <c r="B601" s="258"/>
    </row>
    <row r="602" spans="2:2" x14ac:dyDescent="0.2">
      <c r="B602" s="258"/>
    </row>
    <row r="603" spans="2:2" x14ac:dyDescent="0.2">
      <c r="B603" s="258"/>
    </row>
    <row r="604" spans="2:2" x14ac:dyDescent="0.2">
      <c r="B604" s="258"/>
    </row>
    <row r="605" spans="2:2" x14ac:dyDescent="0.2">
      <c r="B605" s="258"/>
    </row>
    <row r="606" spans="2:2" x14ac:dyDescent="0.2">
      <c r="B606" s="258"/>
    </row>
    <row r="607" spans="2:2" x14ac:dyDescent="0.2">
      <c r="B607" s="258"/>
    </row>
    <row r="608" spans="2:2" x14ac:dyDescent="0.2">
      <c r="B608" s="258"/>
    </row>
    <row r="609" spans="2:2" x14ac:dyDescent="0.2">
      <c r="B609" s="258"/>
    </row>
    <row r="610" spans="2:2" x14ac:dyDescent="0.2">
      <c r="B610" s="258"/>
    </row>
    <row r="611" spans="2:2" x14ac:dyDescent="0.2">
      <c r="B611" s="258"/>
    </row>
    <row r="612" spans="2:2" x14ac:dyDescent="0.2">
      <c r="B612" s="258"/>
    </row>
    <row r="613" spans="2:2" x14ac:dyDescent="0.2">
      <c r="B613" s="258"/>
    </row>
    <row r="614" spans="2:2" x14ac:dyDescent="0.2">
      <c r="B614" s="258"/>
    </row>
    <row r="615" spans="2:2" x14ac:dyDescent="0.2">
      <c r="B615" s="258"/>
    </row>
    <row r="616" spans="2:2" x14ac:dyDescent="0.2">
      <c r="B616" s="258"/>
    </row>
    <row r="617" spans="2:2" x14ac:dyDescent="0.2">
      <c r="B617" s="258"/>
    </row>
    <row r="618" spans="2:2" x14ac:dyDescent="0.2">
      <c r="B618" s="258"/>
    </row>
    <row r="619" spans="2:2" x14ac:dyDescent="0.2">
      <c r="B619" s="258"/>
    </row>
    <row r="620" spans="2:2" x14ac:dyDescent="0.2">
      <c r="B620" s="258"/>
    </row>
    <row r="621" spans="2:2" x14ac:dyDescent="0.2">
      <c r="B621" s="258"/>
    </row>
    <row r="622" spans="2:2" x14ac:dyDescent="0.2">
      <c r="B622" s="258"/>
    </row>
    <row r="623" spans="2:2" x14ac:dyDescent="0.2">
      <c r="B623" s="258"/>
    </row>
    <row r="624" spans="2:2" x14ac:dyDescent="0.2">
      <c r="B624" s="258"/>
    </row>
    <row r="625" spans="2:2" x14ac:dyDescent="0.2">
      <c r="B625" s="258"/>
    </row>
    <row r="626" spans="2:2" x14ac:dyDescent="0.2">
      <c r="B626" s="258"/>
    </row>
    <row r="627" spans="2:2" x14ac:dyDescent="0.2">
      <c r="B627" s="258"/>
    </row>
    <row r="628" spans="2:2" x14ac:dyDescent="0.2">
      <c r="B628" s="258"/>
    </row>
    <row r="629" spans="2:2" x14ac:dyDescent="0.2">
      <c r="B629" s="258"/>
    </row>
    <row r="630" spans="2:2" x14ac:dyDescent="0.2">
      <c r="B630" s="258"/>
    </row>
    <row r="631" spans="2:2" x14ac:dyDescent="0.2">
      <c r="B631" s="258"/>
    </row>
    <row r="632" spans="2:2" x14ac:dyDescent="0.2">
      <c r="B632" s="258"/>
    </row>
    <row r="633" spans="2:2" x14ac:dyDescent="0.2">
      <c r="B633" s="258"/>
    </row>
    <row r="634" spans="2:2" x14ac:dyDescent="0.2">
      <c r="B634" s="258"/>
    </row>
    <row r="635" spans="2:2" x14ac:dyDescent="0.2">
      <c r="B635" s="258"/>
    </row>
    <row r="636" spans="2:2" x14ac:dyDescent="0.2">
      <c r="B636" s="258"/>
    </row>
    <row r="637" spans="2:2" x14ac:dyDescent="0.2">
      <c r="B637" s="258"/>
    </row>
    <row r="638" spans="2:2" x14ac:dyDescent="0.2">
      <c r="B638" s="258"/>
    </row>
    <row r="639" spans="2:2" x14ac:dyDescent="0.2">
      <c r="B639" s="258"/>
    </row>
    <row r="640" spans="2:2" x14ac:dyDescent="0.2">
      <c r="B640" s="258"/>
    </row>
    <row r="641" spans="2:2" x14ac:dyDescent="0.2">
      <c r="B641" s="258"/>
    </row>
    <row r="642" spans="2:2" x14ac:dyDescent="0.2">
      <c r="B642" s="258"/>
    </row>
    <row r="643" spans="2:2" x14ac:dyDescent="0.2">
      <c r="B643" s="258"/>
    </row>
    <row r="644" spans="2:2" x14ac:dyDescent="0.2">
      <c r="B644" s="258"/>
    </row>
    <row r="645" spans="2:2" x14ac:dyDescent="0.2">
      <c r="B645" s="258"/>
    </row>
    <row r="646" spans="2:2" x14ac:dyDescent="0.2">
      <c r="B646" s="258"/>
    </row>
    <row r="647" spans="2:2" x14ac:dyDescent="0.2">
      <c r="B647" s="258"/>
    </row>
    <row r="648" spans="2:2" x14ac:dyDescent="0.2">
      <c r="B648" s="258"/>
    </row>
    <row r="649" spans="2:2" x14ac:dyDescent="0.2">
      <c r="B649" s="258"/>
    </row>
    <row r="650" spans="2:2" x14ac:dyDescent="0.2">
      <c r="B650" s="258"/>
    </row>
    <row r="651" spans="2:2" x14ac:dyDescent="0.2">
      <c r="B651" s="258"/>
    </row>
    <row r="652" spans="2:2" x14ac:dyDescent="0.2">
      <c r="B652" s="258"/>
    </row>
    <row r="653" spans="2:2" x14ac:dyDescent="0.2">
      <c r="B653" s="258"/>
    </row>
    <row r="654" spans="2:2" x14ac:dyDescent="0.2">
      <c r="B654" s="258"/>
    </row>
    <row r="655" spans="2:2" x14ac:dyDescent="0.2">
      <c r="B655" s="258"/>
    </row>
    <row r="656" spans="2:2" x14ac:dyDescent="0.2">
      <c r="B656" s="258"/>
    </row>
    <row r="657" spans="2:2" x14ac:dyDescent="0.2">
      <c r="B657" s="258"/>
    </row>
    <row r="658" spans="2:2" x14ac:dyDescent="0.2">
      <c r="B658" s="258"/>
    </row>
    <row r="659" spans="2:2" x14ac:dyDescent="0.2">
      <c r="B659" s="258"/>
    </row>
    <row r="660" spans="2:2" x14ac:dyDescent="0.2">
      <c r="B660" s="258"/>
    </row>
    <row r="661" spans="2:2" x14ac:dyDescent="0.2">
      <c r="B661" s="258"/>
    </row>
    <row r="662" spans="2:2" x14ac:dyDescent="0.2">
      <c r="B662" s="258"/>
    </row>
    <row r="663" spans="2:2" x14ac:dyDescent="0.2">
      <c r="B663" s="258"/>
    </row>
    <row r="664" spans="2:2" x14ac:dyDescent="0.2">
      <c r="B664" s="258"/>
    </row>
    <row r="665" spans="2:2" x14ac:dyDescent="0.2">
      <c r="B665" s="258"/>
    </row>
    <row r="666" spans="2:2" x14ac:dyDescent="0.2">
      <c r="B666" s="258"/>
    </row>
    <row r="667" spans="2:2" x14ac:dyDescent="0.2">
      <c r="B667" s="258"/>
    </row>
    <row r="668" spans="2:2" x14ac:dyDescent="0.2">
      <c r="B668" s="258"/>
    </row>
    <row r="669" spans="2:2" x14ac:dyDescent="0.2">
      <c r="B669" s="258"/>
    </row>
    <row r="670" spans="2:2" x14ac:dyDescent="0.2">
      <c r="B670" s="258"/>
    </row>
    <row r="671" spans="2:2" x14ac:dyDescent="0.2">
      <c r="B671" s="258"/>
    </row>
    <row r="672" spans="2:2" x14ac:dyDescent="0.2">
      <c r="B672" s="258"/>
    </row>
    <row r="673" spans="2:2" x14ac:dyDescent="0.2">
      <c r="B673" s="258"/>
    </row>
    <row r="674" spans="2:2" x14ac:dyDescent="0.2">
      <c r="B674" s="258"/>
    </row>
    <row r="675" spans="2:2" x14ac:dyDescent="0.2">
      <c r="B675" s="258"/>
    </row>
    <row r="676" spans="2:2" x14ac:dyDescent="0.2">
      <c r="B676" s="258"/>
    </row>
    <row r="677" spans="2:2" x14ac:dyDescent="0.2">
      <c r="B677" s="258"/>
    </row>
    <row r="678" spans="2:2" x14ac:dyDescent="0.2">
      <c r="B678" s="258"/>
    </row>
    <row r="679" spans="2:2" x14ac:dyDescent="0.2">
      <c r="B679" s="258"/>
    </row>
    <row r="680" spans="2:2" x14ac:dyDescent="0.2">
      <c r="B680" s="258"/>
    </row>
    <row r="681" spans="2:2" x14ac:dyDescent="0.2">
      <c r="B681" s="258"/>
    </row>
    <row r="682" spans="2:2" x14ac:dyDescent="0.2">
      <c r="B682" s="258"/>
    </row>
    <row r="683" spans="2:2" x14ac:dyDescent="0.2">
      <c r="B683" s="258"/>
    </row>
    <row r="684" spans="2:2" x14ac:dyDescent="0.2">
      <c r="B684" s="258"/>
    </row>
    <row r="685" spans="2:2" x14ac:dyDescent="0.2">
      <c r="B685" s="258"/>
    </row>
    <row r="686" spans="2:2" x14ac:dyDescent="0.2">
      <c r="B686" s="258"/>
    </row>
    <row r="687" spans="2:2" x14ac:dyDescent="0.2">
      <c r="B687" s="258"/>
    </row>
    <row r="688" spans="2:2" x14ac:dyDescent="0.2">
      <c r="B688" s="258"/>
    </row>
    <row r="689" spans="2:2" x14ac:dyDescent="0.2">
      <c r="B689" s="258"/>
    </row>
    <row r="690" spans="2:2" x14ac:dyDescent="0.2">
      <c r="B690" s="258"/>
    </row>
    <row r="691" spans="2:2" x14ac:dyDescent="0.2">
      <c r="B691" s="258"/>
    </row>
    <row r="692" spans="2:2" x14ac:dyDescent="0.2">
      <c r="B692" s="258"/>
    </row>
    <row r="693" spans="2:2" x14ac:dyDescent="0.2">
      <c r="B693" s="258"/>
    </row>
    <row r="694" spans="2:2" x14ac:dyDescent="0.2">
      <c r="B694" s="258"/>
    </row>
    <row r="695" spans="2:2" x14ac:dyDescent="0.2">
      <c r="B695" s="258"/>
    </row>
    <row r="696" spans="2:2" x14ac:dyDescent="0.2">
      <c r="B696" s="258"/>
    </row>
    <row r="697" spans="2:2" x14ac:dyDescent="0.2">
      <c r="B697" s="258"/>
    </row>
    <row r="698" spans="2:2" x14ac:dyDescent="0.2">
      <c r="B698" s="258"/>
    </row>
    <row r="699" spans="2:2" x14ac:dyDescent="0.2">
      <c r="B699" s="258"/>
    </row>
    <row r="700" spans="2:2" x14ac:dyDescent="0.2">
      <c r="B700" s="258"/>
    </row>
    <row r="701" spans="2:2" x14ac:dyDescent="0.2">
      <c r="B701" s="258"/>
    </row>
    <row r="702" spans="2:2" x14ac:dyDescent="0.2">
      <c r="B702" s="258"/>
    </row>
    <row r="703" spans="2:2" x14ac:dyDescent="0.2">
      <c r="B703" s="258"/>
    </row>
    <row r="704" spans="2:2" x14ac:dyDescent="0.2">
      <c r="B704" s="258"/>
    </row>
    <row r="705" spans="2:2" x14ac:dyDescent="0.2">
      <c r="B705" s="258"/>
    </row>
    <row r="706" spans="2:2" x14ac:dyDescent="0.2">
      <c r="B706" s="258"/>
    </row>
    <row r="707" spans="2:2" x14ac:dyDescent="0.2">
      <c r="B707" s="258"/>
    </row>
    <row r="708" spans="2:2" x14ac:dyDescent="0.2">
      <c r="B708" s="258"/>
    </row>
    <row r="709" spans="2:2" x14ac:dyDescent="0.2">
      <c r="B709" s="258"/>
    </row>
    <row r="710" spans="2:2" x14ac:dyDescent="0.2">
      <c r="B710" s="258"/>
    </row>
    <row r="711" spans="2:2" x14ac:dyDescent="0.2">
      <c r="B711" s="258"/>
    </row>
    <row r="712" spans="2:2" x14ac:dyDescent="0.2">
      <c r="B712" s="258"/>
    </row>
    <row r="713" spans="2:2" x14ac:dyDescent="0.2">
      <c r="B713" s="258"/>
    </row>
    <row r="714" spans="2:2" x14ac:dyDescent="0.2">
      <c r="B714" s="258"/>
    </row>
    <row r="715" spans="2:2" x14ac:dyDescent="0.2">
      <c r="B715" s="258"/>
    </row>
    <row r="716" spans="2:2" x14ac:dyDescent="0.2">
      <c r="B716" s="258"/>
    </row>
    <row r="717" spans="2:2" x14ac:dyDescent="0.2">
      <c r="B717" s="258"/>
    </row>
    <row r="718" spans="2:2" x14ac:dyDescent="0.2">
      <c r="B718" s="258"/>
    </row>
    <row r="719" spans="2:2" x14ac:dyDescent="0.2">
      <c r="B719" s="258"/>
    </row>
    <row r="720" spans="2:2" x14ac:dyDescent="0.2">
      <c r="B720" s="258"/>
    </row>
    <row r="721" spans="2:2" x14ac:dyDescent="0.2">
      <c r="B721" s="258"/>
    </row>
    <row r="722" spans="2:2" x14ac:dyDescent="0.2">
      <c r="B722" s="258"/>
    </row>
    <row r="723" spans="2:2" x14ac:dyDescent="0.2">
      <c r="B723" s="258"/>
    </row>
    <row r="724" spans="2:2" x14ac:dyDescent="0.2">
      <c r="B724" s="258"/>
    </row>
    <row r="725" spans="2:2" x14ac:dyDescent="0.2">
      <c r="B725" s="258"/>
    </row>
    <row r="726" spans="2:2" x14ac:dyDescent="0.2">
      <c r="B726" s="258"/>
    </row>
    <row r="727" spans="2:2" x14ac:dyDescent="0.2">
      <c r="B727" s="258"/>
    </row>
    <row r="728" spans="2:2" x14ac:dyDescent="0.2">
      <c r="B728" s="258"/>
    </row>
    <row r="729" spans="2:2" x14ac:dyDescent="0.2">
      <c r="B729" s="258"/>
    </row>
    <row r="730" spans="2:2" x14ac:dyDescent="0.2">
      <c r="B730" s="258"/>
    </row>
    <row r="731" spans="2:2" x14ac:dyDescent="0.2">
      <c r="B731" s="258"/>
    </row>
    <row r="732" spans="2:2" x14ac:dyDescent="0.2">
      <c r="B732" s="258"/>
    </row>
    <row r="733" spans="2:2" x14ac:dyDescent="0.2">
      <c r="B733" s="258"/>
    </row>
    <row r="734" spans="2:2" x14ac:dyDescent="0.2">
      <c r="B734" s="258"/>
    </row>
    <row r="735" spans="2:2" x14ac:dyDescent="0.2">
      <c r="B735" s="258"/>
    </row>
    <row r="736" spans="2:2" x14ac:dyDescent="0.2">
      <c r="B736" s="258"/>
    </row>
    <row r="737" spans="2:2" x14ac:dyDescent="0.2">
      <c r="B737" s="258"/>
    </row>
    <row r="738" spans="2:2" x14ac:dyDescent="0.2">
      <c r="B738" s="258"/>
    </row>
    <row r="739" spans="2:2" x14ac:dyDescent="0.2">
      <c r="B739" s="258"/>
    </row>
    <row r="740" spans="2:2" x14ac:dyDescent="0.2">
      <c r="B740" s="258"/>
    </row>
    <row r="741" spans="2:2" x14ac:dyDescent="0.2">
      <c r="B741" s="258"/>
    </row>
    <row r="742" spans="2:2" x14ac:dyDescent="0.2">
      <c r="B742" s="258"/>
    </row>
    <row r="743" spans="2:2" x14ac:dyDescent="0.2">
      <c r="B743" s="258"/>
    </row>
    <row r="744" spans="2:2" x14ac:dyDescent="0.2">
      <c r="B744" s="258"/>
    </row>
    <row r="745" spans="2:2" x14ac:dyDescent="0.2">
      <c r="B745" s="258"/>
    </row>
    <row r="746" spans="2:2" x14ac:dyDescent="0.2">
      <c r="B746" s="258"/>
    </row>
    <row r="747" spans="2:2" x14ac:dyDescent="0.2">
      <c r="B747" s="258"/>
    </row>
    <row r="748" spans="2:2" x14ac:dyDescent="0.2">
      <c r="B748" s="258"/>
    </row>
    <row r="749" spans="2:2" x14ac:dyDescent="0.2">
      <c r="B749" s="258"/>
    </row>
    <row r="750" spans="2:2" x14ac:dyDescent="0.2">
      <c r="B750" s="258"/>
    </row>
    <row r="751" spans="2:2" x14ac:dyDescent="0.2">
      <c r="B751" s="258"/>
    </row>
    <row r="752" spans="2:2" x14ac:dyDescent="0.2">
      <c r="B752" s="258"/>
    </row>
    <row r="753" spans="2:2" x14ac:dyDescent="0.2">
      <c r="B753" s="258"/>
    </row>
    <row r="754" spans="2:2" x14ac:dyDescent="0.2">
      <c r="B754" s="258"/>
    </row>
    <row r="755" spans="2:2" x14ac:dyDescent="0.2">
      <c r="B755" s="258"/>
    </row>
    <row r="756" spans="2:2" x14ac:dyDescent="0.2">
      <c r="B756" s="258"/>
    </row>
    <row r="757" spans="2:2" x14ac:dyDescent="0.2">
      <c r="B757" s="258"/>
    </row>
    <row r="758" spans="2:2" x14ac:dyDescent="0.2">
      <c r="B758" s="258"/>
    </row>
    <row r="759" spans="2:2" x14ac:dyDescent="0.2">
      <c r="B759" s="258"/>
    </row>
    <row r="760" spans="2:2" x14ac:dyDescent="0.2">
      <c r="B760" s="258"/>
    </row>
    <row r="761" spans="2:2" x14ac:dyDescent="0.2">
      <c r="B761" s="258"/>
    </row>
    <row r="762" spans="2:2" x14ac:dyDescent="0.2">
      <c r="B762" s="258"/>
    </row>
    <row r="763" spans="2:2" x14ac:dyDescent="0.2">
      <c r="B763" s="258"/>
    </row>
    <row r="764" spans="2:2" x14ac:dyDescent="0.2">
      <c r="B764" s="258"/>
    </row>
    <row r="765" spans="2:2" x14ac:dyDescent="0.2">
      <c r="B765" s="258"/>
    </row>
    <row r="766" spans="2:2" x14ac:dyDescent="0.2">
      <c r="B766" s="258"/>
    </row>
    <row r="767" spans="2:2" x14ac:dyDescent="0.2">
      <c r="B767" s="258"/>
    </row>
    <row r="768" spans="2:2" x14ac:dyDescent="0.2">
      <c r="B768" s="258"/>
    </row>
    <row r="769" spans="2:2" x14ac:dyDescent="0.2">
      <c r="B769" s="258"/>
    </row>
    <row r="770" spans="2:2" x14ac:dyDescent="0.2">
      <c r="B770" s="258"/>
    </row>
    <row r="771" spans="2:2" x14ac:dyDescent="0.2">
      <c r="B771" s="258"/>
    </row>
    <row r="772" spans="2:2" x14ac:dyDescent="0.2">
      <c r="B772" s="258"/>
    </row>
    <row r="773" spans="2:2" x14ac:dyDescent="0.2">
      <c r="B773" s="258"/>
    </row>
    <row r="774" spans="2:2" x14ac:dyDescent="0.2">
      <c r="B774" s="258"/>
    </row>
    <row r="775" spans="2:2" x14ac:dyDescent="0.2">
      <c r="B775" s="258"/>
    </row>
    <row r="776" spans="2:2" x14ac:dyDescent="0.2">
      <c r="B776" s="258"/>
    </row>
    <row r="777" spans="2:2" x14ac:dyDescent="0.2">
      <c r="B777" s="258"/>
    </row>
    <row r="778" spans="2:2" x14ac:dyDescent="0.2">
      <c r="B778" s="258"/>
    </row>
    <row r="779" spans="2:2" x14ac:dyDescent="0.2">
      <c r="B779" s="258"/>
    </row>
    <row r="780" spans="2:2" x14ac:dyDescent="0.2">
      <c r="B780" s="258"/>
    </row>
    <row r="781" spans="2:2" x14ac:dyDescent="0.2">
      <c r="B781" s="258"/>
    </row>
    <row r="782" spans="2:2" x14ac:dyDescent="0.2">
      <c r="B782" s="258"/>
    </row>
    <row r="783" spans="2:2" x14ac:dyDescent="0.2">
      <c r="B783" s="258"/>
    </row>
    <row r="784" spans="2:2" x14ac:dyDescent="0.2">
      <c r="B784" s="258"/>
    </row>
    <row r="785" spans="2:2" x14ac:dyDescent="0.2">
      <c r="B785" s="258"/>
    </row>
    <row r="786" spans="2:2" x14ac:dyDescent="0.2">
      <c r="B786" s="258"/>
    </row>
    <row r="787" spans="2:2" x14ac:dyDescent="0.2">
      <c r="B787" s="258"/>
    </row>
    <row r="788" spans="2:2" x14ac:dyDescent="0.2">
      <c r="B788" s="258"/>
    </row>
    <row r="789" spans="2:2" x14ac:dyDescent="0.2">
      <c r="B789" s="258"/>
    </row>
    <row r="790" spans="2:2" x14ac:dyDescent="0.2">
      <c r="B790" s="258"/>
    </row>
    <row r="791" spans="2:2" x14ac:dyDescent="0.2">
      <c r="B791" s="258"/>
    </row>
    <row r="792" spans="2:2" x14ac:dyDescent="0.2">
      <c r="B792" s="258"/>
    </row>
    <row r="793" spans="2:2" x14ac:dyDescent="0.2">
      <c r="B793" s="258"/>
    </row>
    <row r="794" spans="2:2" x14ac:dyDescent="0.2">
      <c r="B794" s="258"/>
    </row>
    <row r="795" spans="2:2" x14ac:dyDescent="0.2">
      <c r="B795" s="258"/>
    </row>
    <row r="796" spans="2:2" x14ac:dyDescent="0.2">
      <c r="B796" s="258"/>
    </row>
    <row r="797" spans="2:2" x14ac:dyDescent="0.2">
      <c r="B797" s="258"/>
    </row>
    <row r="798" spans="2:2" x14ac:dyDescent="0.2">
      <c r="B798" s="258"/>
    </row>
    <row r="799" spans="2:2" x14ac:dyDescent="0.2">
      <c r="B799" s="258"/>
    </row>
    <row r="800" spans="2:2" x14ac:dyDescent="0.2">
      <c r="B800" s="258"/>
    </row>
    <row r="801" spans="2:2" x14ac:dyDescent="0.2">
      <c r="B801" s="258"/>
    </row>
    <row r="802" spans="2:2" x14ac:dyDescent="0.2">
      <c r="B802" s="258"/>
    </row>
    <row r="803" spans="2:2" x14ac:dyDescent="0.2">
      <c r="B803" s="258"/>
    </row>
    <row r="804" spans="2:2" x14ac:dyDescent="0.2">
      <c r="B804" s="258"/>
    </row>
    <row r="805" spans="2:2" x14ac:dyDescent="0.2">
      <c r="B805" s="258"/>
    </row>
    <row r="806" spans="2:2" x14ac:dyDescent="0.2">
      <c r="B806" s="258"/>
    </row>
    <row r="807" spans="2:2" x14ac:dyDescent="0.2">
      <c r="B807" s="258"/>
    </row>
    <row r="808" spans="2:2" x14ac:dyDescent="0.2">
      <c r="B808" s="258"/>
    </row>
    <row r="809" spans="2:2" x14ac:dyDescent="0.2">
      <c r="B809" s="258"/>
    </row>
    <row r="810" spans="2:2" x14ac:dyDescent="0.2">
      <c r="B810" s="258"/>
    </row>
    <row r="811" spans="2:2" x14ac:dyDescent="0.2">
      <c r="B811" s="258"/>
    </row>
    <row r="812" spans="2:2" x14ac:dyDescent="0.2">
      <c r="B812" s="258"/>
    </row>
    <row r="813" spans="2:2" x14ac:dyDescent="0.2">
      <c r="B813" s="258"/>
    </row>
    <row r="814" spans="2:2" x14ac:dyDescent="0.2">
      <c r="B814" s="258"/>
    </row>
    <row r="815" spans="2:2" x14ac:dyDescent="0.2">
      <c r="B815" s="258"/>
    </row>
    <row r="816" spans="2:2" x14ac:dyDescent="0.2">
      <c r="B816" s="258"/>
    </row>
    <row r="817" spans="2:2" x14ac:dyDescent="0.2">
      <c r="B817" s="258"/>
    </row>
    <row r="818" spans="2:2" x14ac:dyDescent="0.2">
      <c r="B818" s="258"/>
    </row>
    <row r="819" spans="2:2" x14ac:dyDescent="0.2">
      <c r="B819" s="258"/>
    </row>
    <row r="820" spans="2:2" x14ac:dyDescent="0.2">
      <c r="B820" s="258"/>
    </row>
    <row r="821" spans="2:2" x14ac:dyDescent="0.2">
      <c r="B821" s="258"/>
    </row>
    <row r="822" spans="2:2" x14ac:dyDescent="0.2">
      <c r="B822" s="258"/>
    </row>
    <row r="823" spans="2:2" x14ac:dyDescent="0.2">
      <c r="B823" s="258"/>
    </row>
    <row r="824" spans="2:2" x14ac:dyDescent="0.2">
      <c r="B824" s="258"/>
    </row>
    <row r="825" spans="2:2" x14ac:dyDescent="0.2">
      <c r="B825" s="258"/>
    </row>
    <row r="826" spans="2:2" x14ac:dyDescent="0.2">
      <c r="B826" s="258"/>
    </row>
    <row r="827" spans="2:2" x14ac:dyDescent="0.2">
      <c r="B827" s="258"/>
    </row>
    <row r="828" spans="2:2" x14ac:dyDescent="0.2">
      <c r="B828" s="258"/>
    </row>
    <row r="829" spans="2:2" x14ac:dyDescent="0.2">
      <c r="B829" s="258"/>
    </row>
    <row r="830" spans="2:2" x14ac:dyDescent="0.2">
      <c r="B830" s="258"/>
    </row>
    <row r="831" spans="2:2" x14ac:dyDescent="0.2">
      <c r="B831" s="258"/>
    </row>
    <row r="832" spans="2:2" x14ac:dyDescent="0.2">
      <c r="B832" s="258"/>
    </row>
    <row r="833" spans="2:2" x14ac:dyDescent="0.2">
      <c r="B833" s="258"/>
    </row>
    <row r="834" spans="2:2" x14ac:dyDescent="0.2">
      <c r="B834" s="258"/>
    </row>
    <row r="835" spans="2:2" x14ac:dyDescent="0.2">
      <c r="B835" s="258"/>
    </row>
    <row r="836" spans="2:2" x14ac:dyDescent="0.2">
      <c r="B836" s="258"/>
    </row>
    <row r="837" spans="2:2" x14ac:dyDescent="0.2">
      <c r="B837" s="258"/>
    </row>
    <row r="838" spans="2:2" x14ac:dyDescent="0.2">
      <c r="B838" s="258"/>
    </row>
    <row r="839" spans="2:2" x14ac:dyDescent="0.2">
      <c r="B839" s="258"/>
    </row>
    <row r="840" spans="2:2" x14ac:dyDescent="0.2">
      <c r="B840" s="258"/>
    </row>
    <row r="841" spans="2:2" x14ac:dyDescent="0.2">
      <c r="B841" s="258"/>
    </row>
    <row r="842" spans="2:2" x14ac:dyDescent="0.2">
      <c r="B842" s="258"/>
    </row>
    <row r="843" spans="2:2" x14ac:dyDescent="0.2">
      <c r="B843" s="258"/>
    </row>
    <row r="844" spans="2:2" x14ac:dyDescent="0.2">
      <c r="B844" s="258"/>
    </row>
    <row r="845" spans="2:2" x14ac:dyDescent="0.2">
      <c r="B845" s="258"/>
    </row>
    <row r="846" spans="2:2" x14ac:dyDescent="0.2">
      <c r="B846" s="258"/>
    </row>
    <row r="847" spans="2:2" x14ac:dyDescent="0.2">
      <c r="B847" s="258"/>
    </row>
    <row r="848" spans="2:2" x14ac:dyDescent="0.2">
      <c r="B848" s="258"/>
    </row>
    <row r="849" spans="2:2" x14ac:dyDescent="0.2">
      <c r="B849" s="258"/>
    </row>
    <row r="850" spans="2:2" x14ac:dyDescent="0.2">
      <c r="B850" s="258"/>
    </row>
    <row r="851" spans="2:2" x14ac:dyDescent="0.2">
      <c r="B851" s="258"/>
    </row>
    <row r="852" spans="2:2" x14ac:dyDescent="0.2">
      <c r="B852" s="258"/>
    </row>
    <row r="853" spans="2:2" x14ac:dyDescent="0.2">
      <c r="B853" s="258"/>
    </row>
    <row r="854" spans="2:2" x14ac:dyDescent="0.2">
      <c r="B854" s="258"/>
    </row>
    <row r="855" spans="2:2" x14ac:dyDescent="0.2">
      <c r="B855" s="258"/>
    </row>
    <row r="856" spans="2:2" x14ac:dyDescent="0.2">
      <c r="B856" s="258"/>
    </row>
    <row r="857" spans="2:2" x14ac:dyDescent="0.2">
      <c r="B857" s="258"/>
    </row>
    <row r="858" spans="2:2" x14ac:dyDescent="0.2">
      <c r="B858" s="258"/>
    </row>
    <row r="859" spans="2:2" x14ac:dyDescent="0.2">
      <c r="B859" s="258"/>
    </row>
    <row r="860" spans="2:2" x14ac:dyDescent="0.2">
      <c r="B860" s="258"/>
    </row>
    <row r="861" spans="2:2" x14ac:dyDescent="0.2">
      <c r="B861" s="258"/>
    </row>
    <row r="862" spans="2:2" x14ac:dyDescent="0.2">
      <c r="B862" s="258"/>
    </row>
    <row r="863" spans="2:2" x14ac:dyDescent="0.2">
      <c r="B863" s="258"/>
    </row>
    <row r="864" spans="2:2" x14ac:dyDescent="0.2">
      <c r="B864" s="258"/>
    </row>
    <row r="865" spans="2:2" x14ac:dyDescent="0.2">
      <c r="B865" s="258"/>
    </row>
    <row r="866" spans="2:2" x14ac:dyDescent="0.2">
      <c r="B866" s="258"/>
    </row>
    <row r="867" spans="2:2" x14ac:dyDescent="0.2">
      <c r="B867" s="258"/>
    </row>
    <row r="868" spans="2:2" x14ac:dyDescent="0.2">
      <c r="B868" s="258"/>
    </row>
    <row r="869" spans="2:2" x14ac:dyDescent="0.2">
      <c r="B869" s="258"/>
    </row>
    <row r="870" spans="2:2" x14ac:dyDescent="0.2">
      <c r="B870" s="258"/>
    </row>
    <row r="871" spans="2:2" x14ac:dyDescent="0.2">
      <c r="B871" s="258"/>
    </row>
    <row r="872" spans="2:2" x14ac:dyDescent="0.2">
      <c r="B872" s="258"/>
    </row>
    <row r="873" spans="2:2" x14ac:dyDescent="0.2">
      <c r="B873" s="258"/>
    </row>
    <row r="874" spans="2:2" x14ac:dyDescent="0.2">
      <c r="B874" s="258"/>
    </row>
    <row r="875" spans="2:2" x14ac:dyDescent="0.2">
      <c r="B875" s="258"/>
    </row>
    <row r="876" spans="2:2" x14ac:dyDescent="0.2">
      <c r="B876" s="258"/>
    </row>
    <row r="877" spans="2:2" x14ac:dyDescent="0.2">
      <c r="B877" s="258"/>
    </row>
    <row r="878" spans="2:2" x14ac:dyDescent="0.2">
      <c r="B878" s="258"/>
    </row>
    <row r="879" spans="2:2" x14ac:dyDescent="0.2">
      <c r="B879" s="258"/>
    </row>
    <row r="880" spans="2:2" x14ac:dyDescent="0.2">
      <c r="B880" s="258"/>
    </row>
    <row r="881" spans="2:2" x14ac:dyDescent="0.2">
      <c r="B881" s="258"/>
    </row>
    <row r="882" spans="2:2" x14ac:dyDescent="0.2">
      <c r="B882" s="258"/>
    </row>
    <row r="883" spans="2:2" x14ac:dyDescent="0.2">
      <c r="B883" s="258"/>
    </row>
    <row r="884" spans="2:2" x14ac:dyDescent="0.2">
      <c r="B884" s="258"/>
    </row>
    <row r="885" spans="2:2" x14ac:dyDescent="0.2">
      <c r="B885" s="258"/>
    </row>
    <row r="886" spans="2:2" x14ac:dyDescent="0.2">
      <c r="B886" s="258"/>
    </row>
    <row r="887" spans="2:2" x14ac:dyDescent="0.2">
      <c r="B887" s="258"/>
    </row>
    <row r="888" spans="2:2" x14ac:dyDescent="0.2">
      <c r="B888" s="258"/>
    </row>
    <row r="889" spans="2:2" x14ac:dyDescent="0.2">
      <c r="B889" s="258"/>
    </row>
    <row r="890" spans="2:2" x14ac:dyDescent="0.2">
      <c r="B890" s="258"/>
    </row>
    <row r="891" spans="2:2" x14ac:dyDescent="0.2">
      <c r="B891" s="258"/>
    </row>
    <row r="892" spans="2:2" x14ac:dyDescent="0.2">
      <c r="B892" s="258"/>
    </row>
    <row r="893" spans="2:2" x14ac:dyDescent="0.2">
      <c r="B893" s="258"/>
    </row>
    <row r="894" spans="2:2" x14ac:dyDescent="0.2">
      <c r="B894" s="258"/>
    </row>
    <row r="895" spans="2:2" x14ac:dyDescent="0.2">
      <c r="B895" s="258"/>
    </row>
  </sheetData>
  <mergeCells count="131">
    <mergeCell ref="B278:B279"/>
    <mergeCell ref="A159:M159"/>
    <mergeCell ref="B320:N320"/>
    <mergeCell ref="B331:N331"/>
    <mergeCell ref="B342:N342"/>
    <mergeCell ref="B321:B322"/>
    <mergeCell ref="A351:M351"/>
    <mergeCell ref="A357:M357"/>
    <mergeCell ref="B183:J183"/>
    <mergeCell ref="B185:B187"/>
    <mergeCell ref="B190:B191"/>
    <mergeCell ref="B194:B195"/>
    <mergeCell ref="B199:J199"/>
    <mergeCell ref="B201:B203"/>
    <mergeCell ref="B204:B206"/>
    <mergeCell ref="B208:B209"/>
    <mergeCell ref="B210:B211"/>
    <mergeCell ref="B215:J215"/>
    <mergeCell ref="B216:B217"/>
    <mergeCell ref="B218:B220"/>
    <mergeCell ref="B221:B222"/>
    <mergeCell ref="B353:N353"/>
    <mergeCell ref="B270:N270"/>
    <mergeCell ref="B314:N314"/>
    <mergeCell ref="B265:B266"/>
    <mergeCell ref="B343:B344"/>
    <mergeCell ref="B282:B283"/>
    <mergeCell ref="B287:J287"/>
    <mergeCell ref="B289:B291"/>
    <mergeCell ref="B292:B294"/>
    <mergeCell ref="B296:B297"/>
    <mergeCell ref="B298:B299"/>
    <mergeCell ref="B303:J303"/>
    <mergeCell ref="B304:B305"/>
    <mergeCell ref="B306:B308"/>
    <mergeCell ref="B309:B310"/>
    <mergeCell ref="A312:M312"/>
    <mergeCell ref="A329:M329"/>
    <mergeCell ref="B332:B333"/>
    <mergeCell ref="A340:M340"/>
    <mergeCell ref="A318:M318"/>
    <mergeCell ref="B182:N182"/>
    <mergeCell ref="B226:N226"/>
    <mergeCell ref="B245:B247"/>
    <mergeCell ref="B248:B250"/>
    <mergeCell ref="A167:M167"/>
    <mergeCell ref="A180:M180"/>
    <mergeCell ref="A224:M224"/>
    <mergeCell ref="B227:J227"/>
    <mergeCell ref="B229:B231"/>
    <mergeCell ref="B234:B235"/>
    <mergeCell ref="B238:B239"/>
    <mergeCell ref="B243:J243"/>
    <mergeCell ref="B252:B253"/>
    <mergeCell ref="B254:B255"/>
    <mergeCell ref="B259:J259"/>
    <mergeCell ref="B260:B261"/>
    <mergeCell ref="B262:B264"/>
    <mergeCell ref="A268:M268"/>
    <mergeCell ref="B271:J271"/>
    <mergeCell ref="B273:B275"/>
    <mergeCell ref="B161:N161"/>
    <mergeCell ref="B169:N169"/>
    <mergeCell ref="B1:N1"/>
    <mergeCell ref="B2:I2"/>
    <mergeCell ref="K2:N2"/>
    <mergeCell ref="B3:I3"/>
    <mergeCell ref="K3:N3"/>
    <mergeCell ref="A1:A4"/>
    <mergeCell ref="B4:N4"/>
    <mergeCell ref="B7:N7"/>
    <mergeCell ref="B10:N10"/>
    <mergeCell ref="B13:N13"/>
    <mergeCell ref="B17:N17"/>
    <mergeCell ref="B22:N22"/>
    <mergeCell ref="B35:N35"/>
    <mergeCell ref="B40:N40"/>
    <mergeCell ref="B44:N44"/>
    <mergeCell ref="B61:N61"/>
    <mergeCell ref="A59:M59"/>
    <mergeCell ref="A9:M9"/>
    <mergeCell ref="A12:M12"/>
    <mergeCell ref="A15:M15"/>
    <mergeCell ref="A20:M20"/>
    <mergeCell ref="A25:M25"/>
    <mergeCell ref="A30:M30"/>
    <mergeCell ref="A38:M38"/>
    <mergeCell ref="A42:M42"/>
    <mergeCell ref="E18:F18"/>
    <mergeCell ref="E19:F19"/>
    <mergeCell ref="E23:F23"/>
    <mergeCell ref="E28:F28"/>
    <mergeCell ref="E36:F36"/>
    <mergeCell ref="E37:F37"/>
    <mergeCell ref="B31:N31"/>
    <mergeCell ref="E32:F32"/>
    <mergeCell ref="E33:F33"/>
    <mergeCell ref="A34:M34"/>
    <mergeCell ref="E29:F29"/>
    <mergeCell ref="B27:N27"/>
    <mergeCell ref="E24:F24"/>
    <mergeCell ref="B148:N148"/>
    <mergeCell ref="B152:N152"/>
    <mergeCell ref="B156:N156"/>
    <mergeCell ref="B74:N74"/>
    <mergeCell ref="B83:N83"/>
    <mergeCell ref="B96:N96"/>
    <mergeCell ref="B106:N106"/>
    <mergeCell ref="B110:N110"/>
    <mergeCell ref="B114:N114"/>
    <mergeCell ref="A81:M81"/>
    <mergeCell ref="A94:M94"/>
    <mergeCell ref="A126:M126"/>
    <mergeCell ref="A146:M146"/>
    <mergeCell ref="B149:C149"/>
    <mergeCell ref="A150:M150"/>
    <mergeCell ref="A154:M154"/>
    <mergeCell ref="B119:N119"/>
    <mergeCell ref="B128:N128"/>
    <mergeCell ref="B141:N141"/>
    <mergeCell ref="A139:M139"/>
    <mergeCell ref="A63:M63"/>
    <mergeCell ref="B65:N65"/>
    <mergeCell ref="A67:M67"/>
    <mergeCell ref="A72:M72"/>
    <mergeCell ref="A104:M104"/>
    <mergeCell ref="A108:M108"/>
    <mergeCell ref="A112:M112"/>
    <mergeCell ref="A117:M117"/>
    <mergeCell ref="B107:C107"/>
    <mergeCell ref="B69:N69"/>
  </mergeCells>
  <printOptions horizontalCentered="1"/>
  <pageMargins left="0.78740157480314965" right="0.78740157480314965" top="1.1811023622047245" bottom="0.98425196850393704" header="0" footer="0"/>
  <pageSetup paperSize="9" scale="70" orientation="landscape" r:id="rId1"/>
  <drawing r:id="rId2"/>
  <legacyDrawing r:id="rId3"/>
  <oleObjects>
    <mc:AlternateContent xmlns:mc="http://schemas.openxmlformats.org/markup-compatibility/2006">
      <mc:Choice Requires="x14">
        <oleObject progId="StaticMetafile" shapeId="14337" r:id="rId4">
          <objectPr defaultSize="0" autoPict="0" r:id="rId5">
            <anchor moveWithCells="1" sizeWithCells="1">
              <from>
                <xdr:col>0</xdr:col>
                <xdr:colOff>180975</xdr:colOff>
                <xdr:row>0</xdr:row>
                <xdr:rowOff>28575</xdr:rowOff>
              </from>
              <to>
                <xdr:col>0</xdr:col>
                <xdr:colOff>847725</xdr:colOff>
                <xdr:row>3</xdr:row>
                <xdr:rowOff>171450</xdr:rowOff>
              </to>
            </anchor>
          </objectPr>
        </oleObject>
      </mc:Choice>
      <mc:Fallback>
        <oleObject progId="StaticMetafile" shapeId="1433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I4" sqref="I4"/>
    </sheetView>
  </sheetViews>
  <sheetFormatPr defaultRowHeight="12.75" x14ac:dyDescent="0.2"/>
  <cols>
    <col min="1" max="1" width="11.5703125" customWidth="1"/>
    <col min="2" max="2" width="18.5703125" customWidth="1"/>
    <col min="3" max="3" width="20.7109375" customWidth="1"/>
    <col min="4" max="4" width="28.42578125" customWidth="1"/>
    <col min="5" max="5" width="18.28515625" customWidth="1"/>
    <col min="8" max="8" width="13.28515625" customWidth="1"/>
    <col min="9" max="9" width="17.7109375" customWidth="1"/>
    <col min="14" max="14" width="14.42578125" customWidth="1"/>
    <col min="15" max="15" width="12" customWidth="1"/>
    <col min="16" max="16" width="19.5703125" customWidth="1"/>
    <col min="17" max="17" width="15.85546875" customWidth="1"/>
  </cols>
  <sheetData>
    <row r="1" spans="1:17" x14ac:dyDescent="0.2">
      <c r="A1" s="397" t="s">
        <v>157</v>
      </c>
      <c r="B1" s="398"/>
      <c r="C1" s="398"/>
      <c r="D1" s="398"/>
      <c r="E1" s="398"/>
      <c r="F1" s="398"/>
      <c r="G1" s="398"/>
      <c r="H1" s="399"/>
      <c r="I1" s="406" t="s">
        <v>158</v>
      </c>
    </row>
    <row r="2" spans="1:17" x14ac:dyDescent="0.2">
      <c r="A2" s="400"/>
      <c r="B2" s="401"/>
      <c r="C2" s="401"/>
      <c r="D2" s="401"/>
      <c r="E2" s="401"/>
      <c r="F2" s="401"/>
      <c r="G2" s="401"/>
      <c r="H2" s="402"/>
      <c r="I2" s="407"/>
    </row>
    <row r="3" spans="1:17" ht="20.25" customHeight="1" x14ac:dyDescent="0.2">
      <c r="A3" s="400"/>
      <c r="B3" s="401"/>
      <c r="C3" s="401"/>
      <c r="D3" s="401"/>
      <c r="E3" s="401"/>
      <c r="F3" s="401"/>
      <c r="G3" s="401"/>
      <c r="H3" s="402"/>
      <c r="I3" s="335" t="str">
        <f>PLANILHA!H4</f>
        <v>Novembro/2019</v>
      </c>
    </row>
    <row r="4" spans="1:17" ht="43.5" customHeight="1" x14ac:dyDescent="0.2">
      <c r="A4" s="403"/>
      <c r="B4" s="404"/>
      <c r="C4" s="404"/>
      <c r="D4" s="404"/>
      <c r="E4" s="404"/>
      <c r="F4" s="404"/>
      <c r="G4" s="404"/>
      <c r="H4" s="405"/>
      <c r="I4" s="147" t="s">
        <v>159</v>
      </c>
    </row>
    <row r="5" spans="1:17" ht="39.75" customHeight="1" x14ac:dyDescent="0.2">
      <c r="A5" s="108" t="s">
        <v>160</v>
      </c>
      <c r="B5" s="408" t="s">
        <v>232</v>
      </c>
      <c r="C5" s="408"/>
      <c r="D5" s="408"/>
      <c r="E5" s="408"/>
      <c r="F5" s="408"/>
      <c r="G5" s="408"/>
      <c r="H5" s="408"/>
      <c r="I5" s="409"/>
    </row>
    <row r="6" spans="1:17" ht="15" x14ac:dyDescent="0.25">
      <c r="A6" s="109" t="s">
        <v>192</v>
      </c>
      <c r="B6" s="410" t="s">
        <v>3</v>
      </c>
      <c r="C6" s="410"/>
      <c r="D6" s="410"/>
      <c r="E6" s="410"/>
      <c r="F6" s="410"/>
      <c r="G6" s="410"/>
      <c r="H6" s="410"/>
      <c r="I6" s="411"/>
    </row>
    <row r="7" spans="1:17" ht="15" x14ac:dyDescent="0.25">
      <c r="A7" s="375" t="s">
        <v>161</v>
      </c>
      <c r="B7" s="376"/>
      <c r="C7" s="376"/>
      <c r="D7" s="376"/>
      <c r="E7" s="376"/>
      <c r="F7" s="376"/>
      <c r="G7" s="376"/>
      <c r="H7" s="376"/>
      <c r="I7" s="377"/>
    </row>
    <row r="8" spans="1:17" ht="15" x14ac:dyDescent="0.25">
      <c r="A8" s="110" t="s">
        <v>162</v>
      </c>
      <c r="B8" s="132" t="s">
        <v>163</v>
      </c>
      <c r="C8" s="384" t="s">
        <v>164</v>
      </c>
      <c r="D8" s="384"/>
      <c r="E8" s="384"/>
      <c r="F8" s="132" t="s">
        <v>165</v>
      </c>
      <c r="G8" s="83" t="s">
        <v>166</v>
      </c>
      <c r="H8" s="84" t="s">
        <v>167</v>
      </c>
      <c r="I8" s="111" t="s">
        <v>168</v>
      </c>
    </row>
    <row r="9" spans="1:17" ht="15" x14ac:dyDescent="0.2">
      <c r="A9" s="112">
        <v>93572</v>
      </c>
      <c r="B9" s="85" t="s">
        <v>14</v>
      </c>
      <c r="C9" s="394" t="s">
        <v>252</v>
      </c>
      <c r="D9" s="395"/>
      <c r="E9" s="396"/>
      <c r="F9" s="85" t="s">
        <v>231</v>
      </c>
      <c r="G9" s="86">
        <v>1</v>
      </c>
      <c r="H9" s="86">
        <v>5819.53</v>
      </c>
      <c r="I9" s="113">
        <f>H9*G9</f>
        <v>5819.53</v>
      </c>
    </row>
    <row r="10" spans="1:17" ht="15" x14ac:dyDescent="0.2">
      <c r="A10" s="112"/>
      <c r="B10" s="85"/>
      <c r="C10" s="394"/>
      <c r="D10" s="395"/>
      <c r="E10" s="396"/>
      <c r="F10" s="85"/>
      <c r="G10" s="86"/>
      <c r="H10" s="86"/>
      <c r="I10" s="113"/>
    </row>
    <row r="11" spans="1:17" ht="15" x14ac:dyDescent="0.2">
      <c r="A11" s="148"/>
      <c r="B11" s="125"/>
      <c r="C11" s="369"/>
      <c r="D11" s="370"/>
      <c r="E11" s="371"/>
      <c r="F11" s="125"/>
      <c r="G11" s="126"/>
      <c r="H11" s="126"/>
      <c r="I11" s="113"/>
    </row>
    <row r="12" spans="1:17" ht="15" x14ac:dyDescent="0.25">
      <c r="A12" s="391" t="s">
        <v>169</v>
      </c>
      <c r="B12" s="392"/>
      <c r="C12" s="392"/>
      <c r="D12" s="392"/>
      <c r="E12" s="392"/>
      <c r="F12" s="392"/>
      <c r="G12" s="392"/>
      <c r="H12" s="392"/>
      <c r="I12" s="114">
        <f>SUM(I9:I11)</f>
        <v>5819.53</v>
      </c>
      <c r="N12" s="5"/>
      <c r="O12" s="5"/>
      <c r="P12" s="5"/>
      <c r="Q12" s="5"/>
    </row>
    <row r="13" spans="1:17" ht="15" x14ac:dyDescent="0.25">
      <c r="A13" s="375" t="s">
        <v>170</v>
      </c>
      <c r="B13" s="376"/>
      <c r="C13" s="376"/>
      <c r="D13" s="376"/>
      <c r="E13" s="376"/>
      <c r="F13" s="376"/>
      <c r="G13" s="376"/>
      <c r="H13" s="376"/>
      <c r="I13" s="377"/>
    </row>
    <row r="14" spans="1:17" ht="15" x14ac:dyDescent="0.25">
      <c r="A14" s="110" t="s">
        <v>162</v>
      </c>
      <c r="B14" s="132" t="s">
        <v>163</v>
      </c>
      <c r="C14" s="384" t="s">
        <v>164</v>
      </c>
      <c r="D14" s="384"/>
      <c r="E14" s="384"/>
      <c r="F14" s="88" t="s">
        <v>165</v>
      </c>
      <c r="G14" s="83" t="s">
        <v>166</v>
      </c>
      <c r="H14" s="89" t="s">
        <v>167</v>
      </c>
      <c r="I14" s="111" t="s">
        <v>168</v>
      </c>
    </row>
    <row r="15" spans="1:17" ht="15" x14ac:dyDescent="0.2">
      <c r="A15" s="115"/>
      <c r="B15" s="95"/>
      <c r="C15" s="385"/>
      <c r="D15" s="386"/>
      <c r="E15" s="387"/>
      <c r="F15" s="95"/>
      <c r="G15" s="98"/>
      <c r="H15" s="96"/>
      <c r="I15" s="116"/>
    </row>
    <row r="16" spans="1:17" ht="15" x14ac:dyDescent="0.2">
      <c r="A16" s="119"/>
      <c r="B16" s="91"/>
      <c r="C16" s="388"/>
      <c r="D16" s="389"/>
      <c r="E16" s="390"/>
      <c r="F16" s="92"/>
      <c r="G16" s="93"/>
      <c r="H16" s="94"/>
      <c r="I16" s="120"/>
    </row>
    <row r="17" spans="1:9" ht="15" x14ac:dyDescent="0.25">
      <c r="A17" s="391" t="s">
        <v>171</v>
      </c>
      <c r="B17" s="392"/>
      <c r="C17" s="392"/>
      <c r="D17" s="392"/>
      <c r="E17" s="392"/>
      <c r="F17" s="392"/>
      <c r="G17" s="392"/>
      <c r="H17" s="393"/>
      <c r="I17" s="121"/>
    </row>
    <row r="18" spans="1:9" ht="15" x14ac:dyDescent="0.25">
      <c r="A18" s="372"/>
      <c r="B18" s="373"/>
      <c r="C18" s="373"/>
      <c r="D18" s="373"/>
      <c r="E18" s="373"/>
      <c r="F18" s="373"/>
      <c r="G18" s="373"/>
      <c r="H18" s="373"/>
      <c r="I18" s="374"/>
    </row>
    <row r="19" spans="1:9" ht="15" x14ac:dyDescent="0.25">
      <c r="A19" s="375" t="s">
        <v>172</v>
      </c>
      <c r="B19" s="376"/>
      <c r="C19" s="376"/>
      <c r="D19" s="376"/>
      <c r="E19" s="376"/>
      <c r="F19" s="376"/>
      <c r="G19" s="376"/>
      <c r="H19" s="376"/>
      <c r="I19" s="377"/>
    </row>
    <row r="20" spans="1:9" ht="15" x14ac:dyDescent="0.25">
      <c r="A20" s="378" t="s">
        <v>173</v>
      </c>
      <c r="B20" s="379"/>
      <c r="C20" s="379"/>
      <c r="D20" s="379"/>
      <c r="E20" s="379"/>
      <c r="F20" s="379"/>
      <c r="G20" s="379"/>
      <c r="H20" s="380"/>
      <c r="I20" s="122">
        <f>I12</f>
        <v>5819.53</v>
      </c>
    </row>
    <row r="21" spans="1:9" ht="15" x14ac:dyDescent="0.25">
      <c r="A21" s="381" t="s">
        <v>174</v>
      </c>
      <c r="B21" s="382"/>
      <c r="C21" s="382"/>
      <c r="D21" s="382"/>
      <c r="E21" s="382"/>
      <c r="F21" s="382"/>
      <c r="G21" s="382"/>
      <c r="H21" s="383"/>
      <c r="I21" s="123">
        <f>I17</f>
        <v>0</v>
      </c>
    </row>
    <row r="22" spans="1:9" ht="15" x14ac:dyDescent="0.25">
      <c r="A22" s="381" t="s">
        <v>175</v>
      </c>
      <c r="B22" s="382"/>
      <c r="C22" s="382"/>
      <c r="D22" s="382"/>
      <c r="E22" s="382"/>
      <c r="F22" s="382"/>
      <c r="G22" s="382"/>
      <c r="H22" s="383"/>
      <c r="I22" s="123">
        <f>I20+I21</f>
        <v>5819.53</v>
      </c>
    </row>
    <row r="23" spans="1:9" ht="15" x14ac:dyDescent="0.25">
      <c r="A23" s="381" t="s">
        <v>177</v>
      </c>
      <c r="B23" s="382"/>
      <c r="C23" s="382"/>
      <c r="D23" s="382"/>
      <c r="E23" s="382"/>
      <c r="F23" s="382"/>
      <c r="G23" s="382"/>
      <c r="H23" s="383"/>
      <c r="I23" s="123">
        <f>SUM(I22:I22)*0.2654</f>
        <v>1544.5032620000002</v>
      </c>
    </row>
    <row r="24" spans="1:9" ht="15.75" thickBot="1" x14ac:dyDescent="0.3">
      <c r="A24" s="367" t="s">
        <v>176</v>
      </c>
      <c r="B24" s="368"/>
      <c r="C24" s="368"/>
      <c r="D24" s="368"/>
      <c r="E24" s="368"/>
      <c r="F24" s="368"/>
      <c r="G24" s="368"/>
      <c r="H24" s="368"/>
      <c r="I24" s="124">
        <f>SUM(I22:I23)</f>
        <v>7364.0332619999999</v>
      </c>
    </row>
  </sheetData>
  <mergeCells count="22">
    <mergeCell ref="A1:H4"/>
    <mergeCell ref="I1:I2"/>
    <mergeCell ref="B5:I5"/>
    <mergeCell ref="B6:I6"/>
    <mergeCell ref="A7:I7"/>
    <mergeCell ref="C8:E8"/>
    <mergeCell ref="C16:E16"/>
    <mergeCell ref="A17:H17"/>
    <mergeCell ref="C9:E9"/>
    <mergeCell ref="C10:E10"/>
    <mergeCell ref="A12:H12"/>
    <mergeCell ref="A13:I13"/>
    <mergeCell ref="A24:H24"/>
    <mergeCell ref="C11:E11"/>
    <mergeCell ref="A18:I18"/>
    <mergeCell ref="A19:I19"/>
    <mergeCell ref="A20:H20"/>
    <mergeCell ref="A21:H21"/>
    <mergeCell ref="A22:H22"/>
    <mergeCell ref="A23:H23"/>
    <mergeCell ref="C14:E14"/>
    <mergeCell ref="C15:E15"/>
  </mergeCells>
  <printOptions horizontalCentered="1"/>
  <pageMargins left="0.78740157480314965" right="0.78740157480314965" top="1.1811023622047245" bottom="0.98425196850393704" header="0" footer="0"/>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topLeftCell="A19" zoomScale="112" zoomScaleNormal="100" zoomScaleSheetLayoutView="112" workbookViewId="0">
      <selection activeCell="I4" sqref="I4"/>
    </sheetView>
  </sheetViews>
  <sheetFormatPr defaultRowHeight="12.75" x14ac:dyDescent="0.2"/>
  <cols>
    <col min="1" max="1" width="11.5703125" customWidth="1"/>
    <col min="2" max="2" width="18.5703125" customWidth="1"/>
    <col min="3" max="3" width="20.7109375" customWidth="1"/>
    <col min="4" max="4" width="28.42578125" customWidth="1"/>
    <col min="5" max="5" width="18.28515625" customWidth="1"/>
    <col min="7" max="7" width="13.140625" customWidth="1"/>
    <col min="8" max="8" width="13.28515625" customWidth="1"/>
    <col min="9" max="9" width="17.7109375" customWidth="1"/>
    <col min="14" max="14" width="14.42578125" customWidth="1"/>
    <col min="15" max="15" width="12" customWidth="1"/>
    <col min="16" max="16" width="19.5703125" customWidth="1"/>
    <col min="17" max="17" width="15.85546875" customWidth="1"/>
  </cols>
  <sheetData>
    <row r="1" spans="1:17" x14ac:dyDescent="0.2">
      <c r="A1" s="397" t="s">
        <v>157</v>
      </c>
      <c r="B1" s="398"/>
      <c r="C1" s="398"/>
      <c r="D1" s="398"/>
      <c r="E1" s="398"/>
      <c r="F1" s="398"/>
      <c r="G1" s="398"/>
      <c r="H1" s="399"/>
      <c r="I1" s="406" t="s">
        <v>158</v>
      </c>
    </row>
    <row r="2" spans="1:17" x14ac:dyDescent="0.2">
      <c r="A2" s="400"/>
      <c r="B2" s="401"/>
      <c r="C2" s="401"/>
      <c r="D2" s="401"/>
      <c r="E2" s="401"/>
      <c r="F2" s="401"/>
      <c r="G2" s="401"/>
      <c r="H2" s="402"/>
      <c r="I2" s="407"/>
    </row>
    <row r="3" spans="1:17" ht="20.25" customHeight="1" x14ac:dyDescent="0.2">
      <c r="A3" s="400"/>
      <c r="B3" s="401"/>
      <c r="C3" s="401"/>
      <c r="D3" s="401"/>
      <c r="E3" s="401"/>
      <c r="F3" s="401"/>
      <c r="G3" s="401"/>
      <c r="H3" s="402"/>
      <c r="I3" s="335" t="str">
        <f>PLANILHA!H4</f>
        <v>Novembro/2019</v>
      </c>
    </row>
    <row r="4" spans="1:17" ht="43.5" customHeight="1" x14ac:dyDescent="0.2">
      <c r="A4" s="403"/>
      <c r="B4" s="404"/>
      <c r="C4" s="404"/>
      <c r="D4" s="404"/>
      <c r="E4" s="404"/>
      <c r="F4" s="404"/>
      <c r="G4" s="404"/>
      <c r="H4" s="405"/>
      <c r="I4" s="133" t="s">
        <v>197</v>
      </c>
    </row>
    <row r="5" spans="1:17" ht="39.75" customHeight="1" x14ac:dyDescent="0.2">
      <c r="A5" s="108" t="s">
        <v>160</v>
      </c>
      <c r="B5" s="408" t="s">
        <v>230</v>
      </c>
      <c r="C5" s="408"/>
      <c r="D5" s="408"/>
      <c r="E5" s="408"/>
      <c r="F5" s="408"/>
      <c r="G5" s="408"/>
      <c r="H5" s="408"/>
      <c r="I5" s="409"/>
    </row>
    <row r="6" spans="1:17" ht="15" x14ac:dyDescent="0.25">
      <c r="A6" s="109" t="s">
        <v>192</v>
      </c>
      <c r="B6" s="410" t="s">
        <v>3</v>
      </c>
      <c r="C6" s="410"/>
      <c r="D6" s="410"/>
      <c r="E6" s="410"/>
      <c r="F6" s="410"/>
      <c r="G6" s="410"/>
      <c r="H6" s="410"/>
      <c r="I6" s="411"/>
    </row>
    <row r="7" spans="1:17" ht="15" x14ac:dyDescent="0.25">
      <c r="A7" s="375" t="s">
        <v>161</v>
      </c>
      <c r="B7" s="376"/>
      <c r="C7" s="376"/>
      <c r="D7" s="376"/>
      <c r="E7" s="376"/>
      <c r="F7" s="376"/>
      <c r="G7" s="376"/>
      <c r="H7" s="376"/>
      <c r="I7" s="377"/>
    </row>
    <row r="8" spans="1:17" ht="15" x14ac:dyDescent="0.25">
      <c r="A8" s="110" t="s">
        <v>162</v>
      </c>
      <c r="B8" s="132" t="s">
        <v>163</v>
      </c>
      <c r="C8" s="384" t="s">
        <v>164</v>
      </c>
      <c r="D8" s="384"/>
      <c r="E8" s="384"/>
      <c r="F8" s="132" t="s">
        <v>165</v>
      </c>
      <c r="G8" s="83" t="s">
        <v>166</v>
      </c>
      <c r="H8" s="84" t="s">
        <v>167</v>
      </c>
      <c r="I8" s="111" t="s">
        <v>168</v>
      </c>
    </row>
    <row r="9" spans="1:17" ht="15" x14ac:dyDescent="0.2">
      <c r="A9" s="112">
        <v>88309</v>
      </c>
      <c r="B9" s="85" t="s">
        <v>14</v>
      </c>
      <c r="C9" s="394" t="s">
        <v>211</v>
      </c>
      <c r="D9" s="395"/>
      <c r="E9" s="396"/>
      <c r="F9" s="85" t="s">
        <v>178</v>
      </c>
      <c r="G9" s="86">
        <v>0.5</v>
      </c>
      <c r="H9" s="141">
        <v>20</v>
      </c>
      <c r="I9" s="113">
        <f>H9*G9</f>
        <v>10</v>
      </c>
    </row>
    <row r="10" spans="1:17" ht="15" x14ac:dyDescent="0.2">
      <c r="A10" s="112">
        <v>88316</v>
      </c>
      <c r="B10" s="85" t="s">
        <v>14</v>
      </c>
      <c r="C10" s="394" t="s">
        <v>212</v>
      </c>
      <c r="D10" s="395"/>
      <c r="E10" s="396"/>
      <c r="F10" s="85" t="s">
        <v>178</v>
      </c>
      <c r="G10" s="86">
        <v>0.5</v>
      </c>
      <c r="H10" s="141">
        <v>14.32</v>
      </c>
      <c r="I10" s="113">
        <f>H10*G10</f>
        <v>7.16</v>
      </c>
    </row>
    <row r="11" spans="1:17" ht="62.25" customHeight="1" x14ac:dyDescent="0.2">
      <c r="A11" s="149"/>
      <c r="B11" s="127"/>
      <c r="C11" s="412" t="s">
        <v>233</v>
      </c>
      <c r="D11" s="413"/>
      <c r="E11" s="414"/>
      <c r="F11" s="95"/>
      <c r="G11" s="138" t="s">
        <v>251</v>
      </c>
      <c r="H11" s="86"/>
      <c r="I11" s="113"/>
    </row>
    <row r="12" spans="1:17" ht="15" x14ac:dyDescent="0.2">
      <c r="A12" s="112"/>
      <c r="B12" s="85"/>
      <c r="C12" s="394"/>
      <c r="D12" s="395"/>
      <c r="E12" s="396"/>
      <c r="F12" s="85"/>
      <c r="G12" s="87"/>
      <c r="H12" s="86"/>
      <c r="I12" s="113"/>
    </row>
    <row r="13" spans="1:17" ht="15" x14ac:dyDescent="0.25">
      <c r="A13" s="391" t="s">
        <v>169</v>
      </c>
      <c r="B13" s="392"/>
      <c r="C13" s="392"/>
      <c r="D13" s="392"/>
      <c r="E13" s="392"/>
      <c r="F13" s="392"/>
      <c r="G13" s="392"/>
      <c r="H13" s="392"/>
      <c r="I13" s="114">
        <f>SUM(I9:I10)</f>
        <v>17.16</v>
      </c>
      <c r="N13" s="5"/>
      <c r="O13" s="5"/>
      <c r="P13" s="5"/>
      <c r="Q13" s="5"/>
    </row>
    <row r="14" spans="1:17" ht="15" x14ac:dyDescent="0.25">
      <c r="A14" s="375" t="s">
        <v>170</v>
      </c>
      <c r="B14" s="376"/>
      <c r="C14" s="376"/>
      <c r="D14" s="376"/>
      <c r="E14" s="376"/>
      <c r="F14" s="376"/>
      <c r="G14" s="376"/>
      <c r="H14" s="376"/>
      <c r="I14" s="377"/>
    </row>
    <row r="15" spans="1:17" ht="15" x14ac:dyDescent="0.25">
      <c r="A15" s="110" t="s">
        <v>162</v>
      </c>
      <c r="B15" s="132" t="s">
        <v>163</v>
      </c>
      <c r="C15" s="384" t="s">
        <v>164</v>
      </c>
      <c r="D15" s="384"/>
      <c r="E15" s="384"/>
      <c r="F15" s="88" t="s">
        <v>165</v>
      </c>
      <c r="G15" s="83" t="s">
        <v>166</v>
      </c>
      <c r="H15" s="89" t="s">
        <v>167</v>
      </c>
      <c r="I15" s="111" t="s">
        <v>168</v>
      </c>
    </row>
    <row r="16" spans="1:17" ht="52.5" customHeight="1" x14ac:dyDescent="0.2">
      <c r="A16" s="115">
        <v>96536</v>
      </c>
      <c r="B16" s="95" t="s">
        <v>14</v>
      </c>
      <c r="C16" s="385" t="s">
        <v>350</v>
      </c>
      <c r="D16" s="386"/>
      <c r="E16" s="387"/>
      <c r="F16" s="95" t="s">
        <v>179</v>
      </c>
      <c r="G16" s="145">
        <f>E34+E35</f>
        <v>0.35840000000000005</v>
      </c>
      <c r="H16" s="142">
        <v>47.34</v>
      </c>
      <c r="I16" s="116">
        <f>G16*H16</f>
        <v>16.966656000000004</v>
      </c>
    </row>
    <row r="17" spans="1:9" ht="41.25" customHeight="1" x14ac:dyDescent="0.2">
      <c r="A17" s="115">
        <v>94970</v>
      </c>
      <c r="B17" s="95" t="s">
        <v>14</v>
      </c>
      <c r="C17" s="385" t="s">
        <v>351</v>
      </c>
      <c r="D17" s="386"/>
      <c r="E17" s="387"/>
      <c r="F17" s="146" t="s">
        <v>180</v>
      </c>
      <c r="G17" s="145">
        <f>C34</f>
        <v>1.4336000000000002E-2</v>
      </c>
      <c r="H17" s="143">
        <v>243.17</v>
      </c>
      <c r="I17" s="116">
        <f>G17*H17</f>
        <v>3.4860851200000003</v>
      </c>
    </row>
    <row r="18" spans="1:9" ht="45" customHeight="1" x14ac:dyDescent="0.2">
      <c r="A18" s="115" t="s">
        <v>225</v>
      </c>
      <c r="B18" s="95" t="s">
        <v>14</v>
      </c>
      <c r="C18" s="385" t="s">
        <v>226</v>
      </c>
      <c r="D18" s="386"/>
      <c r="E18" s="387"/>
      <c r="F18" s="97" t="s">
        <v>179</v>
      </c>
      <c r="G18" s="145">
        <f>E35</f>
        <v>0.13440000000000002</v>
      </c>
      <c r="H18" s="144">
        <v>7.55</v>
      </c>
      <c r="I18" s="116">
        <f>G18*H18</f>
        <v>1.0147200000000001</v>
      </c>
    </row>
    <row r="19" spans="1:9" ht="15" x14ac:dyDescent="0.2">
      <c r="A19" s="119"/>
      <c r="B19" s="91"/>
      <c r="C19" s="388"/>
      <c r="D19" s="389"/>
      <c r="E19" s="390"/>
      <c r="F19" s="92"/>
      <c r="G19" s="93"/>
      <c r="H19" s="94"/>
      <c r="I19" s="120"/>
    </row>
    <row r="20" spans="1:9" ht="15" x14ac:dyDescent="0.25">
      <c r="A20" s="391" t="s">
        <v>171</v>
      </c>
      <c r="B20" s="392"/>
      <c r="C20" s="392"/>
      <c r="D20" s="392"/>
      <c r="E20" s="392"/>
      <c r="F20" s="392"/>
      <c r="G20" s="392"/>
      <c r="H20" s="393"/>
      <c r="I20" s="121">
        <f>SUM(I16:I18)</f>
        <v>21.467461120000007</v>
      </c>
    </row>
    <row r="21" spans="1:9" ht="15" x14ac:dyDescent="0.25">
      <c r="A21" s="372"/>
      <c r="B21" s="373"/>
      <c r="C21" s="373"/>
      <c r="D21" s="373"/>
      <c r="E21" s="373"/>
      <c r="F21" s="373"/>
      <c r="G21" s="373"/>
      <c r="H21" s="373"/>
      <c r="I21" s="374"/>
    </row>
    <row r="22" spans="1:9" ht="15" x14ac:dyDescent="0.25">
      <c r="A22" s="375" t="s">
        <v>172</v>
      </c>
      <c r="B22" s="376"/>
      <c r="C22" s="376"/>
      <c r="D22" s="376"/>
      <c r="E22" s="376"/>
      <c r="F22" s="376"/>
      <c r="G22" s="376"/>
      <c r="H22" s="376"/>
      <c r="I22" s="377"/>
    </row>
    <row r="23" spans="1:9" ht="15" x14ac:dyDescent="0.25">
      <c r="A23" s="378" t="s">
        <v>173</v>
      </c>
      <c r="B23" s="379"/>
      <c r="C23" s="379"/>
      <c r="D23" s="379"/>
      <c r="E23" s="379"/>
      <c r="F23" s="379"/>
      <c r="G23" s="379"/>
      <c r="H23" s="380"/>
      <c r="I23" s="122">
        <f>I13</f>
        <v>17.16</v>
      </c>
    </row>
    <row r="24" spans="1:9" ht="15" x14ac:dyDescent="0.25">
      <c r="A24" s="381" t="s">
        <v>174</v>
      </c>
      <c r="B24" s="382"/>
      <c r="C24" s="382"/>
      <c r="D24" s="382"/>
      <c r="E24" s="382"/>
      <c r="F24" s="382"/>
      <c r="G24" s="382"/>
      <c r="H24" s="383"/>
      <c r="I24" s="123">
        <f>I20</f>
        <v>21.467461120000007</v>
      </c>
    </row>
    <row r="25" spans="1:9" ht="15" x14ac:dyDescent="0.25">
      <c r="A25" s="381" t="s">
        <v>175</v>
      </c>
      <c r="B25" s="382"/>
      <c r="C25" s="382"/>
      <c r="D25" s="382"/>
      <c r="E25" s="382"/>
      <c r="F25" s="382"/>
      <c r="G25" s="382"/>
      <c r="H25" s="383"/>
      <c r="I25" s="123">
        <f>I23+I24</f>
        <v>38.627461120000007</v>
      </c>
    </row>
    <row r="26" spans="1:9" ht="15" x14ac:dyDescent="0.25">
      <c r="A26" s="381" t="s">
        <v>177</v>
      </c>
      <c r="B26" s="382"/>
      <c r="C26" s="382"/>
      <c r="D26" s="382"/>
      <c r="E26" s="382"/>
      <c r="F26" s="382"/>
      <c r="G26" s="382"/>
      <c r="H26" s="383"/>
      <c r="I26" s="123">
        <f>SUM(I25:I25)*0.2654</f>
        <v>10.251728181248003</v>
      </c>
    </row>
    <row r="27" spans="1:9" ht="15.75" thickBot="1" x14ac:dyDescent="0.3">
      <c r="A27" s="367" t="s">
        <v>176</v>
      </c>
      <c r="B27" s="368"/>
      <c r="C27" s="368"/>
      <c r="D27" s="368"/>
      <c r="E27" s="368"/>
      <c r="F27" s="368"/>
      <c r="G27" s="368"/>
      <c r="H27" s="368"/>
      <c r="I27" s="124">
        <f>SUM(I25:I26)</f>
        <v>48.879189301248012</v>
      </c>
    </row>
    <row r="30" spans="1:9" ht="13.5" thickBot="1" x14ac:dyDescent="0.25"/>
    <row r="31" spans="1:9" x14ac:dyDescent="0.2">
      <c r="B31" s="100" t="s">
        <v>181</v>
      </c>
      <c r="C31" s="101"/>
      <c r="D31" s="101"/>
      <c r="E31" s="102"/>
    </row>
    <row r="32" spans="1:9" x14ac:dyDescent="0.2">
      <c r="B32" s="103" t="s">
        <v>182</v>
      </c>
      <c r="C32" s="20" t="s">
        <v>185</v>
      </c>
      <c r="D32" s="20" t="s">
        <v>183</v>
      </c>
      <c r="E32" s="104" t="s">
        <v>184</v>
      </c>
    </row>
    <row r="33" spans="2:5" x14ac:dyDescent="0.2">
      <c r="B33" s="103">
        <v>0.3</v>
      </c>
      <c r="C33" s="20">
        <v>0.5</v>
      </c>
      <c r="D33" s="20">
        <v>0.14000000000000001</v>
      </c>
      <c r="E33" s="104">
        <v>0.08</v>
      </c>
    </row>
    <row r="34" spans="2:5" ht="22.5" customHeight="1" thickBot="1" x14ac:dyDescent="0.25">
      <c r="B34" s="105" t="s">
        <v>196</v>
      </c>
      <c r="C34" s="106">
        <f>(B33*C33*D33)-((B33-2*E33)*(C33-2*E33)*(D33))</f>
        <v>1.4336000000000002E-2</v>
      </c>
      <c r="D34" s="106" t="s">
        <v>227</v>
      </c>
      <c r="E34" s="107">
        <f>(B33+C33)*2*D33</f>
        <v>0.22400000000000003</v>
      </c>
    </row>
    <row r="35" spans="2:5" ht="13.5" thickBot="1" x14ac:dyDescent="0.25">
      <c r="D35" s="139" t="s">
        <v>228</v>
      </c>
      <c r="E35" s="140">
        <f>((B33-2*E33)+(C33-2*E33))*2*D33</f>
        <v>0.13440000000000002</v>
      </c>
    </row>
  </sheetData>
  <mergeCells count="25">
    <mergeCell ref="A1:H4"/>
    <mergeCell ref="I1:I2"/>
    <mergeCell ref="B5:I5"/>
    <mergeCell ref="B6:I6"/>
    <mergeCell ref="A7:I7"/>
    <mergeCell ref="C8:E8"/>
    <mergeCell ref="C9:E9"/>
    <mergeCell ref="C10:E10"/>
    <mergeCell ref="C11:E11"/>
    <mergeCell ref="C12:E12"/>
    <mergeCell ref="A13:H13"/>
    <mergeCell ref="A14:I14"/>
    <mergeCell ref="C15:E15"/>
    <mergeCell ref="C16:E16"/>
    <mergeCell ref="C17:E17"/>
    <mergeCell ref="C18:E18"/>
    <mergeCell ref="C19:E19"/>
    <mergeCell ref="A20:H20"/>
    <mergeCell ref="A27:H27"/>
    <mergeCell ref="A21:I21"/>
    <mergeCell ref="A22:I22"/>
    <mergeCell ref="A23:H23"/>
    <mergeCell ref="A24:H24"/>
    <mergeCell ref="A25:H25"/>
    <mergeCell ref="A26:H26"/>
  </mergeCells>
  <printOptions horizontalCentered="1"/>
  <pageMargins left="0.78740157480314965" right="0.78740157480314965" top="1.1811023622047245" bottom="0.98425196850393704" header="0" footer="0"/>
  <pageSetup paperSize="9"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zoomScale="93" zoomScaleNormal="100" zoomScaleSheetLayoutView="93" workbookViewId="0">
      <selection activeCell="I4" sqref="I4"/>
    </sheetView>
  </sheetViews>
  <sheetFormatPr defaultRowHeight="12.75" x14ac:dyDescent="0.2"/>
  <cols>
    <col min="1" max="1" width="11.5703125" customWidth="1"/>
    <col min="2" max="2" width="18.5703125" customWidth="1"/>
    <col min="3" max="3" width="20.7109375" customWidth="1"/>
    <col min="4" max="4" width="28.42578125" customWidth="1"/>
    <col min="5" max="5" width="18.28515625" customWidth="1"/>
    <col min="7" max="7" width="13.140625" customWidth="1"/>
    <col min="8" max="8" width="13.28515625" customWidth="1"/>
    <col min="9" max="9" width="17.7109375" customWidth="1"/>
    <col min="14" max="14" width="14.42578125" customWidth="1"/>
    <col min="15" max="15" width="12" customWidth="1"/>
    <col min="16" max="16" width="19.5703125" customWidth="1"/>
    <col min="17" max="17" width="15.85546875" customWidth="1"/>
  </cols>
  <sheetData>
    <row r="1" spans="1:17" x14ac:dyDescent="0.2">
      <c r="A1" s="397" t="s">
        <v>157</v>
      </c>
      <c r="B1" s="398"/>
      <c r="C1" s="398"/>
      <c r="D1" s="398"/>
      <c r="E1" s="398"/>
      <c r="F1" s="398"/>
      <c r="G1" s="398"/>
      <c r="H1" s="399"/>
      <c r="I1" s="406" t="s">
        <v>158</v>
      </c>
    </row>
    <row r="2" spans="1:17" x14ac:dyDescent="0.2">
      <c r="A2" s="400"/>
      <c r="B2" s="401"/>
      <c r="C2" s="401"/>
      <c r="D2" s="401"/>
      <c r="E2" s="401"/>
      <c r="F2" s="401"/>
      <c r="G2" s="401"/>
      <c r="H2" s="402"/>
      <c r="I2" s="407"/>
    </row>
    <row r="3" spans="1:17" ht="20.25" customHeight="1" x14ac:dyDescent="0.2">
      <c r="A3" s="400"/>
      <c r="B3" s="401"/>
      <c r="C3" s="401"/>
      <c r="D3" s="401"/>
      <c r="E3" s="401"/>
      <c r="F3" s="401"/>
      <c r="G3" s="401"/>
      <c r="H3" s="402"/>
      <c r="I3" s="335" t="str">
        <f>PLANILHA!H4</f>
        <v>Novembro/2019</v>
      </c>
    </row>
    <row r="4" spans="1:17" ht="43.5" customHeight="1" x14ac:dyDescent="0.2">
      <c r="A4" s="403"/>
      <c r="B4" s="404"/>
      <c r="C4" s="404"/>
      <c r="D4" s="404"/>
      <c r="E4" s="404"/>
      <c r="F4" s="404"/>
      <c r="G4" s="404"/>
      <c r="H4" s="405"/>
      <c r="I4" s="133" t="s">
        <v>253</v>
      </c>
    </row>
    <row r="5" spans="1:17" ht="39.75" customHeight="1" x14ac:dyDescent="0.2">
      <c r="A5" s="108" t="s">
        <v>160</v>
      </c>
      <c r="B5" s="408" t="s">
        <v>229</v>
      </c>
      <c r="C5" s="408"/>
      <c r="D5" s="408"/>
      <c r="E5" s="408"/>
      <c r="F5" s="408"/>
      <c r="G5" s="408"/>
      <c r="H5" s="408"/>
      <c r="I5" s="409"/>
    </row>
    <row r="6" spans="1:17" ht="15" x14ac:dyDescent="0.25">
      <c r="A6" s="109" t="s">
        <v>192</v>
      </c>
      <c r="B6" s="410" t="s">
        <v>3</v>
      </c>
      <c r="C6" s="410"/>
      <c r="D6" s="410"/>
      <c r="E6" s="410"/>
      <c r="F6" s="410"/>
      <c r="G6" s="410"/>
      <c r="H6" s="410"/>
      <c r="I6" s="411"/>
    </row>
    <row r="7" spans="1:17" ht="15" x14ac:dyDescent="0.25">
      <c r="A7" s="375" t="s">
        <v>161</v>
      </c>
      <c r="B7" s="376"/>
      <c r="C7" s="376"/>
      <c r="D7" s="376"/>
      <c r="E7" s="376"/>
      <c r="F7" s="376"/>
      <c r="G7" s="376"/>
      <c r="H7" s="376"/>
      <c r="I7" s="377"/>
    </row>
    <row r="8" spans="1:17" ht="15" x14ac:dyDescent="0.25">
      <c r="A8" s="110" t="s">
        <v>162</v>
      </c>
      <c r="B8" s="132" t="s">
        <v>163</v>
      </c>
      <c r="C8" s="384" t="s">
        <v>164</v>
      </c>
      <c r="D8" s="384"/>
      <c r="E8" s="384"/>
      <c r="F8" s="132" t="s">
        <v>165</v>
      </c>
      <c r="G8" s="83" t="s">
        <v>166</v>
      </c>
      <c r="H8" s="84" t="s">
        <v>167</v>
      </c>
      <c r="I8" s="111" t="s">
        <v>168</v>
      </c>
    </row>
    <row r="9" spans="1:17" ht="15" x14ac:dyDescent="0.2">
      <c r="A9" s="112">
        <v>88309</v>
      </c>
      <c r="B9" s="85" t="s">
        <v>14</v>
      </c>
      <c r="C9" s="394" t="s">
        <v>211</v>
      </c>
      <c r="D9" s="395"/>
      <c r="E9" s="396"/>
      <c r="F9" s="85" t="s">
        <v>178</v>
      </c>
      <c r="G9" s="86">
        <v>0.5</v>
      </c>
      <c r="H9" s="141">
        <v>20</v>
      </c>
      <c r="I9" s="113">
        <f>H9*G9</f>
        <v>10</v>
      </c>
    </row>
    <row r="10" spans="1:17" ht="15" x14ac:dyDescent="0.2">
      <c r="A10" s="112">
        <v>88316</v>
      </c>
      <c r="B10" s="85" t="s">
        <v>14</v>
      </c>
      <c r="C10" s="394" t="s">
        <v>212</v>
      </c>
      <c r="D10" s="395"/>
      <c r="E10" s="396"/>
      <c r="F10" s="85" t="s">
        <v>178</v>
      </c>
      <c r="G10" s="86">
        <v>0.5</v>
      </c>
      <c r="H10" s="141">
        <v>14.32</v>
      </c>
      <c r="I10" s="113">
        <f>H10*G10</f>
        <v>7.16</v>
      </c>
    </row>
    <row r="11" spans="1:17" ht="63" customHeight="1" x14ac:dyDescent="0.2">
      <c r="A11" s="112"/>
      <c r="B11" s="85"/>
      <c r="C11" s="418" t="s">
        <v>233</v>
      </c>
      <c r="D11" s="419"/>
      <c r="E11" s="419"/>
      <c r="F11" s="95"/>
      <c r="G11" s="138" t="s">
        <v>251</v>
      </c>
      <c r="H11" s="86"/>
      <c r="I11" s="113"/>
    </row>
    <row r="12" spans="1:17" ht="15" x14ac:dyDescent="0.2">
      <c r="A12" s="112"/>
      <c r="B12" s="85"/>
      <c r="C12" s="394"/>
      <c r="D12" s="395"/>
      <c r="E12" s="396"/>
      <c r="F12" s="85"/>
      <c r="G12" s="87"/>
      <c r="H12" s="86"/>
      <c r="I12" s="113"/>
    </row>
    <row r="13" spans="1:17" ht="15" x14ac:dyDescent="0.25">
      <c r="A13" s="391" t="s">
        <v>169</v>
      </c>
      <c r="B13" s="392"/>
      <c r="C13" s="392"/>
      <c r="D13" s="392"/>
      <c r="E13" s="392"/>
      <c r="F13" s="392"/>
      <c r="G13" s="392"/>
      <c r="H13" s="392"/>
      <c r="I13" s="114">
        <f>SUM(I9:I10)</f>
        <v>17.16</v>
      </c>
      <c r="N13" s="5"/>
      <c r="O13" s="5"/>
      <c r="P13" s="5"/>
      <c r="Q13" s="5"/>
    </row>
    <row r="14" spans="1:17" ht="15" x14ac:dyDescent="0.25">
      <c r="A14" s="375" t="s">
        <v>170</v>
      </c>
      <c r="B14" s="376"/>
      <c r="C14" s="376"/>
      <c r="D14" s="376"/>
      <c r="E14" s="376"/>
      <c r="F14" s="376"/>
      <c r="G14" s="376"/>
      <c r="H14" s="376"/>
      <c r="I14" s="377"/>
    </row>
    <row r="15" spans="1:17" ht="15" x14ac:dyDescent="0.25">
      <c r="A15" s="110" t="s">
        <v>162</v>
      </c>
      <c r="B15" s="132" t="s">
        <v>163</v>
      </c>
      <c r="C15" s="384" t="s">
        <v>164</v>
      </c>
      <c r="D15" s="384"/>
      <c r="E15" s="384"/>
      <c r="F15" s="88" t="s">
        <v>165</v>
      </c>
      <c r="G15" s="83" t="s">
        <v>166</v>
      </c>
      <c r="H15" s="89" t="s">
        <v>167</v>
      </c>
      <c r="I15" s="111" t="s">
        <v>168</v>
      </c>
    </row>
    <row r="16" spans="1:17" ht="52.5" customHeight="1" x14ac:dyDescent="0.2">
      <c r="A16" s="115">
        <v>96536</v>
      </c>
      <c r="B16" s="95" t="s">
        <v>14</v>
      </c>
      <c r="C16" s="385" t="s">
        <v>350</v>
      </c>
      <c r="D16" s="386"/>
      <c r="E16" s="387"/>
      <c r="F16" s="95" t="s">
        <v>179</v>
      </c>
      <c r="G16" s="134">
        <f>E34+E35</f>
        <v>0.63840000000000008</v>
      </c>
      <c r="H16" s="135">
        <v>47.34</v>
      </c>
      <c r="I16" s="116">
        <f>G16*H16</f>
        <v>30.221856000000006</v>
      </c>
    </row>
    <row r="17" spans="1:9" ht="41.25" customHeight="1" x14ac:dyDescent="0.2">
      <c r="A17" s="117">
        <v>94970</v>
      </c>
      <c r="B17" s="95" t="s">
        <v>14</v>
      </c>
      <c r="C17" s="385" t="s">
        <v>351</v>
      </c>
      <c r="D17" s="386"/>
      <c r="E17" s="387"/>
      <c r="F17" s="90" t="s">
        <v>180</v>
      </c>
      <c r="G17" s="134">
        <f>C34</f>
        <v>2.5536000000000003E-2</v>
      </c>
      <c r="H17" s="136">
        <v>243.17</v>
      </c>
      <c r="I17" s="116">
        <f>G17*H17</f>
        <v>6.2095891200000004</v>
      </c>
    </row>
    <row r="18" spans="1:9" ht="45" customHeight="1" x14ac:dyDescent="0.2">
      <c r="A18" s="118" t="s">
        <v>225</v>
      </c>
      <c r="B18" s="95" t="s">
        <v>14</v>
      </c>
      <c r="C18" s="415" t="s">
        <v>226</v>
      </c>
      <c r="D18" s="416"/>
      <c r="E18" s="417"/>
      <c r="F18" s="97" t="s">
        <v>179</v>
      </c>
      <c r="G18" s="134">
        <f>E35</f>
        <v>0.27440000000000003</v>
      </c>
      <c r="H18" s="137">
        <v>7.55</v>
      </c>
      <c r="I18" s="116">
        <f>G18*H18</f>
        <v>2.07172</v>
      </c>
    </row>
    <row r="19" spans="1:9" ht="15" x14ac:dyDescent="0.2">
      <c r="A19" s="119"/>
      <c r="B19" s="91"/>
      <c r="C19" s="388"/>
      <c r="D19" s="389"/>
      <c r="E19" s="390"/>
      <c r="F19" s="92"/>
      <c r="G19" s="93"/>
      <c r="H19" s="94"/>
      <c r="I19" s="120"/>
    </row>
    <row r="20" spans="1:9" ht="15" x14ac:dyDescent="0.25">
      <c r="A20" s="391" t="s">
        <v>171</v>
      </c>
      <c r="B20" s="392"/>
      <c r="C20" s="392"/>
      <c r="D20" s="392"/>
      <c r="E20" s="392"/>
      <c r="F20" s="392"/>
      <c r="G20" s="392"/>
      <c r="H20" s="393"/>
      <c r="I20" s="121">
        <f>SUM(I16:I18)</f>
        <v>38.503165120000006</v>
      </c>
    </row>
    <row r="21" spans="1:9" ht="15" x14ac:dyDescent="0.25">
      <c r="A21" s="372"/>
      <c r="B21" s="373"/>
      <c r="C21" s="373"/>
      <c r="D21" s="373"/>
      <c r="E21" s="373"/>
      <c r="F21" s="373"/>
      <c r="G21" s="373"/>
      <c r="H21" s="373"/>
      <c r="I21" s="374"/>
    </row>
    <row r="22" spans="1:9" ht="15" x14ac:dyDescent="0.25">
      <c r="A22" s="375" t="s">
        <v>172</v>
      </c>
      <c r="B22" s="376"/>
      <c r="C22" s="376"/>
      <c r="D22" s="376"/>
      <c r="E22" s="376"/>
      <c r="F22" s="376"/>
      <c r="G22" s="376"/>
      <c r="H22" s="376"/>
      <c r="I22" s="377"/>
    </row>
    <row r="23" spans="1:9" ht="15" x14ac:dyDescent="0.25">
      <c r="A23" s="378" t="s">
        <v>173</v>
      </c>
      <c r="B23" s="379"/>
      <c r="C23" s="379"/>
      <c r="D23" s="379"/>
      <c r="E23" s="379"/>
      <c r="F23" s="379"/>
      <c r="G23" s="379"/>
      <c r="H23" s="380"/>
      <c r="I23" s="122">
        <f>I13</f>
        <v>17.16</v>
      </c>
    </row>
    <row r="24" spans="1:9" ht="15" x14ac:dyDescent="0.25">
      <c r="A24" s="381" t="s">
        <v>174</v>
      </c>
      <c r="B24" s="382"/>
      <c r="C24" s="382"/>
      <c r="D24" s="382"/>
      <c r="E24" s="382"/>
      <c r="F24" s="382"/>
      <c r="G24" s="382"/>
      <c r="H24" s="383"/>
      <c r="I24" s="123">
        <f>I20</f>
        <v>38.503165120000006</v>
      </c>
    </row>
    <row r="25" spans="1:9" ht="15" x14ac:dyDescent="0.25">
      <c r="A25" s="381" t="s">
        <v>175</v>
      </c>
      <c r="B25" s="382"/>
      <c r="C25" s="382"/>
      <c r="D25" s="382"/>
      <c r="E25" s="382"/>
      <c r="F25" s="382"/>
      <c r="G25" s="382"/>
      <c r="H25" s="383"/>
      <c r="I25" s="123">
        <f>I23+I24</f>
        <v>55.663165120000002</v>
      </c>
    </row>
    <row r="26" spans="1:9" ht="15" x14ac:dyDescent="0.25">
      <c r="A26" s="381" t="s">
        <v>177</v>
      </c>
      <c r="B26" s="382"/>
      <c r="C26" s="382"/>
      <c r="D26" s="382"/>
      <c r="E26" s="382"/>
      <c r="F26" s="382"/>
      <c r="G26" s="382"/>
      <c r="H26" s="383"/>
      <c r="I26" s="123">
        <f>SUM(I25:I25)*0.2654</f>
        <v>14.773004022848001</v>
      </c>
    </row>
    <row r="27" spans="1:9" ht="15.75" thickBot="1" x14ac:dyDescent="0.3">
      <c r="A27" s="367" t="s">
        <v>176</v>
      </c>
      <c r="B27" s="368"/>
      <c r="C27" s="368"/>
      <c r="D27" s="368"/>
      <c r="E27" s="368"/>
      <c r="F27" s="368"/>
      <c r="G27" s="368"/>
      <c r="H27" s="368"/>
      <c r="I27" s="124">
        <f>SUM(I25:I26)</f>
        <v>70.436169142848001</v>
      </c>
    </row>
    <row r="30" spans="1:9" ht="13.5" thickBot="1" x14ac:dyDescent="0.25"/>
    <row r="31" spans="1:9" x14ac:dyDescent="0.2">
      <c r="B31" s="100" t="s">
        <v>181</v>
      </c>
      <c r="C31" s="101"/>
      <c r="D31" s="101"/>
      <c r="E31" s="102"/>
    </row>
    <row r="32" spans="1:9" x14ac:dyDescent="0.2">
      <c r="B32" s="103" t="s">
        <v>182</v>
      </c>
      <c r="C32" s="20" t="s">
        <v>185</v>
      </c>
      <c r="D32" s="20" t="s">
        <v>183</v>
      </c>
      <c r="E32" s="104" t="s">
        <v>184</v>
      </c>
    </row>
    <row r="33" spans="2:5" x14ac:dyDescent="0.2">
      <c r="B33" s="103">
        <v>0.3</v>
      </c>
      <c r="C33" s="20">
        <v>1</v>
      </c>
      <c r="D33" s="20">
        <v>0.14000000000000001</v>
      </c>
      <c r="E33" s="104">
        <v>0.08</v>
      </c>
    </row>
    <row r="34" spans="2:5" ht="22.5" customHeight="1" thickBot="1" x14ac:dyDescent="0.25">
      <c r="B34" s="105" t="s">
        <v>196</v>
      </c>
      <c r="C34" s="106">
        <f>(B33*C33*D33)-((B33-2*E33)*(C33-2*E33)*(D33))</f>
        <v>2.5536000000000003E-2</v>
      </c>
      <c r="D34" s="106" t="s">
        <v>227</v>
      </c>
      <c r="E34" s="107">
        <f>(B33+C33)*2*D33</f>
        <v>0.36400000000000005</v>
      </c>
    </row>
    <row r="35" spans="2:5" ht="13.5" thickBot="1" x14ac:dyDescent="0.25">
      <c r="D35" s="139" t="s">
        <v>228</v>
      </c>
      <c r="E35" s="140">
        <f>((B33-2*E33)+(C33-2*E33))*2*D33</f>
        <v>0.27440000000000003</v>
      </c>
    </row>
  </sheetData>
  <mergeCells count="25">
    <mergeCell ref="C9:E9"/>
    <mergeCell ref="C10:E10"/>
    <mergeCell ref="C11:E11"/>
    <mergeCell ref="A1:H4"/>
    <mergeCell ref="I1:I2"/>
    <mergeCell ref="B5:I5"/>
    <mergeCell ref="B6:I6"/>
    <mergeCell ref="A7:I7"/>
    <mergeCell ref="C8:E8"/>
    <mergeCell ref="C16:E16"/>
    <mergeCell ref="C17:E17"/>
    <mergeCell ref="C18:E18"/>
    <mergeCell ref="C12:E12"/>
    <mergeCell ref="A13:H13"/>
    <mergeCell ref="A14:I14"/>
    <mergeCell ref="C15:E15"/>
    <mergeCell ref="C19:E19"/>
    <mergeCell ref="A20:H20"/>
    <mergeCell ref="A21:I21"/>
    <mergeCell ref="A27:H27"/>
    <mergeCell ref="A22:I22"/>
    <mergeCell ref="A23:H23"/>
    <mergeCell ref="A24:H24"/>
    <mergeCell ref="A25:H25"/>
    <mergeCell ref="A26:H26"/>
  </mergeCells>
  <printOptions horizontalCentered="1"/>
  <pageMargins left="0.78740157480314965" right="0.78740157480314965" top="1.1811023622047245" bottom="0.98425196850393704" header="0" footer="0"/>
  <pageSetup paperSize="9" scale="75"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4"/>
  <sheetViews>
    <sheetView view="pageBreakPreview" zoomScaleNormal="75" zoomScaleSheetLayoutView="100" workbookViewId="0">
      <selection activeCell="I12" sqref="I12:K12"/>
    </sheetView>
  </sheetViews>
  <sheetFormatPr defaultRowHeight="15" customHeight="1" x14ac:dyDescent="0.2"/>
  <cols>
    <col min="1" max="1" width="4.7109375" style="316" customWidth="1"/>
    <col min="2" max="2" width="10.28515625" style="316" customWidth="1"/>
    <col min="3" max="3" width="8.85546875" style="316" customWidth="1"/>
    <col min="4" max="5" width="4.7109375" style="316" customWidth="1"/>
    <col min="6" max="6" width="12.28515625" style="316" customWidth="1"/>
    <col min="7" max="7" width="9" style="316" bestFit="1" customWidth="1"/>
    <col min="8" max="8" width="19.85546875" style="316" bestFit="1" customWidth="1"/>
    <col min="9" max="10" width="18.140625" style="316" bestFit="1" customWidth="1"/>
    <col min="11" max="11" width="19.85546875" style="316" bestFit="1" customWidth="1"/>
    <col min="12" max="13" width="11.85546875" style="316" customWidth="1"/>
    <col min="14" max="14" width="3.5703125" style="316" customWidth="1"/>
    <col min="15" max="16" width="11.85546875" style="316" customWidth="1"/>
    <col min="17" max="17" width="3.5703125" style="316" customWidth="1"/>
    <col min="18" max="19" width="11.85546875" style="316" customWidth="1"/>
    <col min="20" max="20" width="3.5703125" style="316" customWidth="1"/>
    <col min="21" max="22" width="11.85546875" style="316" customWidth="1"/>
    <col min="23" max="23" width="3.5703125" style="316" customWidth="1"/>
    <col min="24" max="25" width="11.85546875" style="316" customWidth="1"/>
    <col min="26" max="26" width="3.5703125" style="316" customWidth="1"/>
    <col min="27" max="28" width="11.85546875" style="316" customWidth="1"/>
    <col min="29" max="29" width="3.5703125" style="316" customWidth="1"/>
    <col min="30" max="31" width="11.85546875" style="316" customWidth="1"/>
    <col min="32" max="32" width="3.5703125" style="316" customWidth="1"/>
    <col min="33" max="34" width="11.85546875" style="316" customWidth="1"/>
    <col min="35" max="35" width="3.5703125" style="316" customWidth="1"/>
    <col min="36" max="37" width="11.85546875" style="316" customWidth="1"/>
    <col min="38" max="38" width="3.5703125" style="316" customWidth="1"/>
    <col min="39" max="40" width="11.85546875" style="316" customWidth="1"/>
    <col min="41" max="41" width="3.5703125" style="316" customWidth="1"/>
    <col min="42" max="43" width="11.85546875" style="316" customWidth="1"/>
    <col min="44" max="44" width="3.5703125" style="316" customWidth="1"/>
    <col min="45" max="46" width="11.85546875" style="316" customWidth="1"/>
    <col min="47" max="47" width="3.5703125" style="316" customWidth="1"/>
    <col min="48" max="49" width="11.85546875" style="316" customWidth="1"/>
    <col min="50" max="50" width="3.5703125" style="316" customWidth="1"/>
    <col min="51" max="52" width="11.85546875" style="316" customWidth="1"/>
    <col min="53" max="53" width="3.5703125" style="316" customWidth="1"/>
    <col min="54" max="55" width="11.85546875" style="316" customWidth="1"/>
    <col min="56" max="56" width="3.5703125" style="316" customWidth="1"/>
    <col min="57" max="16384" width="9.140625" style="316"/>
  </cols>
  <sheetData>
    <row r="1" spans="1:58" s="315" customFormat="1" ht="15" customHeight="1" x14ac:dyDescent="0.2">
      <c r="A1" s="331"/>
      <c r="B1" s="332"/>
      <c r="C1" s="420" t="s">
        <v>398</v>
      </c>
      <c r="D1" s="421"/>
      <c r="E1" s="421"/>
      <c r="F1" s="421"/>
      <c r="G1" s="421"/>
      <c r="H1" s="421"/>
      <c r="I1" s="421"/>
      <c r="J1" s="421"/>
      <c r="K1" s="422"/>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row>
    <row r="2" spans="1:58" s="315" customFormat="1" ht="15" customHeight="1" x14ac:dyDescent="0.2">
      <c r="A2" s="333"/>
      <c r="B2" s="334"/>
      <c r="C2" s="423" t="str">
        <f>PLANILHA!A2</f>
        <v>PREFEITURA MUNICIPAL DE JOÃO NEIVA / ES</v>
      </c>
      <c r="D2" s="424"/>
      <c r="E2" s="424"/>
      <c r="F2" s="424"/>
      <c r="G2" s="424"/>
      <c r="H2" s="424"/>
      <c r="I2" s="424"/>
      <c r="J2" s="424"/>
      <c r="K2" s="425"/>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row>
    <row r="3" spans="1:58" s="315" customFormat="1" ht="15" customHeight="1" x14ac:dyDescent="0.2">
      <c r="A3" s="333"/>
      <c r="B3" s="334"/>
      <c r="C3" s="423" t="str">
        <f>PLANILHA!A3</f>
        <v>OBJETO: RECAPEAMENTO ASFÁLTICO DE DIVERSAS VIAS DA SEDE DO MUNICÍPIO DE JOÃO NEIVA</v>
      </c>
      <c r="D3" s="424"/>
      <c r="E3" s="424"/>
      <c r="F3" s="424"/>
      <c r="G3" s="424"/>
      <c r="H3" s="424"/>
      <c r="I3" s="424"/>
      <c r="J3" s="424"/>
      <c r="K3" s="425"/>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row>
    <row r="4" spans="1:58" s="315" customFormat="1" ht="15" customHeight="1" x14ac:dyDescent="0.2">
      <c r="A4" s="333"/>
      <c r="B4" s="334"/>
      <c r="C4" s="423" t="str">
        <f>PLANILHA!A4</f>
        <v>ORÇAMENTISTA: JEFYSON SILVA LOUREIRO - CREA-ES 0047233/D</v>
      </c>
      <c r="D4" s="424"/>
      <c r="E4" s="424"/>
      <c r="F4" s="424"/>
      <c r="G4" s="424"/>
      <c r="H4" s="424"/>
      <c r="I4" s="424"/>
      <c r="J4" s="424"/>
      <c r="K4" s="425"/>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row>
    <row r="5" spans="1:58" s="317" customFormat="1" ht="15" customHeight="1" x14ac:dyDescent="0.2">
      <c r="A5" s="429" t="s">
        <v>19</v>
      </c>
      <c r="B5" s="429" t="s">
        <v>20</v>
      </c>
      <c r="C5" s="430"/>
      <c r="D5" s="430"/>
      <c r="E5" s="430"/>
      <c r="F5" s="430"/>
      <c r="G5" s="429" t="s">
        <v>21</v>
      </c>
      <c r="H5" s="429" t="s">
        <v>22</v>
      </c>
      <c r="I5" s="426" t="s">
        <v>23</v>
      </c>
      <c r="J5" s="426" t="s">
        <v>24</v>
      </c>
      <c r="K5" s="426" t="s">
        <v>25</v>
      </c>
    </row>
    <row r="6" spans="1:58" s="318" customFormat="1" ht="15" customHeight="1" x14ac:dyDescent="0.2">
      <c r="A6" s="429"/>
      <c r="B6" s="430"/>
      <c r="C6" s="430"/>
      <c r="D6" s="430"/>
      <c r="E6" s="430"/>
      <c r="F6" s="430"/>
      <c r="G6" s="429"/>
      <c r="H6" s="429"/>
      <c r="I6" s="427"/>
      <c r="J6" s="427"/>
      <c r="K6" s="427"/>
    </row>
    <row r="7" spans="1:58" s="318" customFormat="1" ht="15" customHeight="1" x14ac:dyDescent="0.2">
      <c r="A7" s="429"/>
      <c r="B7" s="430"/>
      <c r="C7" s="430"/>
      <c r="D7" s="430"/>
      <c r="E7" s="430"/>
      <c r="F7" s="430"/>
      <c r="G7" s="429"/>
      <c r="H7" s="429"/>
      <c r="I7" s="428"/>
      <c r="J7" s="428"/>
      <c r="K7" s="428"/>
      <c r="L7" s="319"/>
    </row>
    <row r="8" spans="1:58" s="318" customFormat="1" ht="15" customHeight="1" x14ac:dyDescent="0.2">
      <c r="A8" s="320">
        <v>1</v>
      </c>
      <c r="B8" s="433" t="str">
        <f>PLANILHA!D7</f>
        <v>SERVIÇOS PRELIMINARES</v>
      </c>
      <c r="C8" s="434"/>
      <c r="D8" s="434"/>
      <c r="E8" s="434"/>
      <c r="F8" s="434"/>
      <c r="G8" s="321">
        <f>PLANILHA!I17/PLANILHA!I63</f>
        <v>4.5167971673515848E-2</v>
      </c>
      <c r="H8" s="325">
        <f>PLANILHA!I17</f>
        <v>50556.95</v>
      </c>
      <c r="I8" s="326">
        <f>(((PLANILHA!I8+PLANILHA!I9+PLANILHA!I10)+((PLANILHA!I11+PLANILHA!I12+PLANILHA!I13+PLANILHA!I14+PLANILHA!I16)/3)))</f>
        <v>19042.176666666666</v>
      </c>
      <c r="J8" s="326">
        <f>((PLANILHA!I11+PLANILHA!I12+PLANILHA!I13+PLANILHA!I14+PLANILHA!I16)/3)</f>
        <v>13542.936666666666</v>
      </c>
      <c r="K8" s="326">
        <f>((PLANILHA!I11+PLANILHA!I12+PLANILHA!I13+PLANILHA!I14+PLANILHA!I16)/3)+PLANILHA!I15</f>
        <v>17971.836666666666</v>
      </c>
    </row>
    <row r="9" spans="1:58" s="318" customFormat="1" ht="15" customHeight="1" x14ac:dyDescent="0.2">
      <c r="A9" s="320">
        <v>2</v>
      </c>
      <c r="B9" s="433" t="str">
        <f>PLANILHA!D19</f>
        <v>RECAPEAMENTO ASFÁLTICO</v>
      </c>
      <c r="C9" s="434"/>
      <c r="D9" s="434"/>
      <c r="E9" s="434"/>
      <c r="F9" s="434"/>
      <c r="G9" s="321">
        <f>(PLANILHA!I24+PLANILHA!I35+PLANILHA!I46)/PLANILHA!I63</f>
        <v>0.78094333524971005</v>
      </c>
      <c r="H9" s="325">
        <f>PLANILHA!I24+PLANILHA!I35+PLANILHA!I46</f>
        <v>874117.47063690005</v>
      </c>
      <c r="I9" s="326">
        <f>$H$9/2.5</f>
        <v>349646.98825476004</v>
      </c>
      <c r="J9" s="326">
        <f>$H$9/2.5</f>
        <v>349646.98825476004</v>
      </c>
      <c r="K9" s="326">
        <f>H9/5</f>
        <v>174823.49412738002</v>
      </c>
    </row>
    <row r="10" spans="1:58" s="318" customFormat="1" ht="15" customHeight="1" x14ac:dyDescent="0.2">
      <c r="A10" s="320">
        <v>3</v>
      </c>
      <c r="B10" s="433" t="str">
        <f>PLANILHA!D25</f>
        <v>SINALIZAÇÃO</v>
      </c>
      <c r="C10" s="434"/>
      <c r="D10" s="434"/>
      <c r="E10" s="434"/>
      <c r="F10" s="434"/>
      <c r="G10" s="321">
        <f>(PLANILHA!I28+PLANILHA!I39+PLANILHA!I50)/PLANILHA!I63</f>
        <v>1.7176988364857395E-2</v>
      </c>
      <c r="H10" s="325">
        <f>PLANILHA!I28+PLANILHA!I39+PLANILHA!I50</f>
        <v>19226.370140988001</v>
      </c>
      <c r="I10" s="326"/>
      <c r="J10" s="326"/>
      <c r="K10" s="326">
        <f>H10</f>
        <v>19226.370140988001</v>
      </c>
      <c r="M10" s="322"/>
    </row>
    <row r="11" spans="1:58" s="318" customFormat="1" ht="15" customHeight="1" x14ac:dyDescent="0.2">
      <c r="A11" s="320">
        <v>4</v>
      </c>
      <c r="B11" s="433" t="str">
        <f>PLANILHA!D53</f>
        <v>SERVIÇOS COMPLEMENTARES</v>
      </c>
      <c r="C11" s="433"/>
      <c r="D11" s="433"/>
      <c r="E11" s="433"/>
      <c r="F11" s="433"/>
      <c r="G11" s="321">
        <f>PLANILHA!I62/PLANILHA!I63</f>
        <v>0.1567117047119167</v>
      </c>
      <c r="H11" s="325">
        <f>PLANILHA!I62</f>
        <v>175408.93526951739</v>
      </c>
      <c r="I11" s="326">
        <f>$H$11/3</f>
        <v>58469.645089839127</v>
      </c>
      <c r="J11" s="326">
        <f>$H$11/3</f>
        <v>58469.645089839127</v>
      </c>
      <c r="K11" s="326">
        <f>$H$11/3</f>
        <v>58469.645089839127</v>
      </c>
    </row>
    <row r="12" spans="1:58" s="318" customFormat="1" ht="15" customHeight="1" x14ac:dyDescent="0.2">
      <c r="A12" s="431" t="s">
        <v>396</v>
      </c>
      <c r="B12" s="431"/>
      <c r="C12" s="431"/>
      <c r="D12" s="431"/>
      <c r="E12" s="431"/>
      <c r="F12" s="431"/>
      <c r="G12" s="431"/>
      <c r="H12" s="329">
        <f>H13/$H$13</f>
        <v>1</v>
      </c>
      <c r="I12" s="329">
        <f t="shared" ref="I12:K12" si="0">I13/$H$13</f>
        <v>0.38162699748860629</v>
      </c>
      <c r="J12" s="329">
        <f t="shared" si="0"/>
        <v>0.37671393377440149</v>
      </c>
      <c r="K12" s="329">
        <f t="shared" si="0"/>
        <v>0.24165906873699217</v>
      </c>
    </row>
    <row r="13" spans="1:58" s="323" customFormat="1" ht="15" customHeight="1" x14ac:dyDescent="0.2">
      <c r="A13" s="431" t="s">
        <v>26</v>
      </c>
      <c r="B13" s="431"/>
      <c r="C13" s="431"/>
      <c r="D13" s="431"/>
      <c r="E13" s="431"/>
      <c r="F13" s="431"/>
      <c r="G13" s="431"/>
      <c r="H13" s="327">
        <f>SUM(H8:H11)</f>
        <v>1119309.7260474055</v>
      </c>
      <c r="I13" s="327">
        <f t="shared" ref="I13:K13" si="1">SUM(I8:I11)</f>
        <v>427158.8100112658</v>
      </c>
      <c r="J13" s="327">
        <f>SUM(J8:J11)</f>
        <v>421659.57001126581</v>
      </c>
      <c r="K13" s="327">
        <f t="shared" si="1"/>
        <v>270491.34602487384</v>
      </c>
    </row>
    <row r="14" spans="1:58" s="323" customFormat="1" ht="15" customHeight="1" x14ac:dyDescent="0.2">
      <c r="A14" s="431" t="s">
        <v>397</v>
      </c>
      <c r="B14" s="431"/>
      <c r="C14" s="431"/>
      <c r="D14" s="431"/>
      <c r="E14" s="431"/>
      <c r="F14" s="431"/>
      <c r="G14" s="431"/>
      <c r="H14" s="330">
        <f>H15/$H$13</f>
        <v>0</v>
      </c>
      <c r="I14" s="330">
        <f>I15/$H$13</f>
        <v>0.38162699748860629</v>
      </c>
      <c r="J14" s="330">
        <f t="shared" ref="J14:K14" si="2">J15/$H$13</f>
        <v>0.75834093126300783</v>
      </c>
      <c r="K14" s="330">
        <f t="shared" si="2"/>
        <v>1</v>
      </c>
    </row>
    <row r="15" spans="1:58" s="323" customFormat="1" ht="15" customHeight="1" x14ac:dyDescent="0.2">
      <c r="A15" s="432" t="s">
        <v>27</v>
      </c>
      <c r="B15" s="432"/>
      <c r="C15" s="432"/>
      <c r="D15" s="432"/>
      <c r="E15" s="432"/>
      <c r="F15" s="432"/>
      <c r="G15" s="432"/>
      <c r="H15" s="327"/>
      <c r="I15" s="327">
        <f>I13</f>
        <v>427158.8100112658</v>
      </c>
      <c r="J15" s="327">
        <f>I15+J13</f>
        <v>848818.38002253161</v>
      </c>
      <c r="K15" s="327">
        <f>J15+K13</f>
        <v>1119309.7260474055</v>
      </c>
    </row>
    <row r="17" spans="1:11" ht="15" customHeight="1" x14ac:dyDescent="0.2">
      <c r="K17" s="324"/>
    </row>
    <row r="20" spans="1:11" ht="15" customHeight="1" x14ac:dyDescent="0.2">
      <c r="A20" s="315"/>
      <c r="B20" s="315"/>
      <c r="C20" s="315"/>
      <c r="D20" s="315"/>
      <c r="E20" s="315"/>
      <c r="F20" s="315"/>
      <c r="G20" s="315"/>
      <c r="H20" s="315"/>
    </row>
    <row r="21" spans="1:11" ht="15" customHeight="1" x14ac:dyDescent="0.2">
      <c r="A21" s="315"/>
      <c r="B21" s="315"/>
      <c r="C21" s="315"/>
      <c r="D21" s="315"/>
      <c r="E21" s="315"/>
      <c r="F21" s="315"/>
      <c r="G21" s="315"/>
      <c r="H21" s="315"/>
    </row>
    <row r="22" spans="1:11" ht="15" customHeight="1" x14ac:dyDescent="0.2">
      <c r="A22" s="315"/>
      <c r="B22" s="315"/>
      <c r="C22" s="315"/>
      <c r="D22" s="315"/>
      <c r="E22" s="315"/>
      <c r="F22" s="315"/>
      <c r="G22" s="315"/>
      <c r="H22" s="315"/>
    </row>
    <row r="23" spans="1:11" ht="15" customHeight="1" x14ac:dyDescent="0.2">
      <c r="A23" s="315"/>
      <c r="B23" s="315"/>
      <c r="C23" s="315"/>
      <c r="D23" s="315"/>
      <c r="E23" s="315"/>
      <c r="F23" s="315"/>
      <c r="G23" s="315"/>
      <c r="H23" s="315"/>
    </row>
    <row r="24" spans="1:11" ht="15" customHeight="1" x14ac:dyDescent="0.2">
      <c r="A24" s="315"/>
      <c r="B24" s="315"/>
      <c r="C24" s="315"/>
      <c r="D24" s="315"/>
      <c r="E24" s="315"/>
      <c r="F24" s="315"/>
      <c r="G24" s="315"/>
      <c r="H24" s="315"/>
    </row>
  </sheetData>
  <mergeCells count="19">
    <mergeCell ref="A15:G15"/>
    <mergeCell ref="A12:G12"/>
    <mergeCell ref="A14:G14"/>
    <mergeCell ref="B8:F8"/>
    <mergeCell ref="B10:F10"/>
    <mergeCell ref="B9:F9"/>
    <mergeCell ref="B11:F11"/>
    <mergeCell ref="A5:A7"/>
    <mergeCell ref="B5:F7"/>
    <mergeCell ref="G5:G7"/>
    <mergeCell ref="H5:H7"/>
    <mergeCell ref="A13:G13"/>
    <mergeCell ref="C1:K1"/>
    <mergeCell ref="C2:K2"/>
    <mergeCell ref="C3:K3"/>
    <mergeCell ref="C4:K4"/>
    <mergeCell ref="I5:I7"/>
    <mergeCell ref="J5:J7"/>
    <mergeCell ref="K5:K7"/>
  </mergeCells>
  <printOptions horizontalCentered="1"/>
  <pageMargins left="0.78740157480314965" right="0.78740157480314965" top="1.1811023622047245" bottom="0.98425196850393704" header="0" footer="0"/>
  <pageSetup paperSize="9" orientation="landscape" horizontalDpi="4294967294" verticalDpi="4294967294" r:id="rId1"/>
  <headerFooter alignWithMargins="0"/>
  <drawing r:id="rId2"/>
  <legacyDrawing r:id="rId3"/>
  <oleObjects>
    <mc:AlternateContent xmlns:mc="http://schemas.openxmlformats.org/markup-compatibility/2006">
      <mc:Choice Requires="x14">
        <oleObject progId="StaticMetafile" shapeId="5122" r:id="rId4">
          <objectPr defaultSize="0" autoPict="0" r:id="rId5">
            <anchor moveWithCells="1" sizeWithCells="1">
              <from>
                <xdr:col>0</xdr:col>
                <xdr:colOff>161925</xdr:colOff>
                <xdr:row>0</xdr:row>
                <xdr:rowOff>28575</xdr:rowOff>
              </from>
              <to>
                <xdr:col>1</xdr:col>
                <xdr:colOff>552450</xdr:colOff>
                <xdr:row>3</xdr:row>
                <xdr:rowOff>180975</xdr:rowOff>
              </to>
            </anchor>
          </objectPr>
        </oleObject>
      </mc:Choice>
      <mc:Fallback>
        <oleObject progId="StaticMetafile" shapeId="5122"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view="pageBreakPreview" zoomScaleNormal="100" zoomScaleSheetLayoutView="100" workbookViewId="0">
      <selection activeCell="G25" sqref="G25"/>
    </sheetView>
  </sheetViews>
  <sheetFormatPr defaultRowHeight="12.75" x14ac:dyDescent="0.2"/>
  <cols>
    <col min="1" max="1" width="14.28515625" customWidth="1"/>
    <col min="2" max="2" width="13.5703125" customWidth="1"/>
    <col min="3" max="3" width="15.42578125" customWidth="1"/>
    <col min="4" max="4" width="17.28515625" customWidth="1"/>
    <col min="5" max="5" width="14.85546875" customWidth="1"/>
    <col min="6" max="6" width="12.28515625" customWidth="1"/>
    <col min="7" max="7" width="17.28515625" customWidth="1"/>
    <col min="8" max="8" width="8.42578125" customWidth="1"/>
  </cols>
  <sheetData>
    <row r="1" spans="1:8" ht="39" customHeight="1" x14ac:dyDescent="0.2">
      <c r="A1" s="30"/>
      <c r="B1" s="31"/>
      <c r="C1" s="32"/>
      <c r="D1" s="32"/>
      <c r="E1" s="33"/>
      <c r="F1" s="33"/>
      <c r="G1" s="33"/>
      <c r="H1" s="34"/>
    </row>
    <row r="2" spans="1:8" ht="54.75" customHeight="1" x14ac:dyDescent="0.2">
      <c r="A2" s="442" t="str">
        <f>'[1]PLANILHA ORÇAMENTARIA'!A1</f>
        <v>PREFEITURA MUNICIPAL DE JOÃO NEIVA
SECRETARIA MUNICIPAL DE OBRAS E SERVIÇOS URBANOS</v>
      </c>
      <c r="B2" s="443"/>
      <c r="C2" s="443"/>
      <c r="D2" s="443"/>
      <c r="E2" s="443"/>
      <c r="F2" s="443"/>
      <c r="G2" s="443"/>
      <c r="H2" s="444"/>
    </row>
    <row r="3" spans="1:8" ht="12.75" customHeight="1" x14ac:dyDescent="0.2">
      <c r="A3" s="158"/>
      <c r="B3" s="159"/>
      <c r="C3" s="159"/>
      <c r="D3" s="159"/>
      <c r="E3" s="159"/>
      <c r="F3" s="159"/>
      <c r="G3" s="159"/>
      <c r="H3" s="160"/>
    </row>
    <row r="4" spans="1:8" ht="12.75" customHeight="1" x14ac:dyDescent="0.2">
      <c r="A4" s="449" t="s">
        <v>193</v>
      </c>
      <c r="B4" s="450"/>
      <c r="C4" s="450"/>
      <c r="D4" s="450"/>
      <c r="E4" s="450"/>
      <c r="F4" s="450"/>
      <c r="G4" s="450"/>
      <c r="H4" s="451"/>
    </row>
    <row r="5" spans="1:8" ht="12.75" customHeight="1" x14ac:dyDescent="0.2">
      <c r="A5" s="155"/>
      <c r="B5" s="156"/>
      <c r="C5" s="156"/>
      <c r="D5" s="156"/>
      <c r="E5" s="156"/>
      <c r="F5" s="156"/>
      <c r="G5" s="156"/>
      <c r="H5" s="157"/>
    </row>
    <row r="6" spans="1:8" ht="15" x14ac:dyDescent="0.2">
      <c r="A6" s="452" t="str">
        <f>[1]RESUMO!A4</f>
        <v>Local: CENTRO - JOÃO NEIVA/ES</v>
      </c>
      <c r="B6" s="453"/>
      <c r="C6" s="453"/>
      <c r="D6" s="453"/>
      <c r="E6" s="453"/>
      <c r="F6" s="453"/>
      <c r="G6" s="453"/>
      <c r="H6" s="454"/>
    </row>
    <row r="7" spans="1:8" ht="30" customHeight="1" x14ac:dyDescent="0.3">
      <c r="A7" s="152"/>
      <c r="B7" s="153"/>
      <c r="C7" s="153"/>
      <c r="D7" s="153"/>
      <c r="E7" s="153"/>
      <c r="F7" s="153"/>
      <c r="G7" s="153"/>
      <c r="H7" s="154"/>
    </row>
    <row r="8" spans="1:8" ht="18.75" customHeight="1" x14ac:dyDescent="0.3">
      <c r="A8" s="455" t="s">
        <v>97</v>
      </c>
      <c r="B8" s="456"/>
      <c r="C8" s="456"/>
      <c r="D8" s="456"/>
      <c r="E8" s="456"/>
      <c r="F8" s="456"/>
      <c r="G8" s="456"/>
      <c r="H8" s="457"/>
    </row>
    <row r="9" spans="1:8" x14ac:dyDescent="0.2">
      <c r="A9" s="35"/>
      <c r="B9" s="36"/>
      <c r="C9" s="36"/>
      <c r="D9" s="36"/>
      <c r="E9" s="36"/>
      <c r="F9" s="36"/>
      <c r="G9" s="36"/>
      <c r="H9" s="37"/>
    </row>
    <row r="10" spans="1:8" ht="14.25" x14ac:dyDescent="0.2">
      <c r="A10" s="35"/>
      <c r="B10" s="36"/>
      <c r="C10" s="36"/>
      <c r="D10" s="38" t="s">
        <v>98</v>
      </c>
      <c r="E10" s="39"/>
      <c r="F10" s="36"/>
      <c r="G10" s="36"/>
      <c r="H10" s="37"/>
    </row>
    <row r="11" spans="1:8" ht="15.75" x14ac:dyDescent="0.25">
      <c r="A11" s="35"/>
      <c r="B11" s="40" t="s">
        <v>99</v>
      </c>
      <c r="C11" s="41"/>
      <c r="D11" s="42"/>
      <c r="E11" s="36"/>
      <c r="F11" s="36"/>
      <c r="G11" s="36"/>
      <c r="H11" s="37"/>
    </row>
    <row r="12" spans="1:8" ht="15.75" x14ac:dyDescent="0.25">
      <c r="A12" s="35"/>
      <c r="B12" s="43" t="s">
        <v>100</v>
      </c>
      <c r="C12" s="44"/>
      <c r="D12" s="45">
        <v>5.8999999999999999E-3</v>
      </c>
      <c r="E12" s="36"/>
      <c r="F12" s="36"/>
      <c r="G12" s="46"/>
      <c r="H12" s="37"/>
    </row>
    <row r="13" spans="1:8" ht="15.75" x14ac:dyDescent="0.25">
      <c r="A13" s="35"/>
      <c r="B13" s="445" t="s">
        <v>101</v>
      </c>
      <c r="C13" s="446"/>
      <c r="D13" s="47">
        <f>D12</f>
        <v>5.8999999999999999E-3</v>
      </c>
      <c r="E13" s="36"/>
      <c r="F13" s="36"/>
      <c r="G13" s="46"/>
      <c r="H13" s="37"/>
    </row>
    <row r="14" spans="1:8" ht="15.75" x14ac:dyDescent="0.25">
      <c r="A14" s="35"/>
      <c r="B14" s="40" t="s">
        <v>102</v>
      </c>
      <c r="C14" s="41"/>
      <c r="D14" s="42"/>
      <c r="E14" s="36"/>
      <c r="F14" s="36"/>
      <c r="G14" s="46"/>
      <c r="H14" s="37"/>
    </row>
    <row r="15" spans="1:8" ht="15.75" x14ac:dyDescent="0.25">
      <c r="A15" s="35"/>
      <c r="B15" s="43" t="s">
        <v>103</v>
      </c>
      <c r="C15" s="43"/>
      <c r="D15" s="48">
        <v>0.04</v>
      </c>
      <c r="E15" s="36"/>
      <c r="F15" s="36"/>
      <c r="G15" s="46"/>
      <c r="H15" s="37"/>
    </row>
    <row r="16" spans="1:8" ht="15.75" x14ac:dyDescent="0.25">
      <c r="A16" s="35"/>
      <c r="B16" s="445" t="s">
        <v>104</v>
      </c>
      <c r="C16" s="446"/>
      <c r="D16" s="47">
        <f>SUM(D15:D15)</f>
        <v>0.04</v>
      </c>
      <c r="E16" s="36"/>
      <c r="F16" s="36"/>
      <c r="G16" s="46"/>
      <c r="H16" s="37"/>
    </row>
    <row r="17" spans="1:8" ht="15.75" x14ac:dyDescent="0.25">
      <c r="A17" s="35"/>
      <c r="B17" s="40" t="s">
        <v>105</v>
      </c>
      <c r="C17" s="43"/>
      <c r="D17" s="48"/>
      <c r="E17" s="36"/>
      <c r="F17" s="36"/>
      <c r="G17" s="46"/>
      <c r="H17" s="37"/>
    </row>
    <row r="18" spans="1:8" ht="15.75" x14ac:dyDescent="0.25">
      <c r="A18" s="35"/>
      <c r="B18" s="43" t="s">
        <v>106</v>
      </c>
      <c r="C18" s="43"/>
      <c r="D18" s="48">
        <v>6.8599999999999994E-2</v>
      </c>
      <c r="E18" s="36"/>
      <c r="F18" s="36"/>
      <c r="G18" s="36"/>
      <c r="H18" s="37"/>
    </row>
    <row r="19" spans="1:8" ht="15.75" x14ac:dyDescent="0.25">
      <c r="A19" s="35"/>
      <c r="B19" s="445" t="s">
        <v>107</v>
      </c>
      <c r="C19" s="446"/>
      <c r="D19" s="49">
        <f>D18</f>
        <v>6.8599999999999994E-2</v>
      </c>
      <c r="E19" s="36"/>
      <c r="F19" s="36"/>
      <c r="G19" s="46"/>
      <c r="H19" s="37"/>
    </row>
    <row r="20" spans="1:8" ht="15.75" x14ac:dyDescent="0.25">
      <c r="A20" s="35"/>
      <c r="B20" s="40" t="s">
        <v>108</v>
      </c>
      <c r="C20" s="43"/>
      <c r="D20" s="48"/>
      <c r="E20" s="36"/>
      <c r="F20" s="36"/>
      <c r="G20" s="36"/>
      <c r="H20" s="37"/>
    </row>
    <row r="21" spans="1:8" ht="15.75" x14ac:dyDescent="0.25">
      <c r="A21" s="35"/>
      <c r="B21" s="43" t="s">
        <v>109</v>
      </c>
      <c r="C21" s="43"/>
      <c r="D21" s="48">
        <v>8.0000000000000002E-3</v>
      </c>
      <c r="E21" s="36"/>
      <c r="F21" s="36"/>
      <c r="G21" s="36"/>
      <c r="H21" s="37"/>
    </row>
    <row r="22" spans="1:8" ht="15.75" x14ac:dyDescent="0.25">
      <c r="A22" s="35"/>
      <c r="B22" s="447" t="s">
        <v>110</v>
      </c>
      <c r="C22" s="448"/>
      <c r="D22" s="48">
        <v>9.7000000000000003E-3</v>
      </c>
      <c r="E22" s="36"/>
      <c r="F22" s="36"/>
      <c r="G22" s="36"/>
      <c r="H22" s="37"/>
    </row>
    <row r="23" spans="1:8" ht="15.75" x14ac:dyDescent="0.25">
      <c r="A23" s="35"/>
      <c r="B23" s="445" t="s">
        <v>111</v>
      </c>
      <c r="C23" s="446"/>
      <c r="D23" s="49">
        <f>SUM(D21:D22)</f>
        <v>1.77E-2</v>
      </c>
      <c r="E23" s="36"/>
      <c r="F23" s="36"/>
      <c r="G23" s="36"/>
      <c r="H23" s="37"/>
    </row>
    <row r="24" spans="1:8" ht="15.75" x14ac:dyDescent="0.25">
      <c r="A24" s="35"/>
      <c r="B24" s="40" t="s">
        <v>112</v>
      </c>
      <c r="C24" s="43"/>
      <c r="D24" s="48"/>
      <c r="E24" s="36"/>
      <c r="F24" s="36"/>
      <c r="G24" s="36"/>
      <c r="H24" s="37"/>
    </row>
    <row r="25" spans="1:8" ht="15.75" x14ac:dyDescent="0.25">
      <c r="A25" s="35"/>
      <c r="B25" s="447" t="s">
        <v>113</v>
      </c>
      <c r="C25" s="448"/>
      <c r="D25" s="45">
        <v>0.02</v>
      </c>
      <c r="E25" s="36"/>
      <c r="F25" s="36"/>
      <c r="G25" s="36"/>
      <c r="H25" s="37"/>
    </row>
    <row r="26" spans="1:8" ht="15.75" x14ac:dyDescent="0.25">
      <c r="A26" s="35"/>
      <c r="B26" s="447" t="s">
        <v>114</v>
      </c>
      <c r="C26" s="448"/>
      <c r="D26" s="45">
        <v>6.4999999999999997E-3</v>
      </c>
      <c r="E26" s="36"/>
      <c r="F26" s="36"/>
      <c r="G26" s="36"/>
      <c r="H26" s="37"/>
    </row>
    <row r="27" spans="1:8" ht="15.75" x14ac:dyDescent="0.25">
      <c r="A27" s="35"/>
      <c r="B27" s="447" t="s">
        <v>115</v>
      </c>
      <c r="C27" s="448"/>
      <c r="D27" s="45">
        <v>0.03</v>
      </c>
      <c r="E27" s="36"/>
      <c r="F27" s="36"/>
      <c r="G27" s="36"/>
      <c r="H27" s="37"/>
    </row>
    <row r="28" spans="1:8" ht="15.75" x14ac:dyDescent="0.25">
      <c r="A28" s="35"/>
      <c r="B28" s="447" t="s">
        <v>116</v>
      </c>
      <c r="C28" s="448"/>
      <c r="D28" s="45">
        <v>4.4999999999999998E-2</v>
      </c>
      <c r="E28" s="36"/>
      <c r="F28" s="36"/>
      <c r="G28" s="36"/>
      <c r="H28" s="37"/>
    </row>
    <row r="29" spans="1:8" ht="15.75" x14ac:dyDescent="0.25">
      <c r="A29" s="35"/>
      <c r="B29" s="445" t="s">
        <v>117</v>
      </c>
      <c r="C29" s="446"/>
      <c r="D29" s="49">
        <f>SUM(D25:D28)</f>
        <v>0.10149999999999999</v>
      </c>
      <c r="E29" s="36"/>
      <c r="F29" s="36"/>
      <c r="G29" s="36"/>
      <c r="H29" s="37"/>
    </row>
    <row r="30" spans="1:8" ht="15.75" x14ac:dyDescent="0.25">
      <c r="A30" s="35"/>
      <c r="B30" s="50"/>
      <c r="C30" s="50"/>
      <c r="D30" s="51"/>
      <c r="E30" s="36"/>
      <c r="F30" s="36"/>
      <c r="G30" s="36"/>
      <c r="H30" s="37"/>
    </row>
    <row r="31" spans="1:8" ht="15.75" x14ac:dyDescent="0.25">
      <c r="A31" s="35"/>
      <c r="B31" s="460" t="s">
        <v>118</v>
      </c>
      <c r="C31" s="461"/>
      <c r="D31" s="49">
        <f>((1+(D16+D23))*(1+D13)*(1+D19))/(1-D29) - 1</f>
        <v>0.26536087200667802</v>
      </c>
      <c r="E31" s="52"/>
      <c r="F31" s="52"/>
      <c r="G31" s="46"/>
      <c r="H31" s="37"/>
    </row>
    <row r="32" spans="1:8" x14ac:dyDescent="0.2">
      <c r="A32" s="35"/>
      <c r="B32" s="36"/>
      <c r="C32" s="36"/>
      <c r="D32" s="36"/>
      <c r="E32" s="36"/>
      <c r="F32" s="36"/>
      <c r="G32" s="36"/>
      <c r="H32" s="37"/>
    </row>
    <row r="33" spans="1:8" x14ac:dyDescent="0.2">
      <c r="A33" s="53" t="s">
        <v>119</v>
      </c>
      <c r="B33" s="54"/>
      <c r="C33" s="54"/>
      <c r="D33" s="54"/>
      <c r="E33" s="55"/>
      <c r="F33" s="56"/>
      <c r="G33" s="56"/>
      <c r="H33" s="57"/>
    </row>
    <row r="34" spans="1:8" x14ac:dyDescent="0.2">
      <c r="A34" s="58"/>
      <c r="B34" s="54"/>
      <c r="C34" s="54"/>
      <c r="D34" s="54"/>
      <c r="E34" s="55"/>
      <c r="F34" s="56"/>
      <c r="G34" s="56"/>
      <c r="H34" s="57"/>
    </row>
    <row r="35" spans="1:8" x14ac:dyDescent="0.2">
      <c r="A35" s="59" t="s">
        <v>120</v>
      </c>
      <c r="B35" s="60" t="s">
        <v>121</v>
      </c>
      <c r="C35" s="54"/>
      <c r="D35" s="54"/>
      <c r="E35" s="55"/>
      <c r="F35" s="56"/>
      <c r="G35" s="56"/>
      <c r="H35" s="57"/>
    </row>
    <row r="36" spans="1:8" x14ac:dyDescent="0.2">
      <c r="A36" s="58"/>
      <c r="B36" s="60" t="s">
        <v>122</v>
      </c>
      <c r="C36" s="54"/>
      <c r="D36" s="54"/>
      <c r="E36" s="55"/>
      <c r="F36" s="56"/>
      <c r="G36" s="56"/>
      <c r="H36" s="57"/>
    </row>
    <row r="37" spans="1:8" x14ac:dyDescent="0.2">
      <c r="A37" s="58"/>
      <c r="B37" s="458" t="s">
        <v>123</v>
      </c>
      <c r="C37" s="458"/>
      <c r="D37" s="458"/>
      <c r="E37" s="458"/>
      <c r="F37" s="56"/>
      <c r="G37" s="56"/>
      <c r="H37" s="57"/>
    </row>
    <row r="38" spans="1:8" x14ac:dyDescent="0.2">
      <c r="A38" s="58"/>
      <c r="B38" s="458" t="s">
        <v>124</v>
      </c>
      <c r="C38" s="458"/>
      <c r="D38" s="458"/>
      <c r="E38" s="458"/>
      <c r="F38" s="56"/>
      <c r="G38" s="56"/>
      <c r="H38" s="57"/>
    </row>
    <row r="39" spans="1:8" x14ac:dyDescent="0.2">
      <c r="A39" s="58"/>
      <c r="B39" s="61" t="s">
        <v>125</v>
      </c>
      <c r="C39" s="54"/>
      <c r="D39" s="54"/>
      <c r="E39" s="55"/>
      <c r="F39" s="56"/>
      <c r="G39" s="56"/>
      <c r="H39" s="57"/>
    </row>
    <row r="40" spans="1:8" x14ac:dyDescent="0.2">
      <c r="A40" s="58"/>
      <c r="B40" s="60" t="s">
        <v>126</v>
      </c>
      <c r="C40" s="54"/>
      <c r="D40" s="54"/>
      <c r="E40" s="55"/>
      <c r="F40" s="56"/>
      <c r="G40" s="56"/>
      <c r="H40" s="57"/>
    </row>
    <row r="41" spans="1:8" x14ac:dyDescent="0.2">
      <c r="A41" s="58"/>
      <c r="B41" s="60" t="s">
        <v>127</v>
      </c>
      <c r="C41" s="54"/>
      <c r="D41" s="54"/>
      <c r="E41" s="55"/>
      <c r="F41" s="56"/>
      <c r="G41" s="56"/>
      <c r="H41" s="57"/>
    </row>
    <row r="42" spans="1:8" x14ac:dyDescent="0.2">
      <c r="A42" s="58"/>
      <c r="B42" s="60" t="s">
        <v>128</v>
      </c>
      <c r="C42" s="54"/>
      <c r="D42" s="54"/>
      <c r="E42" s="55"/>
      <c r="F42" s="56"/>
      <c r="G42" s="56"/>
      <c r="H42" s="57"/>
    </row>
    <row r="43" spans="1:8" x14ac:dyDescent="0.2">
      <c r="A43" s="58"/>
      <c r="B43" s="60" t="s">
        <v>129</v>
      </c>
      <c r="C43" s="54"/>
      <c r="D43" s="54"/>
      <c r="E43" s="55"/>
      <c r="F43" s="56"/>
      <c r="G43" s="56"/>
      <c r="H43" s="57"/>
    </row>
    <row r="44" spans="1:8" x14ac:dyDescent="0.2">
      <c r="A44" s="58"/>
      <c r="B44" s="62"/>
      <c r="C44" s="63"/>
      <c r="D44" s="54"/>
      <c r="E44" s="55"/>
      <c r="F44" s="56"/>
      <c r="G44" s="56"/>
      <c r="H44" s="57"/>
    </row>
    <row r="45" spans="1:8" x14ac:dyDescent="0.2">
      <c r="A45" s="64" t="s">
        <v>130</v>
      </c>
      <c r="B45" s="459" t="s">
        <v>131</v>
      </c>
      <c r="C45" s="459"/>
      <c r="D45" s="459"/>
      <c r="E45" s="459"/>
      <c r="F45" s="65"/>
      <c r="G45" s="65"/>
      <c r="H45" s="66"/>
    </row>
    <row r="46" spans="1:8" x14ac:dyDescent="0.2">
      <c r="A46" s="59"/>
      <c r="B46" s="54"/>
      <c r="C46" s="63"/>
      <c r="D46" s="54"/>
      <c r="E46" s="55"/>
      <c r="F46" s="56"/>
      <c r="G46" s="56"/>
      <c r="H46" s="57"/>
    </row>
    <row r="47" spans="1:8" ht="34.5" customHeight="1" x14ac:dyDescent="0.2">
      <c r="A47" s="58"/>
      <c r="B47" s="437" t="s">
        <v>132</v>
      </c>
      <c r="C47" s="437"/>
      <c r="D47" s="437"/>
      <c r="E47" s="437"/>
      <c r="F47" s="67"/>
      <c r="G47" s="67"/>
      <c r="H47" s="68"/>
    </row>
    <row r="48" spans="1:8" ht="62.25" customHeight="1" x14ac:dyDescent="0.2">
      <c r="A48" s="58"/>
      <c r="B48" s="438" t="s">
        <v>133</v>
      </c>
      <c r="C48" s="438"/>
      <c r="D48" s="438"/>
      <c r="E48" s="438"/>
      <c r="F48" s="438"/>
      <c r="G48" s="438"/>
      <c r="H48" s="150"/>
    </row>
    <row r="49" spans="1:8" x14ac:dyDescent="0.2">
      <c r="A49" s="58"/>
      <c r="B49" s="69"/>
      <c r="C49" s="69"/>
      <c r="D49" s="69"/>
      <c r="E49" s="69"/>
      <c r="F49" s="69"/>
      <c r="G49" s="69"/>
      <c r="H49" s="70"/>
    </row>
    <row r="50" spans="1:8" ht="13.5" thickBot="1" x14ac:dyDescent="0.25">
      <c r="A50" s="71"/>
      <c r="B50" s="72"/>
      <c r="C50" s="72"/>
      <c r="D50" s="72"/>
      <c r="E50" s="72"/>
      <c r="F50" s="72"/>
      <c r="G50" s="72"/>
      <c r="H50" s="73"/>
    </row>
    <row r="51" spans="1:8" ht="26.25" customHeight="1" x14ac:dyDescent="0.2">
      <c r="A51" s="58"/>
      <c r="B51" s="69"/>
      <c r="C51" s="69"/>
      <c r="D51" s="69"/>
      <c r="E51" s="69"/>
      <c r="F51" s="69"/>
      <c r="G51" s="69"/>
      <c r="H51" s="70"/>
    </row>
    <row r="52" spans="1:8" ht="33.75" customHeight="1" x14ac:dyDescent="0.2">
      <c r="A52" s="74"/>
      <c r="B52" s="441" t="s">
        <v>134</v>
      </c>
      <c r="C52" s="441"/>
      <c r="D52" s="441"/>
      <c r="E52" s="441"/>
      <c r="F52" s="67"/>
      <c r="G52" s="67"/>
      <c r="H52" s="68"/>
    </row>
    <row r="53" spans="1:8" ht="105" customHeight="1" x14ac:dyDescent="0.2">
      <c r="A53" s="74"/>
      <c r="B53" s="438" t="s">
        <v>135</v>
      </c>
      <c r="C53" s="438"/>
      <c r="D53" s="438"/>
      <c r="E53" s="438"/>
      <c r="F53" s="438"/>
      <c r="G53" s="438"/>
      <c r="H53" s="150"/>
    </row>
    <row r="54" spans="1:8" ht="48" customHeight="1" x14ac:dyDescent="0.2">
      <c r="A54" s="59"/>
      <c r="B54" s="437" t="s">
        <v>136</v>
      </c>
      <c r="C54" s="437"/>
      <c r="D54" s="437"/>
      <c r="E54" s="437"/>
      <c r="F54" s="67"/>
      <c r="G54" s="67"/>
      <c r="H54" s="68"/>
    </row>
    <row r="55" spans="1:8" ht="80.25" customHeight="1" x14ac:dyDescent="0.2">
      <c r="A55" s="59"/>
      <c r="B55" s="438" t="s">
        <v>137</v>
      </c>
      <c r="C55" s="438"/>
      <c r="D55" s="438"/>
      <c r="E55" s="438"/>
      <c r="F55" s="438"/>
      <c r="G55" s="438"/>
      <c r="H55" s="150"/>
    </row>
    <row r="56" spans="1:8" x14ac:dyDescent="0.2">
      <c r="A56" s="59"/>
      <c r="B56" s="69"/>
      <c r="C56" s="69"/>
      <c r="D56" s="69"/>
      <c r="E56" s="69"/>
      <c r="F56" s="69"/>
      <c r="G56" s="69"/>
      <c r="H56" s="70"/>
    </row>
    <row r="57" spans="1:8" ht="37.5" customHeight="1" x14ac:dyDescent="0.2">
      <c r="A57" s="59"/>
      <c r="B57" s="437" t="s">
        <v>138</v>
      </c>
      <c r="C57" s="437"/>
      <c r="D57" s="437"/>
      <c r="E57" s="437"/>
      <c r="F57" s="67"/>
      <c r="G57" s="67"/>
      <c r="H57" s="68"/>
    </row>
    <row r="58" spans="1:8" ht="85.5" customHeight="1" x14ac:dyDescent="0.2">
      <c r="A58" s="59"/>
      <c r="B58" s="438" t="s">
        <v>139</v>
      </c>
      <c r="C58" s="438"/>
      <c r="D58" s="438"/>
      <c r="E58" s="438"/>
      <c r="F58" s="438"/>
      <c r="G58" s="438"/>
      <c r="H58" s="150"/>
    </row>
    <row r="59" spans="1:8" ht="33.75" customHeight="1" x14ac:dyDescent="0.2">
      <c r="A59" s="59"/>
      <c r="B59" s="437" t="s">
        <v>140</v>
      </c>
      <c r="C59" s="437"/>
      <c r="D59" s="437"/>
      <c r="E59" s="437"/>
      <c r="F59" s="67"/>
      <c r="G59" s="67"/>
      <c r="H59" s="68"/>
    </row>
    <row r="60" spans="1:8" ht="68.25" customHeight="1" x14ac:dyDescent="0.2">
      <c r="A60" s="59"/>
      <c r="B60" s="439" t="s">
        <v>215</v>
      </c>
      <c r="C60" s="439"/>
      <c r="D60" s="439"/>
      <c r="E60" s="439"/>
      <c r="F60" s="439"/>
      <c r="G60" s="439"/>
      <c r="H60" s="151"/>
    </row>
    <row r="61" spans="1:8" ht="47.25" customHeight="1" x14ac:dyDescent="0.2">
      <c r="A61" s="59"/>
      <c r="B61" s="439" t="s">
        <v>141</v>
      </c>
      <c r="C61" s="439"/>
      <c r="D61" s="439"/>
      <c r="E61" s="439"/>
      <c r="F61" s="439"/>
      <c r="G61" s="439"/>
      <c r="H61" s="151"/>
    </row>
    <row r="62" spans="1:8" ht="47.25" customHeight="1" x14ac:dyDescent="0.2">
      <c r="A62" s="59"/>
      <c r="B62" s="439" t="s">
        <v>142</v>
      </c>
      <c r="C62" s="439"/>
      <c r="D62" s="439"/>
      <c r="E62" s="439"/>
      <c r="F62" s="439"/>
      <c r="G62" s="439"/>
      <c r="H62" s="151"/>
    </row>
    <row r="63" spans="1:8" x14ac:dyDescent="0.2">
      <c r="A63" s="59"/>
      <c r="B63" s="439"/>
      <c r="C63" s="439"/>
      <c r="D63" s="439"/>
      <c r="E63" s="439"/>
      <c r="F63" s="439"/>
      <c r="G63" s="439"/>
      <c r="H63" s="440"/>
    </row>
    <row r="64" spans="1:8" ht="10.5" customHeight="1" thickBot="1" x14ac:dyDescent="0.25">
      <c r="A64" s="75"/>
      <c r="B64" s="435"/>
      <c r="C64" s="435"/>
      <c r="D64" s="435"/>
      <c r="E64" s="435"/>
      <c r="F64" s="435"/>
      <c r="G64" s="435"/>
      <c r="H64" s="436"/>
    </row>
  </sheetData>
  <mergeCells count="32">
    <mergeCell ref="B27:C27"/>
    <mergeCell ref="A8:H8"/>
    <mergeCell ref="B37:E37"/>
    <mergeCell ref="B38:E38"/>
    <mergeCell ref="B48:G48"/>
    <mergeCell ref="B45:E45"/>
    <mergeCell ref="B28:C28"/>
    <mergeCell ref="B25:C25"/>
    <mergeCell ref="B29:C29"/>
    <mergeCell ref="B31:C31"/>
    <mergeCell ref="B13:C13"/>
    <mergeCell ref="B26:C26"/>
    <mergeCell ref="A2:H2"/>
    <mergeCell ref="B16:C16"/>
    <mergeCell ref="B19:C19"/>
    <mergeCell ref="B22:C22"/>
    <mergeCell ref="B23:C23"/>
    <mergeCell ref="A4:H4"/>
    <mergeCell ref="A6:H6"/>
    <mergeCell ref="B64:H64"/>
    <mergeCell ref="B57:E57"/>
    <mergeCell ref="B59:E59"/>
    <mergeCell ref="B55:G55"/>
    <mergeCell ref="B47:E47"/>
    <mergeCell ref="B63:H63"/>
    <mergeCell ref="B62:G62"/>
    <mergeCell ref="B58:G58"/>
    <mergeCell ref="B60:G60"/>
    <mergeCell ref="B53:G53"/>
    <mergeCell ref="B61:G61"/>
    <mergeCell ref="B52:E52"/>
    <mergeCell ref="B54:E54"/>
  </mergeCells>
  <pageMargins left="0.7" right="0.7" top="0.75" bottom="0.75" header="0.3" footer="0.3"/>
  <pageSetup paperSize="9" scale="4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7"/>
  <sheetViews>
    <sheetView view="pageBreakPreview" zoomScale="110" zoomScaleNormal="110" zoomScaleSheetLayoutView="110" workbookViewId="0">
      <pane ySplit="8" topLeftCell="A9" activePane="bottomLeft" state="frozen"/>
      <selection activeCell="B1" sqref="B1"/>
      <selection pane="bottomLeft" activeCell="E145" sqref="E145"/>
    </sheetView>
  </sheetViews>
  <sheetFormatPr defaultRowHeight="12.75" x14ac:dyDescent="0.2"/>
  <cols>
    <col min="1" max="1" width="13.28515625" style="184" customWidth="1"/>
    <col min="2" max="2" width="46.28515625" style="184" customWidth="1"/>
    <col min="3" max="3" width="21.28515625" style="184" customWidth="1"/>
    <col min="4" max="5" width="17.85546875" style="184" customWidth="1"/>
    <col min="6" max="6" width="20" style="184" customWidth="1"/>
    <col min="7" max="7" width="24.28515625" style="184" customWidth="1"/>
    <col min="8" max="9" width="22.5703125" style="184" customWidth="1"/>
    <col min="10" max="10" width="11.5703125" style="184" customWidth="1"/>
    <col min="11" max="11" width="11.28515625" style="184" customWidth="1"/>
    <col min="12" max="15" width="11.5703125" style="184" bestFit="1" customWidth="1"/>
    <col min="16" max="16384" width="9.140625" style="184"/>
  </cols>
  <sheetData>
    <row r="1" spans="1:11" s="1" customFormat="1" ht="18" customHeight="1" x14ac:dyDescent="0.2">
      <c r="A1" s="497"/>
      <c r="B1" s="502" t="s">
        <v>57</v>
      </c>
      <c r="C1" s="502"/>
      <c r="D1" s="502"/>
      <c r="E1" s="502"/>
      <c r="F1" s="502"/>
      <c r="G1" s="502"/>
      <c r="H1" s="502"/>
      <c r="I1" s="503"/>
      <c r="J1" s="3"/>
    </row>
    <row r="2" spans="1:11" s="1" customFormat="1" ht="18" x14ac:dyDescent="0.2">
      <c r="A2" s="498"/>
      <c r="B2" s="500" t="s">
        <v>149</v>
      </c>
      <c r="C2" s="501"/>
      <c r="D2" s="501"/>
      <c r="E2" s="501"/>
      <c r="F2" s="501"/>
      <c r="G2" s="173" t="s">
        <v>42</v>
      </c>
      <c r="H2" s="504" t="e">
        <f>#REF!</f>
        <v>#REF!</v>
      </c>
      <c r="I2" s="505"/>
      <c r="J2" s="3"/>
    </row>
    <row r="3" spans="1:11" s="1" customFormat="1" ht="18" x14ac:dyDescent="0.2">
      <c r="A3" s="498"/>
      <c r="B3" s="500" t="s">
        <v>61</v>
      </c>
      <c r="C3" s="501"/>
      <c r="D3" s="501"/>
      <c r="E3" s="501"/>
      <c r="F3" s="501"/>
      <c r="G3" s="173" t="s">
        <v>213</v>
      </c>
      <c r="H3" s="506" t="e">
        <f>#REF!</f>
        <v>#REF!</v>
      </c>
      <c r="I3" s="507"/>
      <c r="J3" s="3"/>
    </row>
    <row r="4" spans="1:11" s="1" customFormat="1" ht="18" x14ac:dyDescent="0.2">
      <c r="A4" s="498"/>
      <c r="B4" s="500" t="s">
        <v>291</v>
      </c>
      <c r="C4" s="501"/>
      <c r="D4" s="501"/>
      <c r="E4" s="501"/>
      <c r="F4" s="501"/>
      <c r="G4" s="172" t="s">
        <v>55</v>
      </c>
      <c r="H4" s="477" t="s">
        <v>208</v>
      </c>
      <c r="I4" s="478"/>
      <c r="J4" s="3"/>
    </row>
    <row r="5" spans="1:11" s="1" customFormat="1" ht="18.75" thickBot="1" x14ac:dyDescent="0.25">
      <c r="A5" s="499"/>
      <c r="B5" s="469" t="s">
        <v>250</v>
      </c>
      <c r="C5" s="470"/>
      <c r="D5" s="470"/>
      <c r="E5" s="470"/>
      <c r="F5" s="470"/>
      <c r="G5" s="172"/>
      <c r="H5" s="477"/>
      <c r="I5" s="478"/>
      <c r="J5" s="3"/>
    </row>
    <row r="6" spans="1:11" s="177" customFormat="1" ht="13.5" thickBot="1" x14ac:dyDescent="0.25">
      <c r="A6" s="479" t="s">
        <v>28</v>
      </c>
      <c r="B6" s="480"/>
      <c r="C6" s="480"/>
      <c r="D6" s="480"/>
      <c r="E6" s="480"/>
      <c r="F6" s="480"/>
      <c r="G6" s="480"/>
      <c r="H6" s="480"/>
      <c r="I6" s="19"/>
      <c r="J6" s="6"/>
      <c r="K6" s="6"/>
    </row>
    <row r="7" spans="1:11" s="177" customFormat="1" ht="8.1" customHeight="1" x14ac:dyDescent="0.2">
      <c r="A7" s="474"/>
      <c r="B7" s="475"/>
      <c r="C7" s="475"/>
      <c r="D7" s="475"/>
      <c r="E7" s="475"/>
      <c r="F7" s="475"/>
      <c r="G7" s="475"/>
      <c r="H7" s="475"/>
      <c r="I7" s="476"/>
      <c r="J7" s="176"/>
      <c r="K7" s="176"/>
    </row>
    <row r="8" spans="1:11" s="177" customFormat="1" ht="51" customHeight="1" x14ac:dyDescent="0.2">
      <c r="A8" s="7" t="s">
        <v>1</v>
      </c>
      <c r="B8" s="8" t="s">
        <v>29</v>
      </c>
      <c r="C8" s="8" t="s">
        <v>30</v>
      </c>
      <c r="D8" s="8" t="s">
        <v>31</v>
      </c>
      <c r="E8" s="8" t="s">
        <v>32</v>
      </c>
      <c r="F8" s="8" t="s">
        <v>33</v>
      </c>
      <c r="G8" s="8" t="s">
        <v>34</v>
      </c>
      <c r="H8" s="8" t="s">
        <v>265</v>
      </c>
      <c r="I8" s="9" t="s">
        <v>266</v>
      </c>
      <c r="J8" s="10"/>
      <c r="K8" s="10"/>
    </row>
    <row r="9" spans="1:11" s="205" customFormat="1" ht="12.75" customHeight="1" x14ac:dyDescent="0.2">
      <c r="A9" s="198">
        <v>1</v>
      </c>
      <c r="B9" s="199" t="s">
        <v>48</v>
      </c>
      <c r="C9" s="200"/>
      <c r="D9" s="201"/>
      <c r="E9" s="201"/>
      <c r="F9" s="201"/>
      <c r="G9" s="202"/>
      <c r="H9" s="203"/>
      <c r="I9" s="204"/>
    </row>
    <row r="10" spans="1:11" s="205" customFormat="1" ht="12.75" customHeight="1" x14ac:dyDescent="0.2">
      <c r="A10" s="206"/>
      <c r="B10" s="199" t="s">
        <v>93</v>
      </c>
      <c r="C10" s="200"/>
      <c r="D10" s="207"/>
      <c r="E10" s="208"/>
      <c r="F10" s="209"/>
      <c r="G10" s="202"/>
      <c r="H10" s="203"/>
      <c r="I10" s="204"/>
    </row>
    <row r="11" spans="1:11" ht="12.75" customHeight="1" x14ac:dyDescent="0.25">
      <c r="A11" s="13"/>
      <c r="B11" s="24" t="s">
        <v>64</v>
      </c>
      <c r="C11" s="12"/>
      <c r="D11" s="163"/>
      <c r="E11" s="11"/>
      <c r="F11" s="185">
        <v>145.44999999999999</v>
      </c>
      <c r="G11" s="21"/>
      <c r="H11" s="168"/>
      <c r="I11" s="14"/>
    </row>
    <row r="12" spans="1:11" ht="12.75" customHeight="1" x14ac:dyDescent="0.25">
      <c r="A12" s="13"/>
      <c r="B12" s="24" t="s">
        <v>65</v>
      </c>
      <c r="C12" s="12"/>
      <c r="D12" s="163"/>
      <c r="E12" s="11"/>
      <c r="F12" s="185">
        <v>159.81</v>
      </c>
      <c r="G12" s="21"/>
      <c r="H12" s="168"/>
      <c r="I12" s="14"/>
    </row>
    <row r="13" spans="1:11" ht="12.75" customHeight="1" x14ac:dyDescent="0.25">
      <c r="A13" s="13"/>
      <c r="B13" s="24" t="s">
        <v>66</v>
      </c>
      <c r="C13" s="12"/>
      <c r="D13" s="163"/>
      <c r="E13" s="11"/>
      <c r="F13" s="185">
        <v>170.63</v>
      </c>
      <c r="G13" s="21"/>
      <c r="H13" s="168"/>
      <c r="I13" s="14"/>
    </row>
    <row r="14" spans="1:11" ht="12.75" customHeight="1" x14ac:dyDescent="0.25">
      <c r="A14" s="13"/>
      <c r="B14" s="24" t="s">
        <v>67</v>
      </c>
      <c r="C14" s="12"/>
      <c r="D14" s="163"/>
      <c r="E14" s="11"/>
      <c r="F14" s="185">
        <v>171.12</v>
      </c>
      <c r="G14" s="21"/>
      <c r="H14" s="168"/>
      <c r="I14" s="14"/>
    </row>
    <row r="15" spans="1:11" ht="12.75" customHeight="1" x14ac:dyDescent="0.25">
      <c r="A15" s="13"/>
      <c r="B15" s="24" t="s">
        <v>68</v>
      </c>
      <c r="C15" s="12"/>
      <c r="D15" s="163"/>
      <c r="E15" s="11"/>
      <c r="F15" s="185">
        <v>182.6</v>
      </c>
      <c r="G15" s="21"/>
      <c r="H15" s="168"/>
      <c r="I15" s="14"/>
    </row>
    <row r="16" spans="1:11" ht="12.75" customHeight="1" x14ac:dyDescent="0.25">
      <c r="A16" s="13"/>
      <c r="B16" s="24" t="s">
        <v>69</v>
      </c>
      <c r="C16" s="12"/>
      <c r="D16" s="163"/>
      <c r="E16" s="11"/>
      <c r="F16" s="185">
        <v>197.65</v>
      </c>
      <c r="G16" s="21"/>
      <c r="H16" s="168"/>
      <c r="I16" s="14"/>
    </row>
    <row r="17" spans="1:9" ht="12.75" customHeight="1" x14ac:dyDescent="0.25">
      <c r="A17" s="13"/>
      <c r="B17" s="24" t="s">
        <v>70</v>
      </c>
      <c r="C17" s="12"/>
      <c r="D17" s="163"/>
      <c r="E17" s="11"/>
      <c r="F17" s="185">
        <v>156.37</v>
      </c>
      <c r="G17" s="21"/>
      <c r="H17" s="168"/>
      <c r="I17" s="14"/>
    </row>
    <row r="18" spans="1:9" ht="12.75" customHeight="1" x14ac:dyDescent="0.25">
      <c r="A18" s="13"/>
      <c r="B18" s="24" t="s">
        <v>71</v>
      </c>
      <c r="C18" s="12"/>
      <c r="D18" s="163"/>
      <c r="E18" s="11"/>
      <c r="F18" s="185">
        <v>149.53</v>
      </c>
      <c r="G18" s="21"/>
      <c r="H18" s="168"/>
      <c r="I18" s="14"/>
    </row>
    <row r="19" spans="1:9" ht="12.75" customHeight="1" x14ac:dyDescent="0.25">
      <c r="A19" s="13"/>
      <c r="B19" s="24" t="s">
        <v>72</v>
      </c>
      <c r="C19" s="12"/>
      <c r="D19" s="163"/>
      <c r="E19" s="11"/>
      <c r="F19" s="185">
        <v>147.37</v>
      </c>
      <c r="G19" s="21"/>
      <c r="H19" s="168"/>
      <c r="I19" s="14"/>
    </row>
    <row r="20" spans="1:9" ht="12.75" customHeight="1" x14ac:dyDescent="0.25">
      <c r="A20" s="13"/>
      <c r="B20" s="24" t="s">
        <v>73</v>
      </c>
      <c r="C20" s="12"/>
      <c r="D20" s="163"/>
      <c r="E20" s="11"/>
      <c r="F20" s="185">
        <v>146.43</v>
      </c>
      <c r="G20" s="21"/>
      <c r="H20" s="168"/>
      <c r="I20" s="14"/>
    </row>
    <row r="21" spans="1:9" ht="12.75" customHeight="1" x14ac:dyDescent="0.25">
      <c r="A21" s="13"/>
      <c r="B21" s="24" t="s">
        <v>240</v>
      </c>
      <c r="C21" s="12"/>
      <c r="D21" s="163"/>
      <c r="E21" s="11"/>
      <c r="F21" s="185">
        <v>151.09</v>
      </c>
      <c r="G21" s="21"/>
      <c r="H21" s="168"/>
      <c r="I21" s="14"/>
    </row>
    <row r="22" spans="1:9" ht="12.75" customHeight="1" x14ac:dyDescent="0.25">
      <c r="A22" s="13"/>
      <c r="B22" s="24" t="s">
        <v>241</v>
      </c>
      <c r="C22" s="12"/>
      <c r="D22" s="163"/>
      <c r="E22" s="11"/>
      <c r="F22" s="185">
        <v>150</v>
      </c>
      <c r="G22" s="21"/>
      <c r="H22" s="168"/>
      <c r="I22" s="14"/>
    </row>
    <row r="23" spans="1:9" ht="12.75" customHeight="1" x14ac:dyDescent="0.25">
      <c r="A23" s="13"/>
      <c r="B23" s="24" t="s">
        <v>242</v>
      </c>
      <c r="C23" s="12"/>
      <c r="D23" s="163"/>
      <c r="E23" s="11"/>
      <c r="F23" s="185">
        <v>150.65</v>
      </c>
      <c r="G23" s="21"/>
      <c r="H23" s="168"/>
      <c r="I23" s="14"/>
    </row>
    <row r="24" spans="1:9" ht="12.75" customHeight="1" x14ac:dyDescent="0.25">
      <c r="A24" s="13"/>
      <c r="B24" s="24" t="s">
        <v>237</v>
      </c>
      <c r="C24" s="12"/>
      <c r="D24" s="163"/>
      <c r="E24" s="11"/>
      <c r="F24" s="185">
        <v>150</v>
      </c>
      <c r="G24" s="21"/>
      <c r="H24" s="168"/>
      <c r="I24" s="14"/>
    </row>
    <row r="25" spans="1:9" ht="15" x14ac:dyDescent="0.25">
      <c r="A25" s="13"/>
      <c r="B25" s="24" t="s">
        <v>238</v>
      </c>
      <c r="C25" s="12"/>
      <c r="D25" s="163"/>
      <c r="E25" s="11"/>
      <c r="F25" s="185">
        <v>145.51</v>
      </c>
      <c r="G25" s="21"/>
      <c r="H25" s="168"/>
      <c r="I25" s="14"/>
    </row>
    <row r="26" spans="1:9" ht="12.75" customHeight="1" x14ac:dyDescent="0.2">
      <c r="A26" s="13"/>
      <c r="B26" s="25" t="s">
        <v>92</v>
      </c>
      <c r="C26" s="12">
        <f>105+198.74</f>
        <v>303.74</v>
      </c>
      <c r="D26" s="163"/>
      <c r="E26" s="11"/>
      <c r="F26" s="22"/>
      <c r="G26" s="21"/>
      <c r="H26" s="168"/>
      <c r="I26" s="14"/>
    </row>
    <row r="27" spans="1:9" ht="12.75" customHeight="1" x14ac:dyDescent="0.2">
      <c r="A27" s="13"/>
      <c r="B27" s="25" t="s">
        <v>5</v>
      </c>
      <c r="C27" s="12"/>
      <c r="D27" s="163"/>
      <c r="E27" s="11"/>
      <c r="F27" s="27">
        <f>SUM(F11:F26)</f>
        <v>2374.21</v>
      </c>
      <c r="G27" s="21"/>
      <c r="H27" s="168"/>
      <c r="I27" s="14"/>
    </row>
    <row r="28" spans="1:9" ht="36.75" customHeight="1" x14ac:dyDescent="0.2">
      <c r="A28" s="13"/>
      <c r="B28" s="186" t="s">
        <v>264</v>
      </c>
      <c r="C28" s="12"/>
      <c r="D28" s="163"/>
      <c r="E28" s="11"/>
      <c r="F28" s="22"/>
      <c r="G28" s="21"/>
      <c r="H28" s="168"/>
      <c r="I28" s="14"/>
    </row>
    <row r="29" spans="1:9" s="205" customFormat="1" ht="12.75" customHeight="1" x14ac:dyDescent="0.2">
      <c r="A29" s="206"/>
      <c r="B29" s="471" t="s">
        <v>83</v>
      </c>
      <c r="C29" s="472"/>
      <c r="D29" s="472"/>
      <c r="E29" s="472"/>
      <c r="F29" s="472"/>
      <c r="G29" s="472"/>
      <c r="H29" s="472"/>
      <c r="I29" s="473"/>
    </row>
    <row r="30" spans="1:9" ht="12.75" customHeight="1" x14ac:dyDescent="0.2">
      <c r="A30" s="13"/>
      <c r="B30" s="28"/>
      <c r="C30" s="163"/>
      <c r="D30" s="163" t="s">
        <v>262</v>
      </c>
      <c r="E30" s="162" t="s">
        <v>263</v>
      </c>
      <c r="F30" s="187" t="s">
        <v>247</v>
      </c>
      <c r="G30" s="11" t="s">
        <v>84</v>
      </c>
      <c r="H30" s="11" t="s">
        <v>265</v>
      </c>
      <c r="I30" s="14"/>
    </row>
    <row r="31" spans="1:9" ht="12.75" customHeight="1" x14ac:dyDescent="0.2">
      <c r="A31" s="13"/>
      <c r="B31" s="171" t="s">
        <v>255</v>
      </c>
      <c r="C31" s="163"/>
      <c r="D31" s="163">
        <v>6</v>
      </c>
      <c r="E31" s="168">
        <v>5.53</v>
      </c>
      <c r="F31" s="187">
        <v>7</v>
      </c>
      <c r="G31" s="21">
        <f>((D31+E31)*F31)/2</f>
        <v>40.355000000000004</v>
      </c>
      <c r="H31" s="168">
        <f>14.56+4.81</f>
        <v>19.37</v>
      </c>
      <c r="I31" s="14"/>
    </row>
    <row r="32" spans="1:9" ht="12.75" customHeight="1" x14ac:dyDescent="0.2">
      <c r="A32" s="13"/>
      <c r="B32" s="171" t="s">
        <v>256</v>
      </c>
      <c r="C32" s="163"/>
      <c r="D32" s="163">
        <v>18.75</v>
      </c>
      <c r="E32" s="168"/>
      <c r="F32" s="187">
        <v>6.95</v>
      </c>
      <c r="G32" s="166">
        <f>D32*F32</f>
        <v>130.3125</v>
      </c>
      <c r="H32" s="168">
        <f>14.26+6.2</f>
        <v>20.46</v>
      </c>
      <c r="I32" s="14"/>
    </row>
    <row r="33" spans="1:9" ht="12.75" customHeight="1" x14ac:dyDescent="0.2">
      <c r="A33" s="13"/>
      <c r="B33" s="171" t="s">
        <v>257</v>
      </c>
      <c r="C33" s="163"/>
      <c r="D33" s="163">
        <v>6.71</v>
      </c>
      <c r="E33" s="168">
        <v>5.5</v>
      </c>
      <c r="F33" s="187">
        <v>14.8</v>
      </c>
      <c r="G33" s="21">
        <f>((D33+E33)*F33)/2</f>
        <v>90.354000000000013</v>
      </c>
      <c r="H33" s="168">
        <v>40.630000000000003</v>
      </c>
      <c r="I33" s="14"/>
    </row>
    <row r="34" spans="1:9" ht="12.75" customHeight="1" x14ac:dyDescent="0.2">
      <c r="A34" s="13"/>
      <c r="B34" s="483" t="s">
        <v>258</v>
      </c>
      <c r="C34" s="163"/>
      <c r="D34" s="163">
        <v>12</v>
      </c>
      <c r="E34" s="168"/>
      <c r="F34" s="187">
        <v>7.11</v>
      </c>
      <c r="G34" s="485">
        <f>D34*F34+D35*F35</f>
        <v>303.25650000000002</v>
      </c>
      <c r="H34" s="168">
        <v>25.07</v>
      </c>
      <c r="I34" s="14"/>
    </row>
    <row r="35" spans="1:9" ht="12.75" customHeight="1" x14ac:dyDescent="0.2">
      <c r="A35" s="13"/>
      <c r="B35" s="484"/>
      <c r="C35" s="12"/>
      <c r="D35" s="163">
        <v>63.17</v>
      </c>
      <c r="E35" s="168"/>
      <c r="F35" s="187">
        <v>3.45</v>
      </c>
      <c r="G35" s="486"/>
      <c r="H35" s="168"/>
      <c r="I35" s="14"/>
    </row>
    <row r="36" spans="1:9" ht="12.75" customHeight="1" x14ac:dyDescent="0.2">
      <c r="A36" s="13"/>
      <c r="B36" s="188"/>
      <c r="C36" s="12"/>
      <c r="D36" s="163"/>
      <c r="E36" s="168"/>
      <c r="F36" s="187"/>
      <c r="G36" s="174"/>
      <c r="H36" s="168"/>
      <c r="I36" s="14"/>
    </row>
    <row r="37" spans="1:9" ht="12.75" customHeight="1" x14ac:dyDescent="0.2">
      <c r="A37" s="13"/>
      <c r="B37" s="186" t="s">
        <v>276</v>
      </c>
      <c r="C37" s="12"/>
      <c r="D37" s="163"/>
      <c r="E37" s="168"/>
      <c r="F37" s="187"/>
      <c r="G37" s="22">
        <f>SUM(G31:G35)</f>
        <v>564.27800000000002</v>
      </c>
      <c r="H37" s="11">
        <f>SUM(H31:H34)</f>
        <v>105.53</v>
      </c>
      <c r="I37" s="14"/>
    </row>
    <row r="38" spans="1:9" ht="12.75" customHeight="1" x14ac:dyDescent="0.2">
      <c r="A38" s="13"/>
      <c r="B38" s="188"/>
      <c r="C38" s="12"/>
      <c r="D38" s="163"/>
      <c r="E38" s="168"/>
      <c r="F38" s="187"/>
      <c r="G38" s="167"/>
      <c r="H38" s="11"/>
      <c r="I38" s="14"/>
    </row>
    <row r="39" spans="1:9" ht="12.75" customHeight="1" x14ac:dyDescent="0.2">
      <c r="A39" s="13"/>
      <c r="B39" s="171" t="s">
        <v>267</v>
      </c>
      <c r="C39" s="12"/>
      <c r="D39" s="163"/>
      <c r="E39" s="168"/>
      <c r="F39" s="187"/>
      <c r="G39" s="174"/>
      <c r="H39" s="168">
        <v>1.5</v>
      </c>
      <c r="I39" s="14"/>
    </row>
    <row r="40" spans="1:9" ht="12.75" customHeight="1" x14ac:dyDescent="0.2">
      <c r="A40" s="13"/>
      <c r="B40" s="171" t="s">
        <v>268</v>
      </c>
      <c r="C40" s="12"/>
      <c r="D40" s="163"/>
      <c r="E40" s="168"/>
      <c r="F40" s="187"/>
      <c r="G40" s="174"/>
      <c r="H40" s="168">
        <v>1.2</v>
      </c>
      <c r="I40" s="14"/>
    </row>
    <row r="41" spans="1:9" ht="12.75" customHeight="1" x14ac:dyDescent="0.2">
      <c r="A41" s="13"/>
      <c r="B41" s="171" t="s">
        <v>269</v>
      </c>
      <c r="C41" s="12"/>
      <c r="D41" s="163"/>
      <c r="E41" s="168"/>
      <c r="F41" s="187"/>
      <c r="G41" s="174"/>
      <c r="H41" s="168">
        <v>1.2</v>
      </c>
      <c r="I41" s="14"/>
    </row>
    <row r="42" spans="1:9" ht="12.75" customHeight="1" x14ac:dyDescent="0.2">
      <c r="A42" s="13"/>
      <c r="B42" s="171" t="s">
        <v>270</v>
      </c>
      <c r="C42" s="12"/>
      <c r="D42" s="163"/>
      <c r="E42" s="168"/>
      <c r="F42" s="187"/>
      <c r="G42" s="174"/>
      <c r="H42" s="168">
        <v>1.2</v>
      </c>
      <c r="I42" s="14"/>
    </row>
    <row r="43" spans="1:9" ht="12.75" customHeight="1" x14ac:dyDescent="0.2">
      <c r="A43" s="13"/>
      <c r="B43" s="171" t="s">
        <v>271</v>
      </c>
      <c r="C43" s="12"/>
      <c r="D43" s="163"/>
      <c r="E43" s="168"/>
      <c r="F43" s="187"/>
      <c r="G43" s="174"/>
      <c r="H43" s="168">
        <v>1.2</v>
      </c>
      <c r="I43" s="14"/>
    </row>
    <row r="44" spans="1:9" ht="12.75" customHeight="1" x14ac:dyDescent="0.2">
      <c r="A44" s="13"/>
      <c r="B44" s="171" t="s">
        <v>272</v>
      </c>
      <c r="C44" s="12"/>
      <c r="D44" s="163"/>
      <c r="E44" s="168"/>
      <c r="F44" s="187"/>
      <c r="G44" s="174"/>
      <c r="H44" s="168">
        <v>1.5</v>
      </c>
      <c r="I44" s="14"/>
    </row>
    <row r="45" spans="1:9" ht="12.75" customHeight="1" x14ac:dyDescent="0.2">
      <c r="A45" s="13"/>
      <c r="B45" s="171" t="s">
        <v>273</v>
      </c>
      <c r="C45" s="12"/>
      <c r="D45" s="163"/>
      <c r="E45" s="168"/>
      <c r="F45" s="187"/>
      <c r="G45" s="174"/>
      <c r="H45" s="168">
        <v>1.5</v>
      </c>
      <c r="I45" s="14"/>
    </row>
    <row r="46" spans="1:9" ht="12.75" customHeight="1" x14ac:dyDescent="0.2">
      <c r="A46" s="13"/>
      <c r="B46" s="171" t="s">
        <v>274</v>
      </c>
      <c r="C46" s="12"/>
      <c r="D46" s="163"/>
      <c r="E46" s="168"/>
      <c r="F46" s="187"/>
      <c r="G46" s="174"/>
      <c r="H46" s="168">
        <v>1.5</v>
      </c>
      <c r="I46" s="14"/>
    </row>
    <row r="47" spans="1:9" ht="12.75" customHeight="1" x14ac:dyDescent="0.2">
      <c r="A47" s="13"/>
      <c r="B47" s="171" t="s">
        <v>275</v>
      </c>
      <c r="C47" s="12"/>
      <c r="D47" s="163"/>
      <c r="E47" s="168"/>
      <c r="F47" s="187"/>
      <c r="G47" s="174"/>
      <c r="H47" s="168">
        <v>1.5</v>
      </c>
      <c r="I47" s="14"/>
    </row>
    <row r="48" spans="1:9" ht="12.75" customHeight="1" x14ac:dyDescent="0.2">
      <c r="A48" s="13"/>
      <c r="B48" s="171" t="s">
        <v>278</v>
      </c>
      <c r="C48" s="12"/>
      <c r="D48" s="163"/>
      <c r="E48" s="168"/>
      <c r="F48" s="187"/>
      <c r="G48" s="174"/>
      <c r="H48" s="168">
        <v>1.5</v>
      </c>
      <c r="I48" s="14"/>
    </row>
    <row r="49" spans="1:9" ht="12.75" customHeight="1" x14ac:dyDescent="0.2">
      <c r="A49" s="13"/>
      <c r="B49" s="186" t="s">
        <v>277</v>
      </c>
      <c r="C49" s="12"/>
      <c r="D49" s="163"/>
      <c r="E49" s="168"/>
      <c r="F49" s="187"/>
      <c r="G49" s="174"/>
      <c r="H49" s="168"/>
      <c r="I49" s="14"/>
    </row>
    <row r="50" spans="1:9" ht="12.75" customHeight="1" x14ac:dyDescent="0.2">
      <c r="A50" s="13"/>
      <c r="B50" s="188"/>
      <c r="C50" s="12"/>
      <c r="D50" s="163"/>
      <c r="E50" s="168"/>
      <c r="F50" s="187"/>
      <c r="G50" s="169"/>
      <c r="H50" s="168"/>
      <c r="I50" s="14"/>
    </row>
    <row r="51" spans="1:9" ht="12.75" customHeight="1" x14ac:dyDescent="0.2">
      <c r="A51" s="13"/>
      <c r="B51" s="11" t="s">
        <v>5</v>
      </c>
      <c r="C51" s="12"/>
      <c r="D51" s="163"/>
      <c r="E51" s="11"/>
      <c r="F51" s="187"/>
      <c r="G51" s="187"/>
      <c r="H51" s="170">
        <f>SUM(H39:H48)</f>
        <v>13.8</v>
      </c>
      <c r="I51" s="14"/>
    </row>
    <row r="52" spans="1:9" ht="12.75" customHeight="1" x14ac:dyDescent="0.2">
      <c r="A52" s="13"/>
      <c r="B52" s="171"/>
      <c r="C52" s="12"/>
      <c r="D52" s="163"/>
      <c r="E52" s="11"/>
      <c r="F52" s="22"/>
      <c r="G52" s="21"/>
      <c r="H52" s="168"/>
      <c r="I52" s="14"/>
    </row>
    <row r="53" spans="1:9" s="205" customFormat="1" ht="12.75" customHeight="1" x14ac:dyDescent="0.2">
      <c r="A53" s="198">
        <v>2</v>
      </c>
      <c r="B53" s="199" t="s">
        <v>48</v>
      </c>
      <c r="C53" s="200"/>
      <c r="D53" s="207"/>
      <c r="E53" s="208"/>
      <c r="F53" s="209"/>
      <c r="G53" s="202"/>
      <c r="H53" s="203"/>
      <c r="I53" s="204"/>
    </row>
    <row r="54" spans="1:9" s="205" customFormat="1" ht="12.75" customHeight="1" x14ac:dyDescent="0.2">
      <c r="A54" s="206"/>
      <c r="B54" s="199" t="s">
        <v>94</v>
      </c>
      <c r="C54" s="200"/>
      <c r="D54" s="207"/>
      <c r="E54" s="208"/>
      <c r="F54" s="209"/>
      <c r="G54" s="202"/>
      <c r="H54" s="203"/>
      <c r="I54" s="204"/>
    </row>
    <row r="55" spans="1:9" ht="12.75" customHeight="1" x14ac:dyDescent="0.25">
      <c r="A55" s="13"/>
      <c r="B55" s="189" t="s">
        <v>66</v>
      </c>
      <c r="C55" s="12"/>
      <c r="D55" s="163"/>
      <c r="E55" s="11"/>
      <c r="F55" s="185">
        <v>273.17</v>
      </c>
      <c r="G55" s="21"/>
      <c r="H55" s="168"/>
      <c r="I55" s="14"/>
    </row>
    <row r="56" spans="1:9" ht="12.75" customHeight="1" x14ac:dyDescent="0.25">
      <c r="A56" s="13"/>
      <c r="B56" s="189" t="s">
        <v>156</v>
      </c>
      <c r="C56" s="12"/>
      <c r="D56" s="163"/>
      <c r="E56" s="11"/>
      <c r="F56" s="185">
        <v>89.78</v>
      </c>
      <c r="G56" s="21"/>
      <c r="H56" s="168"/>
      <c r="I56" s="14"/>
    </row>
    <row r="57" spans="1:9" ht="12.75" customHeight="1" x14ac:dyDescent="0.25">
      <c r="A57" s="13"/>
      <c r="B57" s="189" t="s">
        <v>70</v>
      </c>
      <c r="C57" s="12"/>
      <c r="D57" s="163"/>
      <c r="E57" s="11"/>
      <c r="F57" s="185">
        <v>152.13999999999999</v>
      </c>
      <c r="G57" s="21"/>
      <c r="H57" s="168"/>
      <c r="I57" s="14"/>
    </row>
    <row r="58" spans="1:9" ht="12.75" customHeight="1" x14ac:dyDescent="0.25">
      <c r="A58" s="13"/>
      <c r="B58" s="189" t="s">
        <v>71</v>
      </c>
      <c r="C58" s="12"/>
      <c r="D58" s="163"/>
      <c r="E58" s="11"/>
      <c r="F58" s="185">
        <v>159.44999999999999</v>
      </c>
      <c r="G58" s="21"/>
      <c r="H58" s="168"/>
      <c r="I58" s="14"/>
    </row>
    <row r="59" spans="1:9" ht="12.75" customHeight="1" x14ac:dyDescent="0.25">
      <c r="A59" s="13"/>
      <c r="B59" s="189" t="s">
        <v>72</v>
      </c>
      <c r="C59" s="12"/>
      <c r="D59" s="163"/>
      <c r="E59" s="11"/>
      <c r="F59" s="185">
        <v>178.48</v>
      </c>
      <c r="G59" s="21"/>
      <c r="H59" s="168"/>
      <c r="I59" s="14"/>
    </row>
    <row r="60" spans="1:9" ht="12.75" customHeight="1" x14ac:dyDescent="0.25">
      <c r="A60" s="13"/>
      <c r="B60" s="189" t="s">
        <v>73</v>
      </c>
      <c r="C60" s="12"/>
      <c r="D60" s="163"/>
      <c r="E60" s="11"/>
      <c r="F60" s="185">
        <v>175.46</v>
      </c>
      <c r="G60" s="21"/>
      <c r="H60" s="168"/>
      <c r="I60" s="14"/>
    </row>
    <row r="61" spans="1:9" ht="12.75" customHeight="1" x14ac:dyDescent="0.25">
      <c r="A61" s="13"/>
      <c r="B61" s="189" t="s">
        <v>74</v>
      </c>
      <c r="C61" s="12"/>
      <c r="D61" s="163"/>
      <c r="E61" s="11"/>
      <c r="F61" s="185">
        <v>168.82</v>
      </c>
      <c r="G61" s="21"/>
      <c r="H61" s="168"/>
      <c r="I61" s="14"/>
    </row>
    <row r="62" spans="1:9" ht="12.75" customHeight="1" x14ac:dyDescent="0.25">
      <c r="A62" s="13"/>
      <c r="B62" s="189" t="s">
        <v>75</v>
      </c>
      <c r="C62" s="12"/>
      <c r="D62" s="163"/>
      <c r="E62" s="11"/>
      <c r="F62" s="185">
        <v>164.66</v>
      </c>
      <c r="G62" s="21"/>
      <c r="H62" s="168"/>
      <c r="I62" s="14"/>
    </row>
    <row r="63" spans="1:9" ht="12.75" customHeight="1" x14ac:dyDescent="0.25">
      <c r="A63" s="13"/>
      <c r="B63" s="189" t="s">
        <v>76</v>
      </c>
      <c r="C63" s="12"/>
      <c r="D63" s="163"/>
      <c r="E63" s="11"/>
      <c r="F63" s="190">
        <v>161.01</v>
      </c>
      <c r="G63" s="21"/>
      <c r="H63" s="168"/>
      <c r="I63" s="14"/>
    </row>
    <row r="64" spans="1:9" ht="12.75" customHeight="1" x14ac:dyDescent="0.25">
      <c r="A64" s="13"/>
      <c r="B64" s="189" t="s">
        <v>77</v>
      </c>
      <c r="C64" s="12"/>
      <c r="D64" s="163"/>
      <c r="E64" s="11"/>
      <c r="F64" s="190">
        <v>166.43</v>
      </c>
      <c r="G64" s="21"/>
      <c r="H64" s="168"/>
      <c r="I64" s="14"/>
    </row>
    <row r="65" spans="1:9" ht="12.75" customHeight="1" x14ac:dyDescent="0.25">
      <c r="A65" s="13"/>
      <c r="B65" s="189" t="s">
        <v>78</v>
      </c>
      <c r="C65" s="12"/>
      <c r="D65" s="163"/>
      <c r="E65" s="11"/>
      <c r="F65" s="185">
        <v>171.59</v>
      </c>
      <c r="G65" s="21"/>
      <c r="H65" s="168"/>
      <c r="I65" s="14"/>
    </row>
    <row r="66" spans="1:9" ht="12.75" customHeight="1" x14ac:dyDescent="0.25">
      <c r="A66" s="13"/>
      <c r="B66" s="189" t="s">
        <v>91</v>
      </c>
      <c r="C66" s="12"/>
      <c r="D66" s="163"/>
      <c r="E66" s="11"/>
      <c r="F66" s="185">
        <v>171.78</v>
      </c>
      <c r="G66" s="21"/>
      <c r="H66" s="168"/>
      <c r="I66" s="14"/>
    </row>
    <row r="67" spans="1:9" ht="12.75" customHeight="1" x14ac:dyDescent="0.25">
      <c r="A67" s="13"/>
      <c r="B67" s="189" t="s">
        <v>79</v>
      </c>
      <c r="C67" s="12"/>
      <c r="D67" s="163"/>
      <c r="E67" s="11"/>
      <c r="F67" s="185">
        <v>180.22</v>
      </c>
      <c r="G67" s="21"/>
      <c r="H67" s="168"/>
      <c r="I67" s="14"/>
    </row>
    <row r="68" spans="1:9" ht="12.75" customHeight="1" x14ac:dyDescent="0.25">
      <c r="A68" s="13"/>
      <c r="B68" s="189" t="s">
        <v>243</v>
      </c>
      <c r="C68" s="12"/>
      <c r="D68" s="163"/>
      <c r="E68" s="11"/>
      <c r="F68" s="185">
        <v>144.43</v>
      </c>
      <c r="G68" s="21"/>
      <c r="H68" s="168"/>
      <c r="I68" s="14"/>
    </row>
    <row r="69" spans="1:9" ht="12.75" customHeight="1" x14ac:dyDescent="0.25">
      <c r="A69" s="13"/>
      <c r="B69" s="189" t="s">
        <v>244</v>
      </c>
      <c r="C69" s="12"/>
      <c r="D69" s="163"/>
      <c r="E69" s="11"/>
      <c r="F69" s="185">
        <v>144.34</v>
      </c>
      <c r="G69" s="21"/>
      <c r="H69" s="168"/>
      <c r="I69" s="14"/>
    </row>
    <row r="70" spans="1:9" ht="12.75" customHeight="1" x14ac:dyDescent="0.25">
      <c r="A70" s="13"/>
      <c r="B70" s="189" t="s">
        <v>245</v>
      </c>
      <c r="C70" s="12"/>
      <c r="D70" s="163"/>
      <c r="E70" s="11"/>
      <c r="F70" s="185">
        <v>143.77000000000001</v>
      </c>
      <c r="G70" s="21"/>
      <c r="H70" s="168"/>
      <c r="I70" s="14"/>
    </row>
    <row r="71" spans="1:9" ht="12.75" customHeight="1" x14ac:dyDescent="0.25">
      <c r="A71" s="13"/>
      <c r="B71" s="189" t="s">
        <v>239</v>
      </c>
      <c r="C71" s="12"/>
      <c r="D71" s="163"/>
      <c r="E71" s="11"/>
      <c r="F71" s="185">
        <v>103.38</v>
      </c>
      <c r="G71" s="21"/>
      <c r="H71" s="168"/>
      <c r="I71" s="14"/>
    </row>
    <row r="72" spans="1:9" ht="12.75" customHeight="1" x14ac:dyDescent="0.25">
      <c r="A72" s="13"/>
      <c r="B72" s="191" t="s">
        <v>92</v>
      </c>
      <c r="C72" s="12">
        <f>74.58+27.36+122.11+20.32+20.48+60.36</f>
        <v>325.21000000000004</v>
      </c>
      <c r="D72" s="163"/>
      <c r="E72" s="11" t="s">
        <v>18</v>
      </c>
      <c r="F72" s="27">
        <f>SUM(F55:F71)</f>
        <v>2748.91</v>
      </c>
      <c r="G72" s="21"/>
      <c r="H72" s="168"/>
      <c r="I72" s="14"/>
    </row>
    <row r="73" spans="1:9" ht="27.75" customHeight="1" x14ac:dyDescent="0.2">
      <c r="A73" s="13"/>
      <c r="B73" s="186" t="s">
        <v>264</v>
      </c>
      <c r="C73" s="12"/>
      <c r="D73" s="163"/>
      <c r="E73" s="11"/>
      <c r="F73" s="185"/>
      <c r="G73" s="21"/>
      <c r="H73" s="168"/>
      <c r="I73" s="14"/>
    </row>
    <row r="74" spans="1:9" s="205" customFormat="1" ht="12.75" customHeight="1" x14ac:dyDescent="0.2">
      <c r="A74" s="206"/>
      <c r="B74" s="471" t="s">
        <v>83</v>
      </c>
      <c r="C74" s="472"/>
      <c r="D74" s="472"/>
      <c r="E74" s="472"/>
      <c r="F74" s="472"/>
      <c r="G74" s="472"/>
      <c r="H74" s="472"/>
      <c r="I74" s="473"/>
    </row>
    <row r="75" spans="1:9" ht="12.75" customHeight="1" x14ac:dyDescent="0.2">
      <c r="A75" s="13"/>
      <c r="B75" s="28"/>
      <c r="C75" s="163"/>
      <c r="D75" s="163" t="s">
        <v>262</v>
      </c>
      <c r="E75" s="162" t="s">
        <v>263</v>
      </c>
      <c r="F75" s="187" t="s">
        <v>247</v>
      </c>
      <c r="G75" s="11" t="s">
        <v>84</v>
      </c>
      <c r="H75" s="11" t="s">
        <v>53</v>
      </c>
      <c r="I75" s="14"/>
    </row>
    <row r="76" spans="1:9" ht="12.75" customHeight="1" x14ac:dyDescent="0.2">
      <c r="A76" s="13"/>
      <c r="B76" s="171" t="s">
        <v>255</v>
      </c>
      <c r="C76" s="163"/>
      <c r="D76" s="163">
        <v>11.3</v>
      </c>
      <c r="E76" s="168"/>
      <c r="F76" s="187">
        <v>7.93</v>
      </c>
      <c r="G76" s="168">
        <f>D76*F76</f>
        <v>89.609000000000009</v>
      </c>
      <c r="H76" s="168"/>
      <c r="I76" s="14"/>
    </row>
    <row r="77" spans="1:9" ht="12.75" customHeight="1" x14ac:dyDescent="0.2">
      <c r="A77" s="13"/>
      <c r="B77" s="171" t="s">
        <v>256</v>
      </c>
      <c r="C77" s="163"/>
      <c r="D77" s="163">
        <v>39.97</v>
      </c>
      <c r="E77" s="168"/>
      <c r="F77" s="187">
        <v>6</v>
      </c>
      <c r="G77" s="168">
        <f>D77*F77</f>
        <v>239.82</v>
      </c>
      <c r="H77" s="168">
        <v>28.96</v>
      </c>
      <c r="I77" s="14"/>
    </row>
    <row r="78" spans="1:9" ht="12.75" customHeight="1" x14ac:dyDescent="0.2">
      <c r="A78" s="13"/>
      <c r="B78" s="171" t="s">
        <v>257</v>
      </c>
      <c r="C78" s="163"/>
      <c r="D78" s="163">
        <v>10</v>
      </c>
      <c r="E78" s="168"/>
      <c r="F78" s="187">
        <v>4</v>
      </c>
      <c r="G78" s="168">
        <f>D78*F78</f>
        <v>40</v>
      </c>
      <c r="H78" s="168">
        <f>8.35+4.86+1.67</f>
        <v>14.88</v>
      </c>
      <c r="I78" s="14"/>
    </row>
    <row r="79" spans="1:9" ht="12.75" customHeight="1" x14ac:dyDescent="0.2">
      <c r="A79" s="13"/>
      <c r="B79" s="171" t="s">
        <v>258</v>
      </c>
      <c r="C79" s="163"/>
      <c r="D79" s="163">
        <v>15</v>
      </c>
      <c r="E79" s="168"/>
      <c r="F79" s="187">
        <v>7</v>
      </c>
      <c r="G79" s="168">
        <f>D79*F79</f>
        <v>105</v>
      </c>
      <c r="H79" s="168">
        <f>2.86+4.39+11.92</f>
        <v>19.170000000000002</v>
      </c>
      <c r="I79" s="14"/>
    </row>
    <row r="80" spans="1:9" ht="12.75" customHeight="1" x14ac:dyDescent="0.2">
      <c r="A80" s="13"/>
      <c r="B80" s="171" t="s">
        <v>259</v>
      </c>
      <c r="C80" s="163"/>
      <c r="D80" s="163">
        <v>10.08</v>
      </c>
      <c r="E80" s="168"/>
      <c r="F80" s="187">
        <v>4</v>
      </c>
      <c r="G80" s="168">
        <f>D80*F80</f>
        <v>40.32</v>
      </c>
      <c r="H80" s="168"/>
      <c r="I80" s="14"/>
    </row>
    <row r="81" spans="1:9" ht="12.75" customHeight="1" x14ac:dyDescent="0.2">
      <c r="A81" s="13"/>
      <c r="B81" s="11"/>
      <c r="C81" s="163"/>
      <c r="D81" s="187"/>
      <c r="E81" s="11"/>
      <c r="F81" s="187"/>
      <c r="G81" s="129">
        <f>SUM(G76:G80)</f>
        <v>514.74900000000002</v>
      </c>
      <c r="H81" s="11">
        <f>SUM(H77:H79)</f>
        <v>63.010000000000005</v>
      </c>
      <c r="I81" s="14"/>
    </row>
    <row r="82" spans="1:9" ht="12.75" customHeight="1" x14ac:dyDescent="0.2">
      <c r="A82" s="13"/>
      <c r="B82" s="186" t="s">
        <v>276</v>
      </c>
      <c r="C82" s="163"/>
      <c r="D82" s="187"/>
      <c r="E82" s="11"/>
      <c r="F82" s="187"/>
      <c r="G82" s="129"/>
      <c r="H82" s="11"/>
      <c r="I82" s="14"/>
    </row>
    <row r="83" spans="1:9" ht="12.75" customHeight="1" x14ac:dyDescent="0.2">
      <c r="A83" s="13"/>
      <c r="B83" s="188"/>
      <c r="C83" s="163"/>
      <c r="D83" s="187"/>
      <c r="E83" s="11"/>
      <c r="F83" s="187"/>
      <c r="G83" s="129"/>
      <c r="H83" s="11"/>
      <c r="I83" s="14"/>
    </row>
    <row r="84" spans="1:9" ht="12.75" customHeight="1" x14ac:dyDescent="0.2">
      <c r="A84" s="13"/>
      <c r="B84" s="171" t="s">
        <v>279</v>
      </c>
      <c r="C84" s="163"/>
      <c r="D84" s="187"/>
      <c r="E84" s="11"/>
      <c r="F84" s="187"/>
      <c r="G84" s="129"/>
      <c r="H84" s="168">
        <v>1.2</v>
      </c>
      <c r="I84" s="14"/>
    </row>
    <row r="85" spans="1:9" ht="12.75" customHeight="1" x14ac:dyDescent="0.2">
      <c r="A85" s="13"/>
      <c r="B85" s="171" t="s">
        <v>280</v>
      </c>
      <c r="C85" s="163"/>
      <c r="D85" s="187"/>
      <c r="E85" s="11"/>
      <c r="F85" s="187"/>
      <c r="G85" s="129"/>
      <c r="H85" s="168">
        <v>1.2</v>
      </c>
      <c r="I85" s="14"/>
    </row>
    <row r="86" spans="1:9" ht="12.75" customHeight="1" x14ac:dyDescent="0.2">
      <c r="A86" s="13"/>
      <c r="B86" s="171" t="s">
        <v>281</v>
      </c>
      <c r="C86" s="163"/>
      <c r="D86" s="187"/>
      <c r="E86" s="11"/>
      <c r="F86" s="187"/>
      <c r="G86" s="129"/>
      <c r="H86" s="168">
        <v>1.5</v>
      </c>
      <c r="I86" s="14"/>
    </row>
    <row r="87" spans="1:9" ht="12.75" customHeight="1" x14ac:dyDescent="0.2">
      <c r="A87" s="13"/>
      <c r="B87" s="171" t="s">
        <v>282</v>
      </c>
      <c r="C87" s="163"/>
      <c r="D87" s="187"/>
      <c r="E87" s="11"/>
      <c r="F87" s="187"/>
      <c r="G87" s="129"/>
      <c r="H87" s="168">
        <v>1.5</v>
      </c>
      <c r="I87" s="14"/>
    </row>
    <row r="88" spans="1:9" ht="12.75" customHeight="1" x14ac:dyDescent="0.2">
      <c r="A88" s="13"/>
      <c r="B88" s="171" t="s">
        <v>283</v>
      </c>
      <c r="C88" s="163"/>
      <c r="D88" s="187"/>
      <c r="E88" s="11"/>
      <c r="F88" s="187"/>
      <c r="G88" s="129"/>
      <c r="H88" s="168">
        <v>1</v>
      </c>
      <c r="I88" s="14"/>
    </row>
    <row r="89" spans="1:9" ht="12.75" customHeight="1" x14ac:dyDescent="0.2">
      <c r="A89" s="13"/>
      <c r="B89" s="171" t="s">
        <v>284</v>
      </c>
      <c r="C89" s="163"/>
      <c r="D89" s="187"/>
      <c r="E89" s="11"/>
      <c r="F89" s="187"/>
      <c r="G89" s="129"/>
      <c r="H89" s="168">
        <v>1.2</v>
      </c>
      <c r="I89" s="14"/>
    </row>
    <row r="90" spans="1:9" ht="12.75" customHeight="1" x14ac:dyDescent="0.2">
      <c r="A90" s="13"/>
      <c r="B90" s="171" t="s">
        <v>285</v>
      </c>
      <c r="C90" s="163"/>
      <c r="D90" s="187"/>
      <c r="E90" s="11"/>
      <c r="F90" s="187"/>
      <c r="G90" s="129"/>
      <c r="H90" s="168">
        <v>1.2</v>
      </c>
      <c r="I90" s="14"/>
    </row>
    <row r="91" spans="1:9" ht="12.75" customHeight="1" x14ac:dyDescent="0.2">
      <c r="A91" s="13"/>
      <c r="B91" s="186" t="s">
        <v>277</v>
      </c>
      <c r="C91" s="163"/>
      <c r="D91" s="187"/>
      <c r="E91" s="11"/>
      <c r="F91" s="187"/>
      <c r="G91" s="129"/>
      <c r="H91" s="168">
        <v>1.5</v>
      </c>
      <c r="I91" s="14"/>
    </row>
    <row r="92" spans="1:9" ht="12.75" customHeight="1" x14ac:dyDescent="0.2">
      <c r="A92" s="13"/>
      <c r="B92" s="188"/>
      <c r="C92" s="163"/>
      <c r="D92" s="187"/>
      <c r="E92" s="11"/>
      <c r="F92" s="187"/>
      <c r="G92" s="129"/>
      <c r="H92" s="11"/>
      <c r="I92" s="14"/>
    </row>
    <row r="93" spans="1:9" ht="12.75" customHeight="1" x14ac:dyDescent="0.2">
      <c r="A93" s="13"/>
      <c r="B93" s="11" t="s">
        <v>5</v>
      </c>
      <c r="C93" s="163"/>
      <c r="D93" s="187"/>
      <c r="E93" s="11"/>
      <c r="F93" s="187"/>
      <c r="G93" s="129"/>
      <c r="H93" s="11"/>
      <c r="I93" s="14"/>
    </row>
    <row r="94" spans="1:9" ht="12.75" customHeight="1" x14ac:dyDescent="0.2">
      <c r="A94" s="13"/>
      <c r="B94" s="11"/>
      <c r="C94" s="163"/>
      <c r="D94" s="187"/>
      <c r="E94" s="11"/>
      <c r="F94" s="187"/>
      <c r="G94" s="129"/>
      <c r="H94" s="11">
        <f>SUM(H84:H91)</f>
        <v>10.3</v>
      </c>
      <c r="I94" s="14"/>
    </row>
    <row r="95" spans="1:9" ht="12.75" customHeight="1" x14ac:dyDescent="0.25">
      <c r="A95" s="13"/>
      <c r="B95" s="189"/>
      <c r="C95" s="12"/>
      <c r="D95" s="163"/>
      <c r="E95" s="11"/>
      <c r="F95" s="185"/>
      <c r="G95" s="21"/>
      <c r="H95" s="168"/>
      <c r="I95" s="14"/>
    </row>
    <row r="96" spans="1:9" s="205" customFormat="1" ht="12.75" customHeight="1" x14ac:dyDescent="0.2">
      <c r="A96" s="197">
        <v>3</v>
      </c>
      <c r="B96" s="471" t="s">
        <v>48</v>
      </c>
      <c r="C96" s="472"/>
      <c r="D96" s="472"/>
      <c r="E96" s="472"/>
      <c r="F96" s="472"/>
      <c r="G96" s="472"/>
      <c r="H96" s="472"/>
      <c r="I96" s="473"/>
    </row>
    <row r="97" spans="1:9" s="213" customFormat="1" ht="12.75" customHeight="1" x14ac:dyDescent="0.2">
      <c r="A97" s="197"/>
      <c r="B97" s="210" t="s">
        <v>154</v>
      </c>
      <c r="C97" s="211"/>
      <c r="D97" s="211"/>
      <c r="E97" s="208"/>
      <c r="F97" s="208" t="s">
        <v>155</v>
      </c>
      <c r="G97" s="208"/>
      <c r="H97" s="208"/>
      <c r="I97" s="212"/>
    </row>
    <row r="98" spans="1:9" ht="12.75" customHeight="1" x14ac:dyDescent="0.2">
      <c r="A98" s="128"/>
      <c r="B98" s="77" t="s">
        <v>78</v>
      </c>
      <c r="C98" s="163"/>
      <c r="D98" s="163"/>
      <c r="E98" s="168"/>
      <c r="F98" s="192">
        <v>159.84</v>
      </c>
      <c r="G98" s="168"/>
      <c r="H98" s="168"/>
      <c r="I98" s="14"/>
    </row>
    <row r="99" spans="1:9" ht="12.75" customHeight="1" x14ac:dyDescent="0.2">
      <c r="A99" s="128"/>
      <c r="B99" s="77" t="s">
        <v>290</v>
      </c>
      <c r="C99" s="163"/>
      <c r="D99" s="163"/>
      <c r="E99" s="168"/>
      <c r="F99" s="192">
        <v>158.58000000000001</v>
      </c>
      <c r="G99" s="168"/>
      <c r="H99" s="168"/>
      <c r="I99" s="14"/>
    </row>
    <row r="100" spans="1:9" ht="12.75" customHeight="1" x14ac:dyDescent="0.2">
      <c r="A100" s="128"/>
      <c r="B100" s="77" t="s">
        <v>79</v>
      </c>
      <c r="C100" s="163"/>
      <c r="D100" s="163"/>
      <c r="E100" s="168"/>
      <c r="F100" s="78">
        <v>157.87</v>
      </c>
      <c r="G100" s="168"/>
      <c r="H100" s="168"/>
      <c r="I100" s="14"/>
    </row>
    <row r="101" spans="1:9" ht="12.75" customHeight="1" x14ac:dyDescent="0.2">
      <c r="A101" s="128"/>
      <c r="B101" s="77" t="s">
        <v>80</v>
      </c>
      <c r="C101" s="163"/>
      <c r="D101" s="163"/>
      <c r="E101" s="168"/>
      <c r="F101" s="78">
        <v>156.11000000000001</v>
      </c>
      <c r="G101" s="168"/>
      <c r="H101" s="168"/>
      <c r="I101" s="14"/>
    </row>
    <row r="102" spans="1:9" ht="12.75" customHeight="1" x14ac:dyDescent="0.2">
      <c r="A102" s="128"/>
      <c r="B102" s="77" t="s">
        <v>81</v>
      </c>
      <c r="C102" s="163"/>
      <c r="D102" s="163"/>
      <c r="E102" s="168"/>
      <c r="F102" s="78">
        <v>156.66</v>
      </c>
      <c r="G102" s="168"/>
      <c r="H102" s="168"/>
      <c r="I102" s="14"/>
    </row>
    <row r="103" spans="1:9" ht="12.75" customHeight="1" x14ac:dyDescent="0.2">
      <c r="A103" s="128"/>
      <c r="B103" s="79" t="s">
        <v>143</v>
      </c>
      <c r="C103" s="80"/>
      <c r="D103" s="80"/>
      <c r="E103" s="168"/>
      <c r="F103" s="78">
        <v>157.55000000000001</v>
      </c>
      <c r="G103" s="168"/>
      <c r="H103" s="168"/>
      <c r="I103" s="14"/>
    </row>
    <row r="104" spans="1:9" ht="12.75" customHeight="1" x14ac:dyDescent="0.2">
      <c r="A104" s="128"/>
      <c r="B104" s="79" t="s">
        <v>152</v>
      </c>
      <c r="C104" s="80"/>
      <c r="D104" s="80"/>
      <c r="E104" s="168"/>
      <c r="F104" s="78">
        <v>199.85</v>
      </c>
      <c r="G104" s="168"/>
      <c r="H104" s="168"/>
      <c r="I104" s="14"/>
    </row>
    <row r="105" spans="1:9" ht="12.75" customHeight="1" x14ac:dyDescent="0.2">
      <c r="A105" s="128"/>
      <c r="B105" s="79" t="s">
        <v>254</v>
      </c>
      <c r="C105" s="80"/>
      <c r="D105" s="80"/>
      <c r="E105" s="168"/>
      <c r="F105" s="78">
        <v>209.84</v>
      </c>
      <c r="G105" s="11"/>
      <c r="H105" s="168"/>
      <c r="I105" s="14"/>
    </row>
    <row r="106" spans="1:9" ht="12.75" customHeight="1" x14ac:dyDescent="0.2">
      <c r="A106" s="128"/>
      <c r="B106" s="79" t="s">
        <v>153</v>
      </c>
      <c r="C106" s="80"/>
      <c r="D106" s="80"/>
      <c r="E106" s="168"/>
      <c r="F106" s="78">
        <v>43.52</v>
      </c>
      <c r="G106" s="11"/>
      <c r="H106" s="168"/>
      <c r="I106" s="14"/>
    </row>
    <row r="107" spans="1:9" ht="28.5" customHeight="1" x14ac:dyDescent="0.2">
      <c r="A107" s="128"/>
      <c r="B107" s="186" t="s">
        <v>264</v>
      </c>
      <c r="C107" s="161"/>
      <c r="D107" s="80"/>
      <c r="E107" s="168"/>
      <c r="F107" s="78"/>
      <c r="G107" s="11"/>
      <c r="H107" s="168"/>
      <c r="I107" s="14"/>
    </row>
    <row r="108" spans="1:9" ht="12.75" customHeight="1" x14ac:dyDescent="0.2">
      <c r="A108" s="128"/>
      <c r="B108" s="28" t="s">
        <v>92</v>
      </c>
      <c r="C108" s="76">
        <v>163.46</v>
      </c>
      <c r="D108" s="80"/>
      <c r="E108" s="11" t="s">
        <v>5</v>
      </c>
      <c r="F108" s="81">
        <f>SUM(F98:F106)</f>
        <v>1399.82</v>
      </c>
      <c r="G108" s="11"/>
      <c r="H108" s="168"/>
      <c r="I108" s="14"/>
    </row>
    <row r="109" spans="1:9" ht="12.75" customHeight="1" x14ac:dyDescent="0.2">
      <c r="A109" s="128"/>
      <c r="B109" s="28"/>
      <c r="C109" s="163"/>
      <c r="D109" s="163"/>
      <c r="E109" s="168"/>
      <c r="F109" s="168"/>
      <c r="G109" s="168"/>
      <c r="H109" s="168"/>
      <c r="I109" s="14"/>
    </row>
    <row r="110" spans="1:9" s="205" customFormat="1" ht="12.75" customHeight="1" x14ac:dyDescent="0.2">
      <c r="A110" s="197"/>
      <c r="B110" s="471" t="s">
        <v>83</v>
      </c>
      <c r="C110" s="472"/>
      <c r="D110" s="472"/>
      <c r="E110" s="472"/>
      <c r="F110" s="472"/>
      <c r="G110" s="472"/>
      <c r="H110" s="472"/>
      <c r="I110" s="473"/>
    </row>
    <row r="111" spans="1:9" ht="12.75" customHeight="1" x14ac:dyDescent="0.2">
      <c r="A111" s="128"/>
      <c r="B111" s="28"/>
      <c r="C111" s="163"/>
      <c r="D111" s="163" t="s">
        <v>262</v>
      </c>
      <c r="E111" s="162" t="s">
        <v>263</v>
      </c>
      <c r="F111" s="187" t="s">
        <v>247</v>
      </c>
      <c r="G111" s="11" t="s">
        <v>84</v>
      </c>
      <c r="H111" s="168"/>
      <c r="I111" s="14"/>
    </row>
    <row r="112" spans="1:9" ht="12.75" customHeight="1" x14ac:dyDescent="0.2">
      <c r="A112" s="128"/>
      <c r="B112" s="171" t="s">
        <v>255</v>
      </c>
      <c r="C112" s="187"/>
      <c r="D112" s="187">
        <v>38.020000000000003</v>
      </c>
      <c r="E112" s="162"/>
      <c r="F112" s="162">
        <v>8.0399999999999991</v>
      </c>
      <c r="G112" s="82">
        <f>D112*F112</f>
        <v>305.68079999999998</v>
      </c>
      <c r="H112" s="168"/>
      <c r="I112" s="14"/>
    </row>
    <row r="113" spans="1:9" ht="12.75" customHeight="1" x14ac:dyDescent="0.2">
      <c r="A113" s="128"/>
      <c r="B113" s="171" t="s">
        <v>256</v>
      </c>
      <c r="C113" s="187"/>
      <c r="D113" s="187">
        <v>4.5</v>
      </c>
      <c r="E113" s="162"/>
      <c r="F113" s="162">
        <v>3</v>
      </c>
      <c r="G113" s="82">
        <f>D113*F113</f>
        <v>13.5</v>
      </c>
      <c r="H113" s="168"/>
      <c r="I113" s="14"/>
    </row>
    <row r="114" spans="1:9" ht="12.75" customHeight="1" x14ac:dyDescent="0.2">
      <c r="A114" s="128"/>
      <c r="B114" s="171" t="s">
        <v>257</v>
      </c>
      <c r="C114" s="187"/>
      <c r="D114" s="187">
        <v>1.1000000000000001</v>
      </c>
      <c r="E114" s="162"/>
      <c r="F114" s="162">
        <v>1</v>
      </c>
      <c r="G114" s="82">
        <f>D114*F114</f>
        <v>1.1000000000000001</v>
      </c>
      <c r="H114" s="168"/>
      <c r="I114" s="14"/>
    </row>
    <row r="115" spans="1:9" ht="12.75" customHeight="1" x14ac:dyDescent="0.2">
      <c r="A115" s="128"/>
      <c r="B115" s="171" t="s">
        <v>258</v>
      </c>
      <c r="C115" s="187"/>
      <c r="D115" s="187">
        <v>5.14</v>
      </c>
      <c r="E115" s="162"/>
      <c r="F115" s="162">
        <v>1</v>
      </c>
      <c r="G115" s="82">
        <f>D115*F115</f>
        <v>5.14</v>
      </c>
      <c r="H115" s="168"/>
      <c r="I115" s="14"/>
    </row>
    <row r="116" spans="1:9" ht="12.75" customHeight="1" x14ac:dyDescent="0.2">
      <c r="A116" s="128"/>
      <c r="B116" s="483" t="s">
        <v>259</v>
      </c>
      <c r="C116" s="187"/>
      <c r="D116" s="187">
        <v>1</v>
      </c>
      <c r="E116" s="162"/>
      <c r="F116" s="162">
        <v>2.4</v>
      </c>
      <c r="G116" s="481">
        <f>D116*F116+D117*F117</f>
        <v>11.200000000000001</v>
      </c>
      <c r="H116" s="168"/>
      <c r="I116" s="14"/>
    </row>
    <row r="117" spans="1:9" ht="12.75" customHeight="1" x14ac:dyDescent="0.2">
      <c r="A117" s="128"/>
      <c r="B117" s="484"/>
      <c r="C117" s="187"/>
      <c r="D117" s="187">
        <v>2.2000000000000002</v>
      </c>
      <c r="E117" s="162"/>
      <c r="F117" s="162">
        <v>4</v>
      </c>
      <c r="G117" s="482"/>
      <c r="H117" s="168"/>
      <c r="I117" s="14"/>
    </row>
    <row r="118" spans="1:9" ht="12.75" customHeight="1" x14ac:dyDescent="0.2">
      <c r="A118" s="128"/>
      <c r="B118" s="171" t="s">
        <v>260</v>
      </c>
      <c r="C118" s="187"/>
      <c r="D118" s="187">
        <v>2.85</v>
      </c>
      <c r="E118" s="162"/>
      <c r="F118" s="162">
        <v>1</v>
      </c>
      <c r="G118" s="164">
        <f>D118*F118</f>
        <v>2.85</v>
      </c>
      <c r="H118" s="168"/>
      <c r="I118" s="14"/>
    </row>
    <row r="119" spans="1:9" ht="12.75" customHeight="1" x14ac:dyDescent="0.2">
      <c r="A119" s="13"/>
      <c r="B119" s="171" t="s">
        <v>261</v>
      </c>
      <c r="C119" s="12"/>
      <c r="D119" s="163">
        <v>2.4</v>
      </c>
      <c r="E119" s="162"/>
      <c r="F119" s="187">
        <v>2.5</v>
      </c>
      <c r="G119" s="164">
        <f>D119*F119</f>
        <v>6</v>
      </c>
      <c r="H119" s="168"/>
      <c r="I119" s="14"/>
    </row>
    <row r="120" spans="1:9" ht="12.75" customHeight="1" x14ac:dyDescent="0.2">
      <c r="A120" s="13"/>
      <c r="B120" s="11" t="s">
        <v>5</v>
      </c>
      <c r="C120" s="12"/>
      <c r="D120" s="11"/>
      <c r="E120" s="187"/>
      <c r="F120" s="187"/>
      <c r="G120" s="165">
        <f>SUM(G112:G119)</f>
        <v>345.4708</v>
      </c>
      <c r="H120" s="168"/>
      <c r="I120" s="14"/>
    </row>
    <row r="121" spans="1:9" ht="12.75" customHeight="1" x14ac:dyDescent="0.2">
      <c r="A121" s="13"/>
      <c r="B121" s="11"/>
      <c r="C121" s="12"/>
      <c r="D121" s="11"/>
      <c r="E121" s="187"/>
      <c r="F121" s="187"/>
      <c r="G121" s="165"/>
      <c r="H121" s="168"/>
      <c r="I121" s="14"/>
    </row>
    <row r="122" spans="1:9" ht="12.75" customHeight="1" x14ac:dyDescent="0.2">
      <c r="A122" s="13"/>
      <c r="B122" s="186" t="s">
        <v>276</v>
      </c>
      <c r="C122" s="12"/>
      <c r="D122" s="11"/>
      <c r="E122" s="187"/>
      <c r="F122" s="187"/>
      <c r="G122" s="165"/>
      <c r="H122" s="168"/>
      <c r="I122" s="14"/>
    </row>
    <row r="123" spans="1:9" ht="12.75" customHeight="1" x14ac:dyDescent="0.2">
      <c r="A123" s="13"/>
      <c r="B123" s="188"/>
      <c r="C123" s="12"/>
      <c r="D123" s="11"/>
      <c r="E123" s="187"/>
      <c r="F123" s="187"/>
      <c r="G123" s="165"/>
      <c r="H123" s="168"/>
      <c r="I123" s="14"/>
    </row>
    <row r="124" spans="1:9" ht="12.75" customHeight="1" x14ac:dyDescent="0.2">
      <c r="A124" s="13"/>
      <c r="B124" s="171" t="s">
        <v>286</v>
      </c>
      <c r="C124" s="12"/>
      <c r="D124" s="11"/>
      <c r="E124" s="187"/>
      <c r="F124" s="187"/>
      <c r="G124" s="165"/>
      <c r="H124" s="82">
        <v>1.2</v>
      </c>
      <c r="I124" s="14"/>
    </row>
    <row r="125" spans="1:9" ht="12.75" customHeight="1" x14ac:dyDescent="0.2">
      <c r="A125" s="13"/>
      <c r="B125" s="171" t="s">
        <v>287</v>
      </c>
      <c r="C125" s="12"/>
      <c r="D125" s="11"/>
      <c r="E125" s="187"/>
      <c r="F125" s="187"/>
      <c r="G125" s="165"/>
      <c r="H125" s="82">
        <v>3.7</v>
      </c>
      <c r="I125" s="14"/>
    </row>
    <row r="126" spans="1:9" ht="12.75" customHeight="1" x14ac:dyDescent="0.2">
      <c r="A126" s="13"/>
      <c r="B126" s="171" t="s">
        <v>288</v>
      </c>
      <c r="C126" s="12"/>
      <c r="D126" s="11"/>
      <c r="E126" s="187"/>
      <c r="F126" s="187"/>
      <c r="G126" s="165"/>
      <c r="H126" s="82">
        <v>1.5</v>
      </c>
      <c r="I126" s="14"/>
    </row>
    <row r="127" spans="1:9" ht="12.75" customHeight="1" x14ac:dyDescent="0.2">
      <c r="A127" s="13"/>
      <c r="B127" s="171" t="s">
        <v>289</v>
      </c>
      <c r="C127" s="12"/>
      <c r="D127" s="11"/>
      <c r="E127" s="187"/>
      <c r="F127" s="187"/>
      <c r="G127" s="165"/>
      <c r="H127" s="82">
        <v>1.2</v>
      </c>
      <c r="I127" s="14"/>
    </row>
    <row r="128" spans="1:9" ht="12.75" customHeight="1" x14ac:dyDescent="0.2">
      <c r="A128" s="13"/>
      <c r="B128" s="186" t="s">
        <v>277</v>
      </c>
      <c r="C128" s="12"/>
      <c r="D128" s="11"/>
      <c r="E128" s="187"/>
      <c r="F128" s="187"/>
      <c r="G128" s="165"/>
      <c r="H128" s="165"/>
      <c r="I128" s="14"/>
    </row>
    <row r="129" spans="1:10" ht="12.75" customHeight="1" x14ac:dyDescent="0.2">
      <c r="A129" s="13"/>
      <c r="B129" s="188"/>
      <c r="C129" s="12"/>
      <c r="D129" s="11"/>
      <c r="E129" s="187"/>
      <c r="F129" s="187"/>
      <c r="G129" s="165"/>
      <c r="H129" s="165"/>
      <c r="I129" s="14"/>
    </row>
    <row r="130" spans="1:10" ht="12.75" customHeight="1" x14ac:dyDescent="0.2">
      <c r="A130" s="13"/>
      <c r="B130" s="11" t="s">
        <v>5</v>
      </c>
      <c r="C130" s="12"/>
      <c r="D130" s="11"/>
      <c r="E130" s="187"/>
      <c r="F130" s="187"/>
      <c r="G130" s="165"/>
      <c r="H130" s="165">
        <f>SUM(H124:H127)</f>
        <v>7.6000000000000005</v>
      </c>
      <c r="I130" s="14"/>
    </row>
    <row r="131" spans="1:10" ht="12.75" customHeight="1" x14ac:dyDescent="0.2">
      <c r="A131" s="13"/>
      <c r="B131" s="26"/>
      <c r="C131" s="12"/>
      <c r="D131" s="163"/>
      <c r="E131" s="11"/>
      <c r="F131" s="187"/>
      <c r="G131" s="22"/>
      <c r="H131" s="168"/>
      <c r="I131" s="14"/>
    </row>
    <row r="132" spans="1:10" ht="13.5" customHeight="1" x14ac:dyDescent="0.2">
      <c r="A132" s="463" t="s">
        <v>36</v>
      </c>
      <c r="B132" s="464"/>
      <c r="C132" s="465"/>
      <c r="D132" s="491" t="s">
        <v>35</v>
      </c>
      <c r="E132" s="492"/>
      <c r="F132" s="495"/>
      <c r="G132" s="495">
        <f>F72+F27+F108</f>
        <v>6522.94</v>
      </c>
      <c r="H132" s="487"/>
      <c r="I132" s="489"/>
    </row>
    <row r="133" spans="1:10" ht="5.25" customHeight="1" thickBot="1" x14ac:dyDescent="0.25">
      <c r="A133" s="466"/>
      <c r="B133" s="467"/>
      <c r="C133" s="468"/>
      <c r="D133" s="493"/>
      <c r="E133" s="494"/>
      <c r="F133" s="496"/>
      <c r="G133" s="496"/>
      <c r="H133" s="488"/>
      <c r="I133" s="490"/>
    </row>
    <row r="134" spans="1:10" x14ac:dyDescent="0.2">
      <c r="A134" s="193"/>
      <c r="B134" s="193"/>
      <c r="C134" s="193"/>
      <c r="D134" s="193"/>
      <c r="E134" s="193"/>
      <c r="F134" s="193"/>
      <c r="G134" s="194"/>
      <c r="H134" s="29"/>
      <c r="I134" s="195"/>
      <c r="J134" s="193"/>
    </row>
    <row r="135" spans="1:10" x14ac:dyDescent="0.2">
      <c r="A135" s="193"/>
      <c r="B135" s="193"/>
      <c r="C135" s="193"/>
      <c r="D135" s="193"/>
      <c r="E135" s="193" t="s">
        <v>195</v>
      </c>
      <c r="F135" s="193"/>
      <c r="G135" s="193"/>
      <c r="H135" s="193"/>
      <c r="I135" s="193"/>
      <c r="J135" s="193"/>
    </row>
    <row r="136" spans="1:10" x14ac:dyDescent="0.2">
      <c r="A136" s="193"/>
      <c r="B136" s="193"/>
      <c r="C136" s="194"/>
      <c r="D136" s="193"/>
      <c r="E136" s="462" t="s">
        <v>56</v>
      </c>
      <c r="F136" s="462"/>
      <c r="G136" s="462"/>
      <c r="H136" s="193"/>
      <c r="I136" s="193"/>
      <c r="J136" s="193"/>
    </row>
    <row r="137" spans="1:10" x14ac:dyDescent="0.2">
      <c r="A137" s="193"/>
      <c r="B137" s="193"/>
      <c r="C137" s="193"/>
      <c r="D137" s="193"/>
      <c r="E137" s="462" t="s">
        <v>58</v>
      </c>
      <c r="F137" s="462"/>
      <c r="G137" s="462"/>
      <c r="H137" s="193"/>
      <c r="I137" s="193"/>
      <c r="J137" s="193"/>
    </row>
    <row r="138" spans="1:10" x14ac:dyDescent="0.2">
      <c r="A138" s="193"/>
      <c r="B138" s="193"/>
      <c r="C138" s="193"/>
      <c r="D138" s="193"/>
      <c r="E138" s="462" t="s">
        <v>194</v>
      </c>
      <c r="F138" s="462"/>
      <c r="G138" s="462"/>
      <c r="H138" s="193"/>
      <c r="I138" s="193"/>
      <c r="J138" s="193"/>
    </row>
    <row r="139" spans="1:10" x14ac:dyDescent="0.2">
      <c r="A139" s="193"/>
      <c r="B139" s="193"/>
      <c r="C139" s="193"/>
      <c r="D139" s="193"/>
      <c r="E139" s="193"/>
      <c r="F139" s="193"/>
      <c r="G139" s="193"/>
      <c r="H139" s="193"/>
      <c r="I139" s="193"/>
      <c r="J139" s="193"/>
    </row>
    <row r="140" spans="1:10" x14ac:dyDescent="0.2">
      <c r="A140" s="193"/>
      <c r="B140" s="193"/>
      <c r="C140" s="193"/>
      <c r="D140" s="193"/>
      <c r="E140" s="193"/>
      <c r="F140" s="193"/>
      <c r="G140" s="193"/>
      <c r="H140" s="193"/>
      <c r="I140" s="193"/>
      <c r="J140" s="193"/>
    </row>
    <row r="141" spans="1:10" x14ac:dyDescent="0.2">
      <c r="A141" s="193"/>
      <c r="B141" s="193"/>
      <c r="C141" s="193"/>
      <c r="D141" s="193"/>
      <c r="E141" s="193"/>
      <c r="F141" s="193"/>
      <c r="G141" s="193"/>
      <c r="H141" s="193"/>
      <c r="I141" s="193"/>
      <c r="J141" s="193"/>
    </row>
    <row r="147" spans="3:3" x14ac:dyDescent="0.2">
      <c r="C147" s="196"/>
    </row>
  </sheetData>
  <mergeCells count="29">
    <mergeCell ref="E137:G137"/>
    <mergeCell ref="D132:E133"/>
    <mergeCell ref="G132:G133"/>
    <mergeCell ref="A1:A5"/>
    <mergeCell ref="B2:F2"/>
    <mergeCell ref="B3:F3"/>
    <mergeCell ref="B74:I74"/>
    <mergeCell ref="F132:F133"/>
    <mergeCell ref="B1:I1"/>
    <mergeCell ref="H2:I2"/>
    <mergeCell ref="H3:I3"/>
    <mergeCell ref="H4:I4"/>
    <mergeCell ref="B4:F4"/>
    <mergeCell ref="E138:G138"/>
    <mergeCell ref="A132:C133"/>
    <mergeCell ref="B5:F5"/>
    <mergeCell ref="B29:I29"/>
    <mergeCell ref="A7:I7"/>
    <mergeCell ref="H5:I5"/>
    <mergeCell ref="A6:H6"/>
    <mergeCell ref="G116:G117"/>
    <mergeCell ref="B116:B117"/>
    <mergeCell ref="G34:G35"/>
    <mergeCell ref="H132:H133"/>
    <mergeCell ref="I132:I133"/>
    <mergeCell ref="B96:I96"/>
    <mergeCell ref="B110:I110"/>
    <mergeCell ref="B34:B35"/>
    <mergeCell ref="E136:G136"/>
  </mergeCells>
  <pageMargins left="0.6692913385826772" right="0.51181102362204722" top="0.78740157480314965" bottom="0.78740157480314965" header="0.31496062992125984" footer="0.31496062992125984"/>
  <pageSetup paperSize="9" scale="66" fitToHeight="0" orientation="landscape" horizontalDpi="4294967294" verticalDpi="4294967294" r:id="rId1"/>
  <rowBreaks count="2" manualBreakCount="2">
    <brk id="52" max="8" man="1"/>
    <brk id="95" max="8" man="1"/>
  </rowBreaks>
  <drawing r:id="rId2"/>
  <legacyDrawing r:id="rId3"/>
  <oleObjects>
    <mc:AlternateContent xmlns:mc="http://schemas.openxmlformats.org/markup-compatibility/2006">
      <mc:Choice Requires="x14">
        <oleObject progId="StaticMetafile" shapeId="7273" r:id="rId4">
          <objectPr defaultSize="0" autoPict="0" r:id="rId5">
            <anchor moveWithCells="1" sizeWithCells="1">
              <from>
                <xdr:col>0</xdr:col>
                <xdr:colOff>152400</xdr:colOff>
                <xdr:row>1</xdr:row>
                <xdr:rowOff>28575</xdr:rowOff>
              </from>
              <to>
                <xdr:col>0</xdr:col>
                <xdr:colOff>762000</xdr:colOff>
                <xdr:row>3</xdr:row>
                <xdr:rowOff>228600</xdr:rowOff>
              </to>
            </anchor>
          </objectPr>
        </oleObject>
      </mc:Choice>
      <mc:Fallback>
        <oleObject progId="StaticMetafile" shapeId="72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12</vt:i4>
      </vt:variant>
    </vt:vector>
  </HeadingPairs>
  <TitlesOfParts>
    <vt:vector size="20" baseType="lpstr">
      <vt:lpstr>PLANILHA</vt:lpstr>
      <vt:lpstr>MC</vt:lpstr>
      <vt:lpstr>COMPOSIÇÃO 01</vt:lpstr>
      <vt:lpstr>COMPOSIÇÃO 02</vt:lpstr>
      <vt:lpstr>COMPOSIÇÃO 03</vt:lpstr>
      <vt:lpstr>CRONOG</vt:lpstr>
      <vt:lpstr>BDI-Comp</vt:lpstr>
      <vt:lpstr>RELAÇÃO DE RUAS </vt:lpstr>
      <vt:lpstr>'BDI-Comp'!Area_de_impressao</vt:lpstr>
      <vt:lpstr>'COMPOSIÇÃO 01'!Area_de_impressao</vt:lpstr>
      <vt:lpstr>'COMPOSIÇÃO 02'!Area_de_impressao</vt:lpstr>
      <vt:lpstr>'COMPOSIÇÃO 03'!Area_de_impressao</vt:lpstr>
      <vt:lpstr>CRONOG!Area_de_impressao</vt:lpstr>
      <vt:lpstr>MC!Area_de_impressao</vt:lpstr>
      <vt:lpstr>PLANILHA!Area_de_impressao</vt:lpstr>
      <vt:lpstr>'RELAÇÃO DE RUAS '!Area_de_impressao</vt:lpstr>
      <vt:lpstr>PLANILHA!Excel_BuiltIn_Print_Titles_2</vt:lpstr>
      <vt:lpstr>PLANILHA!Titulos_de_impressao</vt:lpstr>
      <vt:lpstr>'RELAÇÃO DE RUAS '!Titulos_de_impressao</vt:lpstr>
      <vt:lpstr>PLANILHA!TOT.P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thais.baptista</dc:creator>
  <cp:lastModifiedBy>jefyson.loureiro</cp:lastModifiedBy>
  <cp:lastPrinted>2020-03-11T11:33:09Z</cp:lastPrinted>
  <dcterms:created xsi:type="dcterms:W3CDTF">2008-11-03T13:47:22Z</dcterms:created>
  <dcterms:modified xsi:type="dcterms:W3CDTF">2020-03-11T11:43:10Z</dcterms:modified>
</cp:coreProperties>
</file>