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codeName="EstaPastaDeTrabalho"/>
  <mc:AlternateContent xmlns:mc="http://schemas.openxmlformats.org/markup-compatibility/2006">
    <mc:Choice Requires="x15">
      <x15ac:absPath xmlns:x15ac="http://schemas.microsoft.com/office/spreadsheetml/2010/11/ac" url="X:\Licitacao\PMJN\2022\CPL SEMED\"/>
    </mc:Choice>
  </mc:AlternateContent>
  <bookViews>
    <workbookView xWindow="0" yWindow="0" windowWidth="25200" windowHeight="11985"/>
  </bookViews>
  <sheets>
    <sheet name="41 passageiros (2)" sheetId="1" r:id="rId1"/>
  </sheets>
  <definedNames>
    <definedName name="_xlnm.Print_Area" localSheetId="0">'41 passageiros (2)'!$A$1:$L$97</definedName>
  </definedNames>
  <calcPr calcId="152511"/>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F6" i="1" l="1"/>
  <c r="F7" i="1"/>
  <c r="B12" i="1"/>
  <c r="C12" i="1"/>
  <c r="F12" i="1"/>
  <c r="E20" i="1"/>
  <c r="I20" i="1" s="1"/>
  <c r="E24" i="1"/>
  <c r="B44" i="1"/>
  <c r="B52" i="1"/>
  <c r="C66" i="1"/>
  <c r="C89" i="1"/>
  <c r="C91" i="1"/>
  <c r="C92" i="1"/>
  <c r="C93" i="1"/>
  <c r="F8" i="1" l="1"/>
  <c r="E16" i="1" s="1"/>
  <c r="K12" i="1"/>
  <c r="B16" i="1"/>
  <c r="C16" i="1"/>
  <c r="D16" i="1"/>
  <c r="F30" i="1"/>
  <c r="F16" i="1" l="1"/>
  <c r="F32" i="1" s="1"/>
  <c r="F40" i="1" s="1"/>
  <c r="F48" i="1" s="1"/>
  <c r="F38" i="1"/>
  <c r="F54" i="1"/>
  <c r="F34" i="1" l="1"/>
  <c r="F56" i="1"/>
  <c r="F58" i="1"/>
  <c r="F46" i="1"/>
  <c r="F50" i="1" s="1"/>
  <c r="F42" i="1"/>
</calcChain>
</file>

<file path=xl/comments1.xml><?xml version="1.0" encoding="utf-8"?>
<comments xmlns="http://schemas.openxmlformats.org/spreadsheetml/2006/main">
  <authors>
    <author>SEDU</author>
  </authors>
  <commentList>
    <comment ref="K3" authorId="0" shapeId="0">
      <text>
        <r>
          <rPr>
            <b/>
            <sz val="9"/>
            <color indexed="81"/>
            <rFont val="Segoe UI"/>
            <family val="2"/>
          </rPr>
          <t>SEDU:</t>
        </r>
        <r>
          <rPr>
            <sz val="9"/>
            <color indexed="81"/>
            <rFont val="Segoe UI"/>
            <family val="2"/>
          </rPr>
          <t xml:space="preserve">
Quilometragem diária percorrida por todas as rotas que um veículo executa ao longo de um dia.
Para os casos em que um mesmo veículo executa rotas com quantidade de dias por semana distintos (2, 3 e 5 por exemplo) a SEDU utiliza a quilometragem média diária percorrida pelo veículo no intervalo de uma semana.
       km média = km rota * dias de execução por semana / 5
Ex: Veículo 1
      Rota 1111 com 50 km/dia executada 5 dias por semana
      Rota 2222 com 75 km/dia executada 3 dias por semana
      A quilometragem média diária do Veículo 1 é:
      km = 50 * 5 / 5 + 75 * 3 /5</t>
        </r>
      </text>
    </comment>
    <comment ref="F4" authorId="0" shapeId="0">
      <text>
        <r>
          <rPr>
            <b/>
            <sz val="9"/>
            <color indexed="81"/>
            <rFont val="Segoe UI"/>
            <family val="2"/>
          </rPr>
          <t>SEDU:</t>
        </r>
        <r>
          <rPr>
            <sz val="9"/>
            <color indexed="81"/>
            <rFont val="Segoe UI"/>
            <family val="2"/>
          </rPr>
          <t xml:space="preserve">
Campos calculados de acordo com o KM DIÁRIO, Coeficiente, % tipo de pavimento e dias letivos mês.
</t>
        </r>
      </text>
    </comment>
    <comment ref="G4" authorId="0" shapeId="0">
      <text>
        <r>
          <rPr>
            <b/>
            <sz val="9"/>
            <color indexed="81"/>
            <rFont val="Segoe UI"/>
            <family val="2"/>
          </rPr>
          <t>SEDU:</t>
        </r>
        <r>
          <rPr>
            <sz val="9"/>
            <color indexed="81"/>
            <rFont val="Segoe UI"/>
            <family val="2"/>
          </rPr>
          <t xml:space="preserve">
O coeficiente é o multiplicador do valor da quilometragem para considerar um incremento do custo variável do veículo para casos em que o mesmo trafega em vias não pavimentadas (poliedro e terra).
Ex: A SEDU considera que a quilometragem percorrida em vias de pavimento poliedro tem um acréscimo de 18% no custo variável em relação ao pavimento asfalto, já para o pavimento de terra o acréscimo é de 35%.
</t>
        </r>
      </text>
    </comment>
    <comment ref="H4" authorId="0" shapeId="0">
      <text>
        <r>
          <rPr>
            <b/>
            <sz val="9"/>
            <color indexed="81"/>
            <rFont val="Segoe UI"/>
            <family val="2"/>
          </rPr>
          <t>SEDU:</t>
        </r>
        <r>
          <rPr>
            <sz val="9"/>
            <color indexed="81"/>
            <rFont val="Segoe UI"/>
            <family val="2"/>
          </rPr>
          <t xml:space="preserve">
O usuário deve informar a porcentagem de cada pavimento que o veículo irá percorrer ao executar as rotas.
Ex: Se um veículo roda metade da rota em pavimento asfalto e metada em pavimento terra, devem ser informadas as seguintes porcentagens:
Asfalto: 50%
Poliedro: 0
Terra: 50%</t>
        </r>
      </text>
    </comment>
    <comment ref="B8" authorId="0" shapeId="0">
      <text>
        <r>
          <rPr>
            <b/>
            <sz val="9"/>
            <color indexed="81"/>
            <rFont val="Segoe UI"/>
            <family val="2"/>
          </rPr>
          <t>SEDU:</t>
        </r>
        <r>
          <rPr>
            <sz val="9"/>
            <color indexed="81"/>
            <rFont val="Segoe UI"/>
            <family val="2"/>
          </rPr>
          <t xml:space="preserve">
Campo calculado de acordo com o coeficiente de consumo de combustível.</t>
        </r>
      </text>
    </comment>
    <comment ref="B11" authorId="0" shapeId="0">
      <text>
        <r>
          <rPr>
            <b/>
            <sz val="9"/>
            <color indexed="81"/>
            <rFont val="Segoe UI"/>
            <family val="2"/>
          </rPr>
          <t>SEDU:</t>
        </r>
        <r>
          <rPr>
            <sz val="9"/>
            <color indexed="81"/>
            <rFont val="Segoe UI"/>
            <family val="2"/>
          </rPr>
          <t xml:space="preserve">
A remuneração de capital é a remuneração pelo capital investido na aquisição do veículo.
Remuneração de capital = valor do veículo - (quantidade de pneus * valor do pneu) * ((1+% remuneração de capital)^12-1))
</t>
        </r>
      </text>
    </comment>
    <comment ref="C11" authorId="0" shapeId="0">
      <text>
        <r>
          <rPr>
            <b/>
            <sz val="9"/>
            <color indexed="81"/>
            <rFont val="Segoe UI"/>
            <family val="2"/>
          </rPr>
          <t>SEDU:</t>
        </r>
        <r>
          <rPr>
            <sz val="9"/>
            <color indexed="81"/>
            <rFont val="Segoe UI"/>
            <family val="2"/>
          </rPr>
          <t xml:space="preserve">
Depreciação = (valor do veículo - (quantidade de pneus * valor do pneu) * (1 - valor residual %)) / vida útil veículo
</t>
        </r>
      </text>
    </comment>
    <comment ref="D11" authorId="0" shapeId="0">
      <text>
        <r>
          <rPr>
            <b/>
            <sz val="9"/>
            <color indexed="81"/>
            <rFont val="Segoe UI"/>
            <family val="2"/>
          </rPr>
          <t>SEDU:</t>
        </r>
        <r>
          <rPr>
            <sz val="9"/>
            <color indexed="81"/>
            <rFont val="Segoe UI"/>
            <family val="2"/>
          </rPr>
          <t xml:space="preserve">
Certificado de Registro e Licenciamento de Veículos (CRLV).</t>
        </r>
      </text>
    </comment>
    <comment ref="E11" authorId="0" shapeId="0">
      <text>
        <r>
          <rPr>
            <b/>
            <sz val="9"/>
            <color indexed="81"/>
            <rFont val="Segoe UI"/>
            <family val="2"/>
          </rPr>
          <t>SEDU:</t>
        </r>
        <r>
          <rPr>
            <sz val="9"/>
            <color indexed="81"/>
            <rFont val="Segoe UI"/>
            <family val="2"/>
          </rPr>
          <t xml:space="preserve">
Seguro de Danos Pessoais Causados por Veículos Automotores de Vias Terrestres(DPVAT).</t>
        </r>
      </text>
    </comment>
    <comment ref="F11" authorId="0" shapeId="0">
      <text>
        <r>
          <rPr>
            <b/>
            <sz val="9"/>
            <color indexed="81"/>
            <rFont val="Segoe UI"/>
            <family val="2"/>
          </rPr>
          <t>SEDU:</t>
        </r>
        <r>
          <rPr>
            <sz val="9"/>
            <color indexed="81"/>
            <rFont val="Segoe UI"/>
            <family val="2"/>
          </rPr>
          <t xml:space="preserve">
Imposto sobre a Propriedade de Veículos Automotores (IPVA).</t>
        </r>
      </text>
    </comment>
    <comment ref="G11" authorId="0" shapeId="0">
      <text>
        <r>
          <rPr>
            <b/>
            <sz val="9"/>
            <color indexed="81"/>
            <rFont val="Segoe UI"/>
            <family val="2"/>
          </rPr>
          <t>SEDU:</t>
        </r>
        <r>
          <rPr>
            <sz val="9"/>
            <color indexed="81"/>
            <rFont val="Segoe UI"/>
            <family val="2"/>
          </rPr>
          <t xml:space="preserve">
Custo com inspeção e discos do tacógrafo, uma inspeção a cada dois anos.</t>
        </r>
      </text>
    </comment>
    <comment ref="H11" authorId="0" shapeId="0">
      <text>
        <r>
          <rPr>
            <b/>
            <sz val="9"/>
            <color indexed="81"/>
            <rFont val="Segoe UI"/>
            <family val="2"/>
          </rPr>
          <t>SEDU:</t>
        </r>
        <r>
          <rPr>
            <sz val="9"/>
            <color indexed="81"/>
            <rFont val="Segoe UI"/>
            <family val="2"/>
          </rPr>
          <t xml:space="preserve">
Vistoria do DETRAN realizada em Instituição Técnica Licenciada (ITL), duas vezes ao ano. </t>
        </r>
      </text>
    </comment>
    <comment ref="I11" authorId="0" shapeId="0">
      <text>
        <r>
          <rPr>
            <b/>
            <sz val="9"/>
            <color indexed="81"/>
            <rFont val="Segoe UI"/>
            <family val="2"/>
          </rPr>
          <t>SEDU:</t>
        </r>
        <r>
          <rPr>
            <sz val="9"/>
            <color indexed="81"/>
            <rFont val="Segoe UI"/>
            <family val="2"/>
          </rPr>
          <t xml:space="preserve">
Contratação de aparelhos GPS para rastreamento e monitoramento dos veículos.
AINDA NÃO ESTÁ EM USO PELA SEDU</t>
        </r>
      </text>
    </comment>
    <comment ref="J11" authorId="0" shapeId="0">
      <text>
        <r>
          <rPr>
            <b/>
            <sz val="9"/>
            <color indexed="81"/>
            <rFont val="Segoe UI"/>
            <family val="2"/>
          </rPr>
          <t>SEDU:</t>
        </r>
        <r>
          <rPr>
            <sz val="9"/>
            <color indexed="81"/>
            <rFont val="Segoe UI"/>
            <family val="2"/>
          </rPr>
          <t xml:space="preserve">
Contratação de seguro dos veículos. Em caso de acidente, cobertura para  tripulação, passageiros e terceiros ou somente para passageiros (APP).</t>
        </r>
      </text>
    </comment>
    <comment ref="B14" authorId="0" shapeId="0">
      <text>
        <r>
          <rPr>
            <b/>
            <sz val="9"/>
            <color indexed="81"/>
            <rFont val="Segoe UI"/>
            <family val="2"/>
          </rPr>
          <t>SEDU:</t>
        </r>
        <r>
          <rPr>
            <sz val="9"/>
            <color indexed="81"/>
            <rFont val="Segoe UI"/>
            <family val="2"/>
          </rPr>
          <t xml:space="preserve">
Custos variáveis calculados de acordo com os coeficientes de consumo informado.</t>
        </r>
      </text>
    </comment>
    <comment ref="H14" authorId="0" shapeId="0">
      <text>
        <r>
          <rPr>
            <b/>
            <sz val="9"/>
            <color indexed="81"/>
            <rFont val="Segoe UI"/>
            <family val="2"/>
          </rPr>
          <t>SEDU:</t>
        </r>
        <r>
          <rPr>
            <sz val="9"/>
            <color indexed="81"/>
            <rFont val="Segoe UI"/>
            <family val="2"/>
          </rPr>
          <t xml:space="preserve">
Coeficientes de consumo apurados pela UFMG.</t>
        </r>
      </text>
    </comment>
    <comment ref="I23" authorId="0" shapeId="0">
      <text>
        <r>
          <rPr>
            <b/>
            <sz val="9"/>
            <color indexed="81"/>
            <rFont val="Segoe UI"/>
            <family val="2"/>
          </rPr>
          <t>SEDU:</t>
        </r>
        <r>
          <rPr>
            <sz val="9"/>
            <color indexed="81"/>
            <rFont val="Segoe UI"/>
            <family val="2"/>
          </rPr>
          <t xml:space="preserve">
Vida útil do veículo é a estimativa do tempo, em anos, que o veículo estará apto a ser utilizado para realizar transporte.</t>
        </r>
      </text>
    </comment>
    <comment ref="J23" authorId="0" shapeId="0">
      <text>
        <r>
          <rPr>
            <b/>
            <sz val="9"/>
            <color indexed="81"/>
            <rFont val="Segoe UI"/>
            <family val="2"/>
          </rPr>
          <t>SEDU:</t>
        </r>
        <r>
          <rPr>
            <sz val="9"/>
            <color indexed="81"/>
            <rFont val="Segoe UI"/>
            <family val="2"/>
          </rPr>
          <t xml:space="preserve">
O valor residual é o que um bem vale ao final da sua vida útil, ou no decorrer dela, baseado nos cálculos da depreciação deste bem. </t>
        </r>
      </text>
    </comment>
    <comment ref="K23" authorId="0" shapeId="0">
      <text>
        <r>
          <rPr>
            <b/>
            <sz val="9"/>
            <color indexed="81"/>
            <rFont val="Segoe UI"/>
            <family val="2"/>
          </rPr>
          <t>SEDU:</t>
        </r>
        <r>
          <rPr>
            <sz val="9"/>
            <color indexed="81"/>
            <rFont val="Segoe UI"/>
            <family val="2"/>
          </rPr>
          <t xml:space="preserve">
Considerando que a inspeção do equipamento tacógrafo não é realizada em todos os municípios do Estado. A SEDU se propos a incluir essa quilometragem em seus cálculos para remunerar os transportadores.
</t>
        </r>
      </text>
    </comment>
  </commentList>
</comments>
</file>

<file path=xl/sharedStrings.xml><?xml version="1.0" encoding="utf-8"?>
<sst xmlns="http://schemas.openxmlformats.org/spreadsheetml/2006/main" count="147" uniqueCount="127">
  <si>
    <t>(Custo Fixo/km) + (Custo Variável/km).</t>
  </si>
  <si>
    <t>Custo Total por Km:</t>
  </si>
  <si>
    <t>((Custo Variável do Veículo) * (1+Despesa Administrativa)/ (1-Tributação))  / (quilometragem diária * dias letivos ano).</t>
  </si>
  <si>
    <t>Custo Variável/km:</t>
  </si>
  <si>
    <t>((Custo Fixo do Veículo + Custo Fixo Pessoal) * (1+Despesa Administrativa)/ (1-Tributação))  / (quilometragem diária * dias letivos ano).</t>
  </si>
  <si>
    <t>Custo Fixo/km:</t>
  </si>
  <si>
    <t>Total sem Tributação * (1 + Tributação Incidente).</t>
  </si>
  <si>
    <t>Total com Tributação:</t>
  </si>
  <si>
    <t>ISS:</t>
  </si>
  <si>
    <t>COFINS:</t>
  </si>
  <si>
    <t>PIS:</t>
  </si>
  <si>
    <t>(Total do Custo Fixo + Total do Custo Variável)*(1+Despesa Administrativa).</t>
  </si>
  <si>
    <t>Total sem Tributação:</t>
  </si>
  <si>
    <t>Despesa Administrativa</t>
  </si>
  <si>
    <t>Preço do veículo * Fator de consumo com manutenção * (Quilometragem anual + quilometragem anual da inspeção do tacógrafo).</t>
  </si>
  <si>
    <t>Custo com Manutenção:</t>
  </si>
  <si>
    <t>Preço do pneu * Fator de consumo de pneus * (Quilometragem anual + quilometragem anual da inspeção do tacógrafo).</t>
  </si>
  <si>
    <t>Custo com Rodagem</t>
  </si>
  <si>
    <t>Preço do litro de combustível * Fator de consumo lubrificantes * (Quilometragem anual + quilometragem anual da inspeção do tacógrafo).</t>
  </si>
  <si>
    <t>Custo com Lubrificantes:</t>
  </si>
  <si>
    <t>Preço do litro de combustível * Fator de consumo combustível * (Quilometragem anual + quilometragem anual da inspeção do tacógrafo).</t>
  </si>
  <si>
    <t>Custo com Combustível:</t>
  </si>
  <si>
    <t>Coeficientes de Consumo:</t>
  </si>
  <si>
    <t>Encargos Trabalhistas e Sociais:</t>
  </si>
  <si>
    <t>Seguro de Vida:</t>
  </si>
  <si>
    <t>Plano de Saúde:</t>
  </si>
  <si>
    <t>Ticket/Vale Alimentação:</t>
  </si>
  <si>
    <t>Salário do Monitor:</t>
  </si>
  <si>
    <t>Salário do Motorista:</t>
  </si>
  <si>
    <t>Estimativa de dias letivos anual.</t>
  </si>
  <si>
    <t>Dias Letivos*</t>
  </si>
  <si>
    <t>Quilometragem para realizar inspeção do tacógrafo, a cada dois anos, em local certificado.</t>
  </si>
  <si>
    <t>Km da Inspeção do Tacógrafo:</t>
  </si>
  <si>
    <r>
      <t xml:space="preserve">Somatório do limite da faixa de km rodada, considerando a % de cada tipo de pavimento no percurso diário, observando o coeficiente adotado conforme o tipo de piso de rolamento. </t>
    </r>
    <r>
      <rPr>
        <b/>
        <sz val="11"/>
        <color rgb="FFFF0000"/>
        <rFont val="Calibri"/>
        <family val="2"/>
        <scheme val="minor"/>
      </rPr>
      <t>Para veículos que executam rotas com menos dias letivos (Ex: EJA e APAE/Pestalozzi) é utilizada a média da quilometragem diária no período de uma semana nas rotas/turnos em questão.</t>
    </r>
  </si>
  <si>
    <t>Km Anual:</t>
  </si>
  <si>
    <t>Contratação de seguro dos veículos. Em caso de acidente, cobertura para  tripulação, passageiros e terceiros ou somente para passageiros (APP).</t>
  </si>
  <si>
    <t>Seguro:</t>
  </si>
  <si>
    <t>Contratação de aparelhos GPS para rastreamento e monitoramento dos veículos.</t>
  </si>
  <si>
    <t>GPS:</t>
  </si>
  <si>
    <t>Custo com inspeção e discos do tacógrafo, uma inspeção a cada dois anos.</t>
  </si>
  <si>
    <t>Tacógrafo:</t>
  </si>
  <si>
    <t xml:space="preserve">Vistoria do DETRAN que pode ser executada por profissional com  registro no Conselho Regional de Engenharia e Agronomia do Estado do Espírito Santo -CREA/ES, ficando neste caso dispensada da obrigação de realização de vistoria em ITL. </t>
  </si>
  <si>
    <t>Vistoria DETRAN</t>
  </si>
  <si>
    <t>Imposto sobre a Propriedade de Veículos Automotores (IPVA).</t>
  </si>
  <si>
    <t>IPVA:</t>
  </si>
  <si>
    <t>Seguro de Danos Pessoais Causados por Veículos Automotores de Vias Terrestres(DPVAT).</t>
  </si>
  <si>
    <t>DPVAT:</t>
  </si>
  <si>
    <t>Certificado de Registro e Licenciamento de Veículos (CRLV).</t>
  </si>
  <si>
    <t>CRLV:</t>
  </si>
  <si>
    <t>((Valor veículo - número de pneus * valor de pneus) * (1 - valor residual veículo)) / (vida útil do veículo)  Obs: Método linear.</t>
  </si>
  <si>
    <t>Depreciação do Veículo:</t>
  </si>
  <si>
    <t>Valor Residual do Veículo:</t>
  </si>
  <si>
    <t>(Valor veículo - número de pneus * valor de pneus) *((1+% Remuneração de capital)^12-1)</t>
  </si>
  <si>
    <t>Remuneração do Capital:</t>
  </si>
  <si>
    <t>Preço do Pneu:</t>
  </si>
  <si>
    <t>Preço do Combustível:</t>
  </si>
  <si>
    <t>Tipo do Veículo</t>
  </si>
  <si>
    <t>Valor do Veículo:</t>
  </si>
  <si>
    <t>ESTRUTURA DE CÁLCULO</t>
  </si>
  <si>
    <t>CUSTO TOTAL</t>
  </si>
  <si>
    <t>CUSTO VARIÁVEL</t>
  </si>
  <si>
    <t>CUSTO FIXO</t>
  </si>
  <si>
    <t>CUSTO POR DIA LETIVO</t>
  </si>
  <si>
    <t>CUSTO POR KM</t>
  </si>
  <si>
    <t xml:space="preserve">km Inspeção Tacógrafo </t>
  </si>
  <si>
    <t>Valor Residual Veículo (%)</t>
  </si>
  <si>
    <t>Vida Útil Veículo (anos)</t>
  </si>
  <si>
    <t>Remuneração Capital
(% a.m)</t>
  </si>
  <si>
    <t xml:space="preserve">Despesas
Administrativa
(% a.m) </t>
  </si>
  <si>
    <t>TOTAL</t>
  </si>
  <si>
    <t>ISS</t>
  </si>
  <si>
    <t>COFINS</t>
  </si>
  <si>
    <t>PIS</t>
  </si>
  <si>
    <t>OUTROS</t>
  </si>
  <si>
    <t>TRIBUTAÇÃO (%)</t>
  </si>
  <si>
    <t>Total
Anual</t>
  </si>
  <si>
    <t>Seguro de Vida</t>
  </si>
  <si>
    <t>Plano de Saúde</t>
  </si>
  <si>
    <t>Ticket/Vale Alimentação</t>
  </si>
  <si>
    <t>Encargos
(R$)</t>
  </si>
  <si>
    <t>Encargos
(%)</t>
  </si>
  <si>
    <t>Salário
Monitor</t>
  </si>
  <si>
    <t>Salário
Motorista</t>
  </si>
  <si>
    <t>CUSTO FIXO ANUAL PESSOAL (SEM TRIBUTAÇÃO)</t>
  </si>
  <si>
    <t>Manutenção</t>
  </si>
  <si>
    <t>Rodagem</t>
  </si>
  <si>
    <t>Lubrificantes</t>
  </si>
  <si>
    <t>Combustível</t>
  </si>
  <si>
    <t>COEFICIENTES DE CONSUMO VEÍCULO/ KM</t>
  </si>
  <si>
    <t>CUSTO VARIÁVEL ANUAL VEÍCULO (SEM TRIBUTAÇÃO)</t>
  </si>
  <si>
    <t>Seguro</t>
  </si>
  <si>
    <t>GPS</t>
  </si>
  <si>
    <t>Vistoria
DETRAN/ITL</t>
  </si>
  <si>
    <t>Tacógrafo</t>
  </si>
  <si>
    <t>IPVA</t>
  </si>
  <si>
    <t>DPVAT</t>
  </si>
  <si>
    <t>CRLV</t>
  </si>
  <si>
    <t>Depreciação do veículo</t>
  </si>
  <si>
    <t>Remuneração do Capital</t>
  </si>
  <si>
    <t>CUSTO FIXO ANUAL VEÍCULO (SEM TRIBUTAÇÃO)</t>
  </si>
  <si>
    <t>Mês</t>
  </si>
  <si>
    <t>TOTAL*</t>
  </si>
  <si>
    <t>Consumo Combustível (km/l)</t>
  </si>
  <si>
    <t>Ano</t>
  </si>
  <si>
    <t>Terra</t>
  </si>
  <si>
    <t>Preço do Pneu</t>
  </si>
  <si>
    <t>Poliedro</t>
  </si>
  <si>
    <t>Número de Pneus</t>
  </si>
  <si>
    <t>Asfalto</t>
  </si>
  <si>
    <t>Preço do Combustível</t>
  </si>
  <si>
    <t>% Tipo de Pavimento</t>
  </si>
  <si>
    <t>Coeficientes</t>
  </si>
  <si>
    <t>Km</t>
  </si>
  <si>
    <t>Piso</t>
  </si>
  <si>
    <t>Valor do Veículo</t>
  </si>
  <si>
    <t>KM DIÁRIA</t>
  </si>
  <si>
    <t>QUILOMETRAGEM ANUAL</t>
  </si>
  <si>
    <t>Veículo</t>
  </si>
  <si>
    <t>Valor referência obtido atráves de pesquisa de preços (tabela fipe) realizada em _______ de 2022.</t>
  </si>
  <si>
    <t>Preço médio à venda em postos de combustíveis do ES - Site Sefaz/ES (média ponderada posto x consumidor - João Neiva)</t>
  </si>
  <si>
    <t>Preço médio de cotação de preços em revendedores de pneus no ES - pneu medida _________</t>
  </si>
  <si>
    <t>Valor referência - Convenção Coletiva de Trabalho vigente.</t>
  </si>
  <si>
    <t>Valor do salário motorista e monitor.</t>
  </si>
  <si>
    <t>44 passageiros</t>
  </si>
  <si>
    <t>Onibus Urbano OF 1722 - Ano 2007 – Diesel</t>
  </si>
  <si>
    <t>LOTE/ROTA ____</t>
  </si>
  <si>
    <t>SUB ANEXO I B - MODELO DE PLANILHA DE COMPOSIÇÃO DE CUSTO</t>
  </si>
</sst>
</file>

<file path=xl/styles.xml><?xml version="1.0" encoding="utf-8"?>
<styleSheet xmlns="http://schemas.openxmlformats.org/spreadsheetml/2006/main" xmlns:mc="http://schemas.openxmlformats.org/markup-compatibility/2006" xmlns:x14ac="http://schemas.microsoft.com/office/spreadsheetml/2009/9/ac" mc:Ignorable="x14ac">
  <numFmts count="10">
    <numFmt numFmtId="164" formatCode="_(&quot;R$&quot;* #,##0.00_);_(&quot;R$&quot;* \(#,##0.00\);_(&quot;R$&quot;* &quot;-&quot;??_);_(@_)"/>
    <numFmt numFmtId="165" formatCode="_(* #,##0.00_);_(* \(#,##0.00\);_(* &quot;-&quot;??_);_(@_)"/>
    <numFmt numFmtId="166" formatCode="&quot;R$&quot;\ #,##0.00"/>
    <numFmt numFmtId="167" formatCode="_-&quot;R$&quot;\ * #,##0.00000_-;\-&quot;R$&quot;\ * #,##0.00000_-;_-&quot;R$&quot;\ * &quot;-&quot;??_-;_-@_-"/>
    <numFmt numFmtId="168" formatCode="&quot;R$&quot;#,##0.00"/>
    <numFmt numFmtId="169" formatCode="0.0%"/>
    <numFmt numFmtId="170" formatCode="&quot;R$&quot;\ #,##0.00000000"/>
    <numFmt numFmtId="171" formatCode="0.000000"/>
    <numFmt numFmtId="172" formatCode="_-* #,##0.000000000000_-;\-* #,##0.000000000000_-;_-* &quot;-&quot;??_-;_-@_-"/>
    <numFmt numFmtId="173" formatCode="#,##0.0"/>
  </numFmts>
  <fonts count="13" x14ac:knownFonts="1">
    <font>
      <sz val="11"/>
      <color theme="1"/>
      <name val="Calibri"/>
      <family val="2"/>
      <scheme val="minor"/>
    </font>
    <font>
      <sz val="11"/>
      <color theme="1"/>
      <name val="Calibri"/>
      <family val="2"/>
      <scheme val="minor"/>
    </font>
    <font>
      <b/>
      <sz val="11"/>
      <color theme="0"/>
      <name val="Calibri"/>
      <family val="2"/>
      <scheme val="minor"/>
    </font>
    <font>
      <b/>
      <sz val="11"/>
      <color theme="1"/>
      <name val="Calibri"/>
      <family val="2"/>
      <scheme val="minor"/>
    </font>
    <font>
      <sz val="11"/>
      <color theme="0"/>
      <name val="Calibri"/>
      <family val="2"/>
      <scheme val="minor"/>
    </font>
    <font>
      <b/>
      <sz val="11"/>
      <color rgb="FFFF0000"/>
      <name val="Calibri"/>
      <family val="2"/>
      <scheme val="minor"/>
    </font>
    <font>
      <b/>
      <sz val="11"/>
      <name val="Calibri"/>
      <family val="2"/>
      <scheme val="minor"/>
    </font>
    <font>
      <sz val="11"/>
      <name val="Calibri"/>
      <family val="2"/>
      <scheme val="minor"/>
    </font>
    <font>
      <sz val="11"/>
      <color theme="1"/>
      <name val="Calibri"/>
      <family val="2"/>
    </font>
    <font>
      <b/>
      <sz val="9"/>
      <color indexed="81"/>
      <name val="Segoe UI"/>
      <family val="2"/>
    </font>
    <font>
      <sz val="9"/>
      <color indexed="81"/>
      <name val="Segoe UI"/>
      <family val="2"/>
    </font>
    <font>
      <b/>
      <sz val="14"/>
      <color theme="1"/>
      <name val="Calibri"/>
      <family val="2"/>
      <scheme val="minor"/>
    </font>
    <font>
      <b/>
      <sz val="16"/>
      <color theme="0"/>
      <name val="Calibri"/>
      <family val="2"/>
      <scheme val="minor"/>
    </font>
  </fonts>
  <fills count="10">
    <fill>
      <patternFill patternType="none"/>
    </fill>
    <fill>
      <patternFill patternType="gray125"/>
    </fill>
    <fill>
      <patternFill patternType="solid">
        <fgColor theme="9" tint="-0.249977111117893"/>
        <bgColor indexed="64"/>
      </patternFill>
    </fill>
    <fill>
      <patternFill patternType="solid">
        <fgColor theme="7" tint="-0.249977111117893"/>
        <bgColor indexed="64"/>
      </patternFill>
    </fill>
    <fill>
      <patternFill patternType="solid">
        <fgColor theme="5" tint="-0.249977111117893"/>
        <bgColor indexed="64"/>
      </patternFill>
    </fill>
    <fill>
      <patternFill patternType="solid">
        <fgColor theme="3" tint="-0.249977111117893"/>
        <bgColor indexed="64"/>
      </patternFill>
    </fill>
    <fill>
      <patternFill patternType="solid">
        <fgColor theme="7" tint="0.79998168889431442"/>
        <bgColor indexed="64"/>
      </patternFill>
    </fill>
    <fill>
      <patternFill patternType="solid">
        <fgColor rgb="FF00B0F0"/>
        <bgColor theme="8"/>
      </patternFill>
    </fill>
    <fill>
      <patternFill patternType="solid">
        <fgColor rgb="FF00B0F0"/>
        <bgColor indexed="64"/>
      </patternFill>
    </fill>
    <fill>
      <patternFill patternType="solid">
        <fgColor theme="8" tint="0.79998168889431442"/>
        <bgColor indexed="64"/>
      </patternFill>
    </fill>
  </fills>
  <borders count="7">
    <border>
      <left/>
      <right/>
      <top/>
      <bottom/>
      <diagonal/>
    </border>
    <border>
      <left/>
      <right/>
      <top/>
      <bottom style="medium">
        <color theme="0" tint="-0.14999847407452621"/>
      </bottom>
      <diagonal/>
    </border>
    <border>
      <left/>
      <right/>
      <top style="medium">
        <color theme="0" tint="-0.14999847407452621"/>
      </top>
      <bottom/>
      <diagonal/>
    </border>
    <border>
      <left/>
      <right/>
      <top/>
      <bottom style="medium">
        <color indexed="64"/>
      </bottom>
      <diagonal/>
    </border>
    <border>
      <left style="thin">
        <color theme="0" tint="-0.14999847407452621"/>
      </left>
      <right style="thin">
        <color theme="0" tint="-0.14999847407452621"/>
      </right>
      <top style="thin">
        <color theme="0" tint="-0.14999847407452621"/>
      </top>
      <bottom style="thin">
        <color theme="0" tint="-0.14999847407452621"/>
      </bottom>
      <diagonal/>
    </border>
    <border>
      <left/>
      <right/>
      <top/>
      <bottom style="thin">
        <color theme="0" tint="-0.14999847407452621"/>
      </bottom>
      <diagonal/>
    </border>
    <border>
      <left style="thin">
        <color theme="0" tint="-0.14999847407452621"/>
      </left>
      <right/>
      <top/>
      <bottom style="thin">
        <color theme="0" tint="-0.14999847407452621"/>
      </bottom>
      <diagonal/>
    </border>
  </borders>
  <cellStyleXfs count="4">
    <xf numFmtId="0" fontId="0" fillId="0" borderId="0"/>
    <xf numFmtId="165" fontId="1" fillId="0" borderId="0" applyFont="0" applyFill="0" applyBorder="0" applyAlignment="0" applyProtection="0"/>
    <xf numFmtId="164" fontId="1" fillId="0" borderId="0" applyFont="0" applyFill="0" applyBorder="0" applyAlignment="0" applyProtection="0"/>
    <xf numFmtId="9" fontId="1" fillId="0" borderId="0" applyFont="0" applyFill="0" applyBorder="0" applyAlignment="0" applyProtection="0"/>
  </cellStyleXfs>
  <cellXfs count="99">
    <xf numFmtId="0" fontId="0" fillId="0" borderId="0" xfId="0"/>
    <xf numFmtId="0" fontId="0" fillId="0" borderId="0" xfId="0" applyAlignment="1">
      <alignment vertical="center"/>
    </xf>
    <xf numFmtId="0" fontId="0" fillId="0" borderId="0" xfId="0" applyAlignment="1">
      <alignment vertical="center" wrapText="1"/>
    </xf>
    <xf numFmtId="0" fontId="0" fillId="0" borderId="0" xfId="0" applyFont="1" applyAlignment="1">
      <alignment vertical="center"/>
    </xf>
    <xf numFmtId="0" fontId="0" fillId="0" borderId="1" xfId="0" applyFont="1" applyBorder="1" applyAlignment="1">
      <alignment vertical="center"/>
    </xf>
    <xf numFmtId="0" fontId="0" fillId="0" borderId="1" xfId="0" applyFont="1" applyBorder="1" applyAlignment="1">
      <alignment horizontal="left" vertical="center" wrapText="1"/>
    </xf>
    <xf numFmtId="0" fontId="3" fillId="0" borderId="1" xfId="0" applyFont="1" applyBorder="1" applyAlignment="1">
      <alignment vertical="center" wrapText="1"/>
    </xf>
    <xf numFmtId="0" fontId="0" fillId="0" borderId="0" xfId="0" applyFont="1" applyAlignment="1">
      <alignment horizontal="center" vertical="center"/>
    </xf>
    <xf numFmtId="0" fontId="0" fillId="0" borderId="0" xfId="0" applyFont="1" applyAlignment="1">
      <alignment vertical="center" wrapText="1"/>
    </xf>
    <xf numFmtId="0" fontId="0" fillId="0" borderId="0" xfId="0" applyFont="1" applyBorder="1" applyAlignment="1">
      <alignment vertical="center"/>
    </xf>
    <xf numFmtId="0" fontId="3" fillId="0" borderId="0" xfId="0" applyFont="1" applyAlignment="1">
      <alignment vertical="center" wrapText="1"/>
    </xf>
    <xf numFmtId="0" fontId="0" fillId="0" borderId="1" xfId="0" applyFont="1" applyBorder="1" applyAlignment="1">
      <alignment vertical="center" wrapText="1"/>
    </xf>
    <xf numFmtId="0" fontId="0" fillId="0" borderId="1" xfId="0" applyFont="1" applyFill="1" applyBorder="1" applyAlignment="1">
      <alignment vertical="center"/>
    </xf>
    <xf numFmtId="0" fontId="3" fillId="0" borderId="0" xfId="0" applyFont="1" applyBorder="1" applyAlignment="1">
      <alignment vertical="center" wrapText="1"/>
    </xf>
    <xf numFmtId="10" fontId="0" fillId="0" borderId="0" xfId="0" applyNumberFormat="1" applyFont="1" applyAlignment="1">
      <alignment horizontal="left" vertical="center"/>
    </xf>
    <xf numFmtId="10" fontId="0" fillId="0" borderId="1" xfId="0" applyNumberFormat="1" applyFont="1" applyBorder="1" applyAlignment="1">
      <alignment horizontal="left" vertical="center"/>
    </xf>
    <xf numFmtId="0" fontId="0" fillId="0" borderId="0" xfId="0" applyFont="1" applyAlignment="1">
      <alignment horizontal="left" vertical="center" wrapText="1"/>
    </xf>
    <xf numFmtId="0" fontId="0" fillId="0" borderId="0" xfId="0" applyFont="1" applyBorder="1" applyAlignment="1">
      <alignment vertical="center" wrapText="1"/>
    </xf>
    <xf numFmtId="9" fontId="0" fillId="0" borderId="0" xfId="0" applyNumberFormat="1" applyFont="1" applyAlignment="1">
      <alignment horizontal="left" vertical="center"/>
    </xf>
    <xf numFmtId="0" fontId="3" fillId="0" borderId="1" xfId="0" applyFont="1" applyBorder="1" applyAlignment="1">
      <alignment vertical="center"/>
    </xf>
    <xf numFmtId="164" fontId="0" fillId="0" borderId="0" xfId="0" applyNumberFormat="1" applyAlignment="1">
      <alignment vertical="center" wrapText="1"/>
    </xf>
    <xf numFmtId="166" fontId="0" fillId="0" borderId="0" xfId="0" applyNumberFormat="1" applyAlignment="1">
      <alignment vertical="center" wrapText="1"/>
    </xf>
    <xf numFmtId="167" fontId="0" fillId="0" borderId="0" xfId="0" applyNumberFormat="1" applyAlignment="1">
      <alignment vertical="center" wrapText="1"/>
    </xf>
    <xf numFmtId="168" fontId="2" fillId="2" borderId="0" xfId="2" applyNumberFormat="1" applyFont="1" applyFill="1" applyBorder="1" applyAlignment="1">
      <alignment horizontal="center" vertical="center" wrapText="1"/>
    </xf>
    <xf numFmtId="9" fontId="0" fillId="0" borderId="0" xfId="3" applyFont="1" applyAlignment="1">
      <alignment vertical="center" wrapText="1"/>
    </xf>
    <xf numFmtId="168" fontId="2" fillId="0" borderId="0" xfId="0" applyNumberFormat="1" applyFont="1" applyBorder="1" applyAlignment="1">
      <alignment horizontal="center" vertical="center" wrapText="1"/>
    </xf>
    <xf numFmtId="0" fontId="2" fillId="0" borderId="0" xfId="0" applyFont="1" applyBorder="1" applyAlignment="1">
      <alignment horizontal="left" vertical="center" wrapText="1"/>
    </xf>
    <xf numFmtId="169" fontId="0" fillId="0" borderId="0" xfId="3" applyNumberFormat="1" applyFont="1" applyAlignment="1">
      <alignment vertical="center" wrapText="1"/>
    </xf>
    <xf numFmtId="168" fontId="2" fillId="0" borderId="0" xfId="0" applyNumberFormat="1" applyFont="1" applyAlignment="1">
      <alignment horizontal="center" vertical="center" wrapText="1"/>
    </xf>
    <xf numFmtId="0" fontId="2" fillId="0" borderId="0" xfId="0" applyFont="1" applyAlignment="1">
      <alignment horizontal="left" vertical="center" wrapText="1"/>
    </xf>
    <xf numFmtId="166" fontId="0" fillId="0" borderId="0" xfId="0" applyNumberFormat="1" applyAlignment="1">
      <alignment horizontal="center" vertical="center" wrapText="1"/>
    </xf>
    <xf numFmtId="169" fontId="0" fillId="0" borderId="0" xfId="3" applyNumberFormat="1" applyFont="1" applyAlignment="1">
      <alignment horizontal="center" vertical="center" wrapText="1"/>
    </xf>
    <xf numFmtId="168" fontId="2" fillId="3" borderId="0" xfId="0" applyNumberFormat="1" applyFont="1" applyFill="1" applyBorder="1" applyAlignment="1">
      <alignment horizontal="center" vertical="center" wrapText="1"/>
    </xf>
    <xf numFmtId="0" fontId="0" fillId="0" borderId="0" xfId="0" applyAlignment="1">
      <alignment horizontal="center" vertical="center" wrapText="1"/>
    </xf>
    <xf numFmtId="168" fontId="2" fillId="3" borderId="0" xfId="2" applyNumberFormat="1" applyFont="1" applyFill="1" applyBorder="1" applyAlignment="1">
      <alignment horizontal="center" vertical="center" wrapText="1"/>
    </xf>
    <xf numFmtId="170" fontId="0" fillId="0" borderId="0" xfId="0" applyNumberFormat="1" applyAlignment="1">
      <alignment horizontal="center" vertical="center" wrapText="1"/>
    </xf>
    <xf numFmtId="168" fontId="2" fillId="4" borderId="0" xfId="0" applyNumberFormat="1" applyFont="1" applyFill="1" applyBorder="1" applyAlignment="1">
      <alignment horizontal="center" vertical="center" wrapText="1"/>
    </xf>
    <xf numFmtId="168" fontId="2" fillId="4" borderId="0" xfId="2" applyNumberFormat="1" applyFont="1" applyFill="1" applyBorder="1" applyAlignment="1">
      <alignment horizontal="center" vertical="center" wrapText="1"/>
    </xf>
    <xf numFmtId="0" fontId="0" fillId="0" borderId="0" xfId="0" applyAlignment="1">
      <alignment horizontal="center" vertical="center"/>
    </xf>
    <xf numFmtId="0" fontId="2" fillId="0" borderId="0" xfId="0" applyFont="1" applyAlignment="1">
      <alignment horizontal="center" vertical="center" wrapText="1"/>
    </xf>
    <xf numFmtId="167" fontId="0" fillId="0" borderId="0" xfId="0" applyNumberFormat="1" applyAlignment="1">
      <alignment horizontal="center" vertical="center" wrapText="1"/>
    </xf>
    <xf numFmtId="168" fontId="2" fillId="5" borderId="0" xfId="2" applyNumberFormat="1" applyFont="1" applyFill="1" applyBorder="1" applyAlignment="1">
      <alignment horizontal="center" vertical="center" wrapText="1"/>
    </xf>
    <xf numFmtId="0" fontId="0" fillId="0" borderId="0" xfId="0" applyAlignment="1">
      <alignment horizontal="left" vertical="center"/>
    </xf>
    <xf numFmtId="9" fontId="0" fillId="0" borderId="0" xfId="3" applyFont="1" applyAlignment="1">
      <alignment horizontal="center" vertical="center" wrapText="1"/>
    </xf>
    <xf numFmtId="168" fontId="7" fillId="0" borderId="0" xfId="0" applyNumberFormat="1" applyFont="1" applyBorder="1" applyAlignment="1">
      <alignment horizontal="center" vertical="center" wrapText="1"/>
    </xf>
    <xf numFmtId="164" fontId="0" fillId="0" borderId="0" xfId="0" applyNumberFormat="1" applyAlignment="1">
      <alignment horizontal="center" vertical="center" wrapText="1"/>
    </xf>
    <xf numFmtId="171" fontId="0" fillId="0" borderId="0" xfId="0" applyNumberFormat="1" applyAlignment="1">
      <alignment horizontal="center" vertical="center"/>
    </xf>
    <xf numFmtId="164" fontId="0" fillId="0" borderId="0" xfId="0" applyNumberFormat="1" applyAlignment="1">
      <alignment horizontal="center" vertical="center"/>
    </xf>
    <xf numFmtId="0" fontId="0" fillId="0" borderId="0" xfId="0" applyFill="1" applyBorder="1" applyAlignment="1">
      <alignment horizontal="center" vertical="center"/>
    </xf>
    <xf numFmtId="2" fontId="7" fillId="0" borderId="4" xfId="0" quotePrefix="1" applyNumberFormat="1" applyFont="1" applyFill="1" applyBorder="1" applyAlignment="1">
      <alignment horizontal="center" vertical="center"/>
    </xf>
    <xf numFmtId="10" fontId="0" fillId="0" borderId="4" xfId="3" applyNumberFormat="1" applyFont="1" applyBorder="1" applyAlignment="1">
      <alignment horizontal="center" vertical="center" wrapText="1"/>
    </xf>
    <xf numFmtId="1" fontId="0" fillId="0" borderId="4" xfId="3" applyNumberFormat="1" applyFont="1" applyBorder="1" applyAlignment="1">
      <alignment horizontal="center" vertical="center" wrapText="1"/>
    </xf>
    <xf numFmtId="10" fontId="6" fillId="6" borderId="4" xfId="3" applyNumberFormat="1" applyFont="1" applyFill="1" applyBorder="1" applyAlignment="1">
      <alignment horizontal="center" vertical="center"/>
    </xf>
    <xf numFmtId="0" fontId="2" fillId="7" borderId="4" xfId="0" applyFont="1" applyFill="1" applyBorder="1" applyAlignment="1">
      <alignment horizontal="center" vertical="center" wrapText="1"/>
    </xf>
    <xf numFmtId="0" fontId="2" fillId="8" borderId="4" xfId="0" applyFont="1" applyFill="1" applyBorder="1" applyAlignment="1">
      <alignment horizontal="center" vertical="center" wrapText="1"/>
    </xf>
    <xf numFmtId="166" fontId="6" fillId="6" borderId="4" xfId="2" applyNumberFormat="1" applyFont="1" applyFill="1" applyBorder="1" applyAlignment="1">
      <alignment horizontal="center" vertical="center"/>
    </xf>
    <xf numFmtId="166" fontId="7" fillId="0" borderId="4" xfId="2" applyNumberFormat="1" applyFont="1" applyFill="1" applyBorder="1" applyAlignment="1">
      <alignment horizontal="center" vertical="center"/>
    </xf>
    <xf numFmtId="166" fontId="7" fillId="0" borderId="4" xfId="2" applyNumberFormat="1" applyFont="1" applyFill="1" applyBorder="1" applyAlignment="1">
      <alignment horizontal="center" vertical="center" wrapText="1"/>
    </xf>
    <xf numFmtId="171" fontId="8" fillId="0" borderId="4" xfId="0" applyNumberFormat="1" applyFont="1" applyFill="1" applyBorder="1" applyAlignment="1">
      <alignment horizontal="center" vertical="center"/>
    </xf>
    <xf numFmtId="166" fontId="0" fillId="0" borderId="4" xfId="2" applyNumberFormat="1" applyFont="1" applyFill="1" applyBorder="1" applyAlignment="1">
      <alignment horizontal="center" vertical="center"/>
    </xf>
    <xf numFmtId="2" fontId="0" fillId="0" borderId="0" xfId="0" applyNumberFormat="1" applyAlignment="1">
      <alignment horizontal="center" vertical="center"/>
    </xf>
    <xf numFmtId="172" fontId="0" fillId="0" borderId="0" xfId="1" applyNumberFormat="1" applyFont="1" applyAlignment="1">
      <alignment horizontal="center" vertical="center"/>
    </xf>
    <xf numFmtId="166" fontId="0" fillId="0" borderId="4" xfId="2" applyNumberFormat="1" applyFont="1" applyFill="1" applyBorder="1" applyAlignment="1">
      <alignment horizontal="center" vertical="center" wrapText="1"/>
    </xf>
    <xf numFmtId="0" fontId="4" fillId="0" borderId="0" xfId="0" applyFont="1" applyAlignment="1">
      <alignment horizontal="center"/>
    </xf>
    <xf numFmtId="3" fontId="6" fillId="6" borderId="4" xfId="0" applyNumberFormat="1" applyFont="1" applyFill="1" applyBorder="1" applyAlignment="1">
      <alignment horizontal="center" vertical="center"/>
    </xf>
    <xf numFmtId="0" fontId="0" fillId="6" borderId="4" xfId="0" applyFont="1" applyFill="1" applyBorder="1" applyAlignment="1">
      <alignment horizontal="center" vertical="center"/>
    </xf>
    <xf numFmtId="169" fontId="0" fillId="0" borderId="0" xfId="3" applyNumberFormat="1" applyFont="1" applyAlignment="1">
      <alignment horizontal="center" vertical="center"/>
    </xf>
    <xf numFmtId="2" fontId="7" fillId="0" borderId="4" xfId="0" applyNumberFormat="1" applyFont="1" applyFill="1" applyBorder="1" applyAlignment="1">
      <alignment horizontal="center" vertical="center"/>
    </xf>
    <xf numFmtId="0" fontId="0" fillId="9" borderId="4" xfId="0" applyFont="1" applyFill="1" applyBorder="1" applyAlignment="1">
      <alignment horizontal="center" vertical="center"/>
    </xf>
    <xf numFmtId="1" fontId="0" fillId="0" borderId="4" xfId="0" applyNumberFormat="1" applyFont="1" applyFill="1" applyBorder="1" applyAlignment="1" applyProtection="1">
      <alignment horizontal="center" vertical="center"/>
      <protection locked="0"/>
    </xf>
    <xf numFmtId="1" fontId="0" fillId="9" borderId="4" xfId="0" applyNumberFormat="1" applyFont="1" applyFill="1" applyBorder="1" applyAlignment="1" applyProtection="1">
      <alignment horizontal="center" vertical="center"/>
      <protection locked="0"/>
    </xf>
    <xf numFmtId="9" fontId="0" fillId="0" borderId="4" xfId="3" applyFont="1" applyFill="1" applyBorder="1" applyAlignment="1">
      <alignment horizontal="center" vertical="center" wrapText="1"/>
    </xf>
    <xf numFmtId="2" fontId="0" fillId="0" borderId="4" xfId="0" applyNumberFormat="1" applyFill="1" applyBorder="1" applyAlignment="1">
      <alignment horizontal="center" vertical="center"/>
    </xf>
    <xf numFmtId="3" fontId="0" fillId="0" borderId="4" xfId="0" applyNumberFormat="1" applyFill="1" applyBorder="1" applyAlignment="1" applyProtection="1">
      <alignment horizontal="center" vertical="center"/>
      <protection hidden="1"/>
    </xf>
    <xf numFmtId="0" fontId="0" fillId="0" borderId="4" xfId="0" applyFill="1" applyBorder="1" applyAlignment="1">
      <alignment horizontal="center" vertical="center"/>
    </xf>
    <xf numFmtId="166" fontId="7" fillId="0" borderId="4" xfId="0" applyNumberFormat="1" applyFont="1" applyFill="1" applyBorder="1" applyAlignment="1">
      <alignment horizontal="center" vertical="center"/>
    </xf>
    <xf numFmtId="0" fontId="2" fillId="7" borderId="4" xfId="0" applyFont="1" applyFill="1" applyBorder="1" applyAlignment="1">
      <alignment horizontal="center" vertical="center"/>
    </xf>
    <xf numFmtId="9" fontId="0" fillId="0" borderId="0" xfId="3" applyFont="1" applyAlignment="1">
      <alignment horizontal="center" vertical="center"/>
    </xf>
    <xf numFmtId="1" fontId="7" fillId="0" borderId="4" xfId="0" applyNumberFormat="1" applyFont="1" applyFill="1" applyBorder="1" applyAlignment="1">
      <alignment horizontal="center" vertical="center"/>
    </xf>
    <xf numFmtId="173" fontId="6" fillId="6" borderId="4" xfId="0" applyNumberFormat="1" applyFont="1" applyFill="1" applyBorder="1" applyAlignment="1">
      <alignment horizontal="center" vertical="center"/>
    </xf>
    <xf numFmtId="0" fontId="2" fillId="8" borderId="4" xfId="0" applyFont="1" applyFill="1" applyBorder="1" applyAlignment="1">
      <alignment horizontal="center" vertical="center"/>
    </xf>
    <xf numFmtId="0" fontId="0" fillId="6" borderId="4" xfId="0" applyFont="1" applyFill="1" applyBorder="1" applyAlignment="1">
      <alignment horizontal="center" vertical="center"/>
    </xf>
    <xf numFmtId="0" fontId="2" fillId="7" borderId="6" xfId="0" applyFont="1" applyFill="1" applyBorder="1" applyAlignment="1">
      <alignment horizontal="center" vertical="center"/>
    </xf>
    <xf numFmtId="0" fontId="2" fillId="7" borderId="5" xfId="0" applyFont="1" applyFill="1" applyBorder="1" applyAlignment="1">
      <alignment horizontal="center" vertical="center"/>
    </xf>
    <xf numFmtId="0" fontId="2" fillId="7" borderId="4" xfId="0" applyFont="1" applyFill="1" applyBorder="1" applyAlignment="1">
      <alignment horizontal="center" vertical="center" wrapText="1"/>
    </xf>
    <xf numFmtId="0" fontId="11" fillId="0" borderId="0" xfId="0" applyFont="1" applyAlignment="1">
      <alignment horizontal="center" vertical="center" wrapText="1"/>
    </xf>
    <xf numFmtId="0" fontId="2" fillId="8" borderId="4" xfId="0" applyFont="1" applyFill="1" applyBorder="1" applyAlignment="1">
      <alignment horizontal="center" vertical="center" wrapText="1"/>
    </xf>
    <xf numFmtId="0" fontId="6" fillId="0" borderId="1" xfId="0" applyFont="1" applyBorder="1" applyAlignment="1">
      <alignment horizontal="left" vertical="center" wrapText="1"/>
    </xf>
    <xf numFmtId="0" fontId="2" fillId="5" borderId="0" xfId="0" applyFont="1" applyFill="1" applyBorder="1" applyAlignment="1">
      <alignment horizontal="left" vertical="center" wrapText="1"/>
    </xf>
    <xf numFmtId="0" fontId="0" fillId="0" borderId="0" xfId="0" applyAlignment="1">
      <alignment horizontal="left" vertical="center"/>
    </xf>
    <xf numFmtId="0" fontId="6" fillId="0" borderId="3" xfId="0" applyFont="1" applyBorder="1" applyAlignment="1">
      <alignment horizontal="left" vertical="center" wrapText="1"/>
    </xf>
    <xf numFmtId="0" fontId="2" fillId="4" borderId="0" xfId="0" applyFont="1" applyFill="1" applyBorder="1" applyAlignment="1">
      <alignment horizontal="left" vertical="center" wrapText="1"/>
    </xf>
    <xf numFmtId="0" fontId="2" fillId="3" borderId="0" xfId="0" applyFont="1" applyFill="1" applyBorder="1" applyAlignment="1">
      <alignment horizontal="left" vertical="center" wrapText="1"/>
    </xf>
    <xf numFmtId="0" fontId="2" fillId="2" borderId="0" xfId="0" applyFont="1" applyFill="1" applyBorder="1" applyAlignment="1">
      <alignment horizontal="left" vertical="center" wrapText="1"/>
    </xf>
    <xf numFmtId="10" fontId="0" fillId="0" borderId="0" xfId="0" applyNumberFormat="1" applyFont="1" applyAlignment="1">
      <alignment horizontal="left" vertical="center" wrapText="1"/>
    </xf>
    <xf numFmtId="0" fontId="0" fillId="0" borderId="0" xfId="0" applyFont="1" applyBorder="1" applyAlignment="1">
      <alignment horizontal="left" vertical="center" wrapText="1"/>
    </xf>
    <xf numFmtId="0" fontId="0" fillId="0" borderId="2" xfId="0" applyFont="1" applyBorder="1" applyAlignment="1">
      <alignment horizontal="left" vertical="center"/>
    </xf>
    <xf numFmtId="0" fontId="0" fillId="0" borderId="0" xfId="0" applyFont="1" applyAlignment="1">
      <alignment horizontal="left" vertical="center" wrapText="1"/>
    </xf>
    <xf numFmtId="0" fontId="12" fillId="7" borderId="0" xfId="0" applyFont="1" applyFill="1" applyBorder="1" applyAlignment="1">
      <alignment horizontal="center" vertical="center"/>
    </xf>
  </cellXfs>
  <cellStyles count="4">
    <cellStyle name="Moeda" xfId="2" builtinId="4"/>
    <cellStyle name="Normal" xfId="0" builtinId="0"/>
    <cellStyle name="Porcentagem" xfId="3" builtinId="5"/>
    <cellStyle name="Vírgula" xfId="1" builtinId="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Tema do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Plan5"/>
  <dimension ref="A1:M97"/>
  <sheetViews>
    <sheetView showGridLines="0" tabSelected="1" view="pageLayout" zoomScaleNormal="100" workbookViewId="0">
      <selection activeCell="E70" sqref="E70"/>
    </sheetView>
  </sheetViews>
  <sheetFormatPr defaultColWidth="8.85546875" defaultRowHeight="15" x14ac:dyDescent="0.25"/>
  <cols>
    <col min="1" max="1" width="2.7109375" style="1" customWidth="1"/>
    <col min="2" max="2" width="27.42578125" style="2" bestFit="1" customWidth="1"/>
    <col min="3" max="3" width="21.7109375" style="2" customWidth="1"/>
    <col min="4" max="5" width="13.85546875" style="2" customWidth="1"/>
    <col min="6" max="8" width="13.7109375" style="2" customWidth="1"/>
    <col min="9" max="9" width="12.140625" style="2" bestFit="1" customWidth="1"/>
    <col min="10" max="11" width="13.85546875" style="2" customWidth="1"/>
    <col min="12" max="12" width="2.7109375" style="1" customWidth="1"/>
    <col min="13" max="16384" width="8.85546875" style="1"/>
  </cols>
  <sheetData>
    <row r="1" spans="2:12" s="38" customFormat="1" ht="41.25" customHeight="1" x14ac:dyDescent="0.25">
      <c r="B1" s="98" t="s">
        <v>126</v>
      </c>
      <c r="C1" s="98"/>
      <c r="D1" s="98"/>
      <c r="E1" s="98"/>
      <c r="F1" s="98"/>
      <c r="G1" s="98"/>
      <c r="H1" s="98"/>
      <c r="I1" s="98"/>
      <c r="J1" s="98"/>
      <c r="K1" s="98"/>
    </row>
    <row r="2" spans="2:12" s="38" customFormat="1" ht="27.75" customHeight="1" x14ac:dyDescent="0.25">
      <c r="B2" s="85" t="s">
        <v>125</v>
      </c>
      <c r="C2" s="85"/>
      <c r="D2" s="85"/>
      <c r="E2" s="85"/>
      <c r="F2" s="85"/>
      <c r="G2" s="85"/>
      <c r="H2" s="85"/>
      <c r="I2" s="85"/>
      <c r="J2" s="85"/>
      <c r="K2" s="85"/>
    </row>
    <row r="3" spans="2:12" s="38" customFormat="1" ht="15" customHeight="1" x14ac:dyDescent="0.25">
      <c r="B3" s="76" t="s">
        <v>117</v>
      </c>
      <c r="C3" s="76" t="s">
        <v>123</v>
      </c>
      <c r="E3" s="80" t="s">
        <v>116</v>
      </c>
      <c r="F3" s="80"/>
      <c r="G3" s="80"/>
      <c r="H3" s="80"/>
      <c r="K3" s="76" t="s">
        <v>115</v>
      </c>
    </row>
    <row r="4" spans="2:12" s="38" customFormat="1" ht="27.75" customHeight="1" x14ac:dyDescent="0.25">
      <c r="B4" s="68" t="s">
        <v>114</v>
      </c>
      <c r="C4" s="59"/>
      <c r="E4" s="76" t="s">
        <v>113</v>
      </c>
      <c r="F4" s="76" t="s">
        <v>112</v>
      </c>
      <c r="G4" s="76" t="s">
        <v>111</v>
      </c>
      <c r="H4" s="53" t="s">
        <v>110</v>
      </c>
      <c r="K4" s="79">
        <v>100</v>
      </c>
    </row>
    <row r="5" spans="2:12" s="38" customFormat="1" x14ac:dyDescent="0.25">
      <c r="B5" s="68" t="s">
        <v>109</v>
      </c>
      <c r="C5" s="75"/>
      <c r="E5" s="74" t="s">
        <v>108</v>
      </c>
      <c r="F5" s="73">
        <v>0</v>
      </c>
      <c r="G5" s="72">
        <v>1</v>
      </c>
      <c r="H5" s="71">
        <v>1</v>
      </c>
      <c r="I5" s="33"/>
      <c r="K5" s="33"/>
    </row>
    <row r="6" spans="2:12" s="38" customFormat="1" x14ac:dyDescent="0.25">
      <c r="B6" s="68" t="s">
        <v>107</v>
      </c>
      <c r="C6" s="78">
        <v>4</v>
      </c>
      <c r="D6" s="77"/>
      <c r="E6" s="74" t="s">
        <v>106</v>
      </c>
      <c r="F6" s="73">
        <f>IFERROR(K4*H6*K7,"0")</f>
        <v>0</v>
      </c>
      <c r="G6" s="72">
        <v>1.175</v>
      </c>
      <c r="H6" s="71">
        <v>0</v>
      </c>
      <c r="I6" s="33"/>
      <c r="J6" s="33"/>
      <c r="K6" s="76" t="s">
        <v>30</v>
      </c>
    </row>
    <row r="7" spans="2:12" s="38" customFormat="1" x14ac:dyDescent="0.25">
      <c r="B7" s="68" t="s">
        <v>105</v>
      </c>
      <c r="C7" s="75"/>
      <c r="E7" s="74" t="s">
        <v>104</v>
      </c>
      <c r="F7" s="73">
        <f>IFERROR(K4*H7*K7,"0")</f>
        <v>0</v>
      </c>
      <c r="G7" s="72">
        <v>1.35</v>
      </c>
      <c r="H7" s="71">
        <v>0</v>
      </c>
      <c r="I7" s="33"/>
      <c r="J7" s="70" t="s">
        <v>103</v>
      </c>
      <c r="K7" s="69">
        <v>205</v>
      </c>
    </row>
    <row r="8" spans="2:12" s="38" customFormat="1" x14ac:dyDescent="0.25">
      <c r="B8" s="68" t="s">
        <v>102</v>
      </c>
      <c r="C8" s="67"/>
      <c r="D8" s="66"/>
      <c r="E8" s="65" t="s">
        <v>101</v>
      </c>
      <c r="F8" s="64">
        <f>F5*G5+F6*G6+F7*G7</f>
        <v>0</v>
      </c>
      <c r="G8" s="81"/>
      <c r="H8" s="81"/>
      <c r="I8" s="33"/>
      <c r="J8" s="63" t="s">
        <v>100</v>
      </c>
      <c r="K8" s="63">
        <v>20.5</v>
      </c>
    </row>
    <row r="9" spans="2:12" s="38" customFormat="1" ht="10.15" customHeight="1" x14ac:dyDescent="0.25">
      <c r="D9" s="61"/>
      <c r="L9" s="60"/>
    </row>
    <row r="10" spans="2:12" s="38" customFormat="1" x14ac:dyDescent="0.25">
      <c r="B10" s="82" t="s">
        <v>99</v>
      </c>
      <c r="C10" s="83"/>
      <c r="D10" s="83"/>
      <c r="E10" s="83"/>
      <c r="F10" s="83"/>
      <c r="G10" s="83"/>
      <c r="H10" s="83"/>
      <c r="I10" s="83"/>
      <c r="J10" s="83"/>
      <c r="K10" s="83"/>
      <c r="L10" s="60"/>
    </row>
    <row r="11" spans="2:12" s="38" customFormat="1" ht="30" customHeight="1" x14ac:dyDescent="0.25">
      <c r="B11" s="53" t="s">
        <v>98</v>
      </c>
      <c r="C11" s="53" t="s">
        <v>97</v>
      </c>
      <c r="D11" s="53" t="s">
        <v>96</v>
      </c>
      <c r="E11" s="53" t="s">
        <v>95</v>
      </c>
      <c r="F11" s="53" t="s">
        <v>94</v>
      </c>
      <c r="G11" s="53" t="s">
        <v>93</v>
      </c>
      <c r="H11" s="53" t="s">
        <v>92</v>
      </c>
      <c r="I11" s="53" t="s">
        <v>91</v>
      </c>
      <c r="J11" s="53" t="s">
        <v>90</v>
      </c>
      <c r="K11" s="53" t="s">
        <v>75</v>
      </c>
    </row>
    <row r="12" spans="2:12" s="38" customFormat="1" x14ac:dyDescent="0.25">
      <c r="B12" s="62">
        <f>ROUND((C4-C6*C7)*((1+H24)^12-1),2)</f>
        <v>0</v>
      </c>
      <c r="C12" s="62">
        <f>ROUND(((C4-C6*C7)*(1-J24))/(I24), 2)</f>
        <v>0</v>
      </c>
      <c r="D12" s="56"/>
      <c r="E12" s="56"/>
      <c r="F12" s="56">
        <f>C4*1%</f>
        <v>0</v>
      </c>
      <c r="G12" s="56"/>
      <c r="H12" s="56"/>
      <c r="I12" s="56">
        <v>0</v>
      </c>
      <c r="J12" s="56">
        <v>0</v>
      </c>
      <c r="K12" s="55">
        <f>SUM(B12:J12)</f>
        <v>0</v>
      </c>
    </row>
    <row r="13" spans="2:12" s="38" customFormat="1" ht="10.15" customHeight="1" x14ac:dyDescent="0.25">
      <c r="C13" s="60"/>
      <c r="D13" s="61"/>
      <c r="L13" s="60"/>
    </row>
    <row r="14" spans="2:12" s="38" customFormat="1" ht="15" customHeight="1" x14ac:dyDescent="0.25">
      <c r="B14" s="84" t="s">
        <v>89</v>
      </c>
      <c r="C14" s="84"/>
      <c r="D14" s="84"/>
      <c r="E14" s="84"/>
      <c r="F14" s="84"/>
      <c r="H14" s="84" t="s">
        <v>88</v>
      </c>
      <c r="I14" s="84"/>
      <c r="J14" s="84"/>
      <c r="K14" s="84"/>
      <c r="L14" s="60"/>
    </row>
    <row r="15" spans="2:12" s="38" customFormat="1" ht="30" customHeight="1" x14ac:dyDescent="0.25">
      <c r="B15" s="53" t="s">
        <v>87</v>
      </c>
      <c r="C15" s="53" t="s">
        <v>86</v>
      </c>
      <c r="D15" s="53" t="s">
        <v>85</v>
      </c>
      <c r="E15" s="53" t="s">
        <v>84</v>
      </c>
      <c r="F15" s="53" t="s">
        <v>75</v>
      </c>
      <c r="H15" s="53" t="s">
        <v>87</v>
      </c>
      <c r="I15" s="53" t="s">
        <v>86</v>
      </c>
      <c r="J15" s="53" t="s">
        <v>85</v>
      </c>
      <c r="K15" s="53" t="s">
        <v>84</v>
      </c>
    </row>
    <row r="16" spans="2:12" s="38" customFormat="1" x14ac:dyDescent="0.25">
      <c r="B16" s="59">
        <f>ROUND(H16*(F8+K24)*C5,2)</f>
        <v>0</v>
      </c>
      <c r="C16" s="59">
        <f>ROUND((F8+K24)*C5*I16,2)</f>
        <v>0</v>
      </c>
      <c r="D16" s="59">
        <f>ROUND(C7*(F8+K24)*J16,2)</f>
        <v>0</v>
      </c>
      <c r="E16" s="59">
        <f>ROUND(K16*C4*(F8+K24),2)</f>
        <v>0</v>
      </c>
      <c r="F16" s="55">
        <f>SUM(B16:E16)</f>
        <v>0</v>
      </c>
      <c r="H16" s="58">
        <v>0.35</v>
      </c>
      <c r="I16" s="58">
        <v>0.06</v>
      </c>
      <c r="J16" s="58">
        <v>8.8888888888888907E-5</v>
      </c>
      <c r="K16" s="58">
        <v>3.3333333333333299E-6</v>
      </c>
    </row>
    <row r="17" spans="1:13" s="38" customFormat="1" ht="10.15" customHeight="1" x14ac:dyDescent="0.25">
      <c r="B17" s="33"/>
      <c r="C17" s="33"/>
      <c r="D17" s="33"/>
      <c r="E17" s="33"/>
      <c r="F17" s="33"/>
      <c r="G17" s="33"/>
      <c r="H17" s="33"/>
      <c r="I17" s="45"/>
      <c r="J17" s="33"/>
      <c r="K17" s="33"/>
    </row>
    <row r="18" spans="1:13" s="38" customFormat="1" ht="15" customHeight="1" x14ac:dyDescent="0.25">
      <c r="B18" s="82" t="s">
        <v>83</v>
      </c>
      <c r="C18" s="83"/>
      <c r="D18" s="83"/>
      <c r="E18" s="83"/>
      <c r="F18" s="83"/>
      <c r="G18" s="83"/>
      <c r="H18" s="83"/>
      <c r="I18" s="83"/>
      <c r="J18" s="33"/>
      <c r="K18" s="33"/>
    </row>
    <row r="19" spans="1:13" s="38" customFormat="1" ht="30" x14ac:dyDescent="0.25">
      <c r="B19" s="53" t="s">
        <v>82</v>
      </c>
      <c r="C19" s="53" t="s">
        <v>81</v>
      </c>
      <c r="D19" s="53" t="s">
        <v>80</v>
      </c>
      <c r="E19" s="53" t="s">
        <v>79</v>
      </c>
      <c r="F19" s="53" t="s">
        <v>78</v>
      </c>
      <c r="G19" s="53" t="s">
        <v>77</v>
      </c>
      <c r="H19" s="53" t="s">
        <v>76</v>
      </c>
      <c r="I19" s="53" t="s">
        <v>75</v>
      </c>
      <c r="K19" s="33"/>
    </row>
    <row r="20" spans="1:13" s="38" customFormat="1" x14ac:dyDescent="0.25">
      <c r="B20" s="57"/>
      <c r="C20" s="57"/>
      <c r="D20" s="50">
        <v>0.59809999999999997</v>
      </c>
      <c r="E20" s="57">
        <f>ROUND((B20+C20)*(D20),2)</f>
        <v>0</v>
      </c>
      <c r="F20" s="56"/>
      <c r="G20" s="56"/>
      <c r="H20" s="56"/>
      <c r="I20" s="55">
        <f>SUM(B20:C20,E20:H20)</f>
        <v>0</v>
      </c>
      <c r="K20" s="33"/>
    </row>
    <row r="21" spans="1:13" s="38" customFormat="1" ht="10.15" customHeight="1" x14ac:dyDescent="0.25">
      <c r="B21" s="33"/>
      <c r="C21" s="33"/>
      <c r="D21" s="33"/>
      <c r="E21" s="33"/>
      <c r="F21" s="33"/>
      <c r="G21" s="33"/>
      <c r="H21" s="33"/>
      <c r="I21" s="33"/>
      <c r="J21" s="33"/>
      <c r="K21" s="33"/>
    </row>
    <row r="22" spans="1:13" s="38" customFormat="1" x14ac:dyDescent="0.25">
      <c r="B22" s="86" t="s">
        <v>74</v>
      </c>
      <c r="C22" s="86"/>
      <c r="D22" s="86"/>
      <c r="E22" s="86"/>
      <c r="F22" s="33"/>
      <c r="G22" s="86" t="s">
        <v>73</v>
      </c>
      <c r="H22" s="86"/>
      <c r="I22" s="86"/>
      <c r="J22" s="86"/>
      <c r="K22" s="86"/>
      <c r="L22" s="47"/>
    </row>
    <row r="23" spans="1:13" s="38" customFormat="1" ht="45.75" customHeight="1" x14ac:dyDescent="0.25">
      <c r="B23" s="54" t="s">
        <v>72</v>
      </c>
      <c r="C23" s="54" t="s">
        <v>71</v>
      </c>
      <c r="D23" s="54" t="s">
        <v>70</v>
      </c>
      <c r="E23" s="54" t="s">
        <v>69</v>
      </c>
      <c r="F23" s="33"/>
      <c r="G23" s="54" t="s">
        <v>68</v>
      </c>
      <c r="H23" s="54" t="s">
        <v>67</v>
      </c>
      <c r="I23" s="54" t="s">
        <v>66</v>
      </c>
      <c r="J23" s="54" t="s">
        <v>65</v>
      </c>
      <c r="K23" s="53" t="s">
        <v>64</v>
      </c>
      <c r="L23" s="47"/>
    </row>
    <row r="24" spans="1:13" s="38" customFormat="1" x14ac:dyDescent="0.25">
      <c r="B24" s="50">
        <v>6.4999999999999997E-3</v>
      </c>
      <c r="C24" s="50">
        <v>0.03</v>
      </c>
      <c r="D24" s="50">
        <v>0.05</v>
      </c>
      <c r="E24" s="52">
        <f>SUM(B24:D24)</f>
        <v>8.6499999999999994E-2</v>
      </c>
      <c r="F24" s="33"/>
      <c r="G24" s="50">
        <v>0.05</v>
      </c>
      <c r="H24" s="50">
        <v>0.01</v>
      </c>
      <c r="I24" s="51">
        <v>20</v>
      </c>
      <c r="J24" s="50">
        <v>0.2</v>
      </c>
      <c r="K24" s="49">
        <v>0</v>
      </c>
      <c r="L24" s="47"/>
    </row>
    <row r="25" spans="1:13" s="38" customFormat="1" ht="10.15" customHeight="1" x14ac:dyDescent="0.25">
      <c r="B25" s="33"/>
      <c r="C25" s="33"/>
      <c r="D25" s="33"/>
      <c r="E25" s="33"/>
      <c r="F25" s="33"/>
      <c r="G25" s="33"/>
      <c r="H25" s="33"/>
      <c r="I25" s="33"/>
      <c r="J25" s="33"/>
      <c r="K25" s="33"/>
      <c r="L25" s="47"/>
    </row>
    <row r="26" spans="1:13" s="38" customFormat="1" hidden="1" x14ac:dyDescent="0.25">
      <c r="B26" s="33"/>
      <c r="C26" s="33"/>
      <c r="D26" s="33"/>
      <c r="E26" s="33"/>
      <c r="F26" s="48"/>
      <c r="H26" s="33"/>
      <c r="I26" s="33"/>
      <c r="J26" s="33"/>
      <c r="K26" s="33"/>
      <c r="L26" s="47"/>
      <c r="M26" s="46"/>
    </row>
    <row r="27" spans="1:13" s="38" customFormat="1" hidden="1" x14ac:dyDescent="0.25">
      <c r="H27" s="33"/>
      <c r="I27" s="33"/>
      <c r="J27" s="33"/>
      <c r="K27" s="33"/>
    </row>
    <row r="28" spans="1:13" s="38" customFormat="1" ht="15.75" thickBot="1" x14ac:dyDescent="0.3">
      <c r="B28" s="87" t="s">
        <v>63</v>
      </c>
      <c r="C28" s="87"/>
      <c r="D28" s="87"/>
      <c r="E28" s="87"/>
      <c r="F28" s="87"/>
      <c r="G28" s="33"/>
      <c r="H28" s="33"/>
      <c r="I28" s="33"/>
      <c r="J28" s="33"/>
      <c r="K28" s="33"/>
    </row>
    <row r="29" spans="1:13" s="38" customFormat="1" ht="8.25" customHeight="1" x14ac:dyDescent="0.25">
      <c r="B29" s="39"/>
      <c r="C29" s="39"/>
      <c r="D29" s="39"/>
      <c r="E29" s="39"/>
      <c r="F29" s="28"/>
      <c r="G29" s="33"/>
      <c r="H29" s="33"/>
      <c r="I29" s="33"/>
      <c r="J29" s="33"/>
      <c r="K29" s="33"/>
    </row>
    <row r="30" spans="1:13" s="38" customFormat="1" x14ac:dyDescent="0.25">
      <c r="A30" s="42"/>
      <c r="B30" s="88" t="s">
        <v>61</v>
      </c>
      <c r="C30" s="88"/>
      <c r="D30" s="88"/>
      <c r="E30" s="88"/>
      <c r="F30" s="41">
        <f>ROUND(((((K12+I20) * (1+G24)) / (1-E24)) / 205 * K7) / (K4*K7),2)</f>
        <v>0</v>
      </c>
      <c r="G30" s="45"/>
      <c r="J30" s="33"/>
      <c r="K30" s="33"/>
    </row>
    <row r="31" spans="1:13" s="38" customFormat="1" ht="10.15" customHeight="1" x14ac:dyDescent="0.25">
      <c r="A31" s="42"/>
      <c r="B31" s="26"/>
      <c r="C31" s="26"/>
      <c r="D31" s="26"/>
      <c r="E31" s="26"/>
      <c r="F31" s="44"/>
      <c r="G31" s="43"/>
      <c r="J31" s="31"/>
      <c r="K31" s="33"/>
    </row>
    <row r="32" spans="1:13" s="38" customFormat="1" ht="15" customHeight="1" x14ac:dyDescent="0.25">
      <c r="A32" s="42"/>
      <c r="B32" s="88" t="s">
        <v>60</v>
      </c>
      <c r="C32" s="88"/>
      <c r="D32" s="88"/>
      <c r="E32" s="88"/>
      <c r="F32" s="41">
        <f>ROUND(((F16 * (1+G24)) /(1-E24))  / (K4*K7),2)</f>
        <v>0</v>
      </c>
      <c r="G32" s="40"/>
      <c r="H32" s="33"/>
      <c r="I32" s="33"/>
      <c r="J32" s="33"/>
      <c r="K32" s="33"/>
    </row>
    <row r="33" spans="1:11" s="38" customFormat="1" ht="10.15" customHeight="1" x14ac:dyDescent="0.25">
      <c r="A33" s="89"/>
      <c r="B33" s="89"/>
      <c r="C33" s="89"/>
      <c r="D33" s="89"/>
      <c r="E33" s="26"/>
      <c r="F33" s="25"/>
      <c r="G33" s="33"/>
      <c r="H33" s="33"/>
      <c r="I33" s="33"/>
      <c r="J33" s="31"/>
      <c r="K33" s="33"/>
    </row>
    <row r="34" spans="1:11" s="38" customFormat="1" x14ac:dyDescent="0.25">
      <c r="A34" s="42"/>
      <c r="B34" s="88" t="s">
        <v>59</v>
      </c>
      <c r="C34" s="88"/>
      <c r="D34" s="88"/>
      <c r="E34" s="88"/>
      <c r="F34" s="41">
        <f>ROUND(F30+F32,2)</f>
        <v>0</v>
      </c>
      <c r="G34" s="40"/>
      <c r="H34" s="33"/>
      <c r="I34" s="33"/>
      <c r="J34" s="33"/>
      <c r="K34" s="33"/>
    </row>
    <row r="35" spans="1:11" s="38" customFormat="1" ht="10.15" customHeight="1" x14ac:dyDescent="0.25">
      <c r="B35" s="39"/>
      <c r="C35" s="39"/>
      <c r="D35" s="39"/>
      <c r="E35" s="39"/>
      <c r="F35" s="28"/>
      <c r="G35" s="33"/>
      <c r="H35" s="33"/>
      <c r="I35" s="33"/>
      <c r="J35" s="33"/>
      <c r="K35" s="33"/>
    </row>
    <row r="36" spans="1:11" ht="15.75" hidden="1" thickBot="1" x14ac:dyDescent="0.3">
      <c r="B36" s="90" t="s">
        <v>62</v>
      </c>
      <c r="C36" s="90"/>
      <c r="D36" s="90"/>
      <c r="E36" s="90"/>
      <c r="F36" s="90"/>
      <c r="J36" s="27"/>
    </row>
    <row r="37" spans="1:11" ht="8.25" hidden="1" customHeight="1" x14ac:dyDescent="0.25">
      <c r="B37" s="29"/>
      <c r="C37" s="29"/>
      <c r="D37" s="29"/>
      <c r="E37" s="29"/>
      <c r="F37" s="28"/>
      <c r="J37" s="27"/>
    </row>
    <row r="38" spans="1:11" ht="15" hidden="1" customHeight="1" x14ac:dyDescent="0.25">
      <c r="B38" s="91" t="s">
        <v>61</v>
      </c>
      <c r="C38" s="91"/>
      <c r="D38" s="91"/>
      <c r="E38" s="91"/>
      <c r="F38" s="36">
        <f>F30*$K$4</f>
        <v>0</v>
      </c>
      <c r="G38" s="30"/>
      <c r="H38" s="30"/>
      <c r="I38" s="30"/>
      <c r="J38" s="30"/>
      <c r="K38" s="30"/>
    </row>
    <row r="39" spans="1:11" hidden="1" x14ac:dyDescent="0.25">
      <c r="B39" s="26"/>
      <c r="C39" s="26"/>
      <c r="D39" s="26"/>
      <c r="E39" s="26"/>
      <c r="F39" s="25"/>
      <c r="H39" s="24"/>
      <c r="I39" s="24"/>
      <c r="J39" s="24"/>
      <c r="K39" s="24"/>
    </row>
    <row r="40" spans="1:11" ht="15" hidden="1" customHeight="1" x14ac:dyDescent="0.25">
      <c r="B40" s="91" t="s">
        <v>60</v>
      </c>
      <c r="C40" s="91"/>
      <c r="D40" s="91"/>
      <c r="E40" s="91"/>
      <c r="F40" s="37">
        <f>F32*$K$4</f>
        <v>0</v>
      </c>
      <c r="G40" s="22"/>
      <c r="H40" s="21"/>
      <c r="I40" s="21"/>
    </row>
    <row r="41" spans="1:11" hidden="1" x14ac:dyDescent="0.25">
      <c r="B41" s="26"/>
      <c r="C41" s="26"/>
      <c r="D41" s="26"/>
      <c r="E41" s="26"/>
      <c r="F41" s="25"/>
      <c r="G41" s="33"/>
      <c r="H41" s="33"/>
      <c r="I41" s="33"/>
      <c r="J41" s="33"/>
      <c r="K41" s="33"/>
    </row>
    <row r="42" spans="1:11" ht="15" hidden="1" customHeight="1" x14ac:dyDescent="0.25">
      <c r="B42" s="91" t="s">
        <v>59</v>
      </c>
      <c r="C42" s="91"/>
      <c r="D42" s="91"/>
      <c r="E42" s="91"/>
      <c r="F42" s="36">
        <f>F38+F40</f>
        <v>0</v>
      </c>
      <c r="G42" s="35"/>
      <c r="H42" s="30"/>
      <c r="I42" s="30"/>
      <c r="J42" s="30"/>
      <c r="K42" s="30"/>
    </row>
    <row r="43" spans="1:11" ht="15" hidden="1" customHeight="1" x14ac:dyDescent="0.25">
      <c r="B43" s="1"/>
      <c r="C43" s="1"/>
      <c r="D43" s="1"/>
      <c r="E43" s="1"/>
      <c r="F43" s="1"/>
      <c r="G43" s="1"/>
      <c r="H43" s="1"/>
      <c r="I43" s="1"/>
      <c r="J43" s="1"/>
      <c r="K43" s="1"/>
    </row>
    <row r="44" spans="1:11" ht="15.75" hidden="1" thickBot="1" x14ac:dyDescent="0.3">
      <c r="B44" s="90" t="str">
        <f>"CUSTO MENSAL"</f>
        <v>CUSTO MENSAL</v>
      </c>
      <c r="C44" s="90"/>
      <c r="D44" s="90"/>
      <c r="E44" s="90"/>
      <c r="F44" s="90"/>
      <c r="J44" s="27"/>
    </row>
    <row r="45" spans="1:11" ht="8.25" hidden="1" customHeight="1" x14ac:dyDescent="0.25">
      <c r="B45" s="29"/>
      <c r="C45" s="29"/>
      <c r="D45" s="29"/>
      <c r="E45" s="29"/>
      <c r="F45" s="28"/>
      <c r="J45" s="27"/>
    </row>
    <row r="46" spans="1:11" ht="15" hidden="1" customHeight="1" x14ac:dyDescent="0.25">
      <c r="B46" s="92" t="s">
        <v>61</v>
      </c>
      <c r="C46" s="92"/>
      <c r="D46" s="92"/>
      <c r="E46" s="92"/>
      <c r="F46" s="32">
        <f>F38*$K$8</f>
        <v>0</v>
      </c>
      <c r="G46" s="30"/>
      <c r="H46" s="30"/>
      <c r="I46" s="30"/>
      <c r="J46" s="30"/>
      <c r="K46" s="30"/>
    </row>
    <row r="47" spans="1:11" hidden="1" x14ac:dyDescent="0.25">
      <c r="B47" s="26"/>
      <c r="C47" s="26"/>
      <c r="D47" s="26"/>
      <c r="E47" s="26"/>
      <c r="F47" s="25"/>
      <c r="H47" s="24"/>
      <c r="I47" s="24"/>
      <c r="J47" s="24"/>
      <c r="K47" s="24"/>
    </row>
    <row r="48" spans="1:11" ht="15" hidden="1" customHeight="1" x14ac:dyDescent="0.25">
      <c r="B48" s="92" t="s">
        <v>60</v>
      </c>
      <c r="C48" s="92"/>
      <c r="D48" s="92"/>
      <c r="E48" s="92"/>
      <c r="F48" s="34">
        <f>F40*$K$8</f>
        <v>0</v>
      </c>
      <c r="G48" s="22"/>
      <c r="H48" s="21"/>
      <c r="I48" s="21"/>
    </row>
    <row r="49" spans="1:11" hidden="1" x14ac:dyDescent="0.25">
      <c r="B49" s="26"/>
      <c r="C49" s="26"/>
      <c r="D49" s="26"/>
      <c r="E49" s="26"/>
      <c r="F49" s="25"/>
      <c r="G49" s="33"/>
      <c r="H49" s="33"/>
      <c r="I49" s="33"/>
      <c r="J49" s="33"/>
      <c r="K49" s="33"/>
    </row>
    <row r="50" spans="1:11" ht="15" hidden="1" customHeight="1" x14ac:dyDescent="0.25">
      <c r="B50" s="92" t="s">
        <v>59</v>
      </c>
      <c r="C50" s="92"/>
      <c r="D50" s="92"/>
      <c r="E50" s="92"/>
      <c r="F50" s="32">
        <f>F46+F48</f>
        <v>0</v>
      </c>
      <c r="G50" s="30"/>
      <c r="H50" s="31"/>
      <c r="I50" s="30"/>
      <c r="J50" s="30"/>
      <c r="K50" s="30"/>
    </row>
    <row r="51" spans="1:11" hidden="1" x14ac:dyDescent="0.25">
      <c r="B51" s="29"/>
      <c r="C51" s="29"/>
      <c r="D51" s="29"/>
      <c r="E51" s="29"/>
      <c r="F51" s="28"/>
      <c r="H51" s="24"/>
      <c r="I51" s="24"/>
      <c r="J51" s="24"/>
      <c r="K51" s="24"/>
    </row>
    <row r="52" spans="1:11" ht="15.75" hidden="1" thickBot="1" x14ac:dyDescent="0.3">
      <c r="B52" s="90" t="str">
        <f>"CUSTO ANUAL* (" &amp; $K$7 &amp; " DIAS LETIVOS)"</f>
        <v>CUSTO ANUAL* (205 DIAS LETIVOS)</v>
      </c>
      <c r="C52" s="90"/>
      <c r="D52" s="90"/>
      <c r="E52" s="90"/>
      <c r="F52" s="90"/>
      <c r="J52" s="27"/>
    </row>
    <row r="53" spans="1:11" ht="8.25" hidden="1" customHeight="1" x14ac:dyDescent="0.25">
      <c r="B53" s="29"/>
      <c r="C53" s="29"/>
      <c r="D53" s="29"/>
      <c r="E53" s="29"/>
      <c r="F53" s="28"/>
      <c r="J53" s="27"/>
    </row>
    <row r="54" spans="1:11" ht="15" hidden="1" customHeight="1" x14ac:dyDescent="0.25">
      <c r="B54" s="93" t="s">
        <v>61</v>
      </c>
      <c r="C54" s="93"/>
      <c r="D54" s="93"/>
      <c r="E54" s="93"/>
      <c r="F54" s="23">
        <f>F30*$K$4*$K$7</f>
        <v>0</v>
      </c>
      <c r="G54" s="22"/>
      <c r="H54" s="21"/>
      <c r="I54" s="21"/>
    </row>
    <row r="55" spans="1:11" hidden="1" x14ac:dyDescent="0.25">
      <c r="B55" s="26"/>
      <c r="C55" s="26"/>
      <c r="D55" s="26"/>
      <c r="E55" s="26"/>
      <c r="F55" s="25"/>
      <c r="H55" s="24"/>
      <c r="I55" s="24"/>
      <c r="J55" s="24"/>
      <c r="K55" s="24"/>
    </row>
    <row r="56" spans="1:11" ht="15" hidden="1" customHeight="1" x14ac:dyDescent="0.25">
      <c r="B56" s="93" t="s">
        <v>60</v>
      </c>
      <c r="C56" s="93"/>
      <c r="D56" s="93"/>
      <c r="E56" s="93"/>
      <c r="F56" s="23">
        <f>F32*$K$4*$K$7</f>
        <v>0</v>
      </c>
      <c r="G56" s="22"/>
      <c r="H56" s="21"/>
      <c r="I56" s="21"/>
    </row>
    <row r="57" spans="1:11" hidden="1" x14ac:dyDescent="0.25">
      <c r="B57" s="26"/>
      <c r="C57" s="26"/>
      <c r="D57" s="26"/>
      <c r="E57" s="26"/>
      <c r="F57" s="25"/>
      <c r="H57" s="24"/>
      <c r="I57" s="24"/>
      <c r="J57" s="24"/>
      <c r="K57" s="24"/>
    </row>
    <row r="58" spans="1:11" ht="15" hidden="1" customHeight="1" x14ac:dyDescent="0.25">
      <c r="B58" s="93" t="s">
        <v>59</v>
      </c>
      <c r="C58" s="93"/>
      <c r="D58" s="93"/>
      <c r="E58" s="93"/>
      <c r="F58" s="23">
        <f>F54+F56</f>
        <v>0</v>
      </c>
      <c r="G58" s="22"/>
      <c r="H58" s="21"/>
      <c r="I58" s="21"/>
    </row>
    <row r="59" spans="1:11" hidden="1" x14ac:dyDescent="0.25">
      <c r="F59" s="20"/>
    </row>
    <row r="60" spans="1:11" s="3" customFormat="1" ht="15.75" thickBot="1" x14ac:dyDescent="0.3">
      <c r="B60" s="19" t="s">
        <v>58</v>
      </c>
      <c r="C60" s="19"/>
      <c r="D60" s="19"/>
      <c r="E60" s="19"/>
      <c r="F60" s="19"/>
      <c r="G60" s="19"/>
      <c r="H60" s="19"/>
      <c r="I60" s="19"/>
      <c r="J60" s="19"/>
      <c r="K60" s="11"/>
    </row>
    <row r="61" spans="1:11" s="3" customFormat="1" x14ac:dyDescent="0.25">
      <c r="A61" s="7"/>
      <c r="B61" s="10" t="s">
        <v>57</v>
      </c>
      <c r="C61" s="1" t="s">
        <v>118</v>
      </c>
      <c r="D61" s="8"/>
      <c r="E61" s="8"/>
      <c r="F61" s="8"/>
      <c r="G61" s="8"/>
      <c r="H61" s="8"/>
      <c r="I61" s="8"/>
      <c r="J61" s="8"/>
      <c r="K61" s="8"/>
    </row>
    <row r="62" spans="1:11" s="3" customFormat="1" x14ac:dyDescent="0.25">
      <c r="A62" s="7"/>
      <c r="B62" s="10" t="s">
        <v>56</v>
      </c>
      <c r="C62" s="3" t="s">
        <v>124</v>
      </c>
      <c r="D62" s="8"/>
      <c r="E62" s="8"/>
      <c r="F62" s="8"/>
      <c r="G62" s="8"/>
      <c r="H62" s="8"/>
      <c r="I62" s="8"/>
      <c r="J62" s="8"/>
      <c r="K62" s="8"/>
    </row>
    <row r="63" spans="1:11" s="3" customFormat="1" x14ac:dyDescent="0.25">
      <c r="A63" s="7"/>
      <c r="B63" s="10" t="s">
        <v>55</v>
      </c>
      <c r="C63" s="3" t="s">
        <v>119</v>
      </c>
      <c r="D63" s="8"/>
      <c r="E63" s="8"/>
      <c r="F63" s="8"/>
      <c r="G63" s="8"/>
      <c r="H63" s="8"/>
      <c r="I63" s="8"/>
      <c r="J63" s="8"/>
      <c r="K63" s="8"/>
    </row>
    <row r="64" spans="1:11" s="3" customFormat="1" x14ac:dyDescent="0.25">
      <c r="A64" s="7"/>
      <c r="B64" s="10" t="s">
        <v>54</v>
      </c>
      <c r="C64" s="3" t="s">
        <v>120</v>
      </c>
      <c r="D64" s="8"/>
      <c r="E64" s="8"/>
      <c r="F64" s="8"/>
      <c r="G64" s="8"/>
      <c r="H64" s="8"/>
      <c r="I64" s="8"/>
      <c r="J64" s="8"/>
      <c r="K64" s="8"/>
    </row>
    <row r="65" spans="1:11" s="3" customFormat="1" ht="15" customHeight="1" x14ac:dyDescent="0.25">
      <c r="A65" s="7"/>
      <c r="B65" s="10" t="s">
        <v>53</v>
      </c>
      <c r="C65" s="97" t="s">
        <v>52</v>
      </c>
      <c r="D65" s="97"/>
      <c r="E65" s="97"/>
      <c r="F65" s="97"/>
      <c r="G65" s="97"/>
      <c r="H65" s="97"/>
      <c r="I65" s="97"/>
      <c r="J65" s="97"/>
      <c r="K65" s="97"/>
    </row>
    <row r="66" spans="1:11" s="3" customFormat="1" x14ac:dyDescent="0.25">
      <c r="A66" s="7"/>
      <c r="B66" s="10" t="s">
        <v>51</v>
      </c>
      <c r="C66" s="18">
        <f>J24</f>
        <v>0.2</v>
      </c>
      <c r="D66" s="8"/>
      <c r="E66" s="8"/>
      <c r="F66" s="8"/>
      <c r="G66" s="8"/>
      <c r="H66" s="8"/>
      <c r="I66" s="8"/>
      <c r="J66" s="8"/>
      <c r="K66" s="8"/>
    </row>
    <row r="67" spans="1:11" s="3" customFormat="1" x14ac:dyDescent="0.25">
      <c r="A67" s="7"/>
      <c r="B67" s="10" t="s">
        <v>50</v>
      </c>
      <c r="C67" s="97" t="s">
        <v>49</v>
      </c>
      <c r="D67" s="97"/>
      <c r="E67" s="97"/>
      <c r="F67" s="97"/>
      <c r="G67" s="97"/>
      <c r="H67" s="97"/>
      <c r="I67" s="97"/>
      <c r="J67" s="97"/>
      <c r="K67" s="97"/>
    </row>
    <row r="68" spans="1:11" s="3" customFormat="1" x14ac:dyDescent="0.25">
      <c r="A68" s="7"/>
      <c r="B68" s="10" t="s">
        <v>48</v>
      </c>
      <c r="C68" s="94" t="s">
        <v>47</v>
      </c>
      <c r="D68" s="94"/>
      <c r="E68" s="94"/>
      <c r="F68" s="94"/>
      <c r="G68" s="94"/>
      <c r="H68" s="94"/>
      <c r="I68" s="94"/>
      <c r="J68" s="94"/>
      <c r="K68" s="8"/>
    </row>
    <row r="69" spans="1:11" s="3" customFormat="1" x14ac:dyDescent="0.25">
      <c r="A69" s="7"/>
      <c r="B69" s="10" t="s">
        <v>46</v>
      </c>
      <c r="C69" s="94" t="s">
        <v>45</v>
      </c>
      <c r="D69" s="94"/>
      <c r="E69" s="94"/>
      <c r="F69" s="94"/>
      <c r="G69" s="94"/>
      <c r="H69" s="94"/>
      <c r="I69" s="94"/>
      <c r="J69" s="94"/>
      <c r="K69" s="8"/>
    </row>
    <row r="70" spans="1:11" s="3" customFormat="1" x14ac:dyDescent="0.25">
      <c r="A70" s="7"/>
      <c r="B70" s="10" t="s">
        <v>44</v>
      </c>
      <c r="C70" s="14" t="s">
        <v>43</v>
      </c>
      <c r="D70" s="8"/>
      <c r="E70" s="8"/>
      <c r="F70" s="8"/>
      <c r="G70" s="8"/>
      <c r="H70" s="8"/>
      <c r="I70" s="8"/>
      <c r="J70" s="8"/>
      <c r="K70" s="8"/>
    </row>
    <row r="71" spans="1:11" s="3" customFormat="1" ht="32.25" customHeight="1" x14ac:dyDescent="0.25">
      <c r="A71" s="7"/>
      <c r="B71" s="10" t="s">
        <v>42</v>
      </c>
      <c r="C71" s="94" t="s">
        <v>41</v>
      </c>
      <c r="D71" s="94"/>
      <c r="E71" s="94"/>
      <c r="F71" s="94"/>
      <c r="G71" s="94"/>
      <c r="H71" s="94"/>
      <c r="I71" s="94"/>
      <c r="J71" s="94"/>
      <c r="K71" s="94"/>
    </row>
    <row r="72" spans="1:11" s="3" customFormat="1" x14ac:dyDescent="0.25">
      <c r="A72" s="7"/>
      <c r="B72" s="10" t="s">
        <v>40</v>
      </c>
      <c r="C72" s="14" t="s">
        <v>39</v>
      </c>
      <c r="D72" s="8"/>
      <c r="E72" s="8"/>
      <c r="F72" s="8"/>
      <c r="G72" s="8"/>
      <c r="H72" s="8"/>
      <c r="I72" s="8"/>
      <c r="J72" s="8"/>
      <c r="K72" s="8"/>
    </row>
    <row r="73" spans="1:11" s="3" customFormat="1" ht="15" customHeight="1" x14ac:dyDescent="0.25">
      <c r="A73" s="7"/>
      <c r="B73" s="10" t="s">
        <v>38</v>
      </c>
      <c r="C73" s="3" t="s">
        <v>37</v>
      </c>
      <c r="H73" s="16"/>
      <c r="I73" s="16"/>
      <c r="J73" s="16"/>
      <c r="K73" s="8"/>
    </row>
    <row r="74" spans="1:11" s="3" customFormat="1" ht="15" customHeight="1" thickBot="1" x14ac:dyDescent="0.3">
      <c r="A74" s="7"/>
      <c r="B74" s="6" t="s">
        <v>36</v>
      </c>
      <c r="C74" s="4" t="s">
        <v>35</v>
      </c>
      <c r="D74" s="4"/>
      <c r="E74" s="4"/>
      <c r="F74" s="4"/>
      <c r="G74" s="4"/>
      <c r="H74" s="5"/>
      <c r="I74" s="5"/>
      <c r="J74" s="5"/>
      <c r="K74" s="11"/>
    </row>
    <row r="75" spans="1:11" s="3" customFormat="1" ht="45" customHeight="1" x14ac:dyDescent="0.25">
      <c r="A75" s="7"/>
      <c r="B75" s="13" t="s">
        <v>34</v>
      </c>
      <c r="C75" s="95" t="s">
        <v>33</v>
      </c>
      <c r="D75" s="95"/>
      <c r="E75" s="95"/>
      <c r="F75" s="95"/>
      <c r="G75" s="95"/>
      <c r="H75" s="95"/>
      <c r="I75" s="95"/>
      <c r="J75" s="95"/>
      <c r="K75" s="17"/>
    </row>
    <row r="76" spans="1:11" s="3" customFormat="1" ht="15" customHeight="1" x14ac:dyDescent="0.25">
      <c r="A76" s="7"/>
      <c r="B76" s="13" t="s">
        <v>32</v>
      </c>
      <c r="C76" s="95" t="s">
        <v>31</v>
      </c>
      <c r="D76" s="95"/>
      <c r="E76" s="95"/>
      <c r="F76" s="95"/>
      <c r="G76" s="95"/>
      <c r="H76" s="95"/>
      <c r="I76" s="95"/>
      <c r="J76" s="95"/>
      <c r="K76" s="95"/>
    </row>
    <row r="77" spans="1:11" s="3" customFormat="1" ht="15" customHeight="1" thickBot="1" x14ac:dyDescent="0.3">
      <c r="A77" s="7"/>
      <c r="B77" s="6" t="s">
        <v>30</v>
      </c>
      <c r="C77" s="4" t="s">
        <v>29</v>
      </c>
      <c r="D77" s="5"/>
      <c r="E77" s="5"/>
      <c r="F77" s="5"/>
      <c r="G77" s="5"/>
      <c r="H77" s="5"/>
      <c r="I77" s="5"/>
      <c r="J77" s="5"/>
      <c r="K77" s="11"/>
    </row>
    <row r="78" spans="1:11" s="3" customFormat="1" x14ac:dyDescent="0.25">
      <c r="A78" s="7"/>
      <c r="B78" s="10" t="s">
        <v>28</v>
      </c>
      <c r="C78" s="3" t="s">
        <v>121</v>
      </c>
      <c r="D78" s="8"/>
      <c r="E78" s="8"/>
      <c r="F78" s="8"/>
      <c r="G78" s="8"/>
      <c r="H78" s="8"/>
      <c r="I78" s="8"/>
      <c r="J78" s="8"/>
      <c r="K78" s="8"/>
    </row>
    <row r="79" spans="1:11" s="3" customFormat="1" ht="15" customHeight="1" x14ac:dyDescent="0.25">
      <c r="A79" s="7"/>
      <c r="B79" s="10" t="s">
        <v>27</v>
      </c>
      <c r="C79" s="3" t="s">
        <v>121</v>
      </c>
      <c r="D79" s="16"/>
      <c r="E79" s="16"/>
      <c r="F79" s="16"/>
      <c r="G79" s="16"/>
      <c r="H79" s="16"/>
      <c r="I79" s="16"/>
      <c r="J79" s="16"/>
      <c r="K79" s="8"/>
    </row>
    <row r="80" spans="1:11" s="3" customFormat="1" ht="15" customHeight="1" x14ac:dyDescent="0.25">
      <c r="A80" s="7"/>
      <c r="B80" s="10" t="s">
        <v>26</v>
      </c>
      <c r="C80" s="3" t="s">
        <v>121</v>
      </c>
      <c r="D80" s="16"/>
      <c r="E80" s="16"/>
      <c r="F80" s="16"/>
      <c r="G80" s="16"/>
      <c r="H80" s="16"/>
      <c r="I80" s="16"/>
      <c r="J80" s="16"/>
      <c r="K80" s="8"/>
    </row>
    <row r="81" spans="1:11" s="3" customFormat="1" ht="15" customHeight="1" x14ac:dyDescent="0.25">
      <c r="A81" s="7"/>
      <c r="B81" s="10" t="s">
        <v>25</v>
      </c>
      <c r="C81" s="3" t="s">
        <v>121</v>
      </c>
      <c r="D81" s="16"/>
      <c r="E81" s="16"/>
      <c r="F81" s="16"/>
      <c r="G81" s="16"/>
      <c r="H81" s="16"/>
      <c r="I81" s="16"/>
      <c r="J81" s="16"/>
      <c r="K81" s="8"/>
    </row>
    <row r="82" spans="1:11" s="3" customFormat="1" ht="15" customHeight="1" x14ac:dyDescent="0.25">
      <c r="A82" s="7"/>
      <c r="B82" s="10" t="s">
        <v>24</v>
      </c>
      <c r="C82" s="3" t="s">
        <v>121</v>
      </c>
      <c r="D82" s="16"/>
      <c r="E82" s="16"/>
      <c r="F82" s="16"/>
      <c r="G82" s="16"/>
      <c r="H82" s="16"/>
      <c r="I82" s="16"/>
      <c r="J82" s="16"/>
      <c r="K82" s="8"/>
    </row>
    <row r="83" spans="1:11" s="3" customFormat="1" ht="15" customHeight="1" thickBot="1" x14ac:dyDescent="0.3">
      <c r="A83" s="7"/>
      <c r="B83" s="6" t="s">
        <v>23</v>
      </c>
      <c r="C83" s="15"/>
      <c r="D83" s="11"/>
      <c r="E83" s="11"/>
      <c r="F83" s="11"/>
      <c r="G83" s="11"/>
      <c r="H83" s="11"/>
      <c r="I83" s="11"/>
      <c r="J83" s="11"/>
      <c r="K83" s="11"/>
    </row>
    <row r="84" spans="1:11" s="3" customFormat="1" ht="15.75" thickBot="1" x14ac:dyDescent="0.3">
      <c r="A84" s="7"/>
      <c r="B84" s="10" t="s">
        <v>22</v>
      </c>
      <c r="C84" s="15" t="s">
        <v>122</v>
      </c>
      <c r="D84" s="8"/>
      <c r="E84" s="8"/>
      <c r="F84" s="8"/>
      <c r="G84" s="8"/>
      <c r="H84" s="8"/>
      <c r="I84" s="8"/>
      <c r="J84" s="8"/>
      <c r="K84" s="8"/>
    </row>
    <row r="85" spans="1:11" s="3" customFormat="1" x14ac:dyDescent="0.25">
      <c r="A85" s="7"/>
      <c r="B85" s="10" t="s">
        <v>21</v>
      </c>
      <c r="C85" s="3" t="s">
        <v>20</v>
      </c>
      <c r="D85" s="8"/>
      <c r="E85" s="8"/>
      <c r="F85" s="8"/>
      <c r="G85" s="8"/>
      <c r="H85" s="8"/>
      <c r="I85" s="8"/>
      <c r="J85" s="8"/>
    </row>
    <row r="86" spans="1:11" s="3" customFormat="1" x14ac:dyDescent="0.25">
      <c r="A86" s="7"/>
      <c r="B86" s="10" t="s">
        <v>19</v>
      </c>
      <c r="C86" s="3" t="s">
        <v>18</v>
      </c>
      <c r="D86" s="8"/>
      <c r="E86" s="8"/>
      <c r="F86" s="8"/>
      <c r="G86" s="8"/>
      <c r="H86" s="8"/>
      <c r="I86" s="8"/>
      <c r="J86" s="8"/>
    </row>
    <row r="87" spans="1:11" s="3" customFormat="1" x14ac:dyDescent="0.25">
      <c r="A87" s="7"/>
      <c r="B87" s="10" t="s">
        <v>17</v>
      </c>
      <c r="C87" s="3" t="s">
        <v>16</v>
      </c>
      <c r="D87" s="8"/>
      <c r="E87" s="8"/>
      <c r="F87" s="8"/>
      <c r="G87" s="8"/>
      <c r="H87" s="8"/>
      <c r="I87" s="8"/>
      <c r="J87" s="8"/>
    </row>
    <row r="88" spans="1:11" s="3" customFormat="1" ht="15.75" thickBot="1" x14ac:dyDescent="0.3">
      <c r="A88" s="7"/>
      <c r="B88" s="6" t="s">
        <v>15</v>
      </c>
      <c r="C88" s="4" t="s">
        <v>14</v>
      </c>
      <c r="D88" s="11"/>
      <c r="E88" s="11"/>
      <c r="F88" s="11"/>
      <c r="G88" s="11"/>
      <c r="H88" s="11"/>
      <c r="I88" s="11"/>
      <c r="J88" s="11"/>
      <c r="K88" s="4"/>
    </row>
    <row r="89" spans="1:11" s="3" customFormat="1" x14ac:dyDescent="0.25">
      <c r="A89" s="7"/>
      <c r="B89" s="13" t="s">
        <v>13</v>
      </c>
      <c r="C89" s="96" t="str">
        <f>G24*100&amp;"% do total das despesas."</f>
        <v>5% do total das despesas.</v>
      </c>
      <c r="D89" s="96"/>
      <c r="E89" s="96"/>
      <c r="F89" s="96"/>
      <c r="G89" s="96"/>
      <c r="H89" s="96"/>
      <c r="I89" s="96"/>
      <c r="J89" s="96"/>
      <c r="K89" s="96"/>
    </row>
    <row r="90" spans="1:11" s="3" customFormat="1" ht="14.25" customHeight="1" thickBot="1" x14ac:dyDescent="0.3">
      <c r="A90" s="7"/>
      <c r="B90" s="6" t="s">
        <v>12</v>
      </c>
      <c r="C90" s="12" t="s">
        <v>11</v>
      </c>
      <c r="D90" s="11"/>
      <c r="E90" s="11"/>
      <c r="F90" s="11"/>
      <c r="G90" s="11"/>
      <c r="H90" s="11"/>
      <c r="I90" s="11"/>
      <c r="J90" s="11"/>
      <c r="K90" s="4"/>
    </row>
    <row r="91" spans="1:11" s="3" customFormat="1" x14ac:dyDescent="0.25">
      <c r="A91" s="7"/>
      <c r="B91" s="10" t="s">
        <v>10</v>
      </c>
      <c r="C91" s="3" t="str">
        <f>B24*100 &amp; "% referente ao Programa de Integração Social - PIS."</f>
        <v>0,65% referente ao Programa de Integração Social - PIS.</v>
      </c>
      <c r="D91" s="8"/>
      <c r="E91" s="8"/>
      <c r="F91" s="8"/>
      <c r="G91" s="8"/>
      <c r="H91" s="8"/>
      <c r="I91" s="8"/>
      <c r="J91" s="8"/>
    </row>
    <row r="92" spans="1:11" s="3" customFormat="1" x14ac:dyDescent="0.25">
      <c r="A92" s="7"/>
      <c r="B92" s="10" t="s">
        <v>9</v>
      </c>
      <c r="C92" s="3" t="str">
        <f>C24*100 &amp; "% referente a Contribuição para o Financiamento da Seguridade Social - COFINS."</f>
        <v>3% referente a Contribuição para o Financiamento da Seguridade Social - COFINS.</v>
      </c>
      <c r="D92" s="8"/>
      <c r="E92" s="8"/>
      <c r="F92" s="8"/>
      <c r="G92" s="8"/>
      <c r="H92" s="8"/>
      <c r="I92" s="8"/>
      <c r="J92" s="8"/>
    </row>
    <row r="93" spans="1:11" s="3" customFormat="1" x14ac:dyDescent="0.25">
      <c r="A93" s="7"/>
      <c r="B93" s="10" t="s">
        <v>8</v>
      </c>
      <c r="C93" s="3" t="str">
        <f>D24*100 &amp; "% referente ao Imposto Sobre Serviço - ISS. O valor do ISS varia de acordo com o município."</f>
        <v>5% referente ao Imposto Sobre Serviço - ISS. O valor do ISS varia de acordo com o município.</v>
      </c>
      <c r="D93" s="8"/>
      <c r="E93" s="8"/>
      <c r="F93" s="8"/>
      <c r="G93" s="8"/>
      <c r="H93" s="8"/>
      <c r="I93" s="8"/>
      <c r="J93" s="8"/>
    </row>
    <row r="94" spans="1:11" s="3" customFormat="1" ht="14.25" customHeight="1" thickBot="1" x14ac:dyDescent="0.3">
      <c r="A94" s="7"/>
      <c r="B94" s="6" t="s">
        <v>7</v>
      </c>
      <c r="C94" s="12" t="s">
        <v>6</v>
      </c>
      <c r="D94" s="11"/>
      <c r="E94" s="11"/>
      <c r="F94" s="11"/>
      <c r="G94" s="11"/>
      <c r="H94" s="11"/>
      <c r="I94" s="11"/>
      <c r="J94" s="11"/>
      <c r="K94" s="4"/>
    </row>
    <row r="95" spans="1:11" s="3" customFormat="1" x14ac:dyDescent="0.25">
      <c r="A95" s="7"/>
      <c r="B95" s="10" t="s">
        <v>5</v>
      </c>
      <c r="C95" s="9" t="s">
        <v>4</v>
      </c>
      <c r="F95" s="8"/>
      <c r="G95" s="8"/>
      <c r="H95" s="8"/>
      <c r="I95" s="8"/>
      <c r="J95" s="8"/>
    </row>
    <row r="96" spans="1:11" s="3" customFormat="1" x14ac:dyDescent="0.25">
      <c r="A96" s="7"/>
      <c r="B96" s="10" t="s">
        <v>3</v>
      </c>
      <c r="C96" s="9" t="s">
        <v>2</v>
      </c>
      <c r="D96" s="8"/>
      <c r="E96" s="8"/>
      <c r="F96" s="8"/>
      <c r="G96" s="8"/>
      <c r="H96" s="8"/>
      <c r="I96" s="8"/>
      <c r="J96" s="8"/>
    </row>
    <row r="97" spans="1:11" s="3" customFormat="1" ht="15" customHeight="1" thickBot="1" x14ac:dyDescent="0.3">
      <c r="A97" s="7"/>
      <c r="B97" s="6" t="s">
        <v>1</v>
      </c>
      <c r="C97" s="4" t="s">
        <v>0</v>
      </c>
      <c r="D97" s="5"/>
      <c r="E97" s="5"/>
      <c r="F97" s="5"/>
      <c r="G97" s="5"/>
      <c r="H97" s="5"/>
      <c r="I97" s="5"/>
      <c r="J97" s="5"/>
      <c r="K97" s="4"/>
    </row>
  </sheetData>
  <protectedRanges>
    <protectedRange sqref="C8" name="Dados de Entrada_5_1_1"/>
    <protectedRange sqref="D8" name="Dados de Entrada_5_2"/>
    <protectedRange sqref="I16:K16" name="Dados de Entrada_4_1"/>
    <protectedRange sqref="F5:F7" name="Dados de Entrada 3_2_1_1"/>
  </protectedRanges>
  <mergeCells count="35">
    <mergeCell ref="C76:K76"/>
    <mergeCell ref="C89:K89"/>
    <mergeCell ref="B56:E56"/>
    <mergeCell ref="B58:E58"/>
    <mergeCell ref="C65:K65"/>
    <mergeCell ref="C67:K67"/>
    <mergeCell ref="C68:J68"/>
    <mergeCell ref="C69:J69"/>
    <mergeCell ref="B50:E50"/>
    <mergeCell ref="B52:F52"/>
    <mergeCell ref="B54:E54"/>
    <mergeCell ref="C71:K71"/>
    <mergeCell ref="C75:J75"/>
    <mergeCell ref="B40:E40"/>
    <mergeCell ref="B42:E42"/>
    <mergeCell ref="B44:F44"/>
    <mergeCell ref="B46:E46"/>
    <mergeCell ref="B48:E48"/>
    <mergeCell ref="B32:E32"/>
    <mergeCell ref="A33:D33"/>
    <mergeCell ref="B34:E34"/>
    <mergeCell ref="B36:F36"/>
    <mergeCell ref="B38:E38"/>
    <mergeCell ref="B18:I18"/>
    <mergeCell ref="B22:E22"/>
    <mergeCell ref="G22:K22"/>
    <mergeCell ref="B28:F28"/>
    <mergeCell ref="B30:E30"/>
    <mergeCell ref="B1:K1"/>
    <mergeCell ref="E3:H3"/>
    <mergeCell ref="G8:H8"/>
    <mergeCell ref="B10:K10"/>
    <mergeCell ref="B14:F14"/>
    <mergeCell ref="H14:K14"/>
    <mergeCell ref="B2:K2"/>
  </mergeCells>
  <printOptions horizontalCentered="1"/>
  <pageMargins left="0.51181102362204722" right="0.51181102362204722" top="0.57416666666666671" bottom="0.78740157480314965" header="0.31496062992125984" footer="0.31496062992125984"/>
  <pageSetup paperSize="9" scale="53" orientation="portrait" r:id="rId1"/>
  <legacy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Planilhas</vt:lpstr>
      </vt:variant>
      <vt:variant>
        <vt:i4>1</vt:i4>
      </vt:variant>
      <vt:variant>
        <vt:lpstr>Intervalos nomeados</vt:lpstr>
      </vt:variant>
      <vt:variant>
        <vt:i4>1</vt:i4>
      </vt:variant>
    </vt:vector>
  </HeadingPairs>
  <TitlesOfParts>
    <vt:vector size="2" baseType="lpstr">
      <vt:lpstr>41 passageiros (2)</vt:lpstr>
      <vt:lpstr>'41 passageiros (2)'!Area_de_impressao</vt:lpstr>
    </vt:vector>
  </TitlesOfParts>
  <Company>SEDU</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SEDU</dc:creator>
  <cp:lastModifiedBy>carlos.pereira</cp:lastModifiedBy>
  <cp:lastPrinted>2022-01-06T20:48:13Z</cp:lastPrinted>
  <dcterms:created xsi:type="dcterms:W3CDTF">2021-08-05T12:11:10Z</dcterms:created>
  <dcterms:modified xsi:type="dcterms:W3CDTF">2022-01-06T20:48:39Z</dcterms:modified>
</cp:coreProperties>
</file>