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Licitacao\PMJN\2022\CPL PREFEITURA\6. EDITAIS\Minuta\Concorrência Pública\"/>
    </mc:Choice>
  </mc:AlternateContent>
  <bookViews>
    <workbookView xWindow="0" yWindow="0" windowWidth="18870" windowHeight="7815" tabRatio="809" activeTab="3"/>
  </bookViews>
  <sheets>
    <sheet name="PLANILHA ORÇAMENTÁRIA" sheetId="1" r:id="rId1"/>
    <sheet name="MC" sheetId="11" r:id="rId2"/>
    <sheet name="CRONOGRAMA" sheetId="22" r:id="rId3"/>
    <sheet name="BDI" sheetId="4" r:id="rId4"/>
    <sheet name="LS" sheetId="5" r:id="rId5"/>
    <sheet name="COMP-01" sheetId="24" r:id="rId6"/>
    <sheet name="COMP-02" sheetId="42" r:id="rId7"/>
    <sheet name="COMP-03" sheetId="25" r:id="rId8"/>
    <sheet name="COMP-04" sheetId="26" r:id="rId9"/>
    <sheet name="COMP-05" sheetId="27" r:id="rId10"/>
    <sheet name="COMP-06" sheetId="28" r:id="rId11"/>
    <sheet name="COMP-07" sheetId="29" r:id="rId12"/>
    <sheet name="COMP-08" sheetId="30" r:id="rId13"/>
    <sheet name="COMP-09" sheetId="31" r:id="rId14"/>
    <sheet name="COMP-10" sheetId="39" r:id="rId15"/>
    <sheet name="COMP-11" sheetId="40" r:id="rId16"/>
    <sheet name="COMP-12" sheetId="38" r:id="rId17"/>
    <sheet name="COMP-13" sheetId="32" r:id="rId18"/>
    <sheet name="COMP-14" sheetId="33" r:id="rId19"/>
    <sheet name="COMP-15" sheetId="43" r:id="rId20"/>
    <sheet name="COMP-16" sheetId="34" r:id="rId21"/>
    <sheet name="COMP-17" sheetId="35" r:id="rId22"/>
    <sheet name="COMP-18" sheetId="36" r:id="rId23"/>
    <sheet name="COMP-19" sheetId="37" r:id="rId24"/>
    <sheet name="COMP-20" sheetId="44" r:id="rId25"/>
    <sheet name="COMP-21" sheetId="49" r:id="rId26"/>
    <sheet name="COMP-22" sheetId="50" r:id="rId27"/>
    <sheet name="COMP-23" sheetId="51" r:id="rId28"/>
    <sheet name="COMP-24" sheetId="52" r:id="rId29"/>
    <sheet name="COMP-25" sheetId="53" r:id="rId30"/>
    <sheet name="COMP-26" sheetId="55" r:id="rId31"/>
    <sheet name="COMP-27" sheetId="54" r:id="rId32"/>
    <sheet name="COMP-28" sheetId="57" r:id="rId33"/>
    <sheet name="COMP-29" sheetId="58" r:id="rId34"/>
    <sheet name="COMP-30" sheetId="59" r:id="rId35"/>
    <sheet name="COTAÇÕES " sheetId="23" r:id="rId36"/>
  </sheets>
  <externalReferences>
    <externalReference r:id="rId37"/>
  </externalReferences>
  <definedNames>
    <definedName name="_xlnm.Print_Area" localSheetId="3">BDI!$B$2:$J$49</definedName>
    <definedName name="_xlnm.Print_Area" localSheetId="35">'COTAÇÕES '!$A$1:$Q$20</definedName>
    <definedName name="_xlnm.Print_Area" localSheetId="2">CRONOGRAMA!$A$1:$P$53</definedName>
    <definedName name="_xlnm.Print_Area" localSheetId="4">LS!$B$2:$E$50</definedName>
    <definedName name="_xlnm.Print_Area" localSheetId="1">MC!$A$1:$J$1748</definedName>
    <definedName name="_xlnm.Print_Area" localSheetId="0">'PLANILHA ORÇAMENTÁRIA'!$A$1:$I$307</definedName>
    <definedName name="_xlnm.Print_Titles" localSheetId="35">'COTAÇÕES '!$1:$7</definedName>
    <definedName name="_xlnm.Print_Titles" localSheetId="2">CRONOGRAMA!$A:$D,CRONOGRAMA!$1:$7</definedName>
    <definedName name="_xlnm.Print_Titles" localSheetId="1">MC!$1:$5</definedName>
    <definedName name="_xlnm.Print_Titles" localSheetId="0">'PLANILHA ORÇAMENTÁRIA'!$1:$7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38" i="11" l="1"/>
  <c r="H1638" i="11"/>
  <c r="H1633" i="11"/>
  <c r="I28" i="1"/>
  <c r="I31" i="1"/>
  <c r="H60" i="1"/>
  <c r="I146" i="1"/>
  <c r="I151" i="1"/>
  <c r="I153" i="1"/>
  <c r="I156" i="1"/>
  <c r="I160" i="1"/>
  <c r="I165" i="1"/>
  <c r="G305" i="1"/>
  <c r="E1746" i="11"/>
  <c r="H1746" i="11" s="1"/>
  <c r="J1746" i="11" s="1"/>
  <c r="J1747" i="11" s="1"/>
  <c r="F305" i="1" s="1"/>
  <c r="P20" i="23" l="1"/>
  <c r="I13" i="52"/>
  <c r="I10" i="52"/>
  <c r="I11" i="52"/>
  <c r="H176" i="1"/>
  <c r="H311" i="1"/>
  <c r="J1219" i="11"/>
  <c r="J1218" i="11"/>
  <c r="J1217" i="11"/>
  <c r="J1216" i="11"/>
  <c r="J1215" i="11"/>
  <c r="J1214" i="11"/>
  <c r="J1212" i="11"/>
  <c r="J1211" i="11"/>
  <c r="J1210" i="11"/>
  <c r="J1209" i="11"/>
  <c r="J1208" i="11"/>
  <c r="J1207" i="11"/>
  <c r="J1206" i="11"/>
  <c r="D1008" i="11"/>
  <c r="J1201" i="11"/>
  <c r="J1194" i="11"/>
  <c r="J1067" i="11"/>
  <c r="J1220" i="11" l="1"/>
  <c r="H305" i="1"/>
  <c r="I305" i="1" s="1"/>
  <c r="I31" i="59"/>
  <c r="I12" i="59"/>
  <c r="I19" i="59"/>
  <c r="I16" i="59"/>
  <c r="H10" i="59"/>
  <c r="I10" i="59" s="1"/>
  <c r="I25" i="59"/>
  <c r="I30" i="59" s="1"/>
  <c r="I29" i="59" l="1"/>
  <c r="I28" i="59"/>
  <c r="J1685" i="11"/>
  <c r="J1684" i="11"/>
  <c r="J1693" i="11"/>
  <c r="J1694" i="11"/>
  <c r="J1690" i="11"/>
  <c r="J1691" i="11"/>
  <c r="J1689" i="11"/>
  <c r="J1701" i="11"/>
  <c r="J1703" i="11"/>
  <c r="J1704" i="11"/>
  <c r="J1699" i="11"/>
  <c r="J1709" i="11"/>
  <c r="J1710" i="11" s="1"/>
  <c r="J1182" i="11"/>
  <c r="J1183" i="11" s="1"/>
  <c r="F211" i="1" s="1"/>
  <c r="H211" i="1"/>
  <c r="J1178" i="11"/>
  <c r="J1179" i="11" s="1"/>
  <c r="F210" i="1" s="1"/>
  <c r="I210" i="1" s="1"/>
  <c r="H210" i="1"/>
  <c r="I208" i="1"/>
  <c r="J1174" i="11"/>
  <c r="J1175" i="11" s="1"/>
  <c r="F209" i="1" s="1"/>
  <c r="H209" i="1"/>
  <c r="H208" i="1"/>
  <c r="H207" i="1"/>
  <c r="J1169" i="11"/>
  <c r="J1170" i="11" s="1"/>
  <c r="F207" i="1" s="1"/>
  <c r="J1469" i="11"/>
  <c r="J1467" i="11"/>
  <c r="H254" i="1"/>
  <c r="I254" i="1" s="1"/>
  <c r="J1196" i="11"/>
  <c r="J1197" i="11"/>
  <c r="J1198" i="11"/>
  <c r="J1199" i="11"/>
  <c r="J1200" i="11"/>
  <c r="J1189" i="11"/>
  <c r="J1190" i="11"/>
  <c r="J1191" i="11"/>
  <c r="J1192" i="11"/>
  <c r="J1193" i="11"/>
  <c r="J1188" i="11"/>
  <c r="J1462" i="11"/>
  <c r="J1425" i="11"/>
  <c r="J1031" i="11"/>
  <c r="J1032" i="11"/>
  <c r="J1033" i="11"/>
  <c r="J1003" i="11"/>
  <c r="J1004" i="11"/>
  <c r="J1005" i="11"/>
  <c r="J1006" i="11"/>
  <c r="J1007" i="11"/>
  <c r="J1460" i="11"/>
  <c r="H253" i="1"/>
  <c r="J1349" i="11"/>
  <c r="J1737" i="11"/>
  <c r="J1378" i="11"/>
  <c r="J1398" i="11"/>
  <c r="J1432" i="11"/>
  <c r="J1433" i="11" s="1"/>
  <c r="J1371" i="11"/>
  <c r="J1372" i="11"/>
  <c r="J1373" i="11"/>
  <c r="J1374" i="11"/>
  <c r="J1375" i="11"/>
  <c r="J1376" i="11"/>
  <c r="J1377" i="11"/>
  <c r="J1383" i="11"/>
  <c r="J1384" i="11" s="1"/>
  <c r="J1417" i="11"/>
  <c r="J1418" i="11"/>
  <c r="J1419" i="11"/>
  <c r="J1420" i="11"/>
  <c r="J1421" i="11"/>
  <c r="J1422" i="11"/>
  <c r="J1423" i="11"/>
  <c r="J1356" i="11"/>
  <c r="J1357" i="11"/>
  <c r="J1348" i="11"/>
  <c r="J1344" i="11"/>
  <c r="J1345" i="11"/>
  <c r="J1346" i="11"/>
  <c r="J1347" i="11"/>
  <c r="J1342" i="11"/>
  <c r="J1443" i="11"/>
  <c r="J1444" i="11"/>
  <c r="J1445" i="11"/>
  <c r="J1446" i="11"/>
  <c r="J1447" i="11"/>
  <c r="J1448" i="11"/>
  <c r="J1449" i="11"/>
  <c r="J1450" i="11"/>
  <c r="I207" i="1" l="1"/>
  <c r="J1202" i="11"/>
  <c r="J1695" i="11"/>
  <c r="J1470" i="11"/>
  <c r="I211" i="1"/>
  <c r="I209" i="1"/>
  <c r="J1463" i="11"/>
  <c r="F253" i="1" s="1"/>
  <c r="I253" i="1" s="1"/>
  <c r="J1350" i="11"/>
  <c r="F242" i="1" s="1"/>
  <c r="J1388" i="11"/>
  <c r="J1389" i="11" s="1"/>
  <c r="J1403" i="11"/>
  <c r="J1404" i="11" s="1"/>
  <c r="J1394" i="11"/>
  <c r="J1395" i="11"/>
  <c r="J1396" i="11"/>
  <c r="J1393" i="11"/>
  <c r="J1363" i="11"/>
  <c r="J1364" i="11"/>
  <c r="J1365" i="11"/>
  <c r="J1366" i="11"/>
  <c r="J1367" i="11"/>
  <c r="J1368" i="11"/>
  <c r="J1369" i="11"/>
  <c r="J1362" i="11"/>
  <c r="J1481" i="11"/>
  <c r="J1410" i="11"/>
  <c r="J1411" i="11"/>
  <c r="J1412" i="11"/>
  <c r="J1413" i="11"/>
  <c r="J1414" i="11"/>
  <c r="J1415" i="11"/>
  <c r="J1409" i="11"/>
  <c r="J1408" i="11"/>
  <c r="J1355" i="11"/>
  <c r="J1354" i="11"/>
  <c r="J1455" i="11"/>
  <c r="J1456" i="11" s="1"/>
  <c r="F252" i="1" s="1"/>
  <c r="J1436" i="11"/>
  <c r="J1437" i="11"/>
  <c r="J1438" i="11"/>
  <c r="J1439" i="11"/>
  <c r="J1440" i="11"/>
  <c r="J1441" i="11"/>
  <c r="J1442" i="11"/>
  <c r="G252" i="1"/>
  <c r="H252" i="1" s="1"/>
  <c r="G11" i="58"/>
  <c r="I32" i="58"/>
  <c r="I27" i="58"/>
  <c r="I21" i="58"/>
  <c r="I31" i="58" s="1"/>
  <c r="I19" i="58"/>
  <c r="I18" i="58"/>
  <c r="I17" i="58"/>
  <c r="H11" i="58"/>
  <c r="I11" i="58"/>
  <c r="I10" i="58"/>
  <c r="I13" i="58" s="1"/>
  <c r="I30" i="58" s="1"/>
  <c r="I33" i="58" s="1"/>
  <c r="H10" i="58"/>
  <c r="G251" i="1"/>
  <c r="H251" i="1" s="1"/>
  <c r="I13" i="57"/>
  <c r="I21" i="57"/>
  <c r="I31" i="57" s="1"/>
  <c r="G11" i="57"/>
  <c r="I19" i="57"/>
  <c r="I18" i="57"/>
  <c r="H11" i="57"/>
  <c r="H10" i="57"/>
  <c r="I10" i="57" s="1"/>
  <c r="I17" i="57"/>
  <c r="I27" i="57"/>
  <c r="I32" i="57" s="1"/>
  <c r="J1742" i="11"/>
  <c r="J1743" i="11" s="1"/>
  <c r="F304" i="1" s="1"/>
  <c r="G304" i="1"/>
  <c r="H304" i="1" s="1"/>
  <c r="P18" i="23"/>
  <c r="P19" i="23"/>
  <c r="J1427" i="11" l="1"/>
  <c r="I252" i="1"/>
  <c r="J1358" i="11"/>
  <c r="F243" i="1" s="1"/>
  <c r="J1379" i="11"/>
  <c r="J1399" i="11"/>
  <c r="J1451" i="11"/>
  <c r="F251" i="1" s="1"/>
  <c r="I251" i="1" s="1"/>
  <c r="I304" i="1"/>
  <c r="I11" i="57"/>
  <c r="I30" i="57" s="1"/>
  <c r="I33" i="57" s="1"/>
  <c r="J1015" i="11"/>
  <c r="J1016" i="11"/>
  <c r="J1017" i="11"/>
  <c r="J1018" i="11"/>
  <c r="J1019" i="11"/>
  <c r="J1020" i="11"/>
  <c r="J1021" i="11"/>
  <c r="J1022" i="11"/>
  <c r="J1024" i="11"/>
  <c r="J1025" i="11"/>
  <c r="J1026" i="11"/>
  <c r="J1027" i="11"/>
  <c r="J1028" i="11"/>
  <c r="J1029" i="11"/>
  <c r="J1030" i="11"/>
  <c r="J1034" i="11"/>
  <c r="J1014" i="11"/>
  <c r="J978" i="11"/>
  <c r="J979" i="11"/>
  <c r="J980" i="11"/>
  <c r="J981" i="11"/>
  <c r="J982" i="11"/>
  <c r="J983" i="11"/>
  <c r="J984" i="11"/>
  <c r="J985" i="11"/>
  <c r="J986" i="11"/>
  <c r="J987" i="11"/>
  <c r="J988" i="11"/>
  <c r="J989" i="11"/>
  <c r="J990" i="11"/>
  <c r="J991" i="11"/>
  <c r="J992" i="11"/>
  <c r="J993" i="11"/>
  <c r="J994" i="11"/>
  <c r="J995" i="11"/>
  <c r="J996" i="11"/>
  <c r="J997" i="11"/>
  <c r="J998" i="11"/>
  <c r="J999" i="11"/>
  <c r="J1000" i="11"/>
  <c r="J1001" i="11"/>
  <c r="J1002" i="11"/>
  <c r="J1008" i="11"/>
  <c r="J976" i="11"/>
  <c r="J1042" i="11"/>
  <c r="J1043" i="11"/>
  <c r="J1044" i="11"/>
  <c r="J1045" i="11"/>
  <c r="J1046" i="11"/>
  <c r="J1047" i="11"/>
  <c r="J1048" i="11"/>
  <c r="J1049" i="11"/>
  <c r="J1050" i="11"/>
  <c r="J1051" i="11"/>
  <c r="J1052" i="11"/>
  <c r="J1053" i="11"/>
  <c r="J1054" i="11"/>
  <c r="J1055" i="11"/>
  <c r="J1056" i="11"/>
  <c r="J1057" i="11"/>
  <c r="J1058" i="11"/>
  <c r="J1059" i="11"/>
  <c r="J1060" i="11"/>
  <c r="J1061" i="11"/>
  <c r="J1062" i="11"/>
  <c r="J1063" i="11"/>
  <c r="J1064" i="11"/>
  <c r="J1065" i="11"/>
  <c r="J1041" i="11"/>
  <c r="I699" i="11"/>
  <c r="J682" i="11"/>
  <c r="J1068" i="11" l="1"/>
  <c r="F176" i="1" s="1"/>
  <c r="I176" i="1" s="1"/>
  <c r="J1035" i="11"/>
  <c r="J1009" i="11"/>
  <c r="H258" i="11"/>
  <c r="J258" i="11" s="1"/>
  <c r="H259" i="11"/>
  <c r="J259" i="11" s="1"/>
  <c r="H257" i="11"/>
  <c r="J257" i="11" s="1"/>
  <c r="H256" i="11"/>
  <c r="J256" i="11" s="1"/>
  <c r="H255" i="11"/>
  <c r="J255" i="11" s="1"/>
  <c r="H254" i="11"/>
  <c r="J254" i="11" s="1"/>
  <c r="H253" i="11"/>
  <c r="J253" i="11" s="1"/>
  <c r="H252" i="11"/>
  <c r="J252" i="11" s="1"/>
  <c r="H251" i="11"/>
  <c r="J251" i="11" s="1"/>
  <c r="H250" i="11"/>
  <c r="J250" i="11" s="1"/>
  <c r="H249" i="11"/>
  <c r="J249" i="11" s="1"/>
  <c r="H248" i="11"/>
  <c r="J248" i="11" s="1"/>
  <c r="H247" i="11"/>
  <c r="J247" i="11" s="1"/>
  <c r="H246" i="11"/>
  <c r="J246" i="11" s="1"/>
  <c r="H245" i="11"/>
  <c r="J245" i="11" s="1"/>
  <c r="H244" i="11"/>
  <c r="J244" i="11" s="1"/>
  <c r="H243" i="11"/>
  <c r="J243" i="11" s="1"/>
  <c r="H242" i="11"/>
  <c r="J242" i="11" s="1"/>
  <c r="H241" i="11"/>
  <c r="J241" i="11" s="1"/>
  <c r="H240" i="11"/>
  <c r="J240" i="11" s="1"/>
  <c r="H221" i="11"/>
  <c r="H222" i="11"/>
  <c r="H223" i="11"/>
  <c r="H224" i="11"/>
  <c r="H225" i="11"/>
  <c r="H226" i="11"/>
  <c r="H227" i="11"/>
  <c r="H228" i="11"/>
  <c r="H229" i="11"/>
  <c r="H230" i="11"/>
  <c r="H231" i="11"/>
  <c r="H232" i="11"/>
  <c r="H233" i="11"/>
  <c r="H234" i="11"/>
  <c r="H235" i="11"/>
  <c r="H236" i="11"/>
  <c r="H237" i="11"/>
  <c r="H220" i="11"/>
  <c r="I131" i="11"/>
  <c r="F118" i="11"/>
  <c r="E118" i="11"/>
  <c r="F117" i="11"/>
  <c r="E117" i="11"/>
  <c r="F116" i="11"/>
  <c r="E116" i="11"/>
  <c r="F115" i="11"/>
  <c r="E115" i="11"/>
  <c r="F114" i="11"/>
  <c r="E114" i="11"/>
  <c r="F113" i="11"/>
  <c r="E113" i="11"/>
  <c r="F112" i="11"/>
  <c r="E112" i="11"/>
  <c r="F111" i="11"/>
  <c r="E111" i="11"/>
  <c r="F110" i="11"/>
  <c r="E110" i="11"/>
  <c r="F170" i="11"/>
  <c r="E170" i="11"/>
  <c r="F169" i="11"/>
  <c r="E169" i="11"/>
  <c r="F168" i="11"/>
  <c r="E168" i="11"/>
  <c r="F167" i="11"/>
  <c r="E167" i="11"/>
  <c r="F166" i="11"/>
  <c r="E166" i="11"/>
  <c r="F165" i="11"/>
  <c r="E165" i="11"/>
  <c r="F164" i="11"/>
  <c r="E164" i="11"/>
  <c r="F163" i="11"/>
  <c r="E163" i="11"/>
  <c r="E162" i="11"/>
  <c r="F162" i="11"/>
  <c r="J203" i="11"/>
  <c r="J204" i="11"/>
  <c r="J180" i="11"/>
  <c r="I110" i="11" l="1"/>
  <c r="J110" i="11" s="1"/>
  <c r="I112" i="11"/>
  <c r="J112" i="11" s="1"/>
  <c r="I114" i="11"/>
  <c r="J114" i="11" s="1"/>
  <c r="I116" i="11"/>
  <c r="J116" i="11" s="1"/>
  <c r="I111" i="11"/>
  <c r="J111" i="11" s="1"/>
  <c r="I113" i="11"/>
  <c r="J113" i="11" s="1"/>
  <c r="I115" i="11"/>
  <c r="J115" i="11" s="1"/>
  <c r="I117" i="11"/>
  <c r="J117" i="11" s="1"/>
  <c r="I118" i="11"/>
  <c r="J118" i="11" s="1"/>
  <c r="I170" i="11"/>
  <c r="J170" i="11" s="1"/>
  <c r="J205" i="11"/>
  <c r="F60" i="1" s="1"/>
  <c r="I60" i="1" s="1"/>
  <c r="H1627" i="11" l="1"/>
  <c r="H1622" i="11"/>
  <c r="E1617" i="11"/>
  <c r="H1512" i="11"/>
  <c r="J1512" i="11" s="1"/>
  <c r="I1490" i="11"/>
  <c r="E752" i="11"/>
  <c r="I703" i="11"/>
  <c r="H703" i="11"/>
  <c r="H702" i="11"/>
  <c r="J702" i="11" s="1"/>
  <c r="H701" i="11"/>
  <c r="J701" i="11" s="1"/>
  <c r="H700" i="11"/>
  <c r="J700" i="11" s="1"/>
  <c r="H699" i="11"/>
  <c r="J699" i="11" s="1"/>
  <c r="I697" i="11"/>
  <c r="H697" i="11"/>
  <c r="E1569" i="11"/>
  <c r="H1569" i="11" s="1"/>
  <c r="E604" i="11"/>
  <c r="I597" i="11"/>
  <c r="H594" i="11"/>
  <c r="J594" i="11" s="1"/>
  <c r="H396" i="11"/>
  <c r="J396" i="11" s="1"/>
  <c r="H395" i="11"/>
  <c r="J395" i="11" s="1"/>
  <c r="H394" i="11"/>
  <c r="J394" i="11" s="1"/>
  <c r="H365" i="11"/>
  <c r="J365" i="11" s="1"/>
  <c r="H362" i="11"/>
  <c r="J362" i="11" s="1"/>
  <c r="J303" i="11"/>
  <c r="J703" i="11" l="1"/>
  <c r="I16" i="35"/>
  <c r="I20" i="26"/>
  <c r="I30" i="26" s="1"/>
  <c r="G288" i="1" l="1"/>
  <c r="H288" i="1" s="1"/>
  <c r="J1659" i="11"/>
  <c r="J1660" i="11" s="1"/>
  <c r="F288" i="1" s="1"/>
  <c r="H11" i="1"/>
  <c r="H12" i="1"/>
  <c r="H13" i="1"/>
  <c r="H14" i="1"/>
  <c r="H15" i="1"/>
  <c r="H16" i="1"/>
  <c r="H17" i="1"/>
  <c r="H18" i="1"/>
  <c r="H19" i="1"/>
  <c r="H20" i="1"/>
  <c r="H21" i="1"/>
  <c r="H24" i="1"/>
  <c r="H25" i="1"/>
  <c r="H26" i="1"/>
  <c r="H27" i="1"/>
  <c r="H28" i="1"/>
  <c r="H29" i="1"/>
  <c r="H30" i="1"/>
  <c r="H31" i="1"/>
  <c r="H32" i="1"/>
  <c r="H33" i="1"/>
  <c r="H34" i="1"/>
  <c r="H35" i="1"/>
  <c r="H36" i="1"/>
  <c r="H37" i="1"/>
  <c r="H38" i="1"/>
  <c r="H41" i="1"/>
  <c r="H42" i="1"/>
  <c r="H43" i="1"/>
  <c r="H44" i="1"/>
  <c r="H45" i="1"/>
  <c r="H46" i="1"/>
  <c r="H47" i="1"/>
  <c r="H50" i="1"/>
  <c r="H51" i="1"/>
  <c r="H52" i="1"/>
  <c r="H53" i="1"/>
  <c r="H54" i="1"/>
  <c r="H55" i="1"/>
  <c r="H56" i="1"/>
  <c r="H57" i="1"/>
  <c r="H58" i="1"/>
  <c r="H59" i="1"/>
  <c r="H61" i="1"/>
  <c r="H62" i="1"/>
  <c r="H63" i="1"/>
  <c r="H64" i="1"/>
  <c r="H67" i="1"/>
  <c r="H68" i="1"/>
  <c r="H69" i="1"/>
  <c r="H70" i="1"/>
  <c r="H71" i="1"/>
  <c r="H72" i="1"/>
  <c r="H73" i="1"/>
  <c r="H74" i="1"/>
  <c r="H77" i="1"/>
  <c r="H78" i="1"/>
  <c r="H79" i="1"/>
  <c r="H82" i="1"/>
  <c r="H83" i="1"/>
  <c r="H84" i="1"/>
  <c r="H87" i="1"/>
  <c r="H88" i="1"/>
  <c r="H89" i="1"/>
  <c r="H91" i="1"/>
  <c r="H92" i="1"/>
  <c r="H96" i="1"/>
  <c r="H97" i="1"/>
  <c r="H98" i="1"/>
  <c r="H99" i="1"/>
  <c r="H102" i="1"/>
  <c r="H103" i="1"/>
  <c r="H104" i="1"/>
  <c r="H106" i="1"/>
  <c r="H107" i="1"/>
  <c r="H108" i="1"/>
  <c r="H112" i="1"/>
  <c r="H113" i="1"/>
  <c r="H114" i="1"/>
  <c r="H117" i="1"/>
  <c r="H118" i="1"/>
  <c r="H121" i="1"/>
  <c r="H122" i="1"/>
  <c r="H123" i="1"/>
  <c r="H124" i="1"/>
  <c r="H125" i="1"/>
  <c r="H126" i="1"/>
  <c r="H129" i="1"/>
  <c r="H130" i="1"/>
  <c r="H131" i="1"/>
  <c r="H132" i="1"/>
  <c r="H133" i="1"/>
  <c r="H134" i="1"/>
  <c r="H135" i="1"/>
  <c r="H137" i="1"/>
  <c r="H138" i="1"/>
  <c r="H140"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71" i="1"/>
  <c r="I171" i="1" s="1"/>
  <c r="H172" i="1"/>
  <c r="H173" i="1"/>
  <c r="I173" i="1" s="1"/>
  <c r="H174" i="1"/>
  <c r="H175" i="1"/>
  <c r="H177" i="1"/>
  <c r="I177" i="1" s="1"/>
  <c r="H178" i="1"/>
  <c r="H179" i="1"/>
  <c r="I179" i="1" s="1"/>
  <c r="H180" i="1"/>
  <c r="H181" i="1"/>
  <c r="H182" i="1"/>
  <c r="I182" i="1" s="1"/>
  <c r="H184" i="1"/>
  <c r="H185" i="1"/>
  <c r="H186" i="1"/>
  <c r="H187" i="1"/>
  <c r="H188" i="1"/>
  <c r="H190" i="1"/>
  <c r="I190" i="1" s="1"/>
  <c r="H191" i="1"/>
  <c r="H192" i="1"/>
  <c r="H193" i="1"/>
  <c r="H194" i="1"/>
  <c r="H195" i="1"/>
  <c r="H196" i="1"/>
  <c r="H197" i="1"/>
  <c r="I197" i="1" s="1"/>
  <c r="H198" i="1"/>
  <c r="H199" i="1"/>
  <c r="H200" i="1"/>
  <c r="I200" i="1" s="1"/>
  <c r="H201" i="1"/>
  <c r="H204" i="1"/>
  <c r="H205" i="1"/>
  <c r="H206" i="1"/>
  <c r="H212" i="1"/>
  <c r="H214" i="1"/>
  <c r="H217" i="1"/>
  <c r="H218" i="1"/>
  <c r="H219" i="1"/>
  <c r="H220" i="1"/>
  <c r="H221" i="1"/>
  <c r="H222" i="1"/>
  <c r="H223" i="1"/>
  <c r="H224" i="1"/>
  <c r="H225" i="1"/>
  <c r="H226" i="1"/>
  <c r="H227" i="1"/>
  <c r="H228" i="1"/>
  <c r="H229" i="1"/>
  <c r="H230" i="1"/>
  <c r="H231" i="1"/>
  <c r="H232" i="1"/>
  <c r="H233" i="1"/>
  <c r="H234" i="1"/>
  <c r="H235" i="1"/>
  <c r="H236" i="1"/>
  <c r="H237" i="1"/>
  <c r="H238" i="1"/>
  <c r="H241" i="1"/>
  <c r="H242" i="1"/>
  <c r="H243" i="1"/>
  <c r="H244" i="1"/>
  <c r="H245" i="1"/>
  <c r="H246" i="1"/>
  <c r="H247" i="1"/>
  <c r="H248" i="1"/>
  <c r="H249" i="1"/>
  <c r="H255" i="1"/>
  <c r="H256" i="1"/>
  <c r="H257" i="1"/>
  <c r="H261" i="1"/>
  <c r="H262" i="1"/>
  <c r="H263" i="1"/>
  <c r="H264" i="1"/>
  <c r="H265" i="1"/>
  <c r="H266" i="1"/>
  <c r="H267" i="1"/>
  <c r="H268" i="1"/>
  <c r="H269" i="1"/>
  <c r="H272" i="1"/>
  <c r="H273" i="1"/>
  <c r="H274" i="1"/>
  <c r="H275" i="1"/>
  <c r="H276" i="1"/>
  <c r="H277" i="1"/>
  <c r="H278" i="1"/>
  <c r="H279" i="1"/>
  <c r="H280" i="1"/>
  <c r="H281" i="1"/>
  <c r="H282" i="1"/>
  <c r="H283" i="1"/>
  <c r="H284" i="1"/>
  <c r="H291" i="1"/>
  <c r="H292" i="1"/>
  <c r="H10" i="1"/>
  <c r="E33" i="4"/>
  <c r="E31" i="4"/>
  <c r="E14" i="4"/>
  <c r="E28" i="4"/>
  <c r="E24" i="4"/>
  <c r="E21" i="4"/>
  <c r="E11" i="4"/>
  <c r="J1655" i="11"/>
  <c r="J1656" i="11" s="1"/>
  <c r="F287" i="1" s="1"/>
  <c r="J1651" i="11"/>
  <c r="J1652" i="11" s="1"/>
  <c r="F286" i="1" s="1"/>
  <c r="I13" i="55"/>
  <c r="H10" i="55"/>
  <c r="I24" i="55"/>
  <c r="I29" i="55" s="1"/>
  <c r="I17" i="55"/>
  <c r="I11" i="55"/>
  <c r="H11" i="55"/>
  <c r="I10" i="55"/>
  <c r="I27" i="55" s="1"/>
  <c r="I27" i="54"/>
  <c r="I18" i="54"/>
  <c r="I28" i="54" s="1"/>
  <c r="I13" i="54"/>
  <c r="I23" i="54"/>
  <c r="I22" i="54"/>
  <c r="I24" i="54" s="1"/>
  <c r="I29" i="54" s="1"/>
  <c r="H10" i="54"/>
  <c r="H11" i="54"/>
  <c r="I17" i="54"/>
  <c r="I11" i="54"/>
  <c r="I10" i="54"/>
  <c r="I288" i="1" l="1"/>
  <c r="I30" i="54"/>
  <c r="G287" i="1" s="1"/>
  <c r="H287" i="1" s="1"/>
  <c r="I287" i="1" s="1"/>
  <c r="I28" i="55"/>
  <c r="I30" i="55" s="1"/>
  <c r="G286" i="1" s="1"/>
  <c r="H286" i="1" s="1"/>
  <c r="I286" i="1" s="1"/>
  <c r="I18" i="55"/>
  <c r="J1738" i="11"/>
  <c r="J1739" i="11" s="1"/>
  <c r="I19" i="53"/>
  <c r="I18" i="53"/>
  <c r="I13" i="53"/>
  <c r="I11" i="53"/>
  <c r="I10" i="53"/>
  <c r="I25" i="53"/>
  <c r="I30" i="53" s="1"/>
  <c r="I17" i="53"/>
  <c r="H11" i="53"/>
  <c r="H10" i="53"/>
  <c r="H17" i="51"/>
  <c r="I17" i="51" s="1"/>
  <c r="I19" i="51" s="1"/>
  <c r="I29" i="51" s="1"/>
  <c r="I17" i="52"/>
  <c r="I19" i="52" s="1"/>
  <c r="I30" i="52"/>
  <c r="I25" i="52"/>
  <c r="J1733" i="11"/>
  <c r="J1732" i="11"/>
  <c r="J1731" i="11"/>
  <c r="J1730" i="11"/>
  <c r="J1729" i="11"/>
  <c r="P17" i="23"/>
  <c r="I25" i="51"/>
  <c r="I30" i="51" s="1"/>
  <c r="H11" i="51"/>
  <c r="I11" i="51" s="1"/>
  <c r="H10" i="51"/>
  <c r="I10" i="51" s="1"/>
  <c r="J1725" i="11"/>
  <c r="J1724" i="11"/>
  <c r="J1723" i="11"/>
  <c r="J1722" i="11"/>
  <c r="J1721" i="11"/>
  <c r="I32" i="50"/>
  <c r="I27" i="50"/>
  <c r="I17" i="50"/>
  <c r="I21" i="50" s="1"/>
  <c r="I31" i="50" s="1"/>
  <c r="H11" i="50"/>
  <c r="I11" i="50" s="1"/>
  <c r="H10" i="50"/>
  <c r="I10" i="50" s="1"/>
  <c r="I13" i="50" s="1"/>
  <c r="I30" i="50" s="1"/>
  <c r="J1714" i="11"/>
  <c r="J1715" i="11"/>
  <c r="J1716" i="11"/>
  <c r="J1717" i="11"/>
  <c r="J1713" i="11"/>
  <c r="H11" i="49"/>
  <c r="H10" i="49"/>
  <c r="I10" i="49" s="1"/>
  <c r="I27" i="49"/>
  <c r="I32" i="49" s="1"/>
  <c r="I17" i="49"/>
  <c r="I11" i="49"/>
  <c r="E1647" i="11"/>
  <c r="H1647" i="11" s="1"/>
  <c r="J1647" i="11" s="1"/>
  <c r="F303" i="1" l="1"/>
  <c r="J1718" i="11"/>
  <c r="F300" i="1" s="1"/>
  <c r="I29" i="53"/>
  <c r="I31" i="53" s="1"/>
  <c r="G303" i="1" s="1"/>
  <c r="H303" i="1" s="1"/>
  <c r="I28" i="53"/>
  <c r="J1726" i="11"/>
  <c r="F301" i="1" s="1"/>
  <c r="J1734" i="11"/>
  <c r="F302" i="1" s="1"/>
  <c r="I29" i="52"/>
  <c r="I31" i="52" s="1"/>
  <c r="G213" i="1" s="1"/>
  <c r="H213" i="1" s="1"/>
  <c r="I28" i="52"/>
  <c r="I13" i="51"/>
  <c r="I28" i="51" s="1"/>
  <c r="I31" i="51" s="1"/>
  <c r="G302" i="1" s="1"/>
  <c r="H302" i="1" s="1"/>
  <c r="I33" i="50"/>
  <c r="G301" i="1" s="1"/>
  <c r="H301" i="1" s="1"/>
  <c r="I13" i="49"/>
  <c r="I30" i="49" s="1"/>
  <c r="I21" i="49"/>
  <c r="I31" i="49" s="1"/>
  <c r="I33" i="49" s="1"/>
  <c r="G300" i="1" s="1"/>
  <c r="H300" i="1" s="1"/>
  <c r="H16" i="42"/>
  <c r="P9" i="23"/>
  <c r="I303" i="1" l="1"/>
  <c r="I300" i="1"/>
  <c r="I301" i="1"/>
  <c r="I302" i="1"/>
  <c r="I12" i="24" l="1"/>
  <c r="J1648" i="11"/>
  <c r="F285" i="1" s="1"/>
  <c r="I13" i="44"/>
  <c r="I11" i="44"/>
  <c r="I10" i="44"/>
  <c r="I19" i="44"/>
  <c r="I32" i="44" l="1"/>
  <c r="I27" i="44"/>
  <c r="I18" i="44"/>
  <c r="I17" i="44"/>
  <c r="I21" i="44" s="1"/>
  <c r="I30" i="44"/>
  <c r="J1569" i="11"/>
  <c r="H604" i="11"/>
  <c r="J604" i="11" s="1"/>
  <c r="H575" i="11"/>
  <c r="J575" i="11" s="1"/>
  <c r="B48" i="22"/>
  <c r="B46" i="22"/>
  <c r="B44" i="22"/>
  <c r="B42" i="22"/>
  <c r="B40" i="22"/>
  <c r="B38" i="22"/>
  <c r="B36" i="22"/>
  <c r="B34" i="22"/>
  <c r="B32" i="22"/>
  <c r="B30" i="22"/>
  <c r="B28" i="22"/>
  <c r="B26" i="22"/>
  <c r="B8" i="22"/>
  <c r="B10" i="22"/>
  <c r="B24" i="22"/>
  <c r="B22" i="22"/>
  <c r="B20" i="22"/>
  <c r="B18" i="22"/>
  <c r="B16" i="22"/>
  <c r="B14" i="22"/>
  <c r="B12" i="22"/>
  <c r="F249" i="1"/>
  <c r="F213" i="1"/>
  <c r="I31" i="44" l="1"/>
  <c r="I33" i="44" s="1"/>
  <c r="G285" i="1" s="1"/>
  <c r="H285" i="1" s="1"/>
  <c r="I285" i="1" s="1"/>
  <c r="F333" i="11"/>
  <c r="J333" i="11" s="1"/>
  <c r="I213" i="1"/>
  <c r="J1165" i="11"/>
  <c r="J1166" i="11" s="1"/>
  <c r="F206" i="1" s="1"/>
  <c r="J1161" i="11"/>
  <c r="J1162" i="11" s="1"/>
  <c r="F205" i="1" s="1"/>
  <c r="J1082" i="11"/>
  <c r="F214" i="1"/>
  <c r="I214" i="1" s="1"/>
  <c r="J969" i="11"/>
  <c r="J970" i="11" s="1"/>
  <c r="F172" i="1" s="1"/>
  <c r="F174" i="1" l="1"/>
  <c r="I174" i="1" s="1"/>
  <c r="I205" i="1"/>
  <c r="F175" i="1"/>
  <c r="I175" i="1" s="1"/>
  <c r="I206" i="1"/>
  <c r="J544" i="11"/>
  <c r="J545" i="11"/>
  <c r="J546" i="11"/>
  <c r="J547" i="11"/>
  <c r="J548" i="11"/>
  <c r="J549" i="11"/>
  <c r="J550" i="11"/>
  <c r="J551" i="11"/>
  <c r="J552" i="11"/>
  <c r="J553" i="11"/>
  <c r="J554" i="11"/>
  <c r="J555" i="11"/>
  <c r="J556" i="11"/>
  <c r="J557" i="11"/>
  <c r="J558" i="11"/>
  <c r="J559" i="11"/>
  <c r="J560" i="11"/>
  <c r="J561" i="11"/>
  <c r="J562" i="11"/>
  <c r="J563" i="11"/>
  <c r="J564" i="11"/>
  <c r="J565" i="11"/>
  <c r="J566" i="11"/>
  <c r="J543" i="11"/>
  <c r="H404" i="11"/>
  <c r="J404" i="11" s="1"/>
  <c r="H1568" i="11"/>
  <c r="J1568" i="11" s="1"/>
  <c r="H1560" i="11"/>
  <c r="J1560" i="11" s="1"/>
  <c r="I71" i="1"/>
  <c r="J536" i="11"/>
  <c r="H535" i="11"/>
  <c r="J535" i="11" s="1"/>
  <c r="H340" i="11"/>
  <c r="J340" i="11" s="1"/>
  <c r="J341" i="11" s="1"/>
  <c r="F72" i="1" s="1"/>
  <c r="I215" i="1" l="1"/>
  <c r="J567" i="11"/>
  <c r="I72" i="1"/>
  <c r="I146" i="11"/>
  <c r="I145" i="11"/>
  <c r="I172" i="11"/>
  <c r="J172" i="11" s="1"/>
  <c r="I120" i="11"/>
  <c r="J120" i="11" s="1"/>
  <c r="J121" i="11" s="1"/>
  <c r="I18" i="27" l="1"/>
  <c r="I17" i="27"/>
  <c r="I16" i="27"/>
  <c r="J1613" i="11"/>
  <c r="J1614" i="11" s="1"/>
  <c r="F275" i="1" s="1"/>
  <c r="J1598" i="11"/>
  <c r="J1599" i="11" s="1"/>
  <c r="H1590" i="11"/>
  <c r="J1590" i="11" s="1"/>
  <c r="H1593" i="11"/>
  <c r="J1593" i="11" s="1"/>
  <c r="H1592" i="11"/>
  <c r="J1592" i="11" s="1"/>
  <c r="H1588" i="11"/>
  <c r="J1588" i="11" s="1"/>
  <c r="H1586" i="11"/>
  <c r="J1586" i="11" s="1"/>
  <c r="H1585" i="11"/>
  <c r="J1585" i="11" s="1"/>
  <c r="H1584" i="11"/>
  <c r="J1584" i="11" s="1"/>
  <c r="H132" i="11"/>
  <c r="I132" i="11" s="1"/>
  <c r="J132" i="11" s="1"/>
  <c r="J66" i="11"/>
  <c r="J67" i="11" s="1"/>
  <c r="F27" i="1" s="1"/>
  <c r="I27" i="1" s="1"/>
  <c r="F269" i="1" l="1"/>
  <c r="H1609" i="11"/>
  <c r="J1609" i="11" s="1"/>
  <c r="J1610" i="11" s="1"/>
  <c r="F274" i="1" s="1"/>
  <c r="J1594" i="11"/>
  <c r="F267" i="1" s="1"/>
  <c r="J902" i="11" l="1"/>
  <c r="J897" i="11"/>
  <c r="J896" i="11"/>
  <c r="J895" i="11"/>
  <c r="J894" i="11"/>
  <c r="J893" i="11"/>
  <c r="J892" i="11"/>
  <c r="J891" i="11"/>
  <c r="J890" i="11"/>
  <c r="J889" i="11"/>
  <c r="J888" i="11"/>
  <c r="J887" i="11"/>
  <c r="J886" i="11"/>
  <c r="J885" i="11"/>
  <c r="J884" i="11"/>
  <c r="J883" i="11"/>
  <c r="J882" i="11"/>
  <c r="J881" i="11"/>
  <c r="J901" i="11"/>
  <c r="J879" i="11"/>
  <c r="J880" i="11"/>
  <c r="J898" i="11" l="1"/>
  <c r="F158" i="1" s="1"/>
  <c r="I158" i="1" s="1"/>
  <c r="J903" i="11"/>
  <c r="F159" i="1" s="1"/>
  <c r="I159" i="1" s="1"/>
  <c r="J927" i="11"/>
  <c r="J926" i="11"/>
  <c r="J875" i="11"/>
  <c r="J873" i="11"/>
  <c r="J945" i="11"/>
  <c r="J944" i="11"/>
  <c r="J943" i="11"/>
  <c r="J932" i="11"/>
  <c r="J933" i="11"/>
  <c r="J934" i="11"/>
  <c r="J935" i="11"/>
  <c r="J936" i="11"/>
  <c r="J937" i="11"/>
  <c r="J938" i="11"/>
  <c r="J939" i="11"/>
  <c r="J924" i="11"/>
  <c r="J925" i="11"/>
  <c r="J923" i="11"/>
  <c r="J922" i="11"/>
  <c r="J921" i="11"/>
  <c r="J916" i="11"/>
  <c r="J915" i="11"/>
  <c r="J914" i="11"/>
  <c r="J913" i="11"/>
  <c r="J912" i="11"/>
  <c r="J911" i="11"/>
  <c r="J910" i="11"/>
  <c r="J909" i="11"/>
  <c r="J908" i="11"/>
  <c r="J1675" i="11"/>
  <c r="J1674" i="11"/>
  <c r="I29" i="43"/>
  <c r="I24" i="43"/>
  <c r="I17" i="43"/>
  <c r="I16" i="43"/>
  <c r="H11" i="43"/>
  <c r="I11" i="43" s="1"/>
  <c r="H10" i="43"/>
  <c r="I10" i="43" s="1"/>
  <c r="J856" i="11"/>
  <c r="J857" i="11"/>
  <c r="J858" i="11"/>
  <c r="J851" i="11"/>
  <c r="J850" i="11"/>
  <c r="J848" i="11"/>
  <c r="J847" i="11"/>
  <c r="J846" i="11"/>
  <c r="J845" i="11"/>
  <c r="J844" i="11"/>
  <c r="J843" i="11"/>
  <c r="J842" i="11"/>
  <c r="I12" i="27"/>
  <c r="I11" i="27"/>
  <c r="I10" i="27"/>
  <c r="J508" i="11"/>
  <c r="J509" i="11" s="1"/>
  <c r="F105" i="1" s="1"/>
  <c r="J422" i="11"/>
  <c r="J423" i="11" s="1"/>
  <c r="F81" i="1" s="1"/>
  <c r="I16" i="42"/>
  <c r="I18" i="42" s="1"/>
  <c r="I28" i="42" s="1"/>
  <c r="I24" i="42"/>
  <c r="I29" i="42" s="1"/>
  <c r="I12" i="42"/>
  <c r="I27" i="42" s="1"/>
  <c r="I11" i="42"/>
  <c r="I10" i="42"/>
  <c r="J1155" i="11"/>
  <c r="J1156" i="11" s="1"/>
  <c r="F201" i="1" s="1"/>
  <c r="I201" i="1" s="1"/>
  <c r="I24" i="1"/>
  <c r="F299" i="1"/>
  <c r="J1700" i="11"/>
  <c r="F297" i="1"/>
  <c r="F296" i="1"/>
  <c r="J1679" i="11"/>
  <c r="J1680" i="11" s="1"/>
  <c r="J1072" i="11"/>
  <c r="J1073" i="11" s="1"/>
  <c r="J1150" i="11"/>
  <c r="J1151" i="11" s="1"/>
  <c r="F199" i="1" s="1"/>
  <c r="I199" i="1" s="1"/>
  <c r="J1146" i="11"/>
  <c r="J1147" i="11" s="1"/>
  <c r="F198" i="1" s="1"/>
  <c r="I198" i="1" s="1"/>
  <c r="J1705" i="11" l="1"/>
  <c r="F298" i="1" s="1"/>
  <c r="J876" i="11"/>
  <c r="F157" i="1" s="1"/>
  <c r="I157" i="1" s="1"/>
  <c r="J928" i="11"/>
  <c r="F162" i="1" s="1"/>
  <c r="I162" i="1" s="1"/>
  <c r="J946" i="11"/>
  <c r="F164" i="1" s="1"/>
  <c r="I164" i="1" s="1"/>
  <c r="J940" i="11"/>
  <c r="F163" i="1" s="1"/>
  <c r="I163" i="1" s="1"/>
  <c r="J917" i="11"/>
  <c r="F161" i="1" s="1"/>
  <c r="I161" i="1" s="1"/>
  <c r="J1676" i="11"/>
  <c r="F294" i="1" s="1"/>
  <c r="J852" i="11"/>
  <c r="F150" i="1" s="1"/>
  <c r="I150" i="1" s="1"/>
  <c r="J859" i="11"/>
  <c r="F152" i="1" s="1"/>
  <c r="I152" i="1" s="1"/>
  <c r="I18" i="43"/>
  <c r="I28" i="43" s="1"/>
  <c r="I12" i="43"/>
  <c r="I27" i="43" s="1"/>
  <c r="I30" i="43" s="1"/>
  <c r="G294" i="1" s="1"/>
  <c r="H294" i="1" s="1"/>
  <c r="I30" i="42"/>
  <c r="G81" i="1" s="1"/>
  <c r="F178" i="1"/>
  <c r="I178" i="1" s="1"/>
  <c r="H789" i="11"/>
  <c r="J789" i="11" s="1"/>
  <c r="H788" i="11"/>
  <c r="J788" i="11" s="1"/>
  <c r="H708" i="11"/>
  <c r="J708" i="11" s="1"/>
  <c r="H709" i="11"/>
  <c r="J709" i="11" s="1"/>
  <c r="H707" i="11"/>
  <c r="J707" i="11" s="1"/>
  <c r="I294" i="1" l="1"/>
  <c r="H81" i="1"/>
  <c r="I81" i="1" s="1"/>
  <c r="J790" i="11"/>
  <c r="F141" i="1" s="1"/>
  <c r="J710" i="11"/>
  <c r="F136" i="1" s="1"/>
  <c r="I275" i="1" l="1"/>
  <c r="J1482" i="11"/>
  <c r="F258" i="1" s="1"/>
  <c r="F250" i="1"/>
  <c r="F248" i="1"/>
  <c r="F247" i="1"/>
  <c r="F246" i="1"/>
  <c r="I246" i="1" s="1"/>
  <c r="F245" i="1"/>
  <c r="F244" i="1"/>
  <c r="J1141" i="11"/>
  <c r="J1142" i="11" s="1"/>
  <c r="F196" i="1" s="1"/>
  <c r="I196" i="1" s="1"/>
  <c r="J1137" i="11"/>
  <c r="J1138" i="11" s="1"/>
  <c r="F195" i="1" s="1"/>
  <c r="I195" i="1" s="1"/>
  <c r="J1133" i="11"/>
  <c r="J1134" i="11" s="1"/>
  <c r="F194" i="1" s="1"/>
  <c r="I194" i="1" s="1"/>
  <c r="J1128" i="11"/>
  <c r="J1129" i="11" s="1"/>
  <c r="F193" i="1" s="1"/>
  <c r="I193" i="1" s="1"/>
  <c r="J1123" i="11"/>
  <c r="J1124" i="11" s="1"/>
  <c r="F192" i="1" s="1"/>
  <c r="I192" i="1" s="1"/>
  <c r="J1118" i="11"/>
  <c r="J1119" i="11" s="1"/>
  <c r="F191" i="1" s="1"/>
  <c r="I191" i="1" s="1"/>
  <c r="J1105" i="11"/>
  <c r="J1106" i="11" s="1"/>
  <c r="F187" i="1" s="1"/>
  <c r="I187" i="1" s="1"/>
  <c r="J1113" i="11"/>
  <c r="J1114" i="11" s="1"/>
  <c r="F189" i="1" s="1"/>
  <c r="J1109" i="11"/>
  <c r="J1110" i="11" s="1"/>
  <c r="F188" i="1" s="1"/>
  <c r="I188" i="1" s="1"/>
  <c r="J1100" i="11"/>
  <c r="J1101" i="11" s="1"/>
  <c r="F186" i="1" s="1"/>
  <c r="I186" i="1" s="1"/>
  <c r="J1095" i="11"/>
  <c r="J1096" i="11" s="1"/>
  <c r="F185" i="1" s="1"/>
  <c r="I185" i="1" s="1"/>
  <c r="J1091" i="11"/>
  <c r="J1092" i="11" s="1"/>
  <c r="F184" i="1" s="1"/>
  <c r="I184" i="1" s="1"/>
  <c r="J1087" i="11"/>
  <c r="J1088" i="11" s="1"/>
  <c r="F183" i="1" s="1"/>
  <c r="J1081" i="11"/>
  <c r="J1077" i="11"/>
  <c r="J1078" i="11" s="1"/>
  <c r="F180" i="1" s="1"/>
  <c r="I180" i="1" s="1"/>
  <c r="I29" i="40"/>
  <c r="I24" i="40"/>
  <c r="I16" i="40"/>
  <c r="I18" i="40" s="1"/>
  <c r="I28" i="40" s="1"/>
  <c r="I11" i="40"/>
  <c r="I10" i="40"/>
  <c r="I12" i="40" s="1"/>
  <c r="I27" i="40" s="1"/>
  <c r="I28" i="39"/>
  <c r="I23" i="39"/>
  <c r="I16" i="39"/>
  <c r="I17" i="39" s="1"/>
  <c r="I27" i="39" s="1"/>
  <c r="I11" i="39"/>
  <c r="I12" i="39" s="1"/>
  <c r="I26" i="39" s="1"/>
  <c r="I10" i="39"/>
  <c r="I30" i="38"/>
  <c r="I25" i="38"/>
  <c r="I17" i="38"/>
  <c r="I19" i="38" s="1"/>
  <c r="I29" i="38" s="1"/>
  <c r="I31" i="38" s="1"/>
  <c r="G250" i="1" s="1"/>
  <c r="H250" i="1" s="1"/>
  <c r="I16" i="38"/>
  <c r="H11" i="38"/>
  <c r="I11" i="38" s="1"/>
  <c r="H10" i="38"/>
  <c r="I10" i="38" s="1"/>
  <c r="I250" i="1" l="1"/>
  <c r="J1083" i="11"/>
  <c r="F181" i="1" s="1"/>
  <c r="I181" i="1" s="1"/>
  <c r="I12" i="38"/>
  <c r="I28" i="38" s="1"/>
  <c r="I29" i="39"/>
  <c r="G183" i="1" s="1"/>
  <c r="H183" i="1" s="1"/>
  <c r="I183" i="1" s="1"/>
  <c r="I30" i="40"/>
  <c r="G189" i="1" s="1"/>
  <c r="H189" i="1" s="1"/>
  <c r="I189" i="1" s="1"/>
  <c r="J220" i="11" l="1"/>
  <c r="J221" i="11"/>
  <c r="J222" i="11"/>
  <c r="J223" i="11"/>
  <c r="J224" i="11"/>
  <c r="J225" i="11"/>
  <c r="J226" i="11"/>
  <c r="J227" i="11"/>
  <c r="J228" i="11"/>
  <c r="J229" i="11"/>
  <c r="J230" i="11"/>
  <c r="J231" i="11"/>
  <c r="J232" i="11"/>
  <c r="J233" i="11"/>
  <c r="J234" i="11"/>
  <c r="J235" i="11"/>
  <c r="J236" i="11"/>
  <c r="J237" i="11"/>
  <c r="J260" i="11" l="1"/>
  <c r="F64" i="1" s="1"/>
  <c r="J454" i="11"/>
  <c r="J459" i="11" s="1"/>
  <c r="F90" i="1" s="1"/>
  <c r="H455" i="11"/>
  <c r="H456" i="11"/>
  <c r="H457" i="11"/>
  <c r="H458" i="11"/>
  <c r="H454" i="11"/>
  <c r="I28" i="37"/>
  <c r="I26" i="37"/>
  <c r="I23" i="37"/>
  <c r="I16" i="37"/>
  <c r="H15" i="37"/>
  <c r="I15" i="37" s="1"/>
  <c r="I11" i="37"/>
  <c r="I28" i="36"/>
  <c r="I23" i="36"/>
  <c r="I16" i="36"/>
  <c r="H15" i="36"/>
  <c r="I15" i="36" s="1"/>
  <c r="I17" i="36" s="1"/>
  <c r="I27" i="36" s="1"/>
  <c r="I29" i="36" s="1"/>
  <c r="G298" i="1" s="1"/>
  <c r="I11" i="36"/>
  <c r="I26" i="36" s="1"/>
  <c r="I28" i="35"/>
  <c r="I26" i="35"/>
  <c r="I23" i="35"/>
  <c r="H15" i="35"/>
  <c r="I15" i="35" s="1"/>
  <c r="I17" i="35" s="1"/>
  <c r="I27" i="35" s="1"/>
  <c r="I29" i="35" s="1"/>
  <c r="G297" i="1" s="1"/>
  <c r="I11" i="35"/>
  <c r="I27" i="34"/>
  <c r="I22" i="34"/>
  <c r="I15" i="34"/>
  <c r="H14" i="34"/>
  <c r="I14" i="34" s="1"/>
  <c r="I10" i="34"/>
  <c r="I25" i="34" s="1"/>
  <c r="I29" i="33"/>
  <c r="I24" i="33"/>
  <c r="I17" i="33"/>
  <c r="I16" i="33"/>
  <c r="I11" i="33"/>
  <c r="H11" i="33"/>
  <c r="H10" i="33"/>
  <c r="I10" i="33" s="1"/>
  <c r="I12" i="33" s="1"/>
  <c r="I27" i="33" s="1"/>
  <c r="I29" i="32"/>
  <c r="I24" i="32"/>
  <c r="H16" i="32"/>
  <c r="I16" i="32" s="1"/>
  <c r="I18" i="32" s="1"/>
  <c r="I28" i="32" s="1"/>
  <c r="I11" i="32"/>
  <c r="I10" i="32"/>
  <c r="I12" i="32" s="1"/>
  <c r="I27" i="32" s="1"/>
  <c r="I29" i="31"/>
  <c r="I34" i="31" s="1"/>
  <c r="H21" i="31"/>
  <c r="I21" i="31" s="1"/>
  <c r="I20" i="31"/>
  <c r="I19" i="31"/>
  <c r="I18" i="31"/>
  <c r="I17" i="31"/>
  <c r="I13" i="31"/>
  <c r="I32" i="31" s="1"/>
  <c r="I11" i="31"/>
  <c r="I10" i="31"/>
  <c r="I32" i="30"/>
  <c r="I27" i="30"/>
  <c r="I19" i="30"/>
  <c r="I18" i="30"/>
  <c r="I17" i="30"/>
  <c r="I16" i="30"/>
  <c r="I11" i="30"/>
  <c r="I10" i="30"/>
  <c r="I12" i="30" s="1"/>
  <c r="I30" i="30" s="1"/>
  <c r="I27" i="29"/>
  <c r="I32" i="29" s="1"/>
  <c r="H19" i="29"/>
  <c r="I19" i="29" s="1"/>
  <c r="I18" i="29"/>
  <c r="I17" i="29"/>
  <c r="I11" i="29"/>
  <c r="I10" i="29"/>
  <c r="I13" i="29" s="1"/>
  <c r="I30" i="29" s="1"/>
  <c r="I36" i="28"/>
  <c r="I38" i="28" s="1"/>
  <c r="I43" i="28" s="1"/>
  <c r="I30" i="28"/>
  <c r="I29" i="28"/>
  <c r="I28" i="28"/>
  <c r="I27" i="28"/>
  <c r="I26" i="28"/>
  <c r="I25" i="28"/>
  <c r="I24" i="28"/>
  <c r="I23" i="28"/>
  <c r="I22" i="28"/>
  <c r="I21" i="28"/>
  <c r="I20" i="28"/>
  <c r="I19" i="28"/>
  <c r="I14" i="28"/>
  <c r="I13" i="28"/>
  <c r="I12" i="28"/>
  <c r="I11" i="28"/>
  <c r="I15" i="28" s="1"/>
  <c r="I41" i="28" s="1"/>
  <c r="I10" i="28"/>
  <c r="I32" i="27"/>
  <c r="I30" i="27"/>
  <c r="I27" i="27"/>
  <c r="H19" i="27"/>
  <c r="I19" i="27" s="1"/>
  <c r="I31" i="26"/>
  <c r="I26" i="26"/>
  <c r="I19" i="26"/>
  <c r="I18" i="26"/>
  <c r="I17" i="26"/>
  <c r="I16" i="26"/>
  <c r="H11" i="26"/>
  <c r="I11" i="26" s="1"/>
  <c r="I10" i="26"/>
  <c r="H10" i="26"/>
  <c r="I33" i="25"/>
  <c r="I28" i="25"/>
  <c r="I20" i="25"/>
  <c r="H20" i="25"/>
  <c r="I19" i="25"/>
  <c r="I18" i="25"/>
  <c r="I17" i="25"/>
  <c r="I11" i="25"/>
  <c r="I10" i="25"/>
  <c r="I13" i="25" s="1"/>
  <c r="I31" i="25" s="1"/>
  <c r="I24" i="24"/>
  <c r="I29" i="24" s="1"/>
  <c r="I28" i="24"/>
  <c r="I30" i="24" s="1"/>
  <c r="I16" i="24"/>
  <c r="I18" i="24" s="1"/>
  <c r="H16" i="24"/>
  <c r="I27" i="24"/>
  <c r="I11" i="24"/>
  <c r="I10" i="24"/>
  <c r="P16" i="23"/>
  <c r="P15" i="23"/>
  <c r="P14" i="23"/>
  <c r="G295" i="1" s="1"/>
  <c r="P13" i="23"/>
  <c r="P12" i="23"/>
  <c r="P11" i="23"/>
  <c r="P10" i="23"/>
  <c r="P8" i="23"/>
  <c r="I17" i="37" l="1"/>
  <c r="I27" i="37" s="1"/>
  <c r="I29" i="37" s="1"/>
  <c r="G299" i="1" s="1"/>
  <c r="H299" i="1" s="1"/>
  <c r="I299" i="1" s="1"/>
  <c r="I18" i="33"/>
  <c r="I28" i="33" s="1"/>
  <c r="I30" i="33"/>
  <c r="G293" i="1" s="1"/>
  <c r="H293" i="1" s="1"/>
  <c r="I21" i="30"/>
  <c r="I31" i="30" s="1"/>
  <c r="I33" i="30" s="1"/>
  <c r="G139" i="1" s="1"/>
  <c r="H139" i="1" s="1"/>
  <c r="I32" i="28"/>
  <c r="I42" i="28" s="1"/>
  <c r="I44" i="28" s="1"/>
  <c r="G109" i="1" s="1"/>
  <c r="H109" i="1" s="1"/>
  <c r="H298" i="1"/>
  <c r="I298" i="1" s="1"/>
  <c r="H297" i="1"/>
  <c r="I297" i="1" s="1"/>
  <c r="H295" i="1"/>
  <c r="I295" i="1" s="1"/>
  <c r="I21" i="27"/>
  <c r="I31" i="27" s="1"/>
  <c r="I33" i="27" s="1"/>
  <c r="G105" i="1" s="1"/>
  <c r="I22" i="25"/>
  <c r="I32" i="25" s="1"/>
  <c r="I34" i="25" s="1"/>
  <c r="G90" i="1" s="1"/>
  <c r="H90" i="1" s="1"/>
  <c r="G80" i="1"/>
  <c r="H80" i="1" s="1"/>
  <c r="I23" i="31"/>
  <c r="I33" i="31" s="1"/>
  <c r="I35" i="31" s="1"/>
  <c r="G141" i="1" s="1"/>
  <c r="I16" i="34"/>
  <c r="I26" i="34" s="1"/>
  <c r="I28" i="34" s="1"/>
  <c r="G296" i="1" s="1"/>
  <c r="I21" i="29"/>
  <c r="I31" i="29" s="1"/>
  <c r="I33" i="29" s="1"/>
  <c r="G136" i="1" s="1"/>
  <c r="I12" i="26"/>
  <c r="I29" i="26" s="1"/>
  <c r="I30" i="32"/>
  <c r="G258" i="1" s="1"/>
  <c r="H258" i="1" s="1"/>
  <c r="I32" i="26" l="1"/>
  <c r="G93" i="1" s="1"/>
  <c r="H93" i="1" s="1"/>
  <c r="H141" i="1"/>
  <c r="I141" i="1" s="1"/>
  <c r="H136" i="1"/>
  <c r="I136" i="1" s="1"/>
  <c r="H296" i="1"/>
  <c r="I296" i="1" s="1"/>
  <c r="H105" i="1"/>
  <c r="I105" i="1" s="1"/>
  <c r="J213" i="11"/>
  <c r="J214" i="11"/>
  <c r="J208" i="11"/>
  <c r="J209" i="11"/>
  <c r="J199" i="11"/>
  <c r="J198" i="11"/>
  <c r="J194" i="11"/>
  <c r="J193" i="11"/>
  <c r="J215" i="11" l="1"/>
  <c r="F62" i="1" s="1"/>
  <c r="J210" i="11"/>
  <c r="F61" i="1" s="1"/>
  <c r="I61" i="1" s="1"/>
  <c r="J200" i="11"/>
  <c r="F59" i="1" s="1"/>
  <c r="J195" i="11"/>
  <c r="F58" i="1" s="1"/>
  <c r="J188" i="11"/>
  <c r="J176" i="11"/>
  <c r="J184" i="11"/>
  <c r="J157" i="11"/>
  <c r="J185" i="11" l="1"/>
  <c r="F55" i="1" s="1"/>
  <c r="J189" i="11"/>
  <c r="F56" i="1" s="1"/>
  <c r="J181" i="11"/>
  <c r="F54" i="1" s="1"/>
  <c r="J158" i="11"/>
  <c r="H534" i="11" s="1"/>
  <c r="J177" i="11"/>
  <c r="F53" i="1" s="1"/>
  <c r="F51" i="1" l="1"/>
  <c r="J534" i="11"/>
  <c r="J537" i="11" l="1"/>
  <c r="F114" i="1" s="1"/>
  <c r="I162" i="11"/>
  <c r="J162" i="11" s="1"/>
  <c r="I164" i="11"/>
  <c r="J164" i="11" s="1"/>
  <c r="I167" i="11"/>
  <c r="J167" i="11" s="1"/>
  <c r="I169" i="11"/>
  <c r="J169" i="11" s="1"/>
  <c r="I163" i="11"/>
  <c r="J163" i="11" s="1"/>
  <c r="I165" i="11"/>
  <c r="J165" i="11" s="1"/>
  <c r="I166" i="11"/>
  <c r="J166" i="11" s="1"/>
  <c r="I168" i="11"/>
  <c r="J168" i="11" s="1"/>
  <c r="J173" i="11" l="1"/>
  <c r="I127" i="11" s="1"/>
  <c r="J127" i="11" s="1"/>
  <c r="F42" i="1"/>
  <c r="I126" i="11"/>
  <c r="J126" i="11" s="1"/>
  <c r="J128" i="11" l="1"/>
  <c r="F52" i="1"/>
  <c r="F44" i="1" l="1"/>
  <c r="I148" i="11"/>
  <c r="J148" i="11" s="1"/>
  <c r="E10" i="11" l="1"/>
  <c r="I10" i="11" s="1"/>
  <c r="J10" i="11" s="1"/>
  <c r="I15" i="11"/>
  <c r="J15" i="11" s="1"/>
  <c r="I16" i="11"/>
  <c r="J16" i="11" s="1"/>
  <c r="I14" i="11"/>
  <c r="J14" i="11" s="1"/>
  <c r="E9" i="11"/>
  <c r="I9" i="11" s="1"/>
  <c r="J9" i="11" s="1"/>
  <c r="H21" i="11"/>
  <c r="J21" i="11" s="1"/>
  <c r="H22" i="11"/>
  <c r="J22" i="11" s="1"/>
  <c r="E20" i="11"/>
  <c r="H20" i="11" s="1"/>
  <c r="J20" i="11" s="1"/>
  <c r="H26" i="11"/>
  <c r="J26" i="11" s="1"/>
  <c r="J27" i="11" s="1"/>
  <c r="H30" i="11"/>
  <c r="J30" i="11" s="1"/>
  <c r="J31" i="11" s="1"/>
  <c r="I9" i="1"/>
  <c r="F13" i="1" l="1"/>
  <c r="I13" i="1" s="1"/>
  <c r="H140" i="11"/>
  <c r="J140" i="11" s="1"/>
  <c r="F14" i="1"/>
  <c r="I14" i="1" s="1"/>
  <c r="H141" i="11"/>
  <c r="J141" i="11" s="1"/>
  <c r="J11" i="11"/>
  <c r="J23" i="11"/>
  <c r="J17" i="11"/>
  <c r="F11" i="1" l="1"/>
  <c r="I11" i="1" s="1"/>
  <c r="I138" i="11"/>
  <c r="J138" i="11" s="1"/>
  <c r="F12" i="1"/>
  <c r="I12" i="1" s="1"/>
  <c r="H139" i="11"/>
  <c r="J139" i="11" s="1"/>
  <c r="F10" i="1"/>
  <c r="I10" i="1" s="1"/>
  <c r="I137" i="11"/>
  <c r="J137" i="11" s="1"/>
  <c r="J1665" i="11"/>
  <c r="J1666" i="11" s="1"/>
  <c r="F292" i="1" s="1"/>
  <c r="J418" i="11"/>
  <c r="J419" i="11" s="1"/>
  <c r="F80" i="1" s="1"/>
  <c r="J1633" i="11" l="1"/>
  <c r="J1634" i="11" s="1"/>
  <c r="F281" i="1" s="1"/>
  <c r="J1643" i="11"/>
  <c r="J1644" i="11" s="1"/>
  <c r="F284" i="1" s="1"/>
  <c r="J1639" i="11"/>
  <c r="F282" i="1" s="1"/>
  <c r="I282" i="1" s="1"/>
  <c r="J1670" i="11"/>
  <c r="J1669" i="11"/>
  <c r="J1627" i="11"/>
  <c r="J1628" i="11" s="1"/>
  <c r="F279" i="1" s="1"/>
  <c r="H1617" i="11"/>
  <c r="J963" i="11"/>
  <c r="J962" i="11"/>
  <c r="J961" i="11"/>
  <c r="J783" i="11"/>
  <c r="J782" i="11"/>
  <c r="J781" i="11"/>
  <c r="J780" i="11"/>
  <c r="J779" i="11"/>
  <c r="J778" i="11"/>
  <c r="J777" i="11"/>
  <c r="J775" i="11"/>
  <c r="J774" i="11"/>
  <c r="J773" i="11"/>
  <c r="J772" i="11"/>
  <c r="J771" i="11"/>
  <c r="J770" i="11"/>
  <c r="J769" i="11"/>
  <c r="J767" i="11"/>
  <c r="J762" i="11"/>
  <c r="J761" i="11"/>
  <c r="J760" i="11"/>
  <c r="J759" i="11"/>
  <c r="J758" i="11"/>
  <c r="J757" i="11"/>
  <c r="J756" i="11"/>
  <c r="J755" i="11"/>
  <c r="J754" i="11"/>
  <c r="J753" i="11"/>
  <c r="J752" i="11"/>
  <c r="J750" i="11"/>
  <c r="J749" i="11"/>
  <c r="J748" i="11"/>
  <c r="J747" i="11"/>
  <c r="J746" i="11"/>
  <c r="J745" i="11"/>
  <c r="J744" i="11"/>
  <c r="J743" i="11"/>
  <c r="J742" i="11"/>
  <c r="J740" i="11"/>
  <c r="J739" i="11"/>
  <c r="J738" i="11"/>
  <c r="J737" i="11"/>
  <c r="J736" i="11"/>
  <c r="J735" i="11"/>
  <c r="J734" i="11"/>
  <c r="J733" i="11"/>
  <c r="J732" i="11"/>
  <c r="J731" i="11"/>
  <c r="J725" i="11"/>
  <c r="J724" i="11"/>
  <c r="J722" i="11"/>
  <c r="J721" i="11"/>
  <c r="J720" i="11"/>
  <c r="J719" i="11"/>
  <c r="J718" i="11"/>
  <c r="J717" i="11"/>
  <c r="J716" i="11"/>
  <c r="J715" i="11"/>
  <c r="J471" i="11"/>
  <c r="J472" i="11" s="1"/>
  <c r="F93" i="1" s="1"/>
  <c r="J763" i="11" l="1"/>
  <c r="J726" i="11"/>
  <c r="F138" i="1" s="1"/>
  <c r="F139" i="1"/>
  <c r="J1617" i="11"/>
  <c r="J1618" i="11" s="1"/>
  <c r="F276" i="1" s="1"/>
  <c r="J1622" i="11"/>
  <c r="J1623" i="11" s="1"/>
  <c r="F277" i="1" s="1"/>
  <c r="J1671" i="11"/>
  <c r="F293" i="1" s="1"/>
  <c r="J964" i="11"/>
  <c r="F168" i="1" s="1"/>
  <c r="I168" i="1" s="1"/>
  <c r="J785" i="11"/>
  <c r="F140" i="1" s="1"/>
  <c r="J103" i="11" l="1"/>
  <c r="J104" i="11" s="1"/>
  <c r="F38" i="1" s="1"/>
  <c r="I38" i="1" s="1"/>
  <c r="J95" i="11"/>
  <c r="J96" i="11" s="1"/>
  <c r="F36" i="1" s="1"/>
  <c r="I36" i="1" s="1"/>
  <c r="J91" i="11"/>
  <c r="J92" i="11" s="1"/>
  <c r="F35" i="1" s="1"/>
  <c r="I35" i="1" s="1"/>
  <c r="J87" i="11"/>
  <c r="J88" i="11" s="1"/>
  <c r="F34" i="1" s="1"/>
  <c r="I34" i="1" s="1"/>
  <c r="J83" i="11"/>
  <c r="J84" i="11" s="1"/>
  <c r="F33" i="1" s="1"/>
  <c r="I33" i="1" s="1"/>
  <c r="J79" i="11"/>
  <c r="J80" i="11" s="1"/>
  <c r="F32" i="1" s="1"/>
  <c r="I32" i="1" s="1"/>
  <c r="J75" i="11"/>
  <c r="J76" i="11" s="1"/>
  <c r="F30" i="1" s="1"/>
  <c r="I30" i="1" s="1"/>
  <c r="J71" i="11"/>
  <c r="J72" i="11" s="1"/>
  <c r="F29" i="1" s="1"/>
  <c r="I29" i="1" s="1"/>
  <c r="J62" i="11"/>
  <c r="J61" i="11"/>
  <c r="J47" i="11"/>
  <c r="J48" i="11" s="1"/>
  <c r="J43" i="11"/>
  <c r="J44" i="11" s="1"/>
  <c r="J39" i="11"/>
  <c r="J35" i="11"/>
  <c r="J36" i="11" s="1"/>
  <c r="F18" i="1" l="1"/>
  <c r="D145" i="11"/>
  <c r="J145" i="11" s="1"/>
  <c r="F19" i="1"/>
  <c r="D146" i="11"/>
  <c r="J146" i="11" s="1"/>
  <c r="F16" i="1"/>
  <c r="H142" i="11"/>
  <c r="J142" i="11" s="1"/>
  <c r="J40" i="11"/>
  <c r="J131" i="11"/>
  <c r="J63" i="11"/>
  <c r="F26" i="1" s="1"/>
  <c r="I26" i="1" s="1"/>
  <c r="J1604" i="11"/>
  <c r="J1605" i="11" s="1"/>
  <c r="F273" i="1" s="1"/>
  <c r="H1578" i="11"/>
  <c r="J1578" i="11" s="1"/>
  <c r="H1577" i="11"/>
  <c r="J1577" i="11" s="1"/>
  <c r="H1576" i="11"/>
  <c r="J1576" i="11" s="1"/>
  <c r="H1575" i="11"/>
  <c r="J1575" i="11" s="1"/>
  <c r="J1558" i="11"/>
  <c r="J1557" i="11"/>
  <c r="J1556" i="11"/>
  <c r="J1555" i="11"/>
  <c r="J1554" i="11"/>
  <c r="J1553" i="11"/>
  <c r="J1552" i="11"/>
  <c r="J1551" i="11"/>
  <c r="J1550" i="11"/>
  <c r="J1549" i="11"/>
  <c r="J1548" i="11"/>
  <c r="J1547" i="11"/>
  <c r="J1546" i="11"/>
  <c r="J1545" i="11"/>
  <c r="J1544" i="11"/>
  <c r="J1543" i="11"/>
  <c r="J1542" i="11"/>
  <c r="J1541" i="11"/>
  <c r="J1540" i="11"/>
  <c r="J1539" i="11"/>
  <c r="J1538" i="11"/>
  <c r="J1537" i="11"/>
  <c r="J1536" i="11"/>
  <c r="J1535" i="11"/>
  <c r="H1532" i="11"/>
  <c r="J1532" i="11" s="1"/>
  <c r="H1531" i="11"/>
  <c r="J1531" i="11" s="1"/>
  <c r="I1530" i="11"/>
  <c r="H1530" i="11"/>
  <c r="I1529" i="11"/>
  <c r="H1529" i="11"/>
  <c r="H1528" i="11"/>
  <c r="J1528" i="11" s="1"/>
  <c r="H1527" i="11"/>
  <c r="J1527" i="11" s="1"/>
  <c r="H1526" i="11"/>
  <c r="J1526" i="11" s="1"/>
  <c r="H1525" i="11"/>
  <c r="J1525" i="11" s="1"/>
  <c r="H1524" i="11"/>
  <c r="J1524" i="11" s="1"/>
  <c r="H1523" i="11"/>
  <c r="J1523" i="11" s="1"/>
  <c r="H1522" i="11"/>
  <c r="J1522" i="11" s="1"/>
  <c r="H1521" i="11"/>
  <c r="J1521" i="11" s="1"/>
  <c r="H1520" i="11"/>
  <c r="J1520" i="11" s="1"/>
  <c r="H1519" i="11"/>
  <c r="J1519" i="11" s="1"/>
  <c r="H1518" i="11"/>
  <c r="J1518" i="11" s="1"/>
  <c r="H1517" i="11"/>
  <c r="J1517" i="11" s="1"/>
  <c r="H1516" i="11"/>
  <c r="J1516" i="11" s="1"/>
  <c r="H1515" i="11"/>
  <c r="J1515" i="11" s="1"/>
  <c r="G1513" i="11"/>
  <c r="H1513" i="11" s="1"/>
  <c r="J1513" i="11" s="1"/>
  <c r="G1511" i="11"/>
  <c r="H1511" i="11" s="1"/>
  <c r="J1511" i="11" s="1"/>
  <c r="H1510" i="11"/>
  <c r="J1510" i="11" s="1"/>
  <c r="H1509" i="11"/>
  <c r="J1509" i="11" s="1"/>
  <c r="H1508" i="11"/>
  <c r="J1508" i="11" s="1"/>
  <c r="I1507" i="11"/>
  <c r="H1507" i="11"/>
  <c r="H1506" i="11"/>
  <c r="J1506" i="11" s="1"/>
  <c r="H1505" i="11"/>
  <c r="J1505" i="11" s="1"/>
  <c r="H1504" i="11"/>
  <c r="J1504" i="11" s="1"/>
  <c r="H1503" i="11"/>
  <c r="J1503" i="11" s="1"/>
  <c r="H1502" i="11"/>
  <c r="J1502" i="11" s="1"/>
  <c r="H1501" i="11"/>
  <c r="J1501" i="11" s="1"/>
  <c r="H1500" i="11"/>
  <c r="J1500" i="11" s="1"/>
  <c r="H1499" i="11"/>
  <c r="J1499" i="11" s="1"/>
  <c r="H1498" i="11"/>
  <c r="J1498" i="11" s="1"/>
  <c r="H1497" i="11"/>
  <c r="J1497" i="11" s="1"/>
  <c r="H1496" i="11"/>
  <c r="J1496" i="11" s="1"/>
  <c r="H1495" i="11"/>
  <c r="J1495" i="11" s="1"/>
  <c r="H1494" i="11"/>
  <c r="J1494" i="11" s="1"/>
  <c r="H1493" i="11"/>
  <c r="J1493" i="11" s="1"/>
  <c r="H1492" i="11"/>
  <c r="J1492" i="11" s="1"/>
  <c r="H1491" i="11"/>
  <c r="J1491" i="11" s="1"/>
  <c r="H1490" i="11"/>
  <c r="H1489" i="11"/>
  <c r="J1489" i="11" s="1"/>
  <c r="J1476" i="11"/>
  <c r="J1475" i="11"/>
  <c r="J1474" i="11"/>
  <c r="J1335" i="11"/>
  <c r="J1336" i="11" s="1"/>
  <c r="F238" i="1" s="1"/>
  <c r="J1330" i="11"/>
  <c r="J1331" i="11" s="1"/>
  <c r="F237" i="1" s="1"/>
  <c r="J1325" i="11"/>
  <c r="J1326" i="11" s="1"/>
  <c r="F236" i="1" s="1"/>
  <c r="J1320" i="11"/>
  <c r="J1319" i="11"/>
  <c r="J1315" i="11"/>
  <c r="J1314" i="11"/>
  <c r="J1313" i="11"/>
  <c r="J1312" i="11"/>
  <c r="J1311" i="11"/>
  <c r="J1306" i="11"/>
  <c r="J1305" i="11"/>
  <c r="J1304" i="11"/>
  <c r="J1303" i="11"/>
  <c r="J1302" i="11"/>
  <c r="J1301" i="11"/>
  <c r="J1300" i="11"/>
  <c r="J1299" i="11"/>
  <c r="J1298" i="11"/>
  <c r="J1294" i="11"/>
  <c r="J1293" i="11"/>
  <c r="J1292" i="11"/>
  <c r="J1287" i="11"/>
  <c r="J1286" i="11"/>
  <c r="J1282" i="11"/>
  <c r="J1281" i="11"/>
  <c r="J1280" i="11"/>
  <c r="J1276" i="11"/>
  <c r="J1275" i="11"/>
  <c r="J1271" i="11"/>
  <c r="J1272" i="11" s="1"/>
  <c r="F227" i="1" s="1"/>
  <c r="J1267" i="11"/>
  <c r="J1268" i="11" s="1"/>
  <c r="F226" i="1" s="1"/>
  <c r="J1262" i="11"/>
  <c r="J1261" i="11"/>
  <c r="J1260" i="11"/>
  <c r="J1255" i="11"/>
  <c r="H1254" i="11"/>
  <c r="J1254" i="11" s="1"/>
  <c r="H1253" i="11"/>
  <c r="J1253" i="11" s="1"/>
  <c r="H1252" i="11"/>
  <c r="J1252" i="11" s="1"/>
  <c r="H1251" i="11"/>
  <c r="J1251" i="11" s="1"/>
  <c r="H1250" i="11"/>
  <c r="J1250" i="11" s="1"/>
  <c r="H1249" i="11"/>
  <c r="J1249" i="11" s="1"/>
  <c r="H1248" i="11"/>
  <c r="J1248" i="11" s="1"/>
  <c r="J1243" i="11"/>
  <c r="J1242" i="11"/>
  <c r="J1241" i="11"/>
  <c r="J1237" i="11"/>
  <c r="J1236" i="11"/>
  <c r="J1235" i="11"/>
  <c r="J1231" i="11"/>
  <c r="J1230" i="11"/>
  <c r="J1226" i="11"/>
  <c r="J1225" i="11"/>
  <c r="J956" i="11"/>
  <c r="J955" i="11"/>
  <c r="J951" i="11"/>
  <c r="J950" i="11"/>
  <c r="J867" i="11"/>
  <c r="J868" i="11" s="1"/>
  <c r="F155" i="1" s="1"/>
  <c r="I155" i="1" s="1"/>
  <c r="J863" i="11"/>
  <c r="J864" i="11" s="1"/>
  <c r="F154" i="1" s="1"/>
  <c r="I154" i="1" s="1"/>
  <c r="J837" i="11"/>
  <c r="J836" i="11"/>
  <c r="J834" i="11"/>
  <c r="J833" i="11"/>
  <c r="J832" i="11"/>
  <c r="J831" i="11"/>
  <c r="J830" i="11"/>
  <c r="J829" i="11"/>
  <c r="J828" i="11"/>
  <c r="J823" i="11"/>
  <c r="J821" i="11"/>
  <c r="J820" i="11"/>
  <c r="J819" i="11"/>
  <c r="J818" i="11"/>
  <c r="J812" i="11"/>
  <c r="J811" i="11"/>
  <c r="J809" i="11"/>
  <c r="J808" i="11"/>
  <c r="J807" i="11"/>
  <c r="J806" i="11"/>
  <c r="J805" i="11"/>
  <c r="J804" i="11"/>
  <c r="J803" i="11"/>
  <c r="J802" i="11"/>
  <c r="J801" i="11"/>
  <c r="J795" i="11"/>
  <c r="J796" i="11" s="1"/>
  <c r="F145" i="1" s="1"/>
  <c r="H698" i="11"/>
  <c r="J698" i="11" s="1"/>
  <c r="I696" i="11"/>
  <c r="H696" i="11"/>
  <c r="H695" i="11"/>
  <c r="J695" i="11" s="1"/>
  <c r="I694" i="11"/>
  <c r="H694" i="11"/>
  <c r="H693" i="11"/>
  <c r="J693" i="11" s="1"/>
  <c r="I692" i="11"/>
  <c r="H692" i="11"/>
  <c r="H691" i="11"/>
  <c r="J691" i="11" s="1"/>
  <c r="I690" i="11"/>
  <c r="H690" i="11"/>
  <c r="H689" i="11"/>
  <c r="J689" i="11" s="1"/>
  <c r="I688" i="11"/>
  <c r="H688" i="11"/>
  <c r="H687" i="11"/>
  <c r="J687" i="11" s="1"/>
  <c r="J681" i="11"/>
  <c r="J680" i="11"/>
  <c r="J679" i="11"/>
  <c r="J678" i="11"/>
  <c r="J677" i="11"/>
  <c r="J676" i="11"/>
  <c r="J675" i="11"/>
  <c r="J674" i="11"/>
  <c r="J672" i="11"/>
  <c r="J671" i="11"/>
  <c r="J670" i="11"/>
  <c r="J669" i="11"/>
  <c r="J668" i="11"/>
  <c r="J667" i="11"/>
  <c r="J666" i="11"/>
  <c r="J665" i="11"/>
  <c r="J664" i="11"/>
  <c r="J663" i="11"/>
  <c r="J662" i="11"/>
  <c r="J661" i="11"/>
  <c r="J660" i="11"/>
  <c r="J655" i="11"/>
  <c r="J654" i="11"/>
  <c r="J650" i="11"/>
  <c r="J649" i="11"/>
  <c r="J644" i="11"/>
  <c r="J643" i="11"/>
  <c r="J642" i="11"/>
  <c r="J641" i="11"/>
  <c r="J640" i="11"/>
  <c r="J639" i="11"/>
  <c r="J638" i="11"/>
  <c r="J637" i="11"/>
  <c r="J636" i="11"/>
  <c r="J634" i="11"/>
  <c r="J633" i="11"/>
  <c r="J632" i="11"/>
  <c r="J631" i="11"/>
  <c r="J630" i="11"/>
  <c r="J629" i="11"/>
  <c r="J628" i="11"/>
  <c r="J627" i="11"/>
  <c r="J626" i="11"/>
  <c r="J625" i="11"/>
  <c r="J624" i="11"/>
  <c r="J623" i="11"/>
  <c r="J622" i="11"/>
  <c r="J621" i="11"/>
  <c r="J618" i="11"/>
  <c r="J617" i="11"/>
  <c r="H597" i="11"/>
  <c r="H596" i="11"/>
  <c r="H595" i="11"/>
  <c r="J595" i="11" s="1"/>
  <c r="H593" i="11"/>
  <c r="J593" i="11" s="1"/>
  <c r="H592" i="11"/>
  <c r="J592" i="11" s="1"/>
  <c r="I591" i="11"/>
  <c r="H591" i="11"/>
  <c r="I590" i="11"/>
  <c r="H590" i="11"/>
  <c r="H589" i="11"/>
  <c r="J589" i="11" s="1"/>
  <c r="I588" i="11"/>
  <c r="H588" i="11"/>
  <c r="H587" i="11"/>
  <c r="J587" i="11" s="1"/>
  <c r="I586" i="11"/>
  <c r="H586" i="11"/>
  <c r="H585" i="11"/>
  <c r="J585" i="11" s="1"/>
  <c r="I584" i="11"/>
  <c r="H584" i="11"/>
  <c r="H583" i="11"/>
  <c r="J583" i="11" s="1"/>
  <c r="I582" i="11"/>
  <c r="H582" i="11"/>
  <c r="H581" i="11"/>
  <c r="J581" i="11" s="1"/>
  <c r="E529" i="11"/>
  <c r="J529" i="11" s="1"/>
  <c r="E528" i="11"/>
  <c r="J528" i="11" s="1"/>
  <c r="E527" i="11"/>
  <c r="J527" i="11" s="1"/>
  <c r="E521" i="11"/>
  <c r="H521" i="11" s="1"/>
  <c r="J521" i="11" s="1"/>
  <c r="E520" i="11"/>
  <c r="H520" i="11" s="1"/>
  <c r="J520" i="11" s="1"/>
  <c r="J514" i="11"/>
  <c r="J513" i="11"/>
  <c r="J512" i="11"/>
  <c r="J504" i="11"/>
  <c r="J503" i="11"/>
  <c r="J502" i="11"/>
  <c r="J498" i="11"/>
  <c r="J497" i="11"/>
  <c r="J496" i="11"/>
  <c r="H490" i="11"/>
  <c r="J490" i="11" s="1"/>
  <c r="H489" i="11"/>
  <c r="J489" i="11" s="1"/>
  <c r="H488" i="11"/>
  <c r="J488" i="11" s="1"/>
  <c r="H487" i="11"/>
  <c r="J487" i="11" s="1"/>
  <c r="H486" i="11"/>
  <c r="J486" i="11" s="1"/>
  <c r="H482" i="11"/>
  <c r="J482" i="11" s="1"/>
  <c r="H480" i="11"/>
  <c r="J480" i="11" s="1"/>
  <c r="H479" i="11"/>
  <c r="J479" i="11" s="1"/>
  <c r="H478" i="11"/>
  <c r="J478" i="11" s="1"/>
  <c r="H467" i="11"/>
  <c r="J467" i="11" s="1"/>
  <c r="H465" i="11"/>
  <c r="J465" i="11" s="1"/>
  <c r="H464" i="11"/>
  <c r="J464" i="11" s="1"/>
  <c r="H463" i="11"/>
  <c r="J463" i="11" s="1"/>
  <c r="H449" i="11"/>
  <c r="H447" i="11"/>
  <c r="J447" i="11" s="1"/>
  <c r="H445" i="11"/>
  <c r="J445" i="11" s="1"/>
  <c r="H444" i="11"/>
  <c r="J444" i="11" s="1"/>
  <c r="H443" i="11"/>
  <c r="J443" i="11" s="1"/>
  <c r="H438" i="11"/>
  <c r="J438" i="11" s="1"/>
  <c r="I449" i="11" s="1"/>
  <c r="H437" i="11"/>
  <c r="J437" i="11" s="1"/>
  <c r="J431" i="11"/>
  <c r="J432" i="11" s="1"/>
  <c r="F84" i="1" s="1"/>
  <c r="J427" i="11"/>
  <c r="J428" i="11" s="1"/>
  <c r="F83" i="1" s="1"/>
  <c r="J414" i="11"/>
  <c r="J415" i="11" s="1"/>
  <c r="F79" i="1" s="1"/>
  <c r="J410" i="11"/>
  <c r="J411" i="11" s="1"/>
  <c r="F78" i="1" s="1"/>
  <c r="H402" i="11"/>
  <c r="J402" i="11" s="1"/>
  <c r="H401" i="11"/>
  <c r="J401" i="11" s="1"/>
  <c r="H400" i="11"/>
  <c r="J400" i="11" s="1"/>
  <c r="H399" i="11"/>
  <c r="J399" i="11" s="1"/>
  <c r="H398" i="11"/>
  <c r="J398" i="11" s="1"/>
  <c r="H397" i="11"/>
  <c r="J397" i="11" s="1"/>
  <c r="H393" i="11"/>
  <c r="J393" i="11" s="1"/>
  <c r="I392" i="11"/>
  <c r="H392" i="11"/>
  <c r="I391" i="11"/>
  <c r="H391" i="11"/>
  <c r="H390" i="11"/>
  <c r="J390" i="11" s="1"/>
  <c r="H389" i="11"/>
  <c r="J389" i="11" s="1"/>
  <c r="H388" i="11"/>
  <c r="J388" i="11" s="1"/>
  <c r="H387" i="11"/>
  <c r="J387" i="11" s="1"/>
  <c r="H386" i="11"/>
  <c r="J386" i="11" s="1"/>
  <c r="H385" i="11"/>
  <c r="J385" i="11" s="1"/>
  <c r="H384" i="11"/>
  <c r="J384" i="11" s="1"/>
  <c r="H383" i="11"/>
  <c r="J383" i="11" s="1"/>
  <c r="H382" i="11"/>
  <c r="J382" i="11" s="1"/>
  <c r="H381" i="11"/>
  <c r="J381" i="11" s="1"/>
  <c r="H380" i="11"/>
  <c r="J380" i="11" s="1"/>
  <c r="J378" i="11"/>
  <c r="H377" i="11"/>
  <c r="J377" i="11" s="1"/>
  <c r="H376" i="11"/>
  <c r="J376" i="11" s="1"/>
  <c r="H375" i="11"/>
  <c r="J375" i="11" s="1"/>
  <c r="H374" i="11"/>
  <c r="J374" i="11" s="1"/>
  <c r="H373" i="11"/>
  <c r="J373" i="11" s="1"/>
  <c r="H372" i="11"/>
  <c r="J372" i="11" s="1"/>
  <c r="H371" i="11"/>
  <c r="J371" i="11" s="1"/>
  <c r="H370" i="11"/>
  <c r="J370" i="11" s="1"/>
  <c r="H369" i="11"/>
  <c r="J369" i="11" s="1"/>
  <c r="H368" i="11"/>
  <c r="J368" i="11" s="1"/>
  <c r="H367" i="11"/>
  <c r="J367" i="11" s="1"/>
  <c r="H366" i="11"/>
  <c r="J366" i="11" s="1"/>
  <c r="H364" i="11"/>
  <c r="J364" i="11" s="1"/>
  <c r="H363" i="11"/>
  <c r="J363" i="11" s="1"/>
  <c r="I361" i="11"/>
  <c r="H361" i="11"/>
  <c r="H360" i="11"/>
  <c r="J360" i="11" s="1"/>
  <c r="H359" i="11"/>
  <c r="J359" i="11" s="1"/>
  <c r="H358" i="11"/>
  <c r="J358" i="11" s="1"/>
  <c r="H357" i="11"/>
  <c r="J357" i="11" s="1"/>
  <c r="H356" i="11"/>
  <c r="J356" i="11" s="1"/>
  <c r="H355" i="11"/>
  <c r="J355" i="11" s="1"/>
  <c r="H354" i="11"/>
  <c r="J354" i="11" s="1"/>
  <c r="H353" i="11"/>
  <c r="J353" i="11" s="1"/>
  <c r="H352" i="11"/>
  <c r="J352" i="11" s="1"/>
  <c r="H351" i="11"/>
  <c r="J351" i="11" s="1"/>
  <c r="I350" i="11"/>
  <c r="H350" i="11"/>
  <c r="H349" i="11"/>
  <c r="J349" i="11" s="1"/>
  <c r="H346" i="11"/>
  <c r="J346" i="11" s="1"/>
  <c r="H267" i="11"/>
  <c r="J267" i="11" s="1"/>
  <c r="H266" i="11"/>
  <c r="J266" i="11" s="1"/>
  <c r="H265" i="11"/>
  <c r="J265" i="11" s="1"/>
  <c r="J331" i="11"/>
  <c r="J330" i="11"/>
  <c r="J329" i="11"/>
  <c r="J328" i="11"/>
  <c r="J327" i="11"/>
  <c r="J324" i="11"/>
  <c r="J321" i="11"/>
  <c r="J318" i="11"/>
  <c r="J317" i="11"/>
  <c r="J316" i="11"/>
  <c r="J315" i="11"/>
  <c r="J314" i="11"/>
  <c r="J313" i="11"/>
  <c r="J312" i="11"/>
  <c r="J311" i="11"/>
  <c r="J310" i="11"/>
  <c r="J309" i="11"/>
  <c r="J308" i="11"/>
  <c r="J307" i="11"/>
  <c r="J301" i="11"/>
  <c r="J300" i="11"/>
  <c r="J299" i="11"/>
  <c r="J298" i="11"/>
  <c r="J295" i="11"/>
  <c r="J294" i="11"/>
  <c r="J293" i="11"/>
  <c r="J292" i="11"/>
  <c r="J291" i="11"/>
  <c r="J290" i="11"/>
  <c r="J289" i="11"/>
  <c r="J288" i="11"/>
  <c r="J287" i="11"/>
  <c r="J286" i="11"/>
  <c r="J285" i="11"/>
  <c r="J284" i="11"/>
  <c r="J283" i="11"/>
  <c r="J280" i="11"/>
  <c r="J277" i="11"/>
  <c r="J274" i="11"/>
  <c r="J99" i="11"/>
  <c r="J100" i="11" s="1"/>
  <c r="F37" i="1" s="1"/>
  <c r="I37" i="1" s="1"/>
  <c r="H57" i="11"/>
  <c r="J57" i="11" s="1"/>
  <c r="J58" i="11" s="1"/>
  <c r="F25" i="1" s="1"/>
  <c r="J51" i="11"/>
  <c r="J52" i="11" s="1"/>
  <c r="F21" i="1" s="1"/>
  <c r="J268" i="11" l="1"/>
  <c r="F68" i="1" s="1"/>
  <c r="J335" i="11"/>
  <c r="J683" i="11"/>
  <c r="J522" i="11"/>
  <c r="J530" i="11"/>
  <c r="F113" i="1" s="1"/>
  <c r="J651" i="11"/>
  <c r="F131" i="1" s="1"/>
  <c r="F134" i="1"/>
  <c r="J656" i="11"/>
  <c r="F133" i="1" s="1"/>
  <c r="J645" i="11"/>
  <c r="F130" i="1" s="1"/>
  <c r="J133" i="11"/>
  <c r="F45" i="1" s="1"/>
  <c r="J1264" i="11"/>
  <c r="F225" i="1" s="1"/>
  <c r="F17" i="1"/>
  <c r="H143" i="11"/>
  <c r="J143" i="11" s="1"/>
  <c r="J150" i="11" s="1"/>
  <c r="H1567" i="11"/>
  <c r="J1567" i="11" s="1"/>
  <c r="F118" i="1"/>
  <c r="J690" i="11"/>
  <c r="J952" i="11"/>
  <c r="F166" i="1" s="1"/>
  <c r="I166" i="1" s="1"/>
  <c r="J957" i="11"/>
  <c r="F167" i="1" s="1"/>
  <c r="I167" i="1" s="1"/>
  <c r="J1490" i="11"/>
  <c r="J1477" i="11"/>
  <c r="F256" i="1" s="1"/>
  <c r="J505" i="11"/>
  <c r="F104" i="1" s="1"/>
  <c r="J1277" i="11"/>
  <c r="F228" i="1" s="1"/>
  <c r="J1295" i="11"/>
  <c r="F231" i="1" s="1"/>
  <c r="J1507" i="11"/>
  <c r="J1529" i="11"/>
  <c r="J468" i="11"/>
  <c r="F92" i="1" s="1"/>
  <c r="J483" i="11"/>
  <c r="F97" i="1" s="1"/>
  <c r="J590" i="11"/>
  <c r="J696" i="11"/>
  <c r="J350" i="11"/>
  <c r="J392" i="11"/>
  <c r="J1288" i="11"/>
  <c r="F230" i="1" s="1"/>
  <c r="J515" i="11"/>
  <c r="F107" i="1" s="1"/>
  <c r="J582" i="11"/>
  <c r="J597" i="11"/>
  <c r="J692" i="11"/>
  <c r="J697" i="11"/>
  <c r="J1244" i="11"/>
  <c r="F221" i="1" s="1"/>
  <c r="J499" i="11"/>
  <c r="F103" i="1" s="1"/>
  <c r="J361" i="11"/>
  <c r="J596" i="11"/>
  <c r="J694" i="11"/>
  <c r="J688" i="11"/>
  <c r="J591" i="11"/>
  <c r="J1238" i="11"/>
  <c r="F220" i="1" s="1"/>
  <c r="J439" i="11"/>
  <c r="F88" i="1" s="1"/>
  <c r="J813" i="11"/>
  <c r="F147" i="1" s="1"/>
  <c r="I147" i="1" s="1"/>
  <c r="J824" i="11"/>
  <c r="F148" i="1" s="1"/>
  <c r="I148" i="1" s="1"/>
  <c r="J838" i="11"/>
  <c r="F149" i="1" s="1"/>
  <c r="I149" i="1" s="1"/>
  <c r="J1227" i="11"/>
  <c r="F218" i="1" s="1"/>
  <c r="J449" i="11"/>
  <c r="J1307" i="11"/>
  <c r="F232" i="1" s="1"/>
  <c r="J391" i="11"/>
  <c r="J584" i="11"/>
  <c r="J586" i="11"/>
  <c r="J588" i="11"/>
  <c r="J1232" i="11"/>
  <c r="F219" i="1" s="1"/>
  <c r="J1283" i="11"/>
  <c r="F229" i="1" s="1"/>
  <c r="J1316" i="11"/>
  <c r="F234" i="1" s="1"/>
  <c r="J1321" i="11"/>
  <c r="F235" i="1" s="1"/>
  <c r="J1530" i="11"/>
  <c r="J491" i="11"/>
  <c r="F99" i="1" s="1"/>
  <c r="J1256" i="11"/>
  <c r="F223" i="1" s="1"/>
  <c r="J1579" i="11"/>
  <c r="F265" i="1" s="1"/>
  <c r="I293" i="1"/>
  <c r="I93" i="1"/>
  <c r="I257" i="1"/>
  <c r="J704" i="11" l="1"/>
  <c r="J405" i="11"/>
  <c r="F74" i="1" s="1"/>
  <c r="J450" i="11"/>
  <c r="F89" i="1" s="1"/>
  <c r="J1562" i="11"/>
  <c r="F262" i="1" s="1"/>
  <c r="F135" i="1"/>
  <c r="J598" i="11"/>
  <c r="F47" i="1"/>
  <c r="H611" i="11"/>
  <c r="J611" i="11" s="1"/>
  <c r="F126" i="1" s="1"/>
  <c r="F109" i="1"/>
  <c r="F70" i="1"/>
  <c r="I80" i="1"/>
  <c r="I258" i="1"/>
  <c r="I114" i="1"/>
  <c r="G602" i="11" l="1"/>
  <c r="F124" i="1"/>
  <c r="H573" i="11"/>
  <c r="J573" i="11" s="1"/>
  <c r="J576" i="11" s="1"/>
  <c r="F602" i="11" l="1"/>
  <c r="H602" i="11" s="1"/>
  <c r="J602" i="11" s="1"/>
  <c r="J606" i="11" s="1"/>
  <c r="F122" i="1"/>
  <c r="H1566" i="11" l="1"/>
  <c r="J1566" i="11" s="1"/>
  <c r="J1570" i="11" s="1"/>
  <c r="F125" i="1"/>
  <c r="F263" i="1" l="1"/>
  <c r="I56" i="1"/>
  <c r="I124" i="1"/>
  <c r="I57" i="1" l="1"/>
  <c r="I58" i="1"/>
  <c r="I59" i="1"/>
  <c r="I62" i="1"/>
  <c r="I291" i="1" l="1"/>
  <c r="I292" i="1"/>
  <c r="I306" i="1" s="1"/>
  <c r="I273" i="1"/>
  <c r="I274" i="1"/>
  <c r="I276" i="1"/>
  <c r="I277" i="1"/>
  <c r="I278" i="1"/>
  <c r="I279" i="1"/>
  <c r="I280" i="1"/>
  <c r="I281" i="1"/>
  <c r="I283" i="1"/>
  <c r="I284" i="1"/>
  <c r="I272" i="1"/>
  <c r="I262" i="1"/>
  <c r="I263" i="1"/>
  <c r="I264" i="1"/>
  <c r="I265" i="1"/>
  <c r="I266" i="1"/>
  <c r="I267" i="1"/>
  <c r="I268" i="1"/>
  <c r="I269" i="1"/>
  <c r="I261" i="1"/>
  <c r="I242" i="1"/>
  <c r="I243" i="1"/>
  <c r="I244" i="1"/>
  <c r="I245" i="1"/>
  <c r="I247" i="1"/>
  <c r="I248" i="1"/>
  <c r="I249" i="1"/>
  <c r="I255" i="1"/>
  <c r="I256" i="1"/>
  <c r="I241" i="1"/>
  <c r="I218" i="1"/>
  <c r="I219" i="1"/>
  <c r="I220" i="1"/>
  <c r="I221" i="1"/>
  <c r="I222" i="1"/>
  <c r="I223" i="1"/>
  <c r="I224" i="1"/>
  <c r="I225" i="1"/>
  <c r="I226" i="1"/>
  <c r="I227" i="1"/>
  <c r="I228" i="1"/>
  <c r="I229" i="1"/>
  <c r="I230" i="1"/>
  <c r="I231" i="1"/>
  <c r="I232" i="1"/>
  <c r="I233" i="1"/>
  <c r="I234" i="1"/>
  <c r="I235" i="1"/>
  <c r="I236" i="1"/>
  <c r="I237" i="1"/>
  <c r="I238" i="1"/>
  <c r="I217" i="1"/>
  <c r="D39" i="22"/>
  <c r="N39" i="22" s="1"/>
  <c r="I172" i="1"/>
  <c r="I202" i="1" s="1"/>
  <c r="I145" i="1"/>
  <c r="I130" i="1"/>
  <c r="I131" i="1"/>
  <c r="I133" i="1"/>
  <c r="I134" i="1"/>
  <c r="I135" i="1"/>
  <c r="I138" i="1"/>
  <c r="I139" i="1"/>
  <c r="I140" i="1"/>
  <c r="I122" i="1"/>
  <c r="I125" i="1"/>
  <c r="I126" i="1"/>
  <c r="I118" i="1"/>
  <c r="I119" i="1" s="1"/>
  <c r="I113" i="1"/>
  <c r="I115" i="1" s="1"/>
  <c r="I103" i="1"/>
  <c r="I104" i="1"/>
  <c r="I107" i="1"/>
  <c r="I109" i="1"/>
  <c r="I102" i="1"/>
  <c r="I97" i="1"/>
  <c r="I99" i="1"/>
  <c r="I96" i="1"/>
  <c r="I88" i="1"/>
  <c r="I89" i="1"/>
  <c r="I90" i="1"/>
  <c r="I92" i="1"/>
  <c r="I87" i="1"/>
  <c r="I78" i="1"/>
  <c r="I79" i="1"/>
  <c r="I83" i="1"/>
  <c r="I84" i="1"/>
  <c r="I77" i="1"/>
  <c r="I69" i="1"/>
  <c r="I67" i="1"/>
  <c r="I68" i="1"/>
  <c r="I73" i="1"/>
  <c r="I74" i="1"/>
  <c r="I51" i="1"/>
  <c r="I52" i="1"/>
  <c r="I53" i="1"/>
  <c r="I54" i="1"/>
  <c r="I55" i="1"/>
  <c r="I63" i="1"/>
  <c r="I64" i="1"/>
  <c r="I50" i="1"/>
  <c r="I42" i="1"/>
  <c r="I43" i="1"/>
  <c r="I44" i="1"/>
  <c r="I45" i="1"/>
  <c r="I46" i="1"/>
  <c r="I47" i="1"/>
  <c r="I41" i="1"/>
  <c r="I25" i="1"/>
  <c r="I16" i="1"/>
  <c r="I17" i="1"/>
  <c r="I18" i="1"/>
  <c r="I19" i="1"/>
  <c r="I20" i="1"/>
  <c r="I15" i="1"/>
  <c r="E41" i="5"/>
  <c r="E43" i="5" s="1"/>
  <c r="E39" i="5"/>
  <c r="E50" i="5" s="1"/>
  <c r="E30" i="5"/>
  <c r="E17" i="5"/>
  <c r="I85" i="1" l="1"/>
  <c r="I100" i="1"/>
  <c r="I110" i="1"/>
  <c r="D25" i="22" s="1"/>
  <c r="L25" i="22" s="1"/>
  <c r="I48" i="1"/>
  <c r="D13" i="22" s="1"/>
  <c r="F13" i="22" s="1"/>
  <c r="I127" i="1"/>
  <c r="D31" i="22" s="1"/>
  <c r="I142" i="1"/>
  <c r="D33" i="22" s="1"/>
  <c r="M33" i="22" s="1"/>
  <c r="M32" i="22" s="1"/>
  <c r="I169" i="1"/>
  <c r="D35" i="22" s="1"/>
  <c r="J35" i="22" s="1"/>
  <c r="I259" i="1"/>
  <c r="I289" i="1"/>
  <c r="D47" i="22" s="1"/>
  <c r="P47" i="22" s="1"/>
  <c r="I65" i="1"/>
  <c r="D15" i="22" s="1"/>
  <c r="D23" i="22"/>
  <c r="I270" i="1"/>
  <c r="D45" i="22" s="1"/>
  <c r="I94" i="1"/>
  <c r="D21" i="22" s="1"/>
  <c r="I239" i="1"/>
  <c r="D41" i="22" s="1"/>
  <c r="N41" i="22" s="1"/>
  <c r="D37" i="22"/>
  <c r="L37" i="22" s="1"/>
  <c r="D49" i="22"/>
  <c r="Q39" i="22"/>
  <c r="N38" i="22"/>
  <c r="Q38" i="22" s="1"/>
  <c r="D27" i="22"/>
  <c r="D29" i="22"/>
  <c r="M29" i="22" s="1"/>
  <c r="I39" i="1"/>
  <c r="I70" i="1"/>
  <c r="I75" i="1" s="1"/>
  <c r="I21" i="1"/>
  <c r="I22" i="1" s="1"/>
  <c r="I307" i="1" l="1"/>
  <c r="D43" i="22"/>
  <c r="N43" i="22" s="1"/>
  <c r="N42" i="22" s="1"/>
  <c r="Q42" i="22" s="1"/>
  <c r="D17" i="22"/>
  <c r="D9" i="22"/>
  <c r="E9" i="22" s="1"/>
  <c r="E8" i="22" s="1"/>
  <c r="Q8" i="22" s="1"/>
  <c r="D11" i="22"/>
  <c r="O49" i="22"/>
  <c r="O48" i="22" s="1"/>
  <c r="P49" i="22"/>
  <c r="P48" i="22" s="1"/>
  <c r="D19" i="22"/>
  <c r="L24" i="22"/>
  <c r="Q24" i="22" s="1"/>
  <c r="Q25" i="22"/>
  <c r="N45" i="22"/>
  <c r="O45" i="22"/>
  <c r="O44" i="22" s="1"/>
  <c r="K35" i="22"/>
  <c r="J34" i="22"/>
  <c r="G15" i="22"/>
  <c r="G14" i="22" s="1"/>
  <c r="J15" i="22"/>
  <c r="F15" i="22"/>
  <c r="I15" i="22"/>
  <c r="H15" i="22"/>
  <c r="Q41" i="22"/>
  <c r="N40" i="22"/>
  <c r="Q40" i="22" s="1"/>
  <c r="Q47" i="22"/>
  <c r="P46" i="22"/>
  <c r="Q46" i="22" s="1"/>
  <c r="M28" i="22"/>
  <c r="Q28" i="22" s="1"/>
  <c r="Q29" i="22"/>
  <c r="G13" i="22"/>
  <c r="Q13" i="22" s="1"/>
  <c r="F12" i="22"/>
  <c r="M37" i="22"/>
  <c r="M36" i="22" s="1"/>
  <c r="L36" i="22"/>
  <c r="M21" i="22"/>
  <c r="N21" i="22" s="1"/>
  <c r="L31" i="22"/>
  <c r="L30" i="22" s="1"/>
  <c r="K31" i="22"/>
  <c r="L33" i="22"/>
  <c r="L32" i="22" s="1"/>
  <c r="F33" i="22"/>
  <c r="M23" i="22"/>
  <c r="M22" i="22" s="1"/>
  <c r="F27" i="22"/>
  <c r="K27" i="22"/>
  <c r="K26" i="22" s="1"/>
  <c r="G27" i="22"/>
  <c r="G26" i="22" s="1"/>
  <c r="Q43" i="22" l="1"/>
  <c r="E11" i="22"/>
  <c r="E52" i="22" s="1"/>
  <c r="E53" i="22" s="1"/>
  <c r="F11" i="22"/>
  <c r="F52" i="22" s="1"/>
  <c r="K17" i="22"/>
  <c r="K52" i="22" s="1"/>
  <c r="J17" i="22"/>
  <c r="J16" i="22" s="1"/>
  <c r="I17" i="22"/>
  <c r="I16" i="22" s="1"/>
  <c r="Q9" i="22"/>
  <c r="D50" i="22"/>
  <c r="D44" i="22" s="1"/>
  <c r="L19" i="22"/>
  <c r="L52" i="22" s="1"/>
  <c r="M19" i="22"/>
  <c r="M18" i="22" s="1"/>
  <c r="Q36" i="22"/>
  <c r="Q48" i="22"/>
  <c r="Q49" i="22"/>
  <c r="P52" i="22"/>
  <c r="O23" i="22"/>
  <c r="O52" i="22" s="1"/>
  <c r="K30" i="22"/>
  <c r="Q30" i="22" s="1"/>
  <c r="Q31" i="22"/>
  <c r="J14" i="22"/>
  <c r="F26" i="22"/>
  <c r="Q26" i="22" s="1"/>
  <c r="Q27" i="22"/>
  <c r="Q15" i="22"/>
  <c r="F14" i="22"/>
  <c r="Q35" i="22"/>
  <c r="K34" i="22"/>
  <c r="Q34" i="22" s="1"/>
  <c r="Q37" i="22"/>
  <c r="E10" i="22"/>
  <c r="H52" i="22"/>
  <c r="H14" i="22"/>
  <c r="Q45" i="22"/>
  <c r="N44" i="22"/>
  <c r="Q44" i="22" s="1"/>
  <c r="Q33" i="22"/>
  <c r="F32" i="22"/>
  <c r="Q32" i="22" s="1"/>
  <c r="G12" i="22"/>
  <c r="Q12" i="22" s="1"/>
  <c r="G52" i="22"/>
  <c r="I14" i="22"/>
  <c r="Q21" i="22"/>
  <c r="N52" i="22"/>
  <c r="N20" i="22"/>
  <c r="M20" i="22"/>
  <c r="L18" i="22" l="1"/>
  <c r="Q18" i="22" s="1"/>
  <c r="I52" i="22"/>
  <c r="I50" i="22" s="1"/>
  <c r="D26" i="22"/>
  <c r="F10" i="22"/>
  <c r="Q10" i="22" s="1"/>
  <c r="Q11" i="22"/>
  <c r="J52" i="22"/>
  <c r="J50" i="22" s="1"/>
  <c r="D22" i="22"/>
  <c r="D8" i="22"/>
  <c r="D40" i="22"/>
  <c r="H50" i="22"/>
  <c r="K50" i="22"/>
  <c r="D28" i="22"/>
  <c r="D10" i="22"/>
  <c r="D14" i="22"/>
  <c r="D46" i="22"/>
  <c r="D32" i="22"/>
  <c r="D20" i="22"/>
  <c r="D18" i="22"/>
  <c r="F50" i="22"/>
  <c r="L50" i="22"/>
  <c r="D34" i="22"/>
  <c r="D16" i="22"/>
  <c r="D36" i="22"/>
  <c r="G50" i="22"/>
  <c r="Q17" i="22"/>
  <c r="K16" i="22"/>
  <c r="Q16" i="22" s="1"/>
  <c r="O50" i="22"/>
  <c r="D30" i="22"/>
  <c r="D48" i="22"/>
  <c r="D42" i="22"/>
  <c r="D38" i="22"/>
  <c r="D24" i="22"/>
  <c r="D12" i="22"/>
  <c r="P50" i="22"/>
  <c r="Q19" i="22"/>
  <c r="M52" i="22"/>
  <c r="M50" i="22" s="1"/>
  <c r="Q23" i="22"/>
  <c r="O22" i="22"/>
  <c r="Q22" i="22" s="1"/>
  <c r="F53" i="22"/>
  <c r="G53" i="22" s="1"/>
  <c r="H53" i="22" s="1"/>
  <c r="E50" i="22"/>
  <c r="E51" i="22" s="1"/>
  <c r="Q20" i="22"/>
  <c r="Q14" i="22"/>
  <c r="N50" i="22"/>
  <c r="I53" i="22" l="1"/>
  <c r="J53" i="22" s="1"/>
  <c r="K53" i="22" s="1"/>
  <c r="L53" i="22" s="1"/>
  <c r="M53" i="22" s="1"/>
  <c r="N53" i="22" s="1"/>
  <c r="O53" i="22" s="1"/>
  <c r="P53" i="22" s="1"/>
  <c r="F51" i="22"/>
  <c r="G51" i="22" s="1"/>
  <c r="H51" i="22" s="1"/>
  <c r="I51" i="22" s="1"/>
  <c r="J51" i="22" l="1"/>
  <c r="K51" i="22" l="1"/>
  <c r="L51" i="22" l="1"/>
  <c r="M51" i="22" l="1"/>
  <c r="N51" i="22" l="1"/>
  <c r="O51" i="22" l="1"/>
  <c r="P51" i="22" l="1"/>
</calcChain>
</file>

<file path=xl/sharedStrings.xml><?xml version="1.0" encoding="utf-8"?>
<sst xmlns="http://schemas.openxmlformats.org/spreadsheetml/2006/main" count="6344" uniqueCount="1501">
  <si>
    <t>PREFEITURA MUNICIPAL DE JOÃO NEIVA</t>
  </si>
  <si>
    <t>PLANILHA ORÇAMENTÁRIA</t>
  </si>
  <si>
    <t>LOCAL: JOÃO NEIVA-ES</t>
  </si>
  <si>
    <t>L. SOCIAIS:</t>
  </si>
  <si>
    <t>TABELA DE REFERÊNCIA:DER/ES</t>
  </si>
  <si>
    <t>BDI:</t>
  </si>
  <si>
    <t>DATA-BASE:</t>
  </si>
  <si>
    <t>ITEM</t>
  </si>
  <si>
    <t>CÓDIGO</t>
  </si>
  <si>
    <t>ORGÃO</t>
  </si>
  <si>
    <t>DESCRIÇÃO SERVIÇO</t>
  </si>
  <si>
    <t>UNIDADE</t>
  </si>
  <si>
    <t>QUANTIDADE</t>
  </si>
  <si>
    <t>CUSTO (R$)</t>
  </si>
  <si>
    <t>UNITÁRIO</t>
  </si>
  <si>
    <t>TOTAL</t>
  </si>
  <si>
    <t>m</t>
  </si>
  <si>
    <t>01</t>
  </si>
  <si>
    <t>SERVIÇOS PRELIMINARES</t>
  </si>
  <si>
    <t>OBRA: CONSTRUÇÃO DO CRAS NO MUNICÍPIO DE JOÃO NEIVA</t>
  </si>
  <si>
    <t>LIMPEZA DO TERRENO</t>
  </si>
  <si>
    <t>0104</t>
  </si>
  <si>
    <t>02</t>
  </si>
  <si>
    <t>INSTALAÇÃO DO CANTEIRO DE OBRAS</t>
  </si>
  <si>
    <t>m2</t>
  </si>
  <si>
    <t>und</t>
  </si>
  <si>
    <t>Corte de capoeira fina, a foice (manual)</t>
  </si>
  <si>
    <t>Raspagem e limpeza do terreno (manual)</t>
  </si>
  <si>
    <t>Corte e destocamento de árvores com diâmetro de até 15 cm</t>
  </si>
  <si>
    <t>Corte e destocamento de árvores com diâmetro superior a 30 cm</t>
  </si>
  <si>
    <t>0105</t>
  </si>
  <si>
    <t>LOCAÇÃO DE OBRA</t>
  </si>
  <si>
    <t>TAPUMES, BARRACÕES E COBERTURAS</t>
  </si>
  <si>
    <t xml:space="preserve">0203 </t>
  </si>
  <si>
    <t>Placa de obra nas dimensões de 2.0 x 4.0 m, padrão IOPES</t>
  </si>
  <si>
    <t>Tapume Telha Metálica Ondulada em aço galvalume 0,50mm Branca h=2,20m, incl. montagem estr. mad.8"x8", c/adesivo "IOPES" 60x60cm a cada 10m, incl. faixas pint. esmalte sint. cores azul c/ h=30cm e rosa c/ h=10cm (Reaproveitamento 2x)</t>
  </si>
  <si>
    <t>Locação de andaime metálico para fachada - tipo torre (aluguel mensal)</t>
  </si>
  <si>
    <t xml:space="preserve"> m </t>
  </si>
  <si>
    <t>Barracão para escritório com sanitário área 14.50m2, de chapa de compens. 12mm e pontalete 8x8cm, piso cimentado e cobertura de telha de fibroc. 6mm, incl. ponto de luz e cx. de inspeção, conf. projeto (2 utilizações)</t>
  </si>
  <si>
    <t xml:space="preserve">m2 </t>
  </si>
  <si>
    <t>0208</t>
  </si>
  <si>
    <t>INSTALAÇÃO DO CANTEIRO DE OBRAS (UTILIZAÇÃO 2 VEZES), PROJETO PADRÃO LABOR NR.18 (OBRAS COM PRAZO DE EXECUÇÃO DE 6 A 12 MESES)</t>
  </si>
  <si>
    <t>Barracão para almoxarifado área de 10.90m2, de chapa de compensado 12mm e pontaletes 8x8cm, piso cimentado e cobertura de telha de fibrocimento de 6mm, inclusive ponto de luz, conf. projeto (2 utilizações)</t>
  </si>
  <si>
    <t xml:space="preserve">und </t>
  </si>
  <si>
    <t>Refeitório com paredes de chapa de compens. 12mm e pontaletes 8x8cm, piso ciment. e cobert. de telhas fibroc. 6mm, incl. ponto de luz e cx. de inspeção (cons. 1.21m2/func./turno), conf. projeto (2 utilização)</t>
  </si>
  <si>
    <t>Unidade de sanitário e vestiário para até 20 func. área 18.15m2, paredes de chapa compens. 12mm e pontalete 8x8cm, piso cimentado, cobert. telha fibroc. 6mm, incl. inst. de luz e cx. de inspeção, conf. projeto
(2 utilizações)</t>
  </si>
  <si>
    <t>Galpão para corte e armação com área de 6.00m2, de peças de madeira 8x8cm e contraventamento de
5x7cm, cobertura de telhas de fibroc. de 6mm, inclusive ponto e cabo de alimentação da máquina, conf.projeto (2 utilizações)</t>
  </si>
  <si>
    <t>Locação de obra com gabarito de madeira</t>
  </si>
  <si>
    <t xml:space="preserve"> m2 </t>
  </si>
  <si>
    <t xml:space="preserve">m </t>
  </si>
  <si>
    <t>Reservatório de poliestileno de 1000 L, inclusive suporte em madeira de 7x12cm e 5x7cm, elevado de 4m, conforme projeto (2 utilizações)</t>
  </si>
  <si>
    <t>Rede de água, com padrão de entrada d'água diâm. 3/4", conf. espec. CESAN, incl. tubos e conexões para alimentação, distribuição, extravasor e limpeza, cons. o padrão a 25m, conf. projeto (2 utilizações)</t>
  </si>
  <si>
    <t>Rede de luz, incl. padrão entrada de energia trifás., cabo de ligação até barracões, quadro de distrib., disj. e chave de força (quando necessário), cons. 20m entre padrão entrada e QDG, conf. projeto (1 utilização)</t>
  </si>
  <si>
    <t>Rede de esgoto, contendo fossa e filtro, inclusive tubos e conexões de ligação entre caixas, considerando distância de 25m, conforme projeto (1 utilização)</t>
  </si>
  <si>
    <t>0207</t>
  </si>
  <si>
    <t>INSTALAÇÃO DO CANTEIRO DE OBRAS (UTILIZAÇÃO 1 VEZ), PROJETO PADRÃO LABOR - NR.18 (OBRAS COM PRAZO DE EXECUÇÃO SUPERIOR A 12 MESES)</t>
  </si>
  <si>
    <t xml:space="preserve">m3 </t>
  </si>
  <si>
    <t xml:space="preserve"> m3 </t>
  </si>
  <si>
    <t>Escavação manual em material de 1a. categoria, até 1.50 m de profundidade</t>
  </si>
  <si>
    <t>ESCAVAÇÕES</t>
  </si>
  <si>
    <t xml:space="preserve"> MOVIMENTO DE TERRA</t>
  </si>
  <si>
    <t>03</t>
  </si>
  <si>
    <t>0301</t>
  </si>
  <si>
    <t>Reaterro apiloado de cavas de fundação, em camadas de 20 cm</t>
  </si>
  <si>
    <t>REATERRO E COMPACTAÇÃO</t>
  </si>
  <si>
    <t>0302</t>
  </si>
  <si>
    <t>Aterro manual para regularização do terreno em argila, inclusive adensamento manual e fornecimento do material (máximo de 100m3)</t>
  </si>
  <si>
    <t>Índice de preço para remoção de entulho decorrente da execução de obras (Classe A CONAMA - NBR10.004 - Classe II-B), incluindo aluguel da caçamba, carga, transporte e descarga em área licenciada</t>
  </si>
  <si>
    <t>TRANSPORTES</t>
  </si>
  <si>
    <t>0303</t>
  </si>
  <si>
    <t>INFRA-ESTRUTURA (FUNDAÇÃO)</t>
  </si>
  <si>
    <t>0402</t>
  </si>
  <si>
    <t>ESTRUTURAS</t>
  </si>
  <si>
    <t>04</t>
  </si>
  <si>
    <t>Fôrma de tábua de madeira de 2.5 x 30.0 cm para fundações, levando-se em conta a utilização 5 vezes (incluido o material, corte, montagem, escoramento e desforma)</t>
  </si>
  <si>
    <t>Fornecimento, preparo e aplicação de concreto magro com consumo mínimo de cimento de 250 kg/m3 (brita 1 e 2) - (5% de perdas já incluído no custo)</t>
  </si>
  <si>
    <t>Fornecimento, dobragem e colocação em fôrma, de armadura CA-50 A média, diâmetro de 6.3 a 10.0 mm</t>
  </si>
  <si>
    <t xml:space="preserve">kg </t>
  </si>
  <si>
    <t>Fornecimento, dobragem e colocação em fôrma, de armadura CA-50 A grossa diâmetro de 12.5 a 25.0 mm</t>
  </si>
  <si>
    <t xml:space="preserve"> kg </t>
  </si>
  <si>
    <t>LAJES PRÉ-MOLDADAS</t>
  </si>
  <si>
    <t>0406</t>
  </si>
  <si>
    <t>PAREDES E PAINÉIS</t>
  </si>
  <si>
    <t>05</t>
  </si>
  <si>
    <t>VERGAS/CONTRAVERGA</t>
  </si>
  <si>
    <t>0503</t>
  </si>
  <si>
    <t xml:space="preserve">Verga/contraverga reta de concreto armado 10 x 5 cm, Fck = 15 MPa, inclusive forma, armação e desforma </t>
  </si>
  <si>
    <t>Divisória de granito com 3 cm de espessura, assentada com argamassa de cimento e areia no traço 1:3, na cor cinza</t>
  </si>
  <si>
    <t>PLACAS E PAINÉIS DIVISÓRIOS</t>
  </si>
  <si>
    <t>0502</t>
  </si>
  <si>
    <t>ALVENARIA DE VEDAÇÃO EMPREGANDO ARGAMASSA DE CIMENTO, CAL E AREIA</t>
  </si>
  <si>
    <t>0506</t>
  </si>
  <si>
    <t>ESQUADRIAS DE MADEIRA</t>
  </si>
  <si>
    <t>06</t>
  </si>
  <si>
    <t>MARCOS E ALIZARES</t>
  </si>
  <si>
    <t>0601</t>
  </si>
  <si>
    <t xml:space="preserve"> und </t>
  </si>
  <si>
    <t>Marco de madeira de lei de 1ª (Peroba, Ipê, Angelim Pedra ou equivalente) com 15 x 3 cm de batente, nas dimensões de 0.90 x 2.10 m</t>
  </si>
  <si>
    <t xml:space="preserve">Marco de madeira de lei de 1ª (Peroba, Ipê, Angelim Pedra ou equivalente) com 15x3 cm de batente, nas dimensões de 0.70 x 2.10 m </t>
  </si>
  <si>
    <t xml:space="preserve">0613 </t>
  </si>
  <si>
    <t>PORTA EM MADEIRA DE LEI TIPO ANGELIM PEDRA OU EQUIV.C/ENCHIMENTO EM MADEIRA 1A.QUALIDADE ESP. 30MM P/ PINTURA, INCLUSIVE ALIZARES, DOBRADIÇAS E FECHADURA EXTERNA, EXCLUSIVE MARCO</t>
  </si>
  <si>
    <t>07</t>
  </si>
  <si>
    <t>GRADES E PORTÕES</t>
  </si>
  <si>
    <t xml:space="preserve">0711 </t>
  </si>
  <si>
    <t xml:space="preserve">Portão de ferro de abrir em barra chata, inclusive chumbamento </t>
  </si>
  <si>
    <t>ESQUADRIAS METÁLICAS (M2)</t>
  </si>
  <si>
    <t xml:space="preserve">0717 </t>
  </si>
  <si>
    <t>Janela de correr para vidro em alumínio anodizado cor natural, linha 25, completa, incl. puxador com tranca, alizar, caixilho e contramarco, exclusive vidro</t>
  </si>
  <si>
    <t xml:space="preserve">Grade de ferro em barra chata, inclusive chumbamento </t>
  </si>
  <si>
    <t>ESQUADRIAS METÁLICAS</t>
  </si>
  <si>
    <t xml:space="preserve">Porta em madeira de lei tipo angelim pedra ou equiv.c/enchimento em madeira 1a.qualidade esp. 30mm p/ pintura, inclusive alizares, dobradiças e fechadura externa em latão cromado LaFonte ou equiv., exclusive marco, nas dim.: 0.90 x 2.10 m </t>
  </si>
  <si>
    <t>Porta em madeira de lei tipo angelim pedra ou equiv.c/enchimento em madeira 1a.qualidade esp. 30mm p/ pintura, inclusive alizares, dobradiças e fechadura externa em latão cromado LaFonte ou equiv., exclusive marco, nas dim.: 0.70 x 2.10 m</t>
  </si>
  <si>
    <t xml:space="preserve">Vidro plano transparente liso, com 4 mm de espessura </t>
  </si>
  <si>
    <t xml:space="preserve"> VIDROS PARA ESQUADRIAS</t>
  </si>
  <si>
    <t>0801</t>
  </si>
  <si>
    <t>VIDROS E ESPELHOS</t>
  </si>
  <si>
    <t xml:space="preserve">08 </t>
  </si>
  <si>
    <t>ESPELHOS</t>
  </si>
  <si>
    <t xml:space="preserve">0802 </t>
  </si>
  <si>
    <t>Espelho para banheiros espessura 4 mm, incluindo chapa compensada 10 mm, moldura de alumínio em perfil L 3/4", fixado com parafusos cromados</t>
  </si>
  <si>
    <t>09</t>
  </si>
  <si>
    <t>0901</t>
  </si>
  <si>
    <t>ESTRUTURA PARA TELHADO</t>
  </si>
  <si>
    <t>Estrutura de madeira de lei tipo Paraju, peroba mica, angelim pedra ou equivalente para telhado de telha ondulada de fibrocimento esp. 6mm, com pontaletes e caibros, inclusive tratamento com cupinicida, exclusive telhas</t>
  </si>
  <si>
    <t xml:space="preserve">Cobertura nova de telhas onduladas de fibrocimento 8.0mm, inclusive cumeeiras e acessórios de fixação </t>
  </si>
  <si>
    <t>RUFOS E CALHAS</t>
  </si>
  <si>
    <t xml:space="preserve">0903 </t>
  </si>
  <si>
    <t>Calha em chapa galvanizada com largura de 40 cm</t>
  </si>
  <si>
    <t xml:space="preserve"> m</t>
  </si>
  <si>
    <t>PLATIBANDA</t>
  </si>
  <si>
    <t>0904</t>
  </si>
  <si>
    <t>IMPERMEABILIZAÇÃO</t>
  </si>
  <si>
    <t>IMPERMEABILIZAÇÃO CALHAS, LAJES DESCOBERTAS, BALDRAMES, PAREDES E JARDINEIRAS</t>
  </si>
  <si>
    <t xml:space="preserve">Pintura impermeabilizante com igolflex ou equivalente a 3 demãos </t>
  </si>
  <si>
    <t>TETOS E FORROS</t>
  </si>
  <si>
    <t>REBAIXAMENTOS</t>
  </si>
  <si>
    <t>REVESTIMENTO COM ARGAMASSA</t>
  </si>
  <si>
    <t>REVESTIMENTO DE PAREDES</t>
  </si>
  <si>
    <t xml:space="preserve">Chapisco de argamassa de cimento e areia média ou grossa lavada, no traço 1:3, espessura 5 mm </t>
  </si>
  <si>
    <t>ACABAMENTOS</t>
  </si>
  <si>
    <t xml:space="preserve">Chapisco de argamassa de cimento e areia média ou grossa lavada no traço 1:3, espessura 5mm, com utilização de impermeabilizante </t>
  </si>
  <si>
    <t>LASTRO DE CONTRAPISO</t>
  </si>
  <si>
    <t>PISOS INTERNOS E EXTERNOS</t>
  </si>
  <si>
    <t>INSTALAÇÕES HIDRO-SANITÁRIAS</t>
  </si>
  <si>
    <t>DEGRAUS, RODAPÉS, SOLEIRAS E PEITORIS</t>
  </si>
  <si>
    <t xml:space="preserve">Forro de gesso acabamento tipo liso </t>
  </si>
  <si>
    <t xml:space="preserve">Lastro impermeabilizado de concreto não estrutural, espessura de 8cm </t>
  </si>
  <si>
    <t>Piso argamassa alta resistência tipo granilite ou equiv de qualidade comprovada, esp de 10mm, com juntas plástica em quadros de 1m, na cor natural, com acabamento anti-derrapante mecanizado, inclusive regularização e=3.0cm</t>
  </si>
  <si>
    <t>Piso argamassa alta resistência tipo granilite ou equiv de qualidade comprovada, esp de 10mm, com juntas plástica em quadros de 1m, na cor natural, com acabamento polido mecanizado, inclusive regularização e=3.0cm</t>
  </si>
  <si>
    <t>Porcelanato polido, acabamento acetinado, dim. 60x60cm, ref. de cor CIMENTO CINZA BOLD Potobello/equiv, utilizando dupla colagem de argamassa colante para porcelanato tipo ACIII e rejunte 1mm para porcelanato</t>
  </si>
  <si>
    <t>Soleira de granito esp. 2 cm e largura de 15 cm</t>
  </si>
  <si>
    <t xml:space="preserve">Rodapé de granito cinza esp. 2cm, h=7cm, assentado com argamassa de cimento, cal hidratada CH1 e areia no traço 1:0,5:8, incl. rejuntamento com cimento branco </t>
  </si>
  <si>
    <t>Padrão de entrada d'água com caixa termoplástica para hidrômetro de 3/4" - padrão 1B da CESAN. Instalado embutido na alvenaria. Inclusive tubulação, conexões, registro, tubo camisa e caixa com tampa transparente. Conferir detalhe.</t>
  </si>
  <si>
    <t>ENTRADA DE ÁGUA</t>
  </si>
  <si>
    <t>PONTOS HIDRO-SANITÁRIOS</t>
  </si>
  <si>
    <t xml:space="preserve">pt </t>
  </si>
  <si>
    <t xml:space="preserve">Ponto de água fria (lavatório, tanque, pia de cozinha, etc...) </t>
  </si>
  <si>
    <t>Ponto para esgoto primário (vaso sanitário)</t>
  </si>
  <si>
    <t xml:space="preserve"> pt </t>
  </si>
  <si>
    <t xml:space="preserve">Ponto para esgoto secundário (pia, lavatório, mictório, tanque, bidê, etc...) </t>
  </si>
  <si>
    <t>15 INSTALAÇÕES ELÉTRICAS</t>
  </si>
  <si>
    <t>Ponto para caixa sifonada, inclusive caixa sifonada pvc 150x150x50mm com grelha em aço inox</t>
  </si>
  <si>
    <t>TUBULAÇÃO DE LIGAÇÃO DE CAIXAS</t>
  </si>
  <si>
    <t xml:space="preserve">Tubo PVC rígido para esgoto no diâmetro de 100mm incluindo escavação e aterro com areia </t>
  </si>
  <si>
    <t>CAIXAS EMPREGANDO ARGAMASSA DE CIMENTO, CAL E AREIA</t>
  </si>
  <si>
    <t>Caixas de inspeção de alv. blocos concreto 9x19x39cm, dim, 60x60cm e Hmáx = 1m, com tampa de conc. esp. 5cm, lastro de conc. esp. 10cm, revest intern. c/ chapisco e reboco impermeabilizado, incl. escavação, reaterro e enchimento</t>
  </si>
  <si>
    <t>Caixa de gordura de alv. bloco concreto 9x19x39cm, dim.60x60cm e Hmáx=1m, com tampa em concreto esp.5cm, lastro concreto esp.10cm, revestida intern. c/ chapisco e reboco impermeab, escavação, reaterro e parede interna em concreto</t>
  </si>
  <si>
    <t>REDE DE ÁGUA FRIA - TUBOS SOLDÁVEIS DE PVC</t>
  </si>
  <si>
    <t>Tubo de PVC rígido soldável marrom, diâm. 25mm (3/4"), inclusive conexões</t>
  </si>
  <si>
    <t xml:space="preserve">Tubo de PVC rigido soldável marrom, diâm. 32mm (1"), inclusive conexões  </t>
  </si>
  <si>
    <t>REDE DE ESGOTO - TUBOS DE PVC</t>
  </si>
  <si>
    <t>Tubo de PVC rígido soldável branco, para esgoto, diâmetro 40mm (1 1/2"), inclusive conexões</t>
  </si>
  <si>
    <t xml:space="preserve">Tubo de PVC rígido soldável branco, para esgoto, diâmetro 50mm (2"), inclusive conexões </t>
  </si>
  <si>
    <t xml:space="preserve">Tubo de PVC rígido soldável branco, para esgoto, diâmetro 100mm (4"), inclusive conexões </t>
  </si>
  <si>
    <t xml:space="preserve">Tubo de PVC rígido soldável branco, para esgoto, diâmetro 150mm (6"), inclusive conexões </t>
  </si>
  <si>
    <t>CAIXAS DE PVC / EQUIPAMENTOS</t>
  </si>
  <si>
    <t xml:space="preserve">Torneira de bóia de PVC, diâm. 1" (25mm) </t>
  </si>
  <si>
    <t xml:space="preserve">Adaptador de PVC com flanges livres para caixa d'água de 25mmx3/4" </t>
  </si>
  <si>
    <t xml:space="preserve">Adaptador de PVC com flanges livres para caixa d'água de 32mmx1" </t>
  </si>
  <si>
    <t>QUADRO DE DISTRIBUIÇÃO</t>
  </si>
  <si>
    <t xml:space="preserve">Quadro de distribuição de energia, de embutir, com 24 divisões modulares, com barramento </t>
  </si>
  <si>
    <t>CAIXAS DE PASSAGEM</t>
  </si>
  <si>
    <t>ELETRODUTOS E CONEXÕES</t>
  </si>
  <si>
    <t xml:space="preserve">Eletroduto flexível corrugado 3/4" , marca de referência TIGRE </t>
  </si>
  <si>
    <t xml:space="preserve">Eletroduto flexível corrugado 1", marca de referência TIGRE </t>
  </si>
  <si>
    <t>CHAVES, FUSIVEIS E DISJUNTORES</t>
  </si>
  <si>
    <t>Mini-Disjuntor bipolar 16 A, curva C - 5KA 220/127VCA (NBR IEC 60947-2), Ref. Siemens, GE, Schneider ou equivalente</t>
  </si>
  <si>
    <t>Dispositivo de proteção contra surto (DPS) bipolar, tensão nominal máxima 275VCA, corente de surto máxima 40KA.</t>
  </si>
  <si>
    <t>FIOS E CABOS</t>
  </si>
  <si>
    <t xml:space="preserve">Fio de cobre termoplástico, com isolamento para 750V, seção de 1.5 mm2 </t>
  </si>
  <si>
    <t xml:space="preserve">Fio de cobre termoplástico, com isolamento para 750V, seção de 2.5 mm2 </t>
  </si>
  <si>
    <t xml:space="preserve">Fio ou cabo de cobre termoplástico, com isolamento para 750V, seção de 4.0 mm2  </t>
  </si>
  <si>
    <t xml:space="preserve">Fio ou cabo de cobre termoplástico, com isolamento para 750V, seção de 6.0 mm2 </t>
  </si>
  <si>
    <t>PADRAO DE ENTRADA DE ENERGIA - NORTEC-01 - ESCELSA</t>
  </si>
  <si>
    <t>OUTRAS INSTALAÇÕES</t>
  </si>
  <si>
    <t>INSTALAÇÃO DE TELEFONE</t>
  </si>
  <si>
    <t>INSTALAÇÃO DE REDE LÓGICA</t>
  </si>
  <si>
    <t xml:space="preserve">Conector RJ 45 macho </t>
  </si>
  <si>
    <t>APARELHOS HIDRO-SANITÁRIOS</t>
  </si>
  <si>
    <t>LOUÇAS</t>
  </si>
  <si>
    <t xml:space="preserve">Lavatório de Canto ref. L101 DECA ou equivalente, inclusive válvula, sifão e engates cromados, exclusive torneira </t>
  </si>
  <si>
    <t xml:space="preserve">Cuba louça branca oval, de embutir, Mod. L37, marca de ref. Deca incl. válvula e sifão, exclusive torneira. </t>
  </si>
  <si>
    <t>Bacia sanitária de louça branca, com caixa acoplada duplo acionamento, marca de ref. Deca Linha Ravena ou equivalente, inclusive assento plástico e acessórios de fixação</t>
  </si>
  <si>
    <t>BANCADAS</t>
  </si>
  <si>
    <t>TORNEIRAS, REGISTROS, VÁLVULAS E METAIS</t>
  </si>
  <si>
    <t xml:space="preserve">Bancada de granito com espessura de 2 cm </t>
  </si>
  <si>
    <t xml:space="preserve">Torneira pressão cromada diâm. 1/2" para lavatório, marcas de referência Fabrimar, Deca ou Docol </t>
  </si>
  <si>
    <t xml:space="preserve">Torneira para tanque, marcas de referência Fabrimar, Deca ou Docol. </t>
  </si>
  <si>
    <t xml:space="preserve">Torneira para jardim de 3/4" marcas de referência Fabrimar, Deca ou Docol </t>
  </si>
  <si>
    <t xml:space="preserve">Torneira pressão cromada diam. 1/2" para pia, marcas de referência Fabrimar, Deca ou Docol </t>
  </si>
  <si>
    <t>Registro de pressão com canopla cromada diam. 20mm (3/4"), marcas de referência Fabrimar, Deca ou Docol</t>
  </si>
  <si>
    <t xml:space="preserve">Registro de gaveta bruto diam. 25mm (1") </t>
  </si>
  <si>
    <t>Registro de gaveta bruto diam. 32mm (11/4")</t>
  </si>
  <si>
    <t xml:space="preserve">Registro de gaveta com canopla cromada diam. 25mm (1"), marcas de referência Fabrimar, Deca ou Docol </t>
  </si>
  <si>
    <t>OUTROS APARELHOS</t>
  </si>
  <si>
    <t>Ducha manual Acqua jet , linha Aquarius, com registro ref.C 2195, marcas de referência Fabrimar, Deca ou Docol</t>
  </si>
  <si>
    <t>Cuba em aço inox nº 02(dim.560x340x150)mm, marcas de referência Franke, Strake, tramontina, inclusive válvula de metal 31/2" e sifão cromado 1 x 1/2", excl. torneira</t>
  </si>
  <si>
    <t>Reservatório de polietileno de 1000l, inclusive peça de madeira 6x16cm para apoio, exclusive flanges e torneira de bóia</t>
  </si>
  <si>
    <t xml:space="preserve">Reservatório de polietileno de 1500l, inclusive peça 6x16cm para apoio, exclusive flanges e torneira de bóia </t>
  </si>
  <si>
    <t xml:space="preserve">Tanque de mármore sintético com um bojo, inclusive válvula e sifão em PVC </t>
  </si>
  <si>
    <t>APARELHOS ELÉTRICOS</t>
  </si>
  <si>
    <t>INTERRUPTORES E TOMADAS</t>
  </si>
  <si>
    <t xml:space="preserve">Tomada padrão brasileiro linha branca, NBR 14136 2 polos + terra 10A/250V, com placa 4x2" </t>
  </si>
  <si>
    <t xml:space="preserve">Tomada padrão brasileiro linha branca, NBR 14136 2 polos + terra 20A/250V, com placa 4x2" </t>
  </si>
  <si>
    <t xml:space="preserve"> Interruptor de uma tecla simples 10A/250V, com placa 4x2" </t>
  </si>
  <si>
    <t xml:space="preserve">Interruptor de duas teclas simples 10A/250V, com placa 4x2" </t>
  </si>
  <si>
    <t>Interruptor de uma tecla simples 10A/250V e uma tomada 3 polos 10A/250V, padrão brasileiro, NBR 14136, linha branca, com placa 4x2"</t>
  </si>
  <si>
    <t xml:space="preserve">Espelho para caixa estampada 4 x 2" </t>
  </si>
  <si>
    <t xml:space="preserve">Chuveiro elétrico tipo ducha Lorenzet ou Corona </t>
  </si>
  <si>
    <t>PINTURA</t>
  </si>
  <si>
    <t>SOBRE PAREDES E FORROS</t>
  </si>
  <si>
    <t xml:space="preserve">Emassamento de paredes e forros, com duas demãos de massa acrílica, marcas de referência Suvinil, Coral ou Metalatex </t>
  </si>
  <si>
    <t xml:space="preserve">Pintura com tinta acrílica, marcas de referência Suvinil, Coral ou Metalatex, inclusive selador acrílico, em paredes e forros, a três demãos </t>
  </si>
  <si>
    <t xml:space="preserve"> SOBRE MADEIRA</t>
  </si>
  <si>
    <t>Pintura com verniz filtro solar fosco, linha Premium, em madeira, a três demãos, marcas de referência Suvinil, Coral ou Metalatex</t>
  </si>
  <si>
    <t>SOBRE METAL</t>
  </si>
  <si>
    <t>Pintura com tinta esmalte sintético, marcas de referência Suvinil, Coral ou Metalatex, a duas demãos, inclusive fundo anticorrosivo a uma demão, em metal</t>
  </si>
  <si>
    <t>SOBRE PISOS</t>
  </si>
  <si>
    <t xml:space="preserve">Pintura sobre pisos, marcas de referência Novacor, Coral ou Suvinil, a duas demãos, Linha Premium </t>
  </si>
  <si>
    <t>PAVIMENTAÇÃO</t>
  </si>
  <si>
    <t>Meio-fio de concreto pré-moldado com dimensões de 15x12x30x100 cm , rejuntados com argamassa de cimento e areia no traço 1:3</t>
  </si>
  <si>
    <t>Passeio de cimentado camurçado com argamassa de cimento e areia no traço 1:3 esp. 1.5cm, e lastro de concreto com 8cm de espessura, inclusive preparo de caixa</t>
  </si>
  <si>
    <t>Fornecimento e assentamento de ladrilho hidráulico pastilhado, vermelho, dim. 20x20 cm, esp. 1.5cm, assentado com pasta de cimento colante, exclusive regularização e lastro</t>
  </si>
  <si>
    <t>Fornecimento e assentamento de ladrilho hidráulico ranhurado, vermelho, dim. 20x20 cm, esp. 1.5cm, assentado com pasta de cimento colante, exclusive regularização e lastro</t>
  </si>
  <si>
    <t>PAISAGISMO</t>
  </si>
  <si>
    <t xml:space="preserve">Fornecimento e plantio de grama em placas tipo esmeralda, inclusive fornecimento de terra vegetal </t>
  </si>
  <si>
    <t>TRATAMENTO, CONSERVAÇÃO E LIMPEZA</t>
  </si>
  <si>
    <t xml:space="preserve">Limpeza geral da obra (edificação) </t>
  </si>
  <si>
    <t>Placa para inauguração de obra em alumínio polido e=4mm, dimensões 40 x 50 cm, gravação em baixo relevo, inclusive pintura e fixação</t>
  </si>
  <si>
    <t>DIVERSOS EXTERNOS</t>
  </si>
  <si>
    <t>DIVERSOS INTERNOS</t>
  </si>
  <si>
    <t>Alçapão de visita ao barrilete de chapa de madeira de lei medindo 60x60cm, inclusive dobradiça, marco, alizar e fechadura, emassamento e pintura</t>
  </si>
  <si>
    <t>REVESTIMENTO EMPREGANDO ARGAMASSA DE CIMENTO, CAL E AREIA</t>
  </si>
  <si>
    <t xml:space="preserve">Reboco tipo paulista de argamassa de cimento, cal hidratada CH1 e areia média ou grossa lavada no traço 1:0.5:6, espessura 25 mm </t>
  </si>
  <si>
    <t>SERVIÇOS COMPLEMENTARES EXTERNOS</t>
  </si>
  <si>
    <t>SERVIÇOS COMPLEMENTARES INTERNOS</t>
  </si>
  <si>
    <t>MEMÓRIA DE CÁLCULO</t>
  </si>
  <si>
    <t>Qnt</t>
  </si>
  <si>
    <t>C (m)</t>
  </si>
  <si>
    <t>L (m)</t>
  </si>
  <si>
    <t>H (m)</t>
  </si>
  <si>
    <t>A(m2)</t>
  </si>
  <si>
    <t>V(m3)</t>
  </si>
  <si>
    <t>QUANT.  DO SERVIÇO</t>
  </si>
  <si>
    <t>TABELA DE REFERÊNCIA: DER/ES</t>
  </si>
  <si>
    <t>1.1</t>
  </si>
  <si>
    <t>1.1.1</t>
  </si>
  <si>
    <t>2.2.2</t>
  </si>
  <si>
    <t>1.1.2</t>
  </si>
  <si>
    <t>1.1.3</t>
  </si>
  <si>
    <t>1.1.4</t>
  </si>
  <si>
    <t>1.2</t>
  </si>
  <si>
    <t>1.2.1</t>
  </si>
  <si>
    <t>2.1</t>
  </si>
  <si>
    <t>2.1.1</t>
  </si>
  <si>
    <t>2.1.2</t>
  </si>
  <si>
    <t>2.1.3</t>
  </si>
  <si>
    <t>2.2</t>
  </si>
  <si>
    <t>2.2.1</t>
  </si>
  <si>
    <t>2.3</t>
  </si>
  <si>
    <t>2.3.1</t>
  </si>
  <si>
    <t>2.3.2</t>
  </si>
  <si>
    <t>2.3.5</t>
  </si>
  <si>
    <t>2.3.3</t>
  </si>
  <si>
    <t>2.3.4</t>
  </si>
  <si>
    <t>2.3.6</t>
  </si>
  <si>
    <t>2.3.7</t>
  </si>
  <si>
    <t>3.1</t>
  </si>
  <si>
    <t>3.1.1</t>
  </si>
  <si>
    <t>3.2</t>
  </si>
  <si>
    <t>3.2.1</t>
  </si>
  <si>
    <t>3.2.2</t>
  </si>
  <si>
    <t>3.3</t>
  </si>
  <si>
    <t>3.3.1</t>
  </si>
  <si>
    <t>4.1</t>
  </si>
  <si>
    <t>4.1.1</t>
  </si>
  <si>
    <t>4.1.2</t>
  </si>
  <si>
    <t>4.1.3</t>
  </si>
  <si>
    <t>4.1.4</t>
  </si>
  <si>
    <t>4.1.5</t>
  </si>
  <si>
    <t>4.1.6</t>
  </si>
  <si>
    <t>4.2</t>
  </si>
  <si>
    <t>4.2.1</t>
  </si>
  <si>
    <t>5.1</t>
  </si>
  <si>
    <t>5.1.1</t>
  </si>
  <si>
    <t>5.2</t>
  </si>
  <si>
    <t>5.2.1</t>
  </si>
  <si>
    <t>5.3</t>
  </si>
  <si>
    <t>5.3.1</t>
  </si>
  <si>
    <t>5.4</t>
  </si>
  <si>
    <t>5.4.1</t>
  </si>
  <si>
    <t>6.1</t>
  </si>
  <si>
    <t>6.1.1</t>
  </si>
  <si>
    <t>6.1.2</t>
  </si>
  <si>
    <t>6.1.3</t>
  </si>
  <si>
    <t>6.1.4</t>
  </si>
  <si>
    <t>6.2</t>
  </si>
  <si>
    <t>6.2.1</t>
  </si>
  <si>
    <t>7.1</t>
  </si>
  <si>
    <t>7.1.1</t>
  </si>
  <si>
    <t>7.1.2</t>
  </si>
  <si>
    <t>7.1.3</t>
  </si>
  <si>
    <t>7.2</t>
  </si>
  <si>
    <t>7.2.1</t>
  </si>
  <si>
    <t>8.1</t>
  </si>
  <si>
    <t>8.1.1</t>
  </si>
  <si>
    <t>8.2</t>
  </si>
  <si>
    <t>8.2.1</t>
  </si>
  <si>
    <t>9.1</t>
  </si>
  <si>
    <t>9.1.1</t>
  </si>
  <si>
    <t>9.1.2</t>
  </si>
  <si>
    <t>9.2</t>
  </si>
  <si>
    <t>9.2.1</t>
  </si>
  <si>
    <t>9.3</t>
  </si>
  <si>
    <t>9.3.1</t>
  </si>
  <si>
    <t>10.1</t>
  </si>
  <si>
    <t>10.1.1</t>
  </si>
  <si>
    <t>11.1</t>
  </si>
  <si>
    <t>11.1.1</t>
  </si>
  <si>
    <t>12.1</t>
  </si>
  <si>
    <t>12.1.1</t>
  </si>
  <si>
    <t>12.2</t>
  </si>
  <si>
    <t>13.2</t>
  </si>
  <si>
    <t>12.2.1</t>
  </si>
  <si>
    <t>13.1</t>
  </si>
  <si>
    <t>13.1.1</t>
  </si>
  <si>
    <t>13.1.2</t>
  </si>
  <si>
    <t>13.2.1</t>
  </si>
  <si>
    <t>13.2.2</t>
  </si>
  <si>
    <t>13.2.3</t>
  </si>
  <si>
    <t>13.2.4</t>
  </si>
  <si>
    <t>13.3</t>
  </si>
  <si>
    <t>14.3</t>
  </si>
  <si>
    <t>13.3.1</t>
  </si>
  <si>
    <t>13.3.2</t>
  </si>
  <si>
    <t>13.3.3</t>
  </si>
  <si>
    <t>14.1</t>
  </si>
  <si>
    <t>14.1.1</t>
  </si>
  <si>
    <t>14.2</t>
  </si>
  <si>
    <t>14.2.1</t>
  </si>
  <si>
    <t>14.2.2</t>
  </si>
  <si>
    <t>14.2.3</t>
  </si>
  <si>
    <t>14.2.4</t>
  </si>
  <si>
    <t>14.3.1</t>
  </si>
  <si>
    <t>14.4</t>
  </si>
  <si>
    <t>14.4.1</t>
  </si>
  <si>
    <t>14.4.2</t>
  </si>
  <si>
    <t>14.5</t>
  </si>
  <si>
    <t>14.5.1</t>
  </si>
  <si>
    <t>14.5.2</t>
  </si>
  <si>
    <t>14.6</t>
  </si>
  <si>
    <t>14.6.1</t>
  </si>
  <si>
    <t>14.6.2</t>
  </si>
  <si>
    <t>14.6.3</t>
  </si>
  <si>
    <t>14.6.4</t>
  </si>
  <si>
    <t>14.7</t>
  </si>
  <si>
    <t>14.7.1</t>
  </si>
  <si>
    <t>14.7.2</t>
  </si>
  <si>
    <t>14.7.3</t>
  </si>
  <si>
    <t>15.1</t>
  </si>
  <si>
    <t>15.1.1</t>
  </si>
  <si>
    <t>15.2</t>
  </si>
  <si>
    <t>15.2.1</t>
  </si>
  <si>
    <t>15.2.2</t>
  </si>
  <si>
    <t>15.3</t>
  </si>
  <si>
    <t>15.3.1</t>
  </si>
  <si>
    <t>15.4</t>
  </si>
  <si>
    <t>15.4.1</t>
  </si>
  <si>
    <t>15.4.2</t>
  </si>
  <si>
    <t>15.5</t>
  </si>
  <si>
    <t>15.5.1</t>
  </si>
  <si>
    <t>15.5.2</t>
  </si>
  <si>
    <t>15.5.3</t>
  </si>
  <si>
    <t>15.5.4</t>
  </si>
  <si>
    <t>15.6</t>
  </si>
  <si>
    <t>15.6.1</t>
  </si>
  <si>
    <t>15.6.2</t>
  </si>
  <si>
    <t>15.7</t>
  </si>
  <si>
    <t>15.7.1</t>
  </si>
  <si>
    <t>15.8</t>
  </si>
  <si>
    <t>16.1</t>
  </si>
  <si>
    <t>16.1.1</t>
  </si>
  <si>
    <t>16.1.2</t>
  </si>
  <si>
    <t>16.2</t>
  </si>
  <si>
    <t>17.4</t>
  </si>
  <si>
    <t>17.1</t>
  </si>
  <si>
    <t>17.1.1</t>
  </si>
  <si>
    <t>17.1.2</t>
  </si>
  <si>
    <t>17.1.3</t>
  </si>
  <si>
    <t>17.1.4</t>
  </si>
  <si>
    <t>17.2</t>
  </si>
  <si>
    <t>17.2.1</t>
  </si>
  <si>
    <t>17.3</t>
  </si>
  <si>
    <t>17.3.1</t>
  </si>
  <si>
    <t>17.3.2</t>
  </si>
  <si>
    <t>17.3.3</t>
  </si>
  <si>
    <t>17.3.4</t>
  </si>
  <si>
    <t>17.3.5</t>
  </si>
  <si>
    <t>17.3.6</t>
  </si>
  <si>
    <t>17.3.7</t>
  </si>
  <si>
    <t>17.3.8</t>
  </si>
  <si>
    <t>17.4.1</t>
  </si>
  <si>
    <t>17.4.2</t>
  </si>
  <si>
    <t>17.4.3</t>
  </si>
  <si>
    <t>17.4.4</t>
  </si>
  <si>
    <t>17.4.5</t>
  </si>
  <si>
    <t>18.1</t>
  </si>
  <si>
    <t>18.1.1</t>
  </si>
  <si>
    <t>18.1.2</t>
  </si>
  <si>
    <t>18.1.3</t>
  </si>
  <si>
    <t>18.1.4</t>
  </si>
  <si>
    <t>18.1.5</t>
  </si>
  <si>
    <t>18.1.6</t>
  </si>
  <si>
    <t>18.1.7</t>
  </si>
  <si>
    <t>18.1.8</t>
  </si>
  <si>
    <t>18.2</t>
  </si>
  <si>
    <t>19.2</t>
  </si>
  <si>
    <t>18.2.1</t>
  </si>
  <si>
    <t>19.1</t>
  </si>
  <si>
    <t>19.1.1</t>
  </si>
  <si>
    <t>19.1.2</t>
  </si>
  <si>
    <t>20.2</t>
  </si>
  <si>
    <t>19.2.1</t>
  </si>
  <si>
    <t>19.3</t>
  </si>
  <si>
    <t>19.3.1</t>
  </si>
  <si>
    <t>19.4</t>
  </si>
  <si>
    <t>19.4.1</t>
  </si>
  <si>
    <t>20.1</t>
  </si>
  <si>
    <t>20.1.1</t>
  </si>
  <si>
    <t>20.1.2</t>
  </si>
  <si>
    <t>20.1.3</t>
  </si>
  <si>
    <t>20.1.4</t>
  </si>
  <si>
    <t>20.2.1</t>
  </si>
  <si>
    <t>20.3</t>
  </si>
  <si>
    <t>20.3.1</t>
  </si>
  <si>
    <t>20.4</t>
  </si>
  <si>
    <t>20.4.1</t>
  </si>
  <si>
    <t>21.1</t>
  </si>
  <si>
    <t>21.1.1</t>
  </si>
  <si>
    <t>SUB-TOTAL 01</t>
  </si>
  <si>
    <t>SUB-TOTAL 02</t>
  </si>
  <si>
    <t>SUB-TOTAL 03</t>
  </si>
  <si>
    <t>SUB-TOTAL 04</t>
  </si>
  <si>
    <t>SUB-TOTAL 05</t>
  </si>
  <si>
    <t>SUB-TOTAL 06</t>
  </si>
  <si>
    <t>SUB-TOTAL 07</t>
  </si>
  <si>
    <t>SUB-TOTAL 08</t>
  </si>
  <si>
    <t>SUB-TOTAL 09</t>
  </si>
  <si>
    <t>SUB-TOTAL 10</t>
  </si>
  <si>
    <t>SUB-TOTAL 11</t>
  </si>
  <si>
    <t>SUB-TOTAL 12</t>
  </si>
  <si>
    <t>SUB-TOTAL 13</t>
  </si>
  <si>
    <t>SUB-TOTAL 14</t>
  </si>
  <si>
    <t>SUB-TOTAL 15</t>
  </si>
  <si>
    <t>SUB-TOTAL 16</t>
  </si>
  <si>
    <t>SUB-TOTAL 17</t>
  </si>
  <si>
    <t>SUB-TOTAL 18</t>
  </si>
  <si>
    <t>SUB-TOTAL 19</t>
  </si>
  <si>
    <t>SUB-TOTAL 20</t>
  </si>
  <si>
    <t>SUB-TOTAL 21</t>
  </si>
  <si>
    <t>Área do pavimento térreo</t>
  </si>
  <si>
    <t>Para Serviços</t>
  </si>
  <si>
    <t>GRUPO A</t>
  </si>
  <si>
    <t>Total Grupo A</t>
  </si>
  <si>
    <t>GRUPO B</t>
  </si>
  <si>
    <t>Administração Central</t>
  </si>
  <si>
    <t>Total Grupo B</t>
  </si>
  <si>
    <t>GRUPO C</t>
  </si>
  <si>
    <t>Total Grupo C</t>
  </si>
  <si>
    <t>GRUPO D</t>
  </si>
  <si>
    <t>Seguros / Garantia</t>
  </si>
  <si>
    <t>Riscos</t>
  </si>
  <si>
    <t>Total Grupo D</t>
  </si>
  <si>
    <t>GRUPO E</t>
  </si>
  <si>
    <t>ISS</t>
  </si>
  <si>
    <t>PIS</t>
  </si>
  <si>
    <t>COFINS</t>
  </si>
  <si>
    <t>CPRB</t>
  </si>
  <si>
    <t>Total Grupo E</t>
  </si>
  <si>
    <t>BDI Total</t>
  </si>
  <si>
    <t>OBS:</t>
  </si>
  <si>
    <t>1</t>
  </si>
  <si>
    <t>- A fórmula para cálculo da taxa a ser acrescida aos custos diretos de um</t>
  </si>
  <si>
    <t>empreendimento a título de Benefícios e Despesas Indiretas é:</t>
  </si>
  <si>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</si>
  <si>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</si>
  <si>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</si>
  <si>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</si>
  <si>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</si>
  <si>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</si>
  <si>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</si>
  <si>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</si>
  <si>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</si>
  <si>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</si>
  <si>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</si>
  <si>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t>GRUPO A - Encargos Sociais Básicos</t>
  </si>
  <si>
    <t>INSS (Art. 22 da Lei 8.212/91)</t>
  </si>
  <si>
    <t>FGTS (Art. 27 do Decreto 99.684/90)</t>
  </si>
  <si>
    <t>SESI/SESC (Lei 8.029/90 e Lei 8.036/90)</t>
  </si>
  <si>
    <t>SENAI/SENAC (Lei 8.029/90 e Decreto-Lei 6246/44)</t>
  </si>
  <si>
    <t>SEBRAE (já considerado no item A.3 e A.4)</t>
  </si>
  <si>
    <t>-</t>
  </si>
  <si>
    <t>INCRA (Lei 2.613/55 e Decreto 1.146/70)</t>
  </si>
  <si>
    <t>SALÁRIO-EDUCAÇÃO (Decreto 87.043/82)</t>
  </si>
  <si>
    <t>SEGURO ACIDENTE DO TRABALHO (Lei 8.212/91 e Decreto 3.048/99)</t>
  </si>
  <si>
    <t>SECONCI/Medicina do Trabalho</t>
  </si>
  <si>
    <t>TOTAL GRUPO A</t>
  </si>
  <si>
    <t>GRUPO B - Encargos Sociais que recebem a incidência do grupo A</t>
  </si>
  <si>
    <t>Descanso Semanal Remunerado (Art. 66 da CLT e Art. 7º da CF/88)</t>
  </si>
  <si>
    <t>Feriados (Art. 70 da CLT e Lei 605/49)</t>
  </si>
  <si>
    <t>Auxílio doença e acidente do trabalho (Lei 3.607/60 e Art. 131 da CLT)</t>
  </si>
  <si>
    <t>Licença Paternidade (Art. 7º da CF/88)</t>
  </si>
  <si>
    <t>Faltas Legais (Art. 473 da CLT)</t>
  </si>
  <si>
    <t>13º Salário (Lei nº 4090/62)</t>
  </si>
  <si>
    <t>Aviso Prévio Trabalhado (Art. 7º, inciso XXI da CF/88)</t>
  </si>
  <si>
    <t>Dias de Chuvas</t>
  </si>
  <si>
    <t>Férias Gozadas</t>
  </si>
  <si>
    <t>Salário Maternidade</t>
  </si>
  <si>
    <t>Auxílio - Enfermidade</t>
  </si>
  <si>
    <t>TOTAL GRUPO B</t>
  </si>
  <si>
    <t>GRUPO C - Encargos Sociais que não recebem a incidência do grupo A</t>
  </si>
  <si>
    <t>Dispensa sem justa causa (LC 110/01)</t>
  </si>
  <si>
    <t>Férias indenizadas (Art. 129 a 148 da CLT)</t>
  </si>
  <si>
    <t>Aviso prévio indenizado (Art. 7º, inciso XXI da CF/88)</t>
  </si>
  <si>
    <t>FGTS sobre aviso prévio indenizado (Súmula 305 TST)</t>
  </si>
  <si>
    <t>INSS sobre aviso prévio indenizado (Decreto 6.727/09)</t>
  </si>
  <si>
    <t>Aviso prévio trabalhado</t>
  </si>
  <si>
    <t>Indenização Adicional</t>
  </si>
  <si>
    <t>TOTAL GRUPO C</t>
  </si>
  <si>
    <t>GRUPO D - Reincidência dos encargos sociais básicos</t>
  </si>
  <si>
    <t>Incidência do grupo A sobre o grupo B</t>
  </si>
  <si>
    <t>TOTAL GRUPO D</t>
  </si>
  <si>
    <t>GRUPO E - Encargos complementares</t>
  </si>
  <si>
    <t>Refeição/alimentação (Convenção Coletiva do Trabalho 2012/2013)</t>
  </si>
  <si>
    <t>Vale Transporte (Lei nº 7418/85 e Decreto 95.247/87)</t>
  </si>
  <si>
    <t>Plano de Saúde (Convenção Coletiva do Trabalho 2012/2013</t>
  </si>
  <si>
    <t>TOTAL DOS GRUPO (A+B+C+D+E)</t>
  </si>
  <si>
    <t>% IOPES</t>
  </si>
  <si>
    <t>A.1</t>
  </si>
  <si>
    <t>A.2</t>
  </si>
  <si>
    <t>A.3</t>
  </si>
  <si>
    <t>A.4</t>
  </si>
  <si>
    <t>A.5</t>
  </si>
  <si>
    <t>A.6</t>
  </si>
  <si>
    <t>A.7</t>
  </si>
  <si>
    <t>A.8</t>
  </si>
  <si>
    <t>A.9</t>
  </si>
  <si>
    <t>B.1</t>
  </si>
  <si>
    <t>B.2</t>
  </si>
  <si>
    <t>B.3</t>
  </si>
  <si>
    <t>B.4</t>
  </si>
  <si>
    <t>B.5</t>
  </si>
  <si>
    <t>B.6</t>
  </si>
  <si>
    <t>B.7</t>
  </si>
  <si>
    <t>B.8</t>
  </si>
  <si>
    <t>B.9</t>
  </si>
  <si>
    <t>B.10</t>
  </si>
  <si>
    <t>B.11</t>
  </si>
  <si>
    <t>C.1</t>
  </si>
  <si>
    <t>C.2</t>
  </si>
  <si>
    <t>C.3</t>
  </si>
  <si>
    <t>C.4</t>
  </si>
  <si>
    <t>C.5</t>
  </si>
  <si>
    <t>C.6</t>
  </si>
  <si>
    <t>C.7</t>
  </si>
  <si>
    <t>D.1</t>
  </si>
  <si>
    <t>D.2</t>
  </si>
  <si>
    <t>E.1</t>
  </si>
  <si>
    <t>E.2</t>
  </si>
  <si>
    <t>E.3</t>
  </si>
  <si>
    <t>E.4</t>
  </si>
  <si>
    <t>TOTAL GRUPO E</t>
  </si>
  <si>
    <r>
      <rPr>
        <sz val="10"/>
        <rFont val="Arial"/>
        <family val="2"/>
      </rPr>
      <t>Reincidência de Grupo A sobre Aviso Prévio Trabalho e Reincidência
do FGTS sobre Aviso Prévio Indenizado</t>
    </r>
  </si>
  <si>
    <r>
      <rPr>
        <sz val="10"/>
        <rFont val="Arial"/>
        <family val="2"/>
      </rPr>
      <t>Uniforme/equipamento de segurança (Art. 166 da CLT e NR-18 da Lei nº 6.514/77 e
Convenção Coletiva do Trabalho 2012/2013)</t>
    </r>
  </si>
  <si>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</si>
  <si>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</si>
  <si>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</si>
  <si>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</si>
  <si>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UNITÁRIO C/ BDI</t>
  </si>
  <si>
    <t>DER-ES</t>
  </si>
  <si>
    <t>m3</t>
  </si>
  <si>
    <t>COBERTURA</t>
  </si>
  <si>
    <t>Para o canteiro de obras</t>
  </si>
  <si>
    <t>Frente com a Rua Pedro Zangrande</t>
  </si>
  <si>
    <t>Total</t>
  </si>
  <si>
    <t>Galpão para corte e armação com área de 6.00m2, de peças de madeira 8x8cm e contraventamento de 5x7cm, cobertura de telhas de fibroc. de 6mm, inclusive ponto e cabo de alimentação da máquina, conf.projeto (2 utilizações)</t>
  </si>
  <si>
    <t>SUPER-ESTRUTURA</t>
  </si>
  <si>
    <t>0403</t>
  </si>
  <si>
    <t xml:space="preserve">Fornecimento, dobragem e colocação em fôrma, de armadura CA-50 A média, diâmetro de 6.3 a 10.0 mm </t>
  </si>
  <si>
    <t>4.2.2</t>
  </si>
  <si>
    <t>4.2.3</t>
  </si>
  <si>
    <t>4.2.4</t>
  </si>
  <si>
    <t>4.2.5</t>
  </si>
  <si>
    <t>Fornecimento, dobragem e colocação em fôrma, de armadura CA-60 B fina, diâmetro de 4.0 a 7.0mm</t>
  </si>
  <si>
    <t>kg</t>
  </si>
  <si>
    <t>Fôrma em chapa de madeira compensada plastificada 12mm para estrutura em geral, 5 reaproveitamentos, reforçada com sarrafos de madeira 2.5x10cm (incl material, corte, montagem, escoras em eucalipto e desforma)</t>
  </si>
  <si>
    <t>4.3</t>
  </si>
  <si>
    <t>4.3.1</t>
  </si>
  <si>
    <t>Sala de atendimento coletivo</t>
  </si>
  <si>
    <t>J1 (2,00x1,20)</t>
  </si>
  <si>
    <t>Sala de atendimento individual 01</t>
  </si>
  <si>
    <t>Sala de atendimento individual 02</t>
  </si>
  <si>
    <t>Sala Cadastro Único</t>
  </si>
  <si>
    <t>Sala da Administração</t>
  </si>
  <si>
    <t>Sala 01</t>
  </si>
  <si>
    <t>Sala 02</t>
  </si>
  <si>
    <t>Sala 03</t>
  </si>
  <si>
    <t>Sala de reuniões/Auditório</t>
  </si>
  <si>
    <t>Depósito</t>
  </si>
  <si>
    <t>Cozinha (térreo)</t>
  </si>
  <si>
    <t>Cozinha (Pav. superior)</t>
  </si>
  <si>
    <t>J2 (2,90x1,20)</t>
  </si>
  <si>
    <t>Sala de equipe referenciada</t>
  </si>
  <si>
    <t>P1 (2,00x2,20)</t>
  </si>
  <si>
    <t>Recepção</t>
  </si>
  <si>
    <t>P2 (1,00x2,10)</t>
  </si>
  <si>
    <t>P3 (0,90x2,10)</t>
  </si>
  <si>
    <t>Banheiro PNE feminino</t>
  </si>
  <si>
    <t>Banheiro PNE masculino</t>
  </si>
  <si>
    <t>Almoxarifado</t>
  </si>
  <si>
    <t>P5 (0,70x2,10)</t>
  </si>
  <si>
    <t>Banheiro feminino</t>
  </si>
  <si>
    <t>Banheiro masculino</t>
  </si>
  <si>
    <t>Área de serviço</t>
  </si>
  <si>
    <t>Banheiro funcionários</t>
  </si>
  <si>
    <t>B1 (0,80x0,60)</t>
  </si>
  <si>
    <t>Verga portas (largura da porta + 0,10 da boneca + 0,20m)</t>
  </si>
  <si>
    <t>Vergas/contravergas (considerando 0,20cm para cada lado)</t>
  </si>
  <si>
    <t>Quantidade Janelas</t>
  </si>
  <si>
    <t>Placa da obra</t>
  </si>
  <si>
    <t>Área do terreno</t>
  </si>
  <si>
    <t>Box Banheiro feminino</t>
  </si>
  <si>
    <t>Box Banheiro masculino</t>
  </si>
  <si>
    <t>Box Banheiro funcionários</t>
  </si>
  <si>
    <t>Acima do patamar da escada</t>
  </si>
  <si>
    <t>Sala de administração</t>
  </si>
  <si>
    <t>Cozinha (pav. superior)</t>
  </si>
  <si>
    <t>Frente com a Rua Maria B. Almeida Plazzi</t>
  </si>
  <si>
    <t>Banheiro Funcionários</t>
  </si>
  <si>
    <t>P5 (70x210cm)</t>
  </si>
  <si>
    <t>P4 (90x210cm)</t>
  </si>
  <si>
    <t>Portão (Área de serviço)</t>
  </si>
  <si>
    <t>Portão Entrada principal (Recepção)</t>
  </si>
  <si>
    <t>J1 (200x120cm)</t>
  </si>
  <si>
    <t>J2 (290x120cm)</t>
  </si>
  <si>
    <t>Janelas</t>
  </si>
  <si>
    <t>Básculas</t>
  </si>
  <si>
    <t>B1 (80x60cm)</t>
  </si>
  <si>
    <t>Obs.: Considerando 10 cm para cada lado</t>
  </si>
  <si>
    <t>Cobertura da edificação</t>
  </si>
  <si>
    <t xml:space="preserve">Cobertura da Caixa d'água/Área técnica </t>
  </si>
  <si>
    <t>Calha Cobertura edificação</t>
  </si>
  <si>
    <t>Calha Cobertura da Caixa d'água/Área técnica</t>
  </si>
  <si>
    <t>Rufo Cobertura da Caixa d'água/Área técnica</t>
  </si>
  <si>
    <t>Sala Cadastro único</t>
  </si>
  <si>
    <t>Cozinha</t>
  </si>
  <si>
    <t>Térreo</t>
  </si>
  <si>
    <t>Primeiro pavimento</t>
  </si>
  <si>
    <t>Sala de reuniões/auditório</t>
  </si>
  <si>
    <t>Escada</t>
  </si>
  <si>
    <t>Circulação</t>
  </si>
  <si>
    <t xml:space="preserve">Banheiro PNE masculino </t>
  </si>
  <si>
    <t xml:space="preserve">Banheiro masculino </t>
  </si>
  <si>
    <t xml:space="preserve">Banheiro PNE feminino </t>
  </si>
  <si>
    <t>Área de chapsico = 2x área de alvenaria</t>
  </si>
  <si>
    <t>Área de chapisco</t>
  </si>
  <si>
    <t>Área Externa</t>
  </si>
  <si>
    <t>030101</t>
  </si>
  <si>
    <t>010401</t>
  </si>
  <si>
    <t>010402</t>
  </si>
  <si>
    <t>010403</t>
  </si>
  <si>
    <t>010404</t>
  </si>
  <si>
    <t>020305</t>
  </si>
  <si>
    <t>020350</t>
  </si>
  <si>
    <t>020346</t>
  </si>
  <si>
    <t>020713</t>
  </si>
  <si>
    <t>020714</t>
  </si>
  <si>
    <t>020801</t>
  </si>
  <si>
    <t>020802</t>
  </si>
  <si>
    <t>020804</t>
  </si>
  <si>
    <t>020805</t>
  </si>
  <si>
    <t>020809</t>
  </si>
  <si>
    <t>020811</t>
  </si>
  <si>
    <t>020812</t>
  </si>
  <si>
    <t>030201</t>
  </si>
  <si>
    <t>030208</t>
  </si>
  <si>
    <t>030304</t>
  </si>
  <si>
    <t>040206</t>
  </si>
  <si>
    <t>040231</t>
  </si>
  <si>
    <t>040243</t>
  </si>
  <si>
    <t>040245</t>
  </si>
  <si>
    <t>040328</t>
  </si>
  <si>
    <t>040333</t>
  </si>
  <si>
    <t>040337</t>
  </si>
  <si>
    <t>050301</t>
  </si>
  <si>
    <t>050205</t>
  </si>
  <si>
    <t>060102</t>
  </si>
  <si>
    <t>060108</t>
  </si>
  <si>
    <t>061302</t>
  </si>
  <si>
    <t>061304</t>
  </si>
  <si>
    <t>071104</t>
  </si>
  <si>
    <t>071105</t>
  </si>
  <si>
    <t>071701</t>
  </si>
  <si>
    <t>080102</t>
  </si>
  <si>
    <t>080201</t>
  </si>
  <si>
    <t>090102</t>
  </si>
  <si>
    <t>090203</t>
  </si>
  <si>
    <t>090312</t>
  </si>
  <si>
    <t>Refeitório com paredes de chapa de compens. 12mm e pontaletes 8x8cm, piso ciment. e cobert. de telhas fibroc. 6mm, incl. ponto de luz e cx. de inspeção (cons. 1.21m2/func./turno), conf. projeto (2 utilizações)</t>
  </si>
  <si>
    <t>Considerando 20 funcionários e 1m² por funcionário</t>
  </si>
  <si>
    <t>Laje pré-fabricada treliçada, sobrecarga 300 Kg/m2, vão de 3.5m a 4.3m, capeamento 4cm, esp. 12cm, Fck = 150 Kg/cm2</t>
  </si>
  <si>
    <t>040602</t>
  </si>
  <si>
    <t>Emboço de argamassa de cimento, cal hidratada CH1 e areia média ou grossa lavada no traço 1:0.5:6, espessura 20 mm</t>
  </si>
  <si>
    <t>Regularização de base p/ revestimento cerâmico, com argamassa de cimento e areia no traço 1:5, espessura 3cm</t>
  </si>
  <si>
    <t>040246</t>
  </si>
  <si>
    <t>Banheiro PNE Feminino</t>
  </si>
  <si>
    <t>Banheiro PNE Masculino</t>
  </si>
  <si>
    <t>Banheiro Feminino</t>
  </si>
  <si>
    <t>Banheiro Masculino</t>
  </si>
  <si>
    <t>Área de Serviço</t>
  </si>
  <si>
    <t>Primeiro Pavimento</t>
  </si>
  <si>
    <t>Banheiro de Funcionários</t>
  </si>
  <si>
    <t>COMPOSIÇÃO ANALÍTICA DE PREÇO UNITÁRIO</t>
  </si>
  <si>
    <t>Data-base</t>
  </si>
  <si>
    <t>COMP-01</t>
  </si>
  <si>
    <t>UND: M²</t>
  </si>
  <si>
    <t>CÓD.</t>
  </si>
  <si>
    <t>DESCRIÇÃO</t>
  </si>
  <si>
    <t>UND</t>
  </si>
  <si>
    <t>COEF</t>
  </si>
  <si>
    <t>R$ UNIT.</t>
  </si>
  <si>
    <t>R$ PARCIAL</t>
  </si>
  <si>
    <t>h</t>
  </si>
  <si>
    <t>TOTAL A</t>
  </si>
  <si>
    <t>MÃO-DE-OBRA</t>
  </si>
  <si>
    <t>Encargo: 157,27%</t>
  </si>
  <si>
    <t>Servente</t>
  </si>
  <si>
    <t>TOTAL B</t>
  </si>
  <si>
    <t>TOTAL C</t>
  </si>
  <si>
    <t>MATERIAIS/ SERVIÇOS</t>
  </si>
  <si>
    <t>m³</t>
  </si>
  <si>
    <t>m²</t>
  </si>
  <si>
    <t>RESUMO</t>
  </si>
  <si>
    <t>REFERÊNCIA: DER-ES 130317</t>
  </si>
  <si>
    <t>Pedreiro</t>
  </si>
  <si>
    <t>010139</t>
  </si>
  <si>
    <t>010146</t>
  </si>
  <si>
    <t>Areia lavada média</t>
  </si>
  <si>
    <t>020503</t>
  </si>
  <si>
    <t>EQUIPAMENTOS</t>
  </si>
  <si>
    <t>Cal Hidratado p/ argamassa CH III</t>
  </si>
  <si>
    <t>020505</t>
  </si>
  <si>
    <t>TOTAL  A</t>
  </si>
  <si>
    <t>TOTAL  B</t>
  </si>
  <si>
    <t>020508</t>
  </si>
  <si>
    <t>Cimento Portland CP III - 40</t>
  </si>
  <si>
    <t>Granito Cinza Andorinha E = 3cm  polido dos dois lados</t>
  </si>
  <si>
    <t>Área externa</t>
  </si>
  <si>
    <t>Muros</t>
  </si>
  <si>
    <t>Platibandas</t>
  </si>
  <si>
    <t>Considerando janelas, básculas e chapins</t>
  </si>
  <si>
    <t>REFERÊNCIA: DER-ES 090403</t>
  </si>
  <si>
    <t>SERVIÇO: Platibanda de alvenaria de bloco cerâmico 10x20x20cm, assentado com argamassa de cimento, cal hidratada CH1 e areia no traço 1:0,5:8, amarrada com pilaretes em conc. arm. a cada 2m, excl. revest.</t>
  </si>
  <si>
    <t>COMP-02</t>
  </si>
  <si>
    <t>Ajudante</t>
  </si>
  <si>
    <t>010101</t>
  </si>
  <si>
    <t>Armador</t>
  </si>
  <si>
    <t>010121</t>
  </si>
  <si>
    <t>Carpinteiro</t>
  </si>
  <si>
    <t>010111</t>
  </si>
  <si>
    <t>021517</t>
  </si>
  <si>
    <t>Aço CA-50 de 8.0 mm</t>
  </si>
  <si>
    <t>027010</t>
  </si>
  <si>
    <t>Arame recozido n.18 BWG</t>
  </si>
  <si>
    <t>022585</t>
  </si>
  <si>
    <t>Bloco cerâmico 10 furos 09x19x19 cm</t>
  </si>
  <si>
    <t>020517</t>
  </si>
  <si>
    <t>Brita 01</t>
  </si>
  <si>
    <t>Brita 02</t>
  </si>
  <si>
    <t>020518</t>
  </si>
  <si>
    <t>028008</t>
  </si>
  <si>
    <t>l</t>
  </si>
  <si>
    <t>Desmoldante para formas</t>
  </si>
  <si>
    <t>026569</t>
  </si>
  <si>
    <t>Prego 18x27</t>
  </si>
  <si>
    <t>020985</t>
  </si>
  <si>
    <t>Sarrafo de madeira pinus 10x2,5 cm</t>
  </si>
  <si>
    <t>Tábua de madeira pinus 30x2,5 cm</t>
  </si>
  <si>
    <t>020988</t>
  </si>
  <si>
    <t>080125</t>
  </si>
  <si>
    <t>Betoneira 320L</t>
  </si>
  <si>
    <t>TOTAL  C</t>
  </si>
  <si>
    <r>
      <rPr>
        <b/>
        <sz val="11"/>
        <color indexed="8"/>
        <rFont val="Calibri"/>
        <family val="2"/>
        <scheme val="minor"/>
      </rPr>
      <t>PREÇO DE VENDA</t>
    </r>
    <r>
      <rPr>
        <sz val="11"/>
        <color indexed="8"/>
        <rFont val="Calibri"/>
        <family val="2"/>
        <scheme val="minor"/>
      </rPr>
      <t xml:space="preserve"> = TOTAL (A+B+C)</t>
    </r>
  </si>
  <si>
    <t>Em torno da edificação</t>
  </si>
  <si>
    <t>Muro baixo sob o Gradil Nylofor</t>
  </si>
  <si>
    <t>10.1.2</t>
  </si>
  <si>
    <t>Índice de imperm.c/ manta asfáltica atendendo NBR 9952, asfalto polimérico, esp.4mm reforç.c/ filme int.em polietileno, regul.base c/ arg.1:4 esp.mín.15mm, proteção mec. arg. 1:4 esp.20mm e juntas dilat.</t>
  </si>
  <si>
    <t>20.3.2</t>
  </si>
  <si>
    <t>Limpeza geral de obras (quadras, praças e jardins)</t>
  </si>
  <si>
    <t>COTAÇÕES</t>
  </si>
  <si>
    <t>NÚMERO</t>
  </si>
  <si>
    <t>ITEM PLANILHA</t>
  </si>
  <si>
    <t>FORNECEDOR 1</t>
  </si>
  <si>
    <t>CONTATO</t>
  </si>
  <si>
    <t>PREÇO</t>
  </si>
  <si>
    <t xml:space="preserve">DATA </t>
  </si>
  <si>
    <t>FORNECEDOR 2</t>
  </si>
  <si>
    <t>DATA</t>
  </si>
  <si>
    <t>FORNECEDOR 3</t>
  </si>
  <si>
    <t>MÉDIA</t>
  </si>
  <si>
    <t>OBSERVAÇÕES</t>
  </si>
  <si>
    <t>Painel de LED de embutir quadrado, 30x30cm, 24w,
4000k, Avant ou similar</t>
  </si>
  <si>
    <t>Ismafer Ferramentas</t>
  </si>
  <si>
    <t>https://www.ismafer.com.br/MLB-1547067509-painel-plafon-led-24w-quadrado-embutir-branco-neutro-_JM?variation=78806764363&amp;gclid=EAIaIQobChMIv7j4ns3B8AIVCuDICh1NEwsxEAQYCCABEgKMrPD_BwE</t>
  </si>
  <si>
    <t>Madeira Madeira</t>
  </si>
  <si>
    <t>https://www.madeiramadeira.com.br/painel-plafon-led-embutir-24w-quadrado-branco-neutro-4000k-2164787.html?seller=4697&amp;origem=pla-2164787&amp;utm_source=google&amp;utm_medium=cpc&amp;utm_content=plafons-led-606&amp;utm_term=&amp;utm_id=6448165818&amp;gclid=EAIaIQobChMIv7j4ns3B8AIVCuDICh1NEwsxEAQYFSABEgIVhfD_BwE</t>
  </si>
  <si>
    <t>Telhanorte</t>
  </si>
  <si>
    <t>https://www.telhanorte.com.br/led-painel-pop-embutir-quadrado-30x30-ne-4000k-24w-bivolt-1680-avant-1774948/p?idsku=1774948&amp;gclid=EAIaIQobChMIv7j4ns3B8AIVCuDICh1NEwsxEAQYKCABEgLxKPD_BwE</t>
  </si>
  <si>
    <t>Não foi considerado frete</t>
  </si>
  <si>
    <t>18.3</t>
  </si>
  <si>
    <t>18.3.1</t>
  </si>
  <si>
    <t>LUMINÁRIAS</t>
  </si>
  <si>
    <t>COMP-03</t>
  </si>
  <si>
    <t>Painel de LED de embutir quadrado, 30x30cm, 24w, 4000k, Avant ou similar</t>
  </si>
  <si>
    <t>UND: und</t>
  </si>
  <si>
    <t>SERVIÇO: Painel de LED de embutir quadrado, 30x30cm, 24w, 4000k, Avant ou similar</t>
  </si>
  <si>
    <t>Eletricista</t>
  </si>
  <si>
    <t>COTAÇÃO 01</t>
  </si>
  <si>
    <t>7.2.2</t>
  </si>
  <si>
    <t>SINAPI</t>
  </si>
  <si>
    <t>Porta de correr de alumínio, com duas folhas para vidro, incluso vidro liso incolor, fechadura e puxador, sem alizar. AF_12/2019</t>
  </si>
  <si>
    <t>P1 (200x220cm)</t>
  </si>
  <si>
    <t>Puxador para PCD, fixado na porta - fornecimento e instalação. AF_01/2020</t>
  </si>
  <si>
    <t>Kit Porta de correr de madeira lisa 90,5 x 213 cm, Natural</t>
  </si>
  <si>
    <t>Americanas</t>
  </si>
  <si>
    <t>https://www.americanas.com.br/produto/14284064/kit-porta-de-correr-pe-91-esel-2-10mx90cmx12cm-angelim-direita?opn=YSMESP&amp;WT.srch=1&amp;sellerid=10490181000135&amp;epar=bp_pl_00_go_todos-os-produtos_geral_gmv&amp;acc=e789ea56094489dffd798f86ff51c7a9&amp;i=56424cdf6ed24cafb5b640a0&amp;o=576b0591eec3dfb1f8f99cf8&amp;gclid=EAIaIQobChMI892vmd3B8AIV8DizAB3FAwM1EAQYAiABEgIbBPD_BwE&amp;cor=Natural&amp;tamanho=213cm%20x%2090%2C5cm</t>
  </si>
  <si>
    <t>https://www.madeiramadeira.com.br/kit-porta-de-madeira-correr-lisa-pe91-gold-esel-213cmx90-5cmx12cm-112838.html?origem=pla-112838&amp;utm_source=google&amp;utm_medium=cpc&amp;utm_content=kit-porta-pronta&amp;utm_term=&amp;utm_id=10449640969&amp;gclid=EAIaIQobChMI892vmd3B8AIV8DizAB3FAwM1EAQYASABEgJ83fD_BwE&amp;taxonomy.lvl0=Portas__e__Janelas</t>
  </si>
  <si>
    <t>https://www.magazineluiza.com.br/kit-porta-de-madeira-correr-lisa-pe91-gold-esel-213cmx905cmx12cm-natural/p/8497033/cj/prts/?&amp;seller_id=madeiramadeira-openapi&amp;&amp;utm_source=google&amp;utm_medium=pla&amp;utm_campaign=&amp;partner_id=58940&amp;gclid=EAIaIQobChMIuvHjxN3B8AIVrMiUCR3QaAF1EAQYAiABEgK7M_D_BwE</t>
  </si>
  <si>
    <t>COTAÇÃO 02</t>
  </si>
  <si>
    <t>REFERÊNCIA: DER-ES 181003</t>
  </si>
  <si>
    <t>REFERÊNCIA: DER-ES 061304</t>
  </si>
  <si>
    <t>SERVIÇO: Kit Porta de correr de madeira lisa 90,5 x 213 cm, Natural</t>
  </si>
  <si>
    <t>COMP-04</t>
  </si>
  <si>
    <t>Perímetro muro externo, considerando altura de 50cm</t>
  </si>
  <si>
    <t>Área dos vãos a descontar (m2)</t>
  </si>
  <si>
    <t>Grade Área de serviço</t>
  </si>
  <si>
    <t>Platibanda Caixas d'água</t>
  </si>
  <si>
    <t>Platibanda Edificação</t>
  </si>
  <si>
    <t>Rufo em manta Cobertura edificação</t>
  </si>
  <si>
    <t>Laje da cobertura</t>
  </si>
  <si>
    <t>Área de reboco = área de chapisco - área de emboço</t>
  </si>
  <si>
    <t>Área de emboço</t>
  </si>
  <si>
    <t>Área de reboco</t>
  </si>
  <si>
    <t>Platibanda Caixas d'água e Platibanda edificação</t>
  </si>
  <si>
    <t>Calçada perímetro da edificação</t>
  </si>
  <si>
    <t>Rampa</t>
  </si>
  <si>
    <t>Calçada externa</t>
  </si>
  <si>
    <t>Pavimento superior</t>
  </si>
  <si>
    <t>Caixas de inspeção</t>
  </si>
  <si>
    <t>Caixa de gordura</t>
  </si>
  <si>
    <t xml:space="preserve">Caixa d'água de 1.000L </t>
  </si>
  <si>
    <t>Caixa d'água de 1.500L</t>
  </si>
  <si>
    <t>Alimentação</t>
  </si>
  <si>
    <t>Ligação entre as caixas d'água</t>
  </si>
  <si>
    <t>Limpeza e extravasor</t>
  </si>
  <si>
    <t>Distribuição caixa d'água 01</t>
  </si>
  <si>
    <t>Distribuição caixa d'água 02</t>
  </si>
  <si>
    <t>Bacia sifonada de louça branca sem abertura frontal para portadores de necessidades especiais, Vogue Plus Conforto - Linha Conforto, mod P510, incl. assento poliester, ref.AP51,marca de ref. Deca ou equivalente, sem abertura frontal</t>
  </si>
  <si>
    <t>Cozinha térreo</t>
  </si>
  <si>
    <t>Cozinha pav. superior</t>
  </si>
  <si>
    <t>Bancada refeições (Cozinha pav. superior)</t>
  </si>
  <si>
    <t>Caixa d'água 01</t>
  </si>
  <si>
    <t>Caixa d'água 02</t>
  </si>
  <si>
    <t>Paredes internas</t>
  </si>
  <si>
    <t>Forro em gesso</t>
  </si>
  <si>
    <t>Área de pintura = área de reboco + área de forro</t>
  </si>
  <si>
    <t>Área de forro</t>
  </si>
  <si>
    <t>Portas</t>
  </si>
  <si>
    <t>Coeficiente</t>
  </si>
  <si>
    <t>P2 (100x210m)</t>
  </si>
  <si>
    <t>P3 (90x210m)</t>
  </si>
  <si>
    <t>P4 (90x210m)</t>
  </si>
  <si>
    <t>P5 (70x210m)</t>
  </si>
  <si>
    <t xml:space="preserve">Meio-fio calçada externa </t>
  </si>
  <si>
    <t>6.2.2</t>
  </si>
  <si>
    <t>Gradil Muro</t>
  </si>
  <si>
    <t>Portão estacionamento</t>
  </si>
  <si>
    <t>Portão pedestres principal</t>
  </si>
  <si>
    <t>Portão pedestres área de convivência</t>
  </si>
  <si>
    <t>12.2.2</t>
  </si>
  <si>
    <t>12.2.3</t>
  </si>
  <si>
    <t>21.1.2</t>
  </si>
  <si>
    <t>Plantio de grama na lateral da edificação</t>
  </si>
  <si>
    <t>Área do térreo + área do pav. superior</t>
  </si>
  <si>
    <t>Entorno da edificação</t>
  </si>
  <si>
    <t>P3 (90x210cm)</t>
  </si>
  <si>
    <t>Platibanda de alvenaria de bloco cerâmico 10x20x20cm, assentado com argamassa de cimento, cal hidratada CH1 e areia no traço 1:0,5:8, amarrada com pilaretes em conc. arm. a cada 2m, excl. revest.</t>
  </si>
  <si>
    <t>Para acesso às caixas d'água 01 e 02 - instalado em parede</t>
  </si>
  <si>
    <t>010501</t>
  </si>
  <si>
    <t>Alvenaria de blocos cerâmicos 10 furos 10x20x20cm, assentados c/argamassa de cimento, cal hidratada CH1 e areia traço 1:0,5:8, juntas 12mm e esp. das paredes s/revestimento, 10cm (bloco comprado na praça de Vitória, posto obra)</t>
  </si>
  <si>
    <t>050605</t>
  </si>
  <si>
    <t>SERVIÇO: Peitoril de granito cinza polido, 19 cm, esp. 3cm</t>
  </si>
  <si>
    <t>Peitoril de granito cinza polido, 19 cm, esp. 3cm</t>
  </si>
  <si>
    <t xml:space="preserve">142 </t>
  </si>
  <si>
    <t>SELANTE ELASTICO MONOCOMPONENTE A BASE DE POLIURETANO (PU) PARA JUNTAS DIVERSAS 310ML</t>
  </si>
  <si>
    <t>4922</t>
  </si>
  <si>
    <t>PORTA DE CORRER EM ALUMINIO, DUAS FOLHAS MOVEIS COM VIDRO, FECHADURA E PUXADOR EMBUTIDO, ACABAMENTO ANODIZADO NATURAL, SEM GUARNICAO/ALIZAR/VISTA</t>
  </si>
  <si>
    <t>M2</t>
  </si>
  <si>
    <t>310ML</t>
  </si>
  <si>
    <t xml:space="preserve">7568 </t>
  </si>
  <si>
    <t>BUCHA DE NYLON SEM ABA S10, COM PARAFUSO DE 6,10 X 65 MM EM ACO ZINCADO COM ROSCA SOBERBA, CABECA CHATA E FENDA PHILLIPS</t>
  </si>
  <si>
    <t>GUARNICAO/MOLDURA DE ACABAMENTO PARA ESQUADRIA DE ALUMINIO ANODIZADO NATURAL, PARA 1 FACE</t>
  </si>
  <si>
    <t xml:space="preserve">M </t>
  </si>
  <si>
    <t>88309</t>
  </si>
  <si>
    <t>PEDREIRO COM ENCARGOS COMPLEMENTARES</t>
  </si>
  <si>
    <t>88316</t>
  </si>
  <si>
    <t>SERVENTE COM ENCARGOS COMPLEMENTARES</t>
  </si>
  <si>
    <t>REFERÊNCIA: SINAPI 100702</t>
  </si>
  <si>
    <t>Porta de correr de alumínio, com duas folhas para vidro, incluso vidro liso incolor, fechadura e puxador, sem alizar.</t>
  </si>
  <si>
    <t>COMP-05</t>
  </si>
  <si>
    <t>COMP-06</t>
  </si>
  <si>
    <t>REFERÊNCIA: SINAPI 100874</t>
  </si>
  <si>
    <t xml:space="preserve">4351 </t>
  </si>
  <si>
    <t>PARAFUSO NIQUELADO 3 1/2" COM ACABAMENTO CROMADO PARA FIXAR PECA SANITARIA, INCLUI PORCA CEGA, ARRUELA E BUCHA DE NYLON TAMANHO S-8</t>
  </si>
  <si>
    <t xml:space="preserve">36204 </t>
  </si>
  <si>
    <t>BARRA DE APOIO RETA, EM ACO INOX POLIDO, COMPRIMENTO 60CM, DIAMETRO MINIMO 3 CM</t>
  </si>
  <si>
    <t xml:space="preserve">88267 </t>
  </si>
  <si>
    <t xml:space="preserve">ENCANADOR OU BOMBEIRO HIDRÁULICO COM ENCARGOS COMPLEMENTARES </t>
  </si>
  <si>
    <t xml:space="preserve">88316 </t>
  </si>
  <si>
    <t xml:space="preserve">SERVENTE COM ENCARGOS COMPLEMENTARES  </t>
  </si>
  <si>
    <t xml:space="preserve">Puxador para PCD, fixado na porta - fornecimento e instalação. </t>
  </si>
  <si>
    <t xml:space="preserve">SERVIÇO: Puxador para PCD, fixado na porta - fornecimento e instalação.  </t>
  </si>
  <si>
    <t>Gradil galvanizado revestido com pintura eletrostática na cor branca em poliéster</t>
  </si>
  <si>
    <t>13.3.4</t>
  </si>
  <si>
    <t>9.1.3</t>
  </si>
  <si>
    <t>Cobertura em tela sombreiro com estrutura metálica</t>
  </si>
  <si>
    <t>COMP-07</t>
  </si>
  <si>
    <t>COMP-08</t>
  </si>
  <si>
    <t>COMP-09</t>
  </si>
  <si>
    <t>21.1.3</t>
  </si>
  <si>
    <t>COMP-10</t>
  </si>
  <si>
    <t>Esquadrex</t>
  </si>
  <si>
    <t>e-mail: priscila@esquadrex.com.br
Atendente: Priscila
Local: São Paulo (SP)</t>
  </si>
  <si>
    <t>Alfa Coberturas</t>
  </si>
  <si>
    <t>Fortfax</t>
  </si>
  <si>
    <t>e-mail: contato@fortfax.com.br
Atendente: George Ramos
Local: São Paulo (SP)</t>
  </si>
  <si>
    <t>L&amp;L Marmoraria</t>
  </si>
  <si>
    <t>(27) 99896-4716
Atendente: Lucas
Local: Colatina (ES)</t>
  </si>
  <si>
    <t>Decorart Granitos</t>
  </si>
  <si>
    <t>(27) 99868-9311
Atendente: Wesley
Local: João Neiva (ES)</t>
  </si>
  <si>
    <t>Gold Stone</t>
  </si>
  <si>
    <t>(27) 99826-7617
Atendente: Celso Mandelli
Local: Ibiraçu (ES)</t>
  </si>
  <si>
    <t>Ismatec
Inst &amp; Aut</t>
  </si>
  <si>
    <t>Beta Engenharia</t>
  </si>
  <si>
    <t>(27) 99532-1741
Atendente: Dyon Eny
Local: Vitória (ES)</t>
  </si>
  <si>
    <t>HyperClima
Ar Cond. &amp; Elet.</t>
  </si>
  <si>
    <t>COMP-11</t>
  </si>
  <si>
    <t>Multinoxx</t>
  </si>
  <si>
    <t>(27) 99988-3536
Atendente: Lucinéia
Local: Vila Velha (ES)</t>
  </si>
  <si>
    <t>(27) 99245-1274
Atendente: Ivan Pimenta
Local: Vitória (ES)</t>
  </si>
  <si>
    <t>REFERÊNCIA: DER-ES 200130</t>
  </si>
  <si>
    <t>Areia Lavada Média</t>
  </si>
  <si>
    <t>Cal hidratado p/ argamassa CHIII</t>
  </si>
  <si>
    <t>Cimento Portland CPIII-40</t>
  </si>
  <si>
    <t xml:space="preserve">UND: und </t>
  </si>
  <si>
    <t>SERVIÇO: Cobertura em tela sombreiro com estrutura metálica</t>
  </si>
  <si>
    <t>DEMOLIÇÕES E RETIRADAS</t>
  </si>
  <si>
    <t>0102</t>
  </si>
  <si>
    <t xml:space="preserve">Demolição de alvenaria </t>
  </si>
  <si>
    <t xml:space="preserve">Demolição manual de concreto simples (EMOP 05.001.001) </t>
  </si>
  <si>
    <t xml:space="preserve">Retirada de grades, gradis, alambrados, cercas e portões </t>
  </si>
  <si>
    <t xml:space="preserve">Remoção de telhas cerâmicas, tipo colonial, inclusive cumeeiras </t>
  </si>
  <si>
    <t>1.1.5</t>
  </si>
  <si>
    <t xml:space="preserve">Demolição de estrutura de madeira para telhado </t>
  </si>
  <si>
    <t>1.2.2</t>
  </si>
  <si>
    <t>1.2.3</t>
  </si>
  <si>
    <t>1.2.4</t>
  </si>
  <si>
    <t>1.3</t>
  </si>
  <si>
    <t>1.3.1</t>
  </si>
  <si>
    <t>Muro</t>
  </si>
  <si>
    <t>Paredes garagem</t>
  </si>
  <si>
    <t>Piso garagem</t>
  </si>
  <si>
    <t>Calçada</t>
  </si>
  <si>
    <t>Meio-fio</t>
  </si>
  <si>
    <t>Portões ferro</t>
  </si>
  <si>
    <t>Portão garagem</t>
  </si>
  <si>
    <t>Portão pedestres garagem</t>
  </si>
  <si>
    <t>Cobertura garagem</t>
  </si>
  <si>
    <t>ETAPAS</t>
  </si>
  <si>
    <t>PERÍODO (MESES)</t>
  </si>
  <si>
    <t xml:space="preserve">Físico (%) </t>
  </si>
  <si>
    <t>Financeiro (R$)</t>
  </si>
  <si>
    <t>08</t>
  </si>
  <si>
    <t>Total Parcial (%)</t>
  </si>
  <si>
    <t>Metas (%)</t>
  </si>
  <si>
    <t>Total Financeiro (R$)</t>
  </si>
  <si>
    <t>Total Acumulado (R$)</t>
  </si>
  <si>
    <t>Considerando 20 cm de cada lado das sapatas</t>
  </si>
  <si>
    <t>VIDROS PARA ESQUADRIAS</t>
  </si>
  <si>
    <t>Volume de escavação</t>
  </si>
  <si>
    <t>Volume de concreto magro, sapatas e pilaretes</t>
  </si>
  <si>
    <t>Reaterro = Volume de escavação - Volume do concreto magro das sapatas e pilaretes</t>
  </si>
  <si>
    <t>Aterro para nivelamento do terreno</t>
  </si>
  <si>
    <t>Grademaxx</t>
  </si>
  <si>
    <t>e-mail:arlnascimento@grademaxx.com.br
Atendente: Allan Nascimento
Local: Guarulhos (SP)</t>
  </si>
  <si>
    <t>Total Telas</t>
  </si>
  <si>
    <t>e-mail:eonardo@totaltelas.com.br
Atendente: Leonardo Guilher Schneider
Local: Curitiba (PR)</t>
  </si>
  <si>
    <t>Uniarts
Toldos e Coberturas</t>
  </si>
  <si>
    <t>(28) 99959-9089
Atendente: Daniele
Local: Cachoeiro de Itapemirim (ES)</t>
  </si>
  <si>
    <t>13.2.5
13.3.4</t>
  </si>
  <si>
    <t>Granito Preto São Gabriel</t>
  </si>
  <si>
    <t>Instalação de ar condicionado split 9000 e 12000 Btu/h</t>
  </si>
  <si>
    <t>e-mail:hyperclima.es@gmail.com
Local: Serra (ES)</t>
  </si>
  <si>
    <t>Instalação de ar condicionado split 18000 e 24000 Btu/h</t>
  </si>
  <si>
    <t>SERVIÇO: Gradil galvanizado revestido com pintura eletrostática na cor branca em poliéster, fixação sobre mureta conforme projeto, exclusive a mureta</t>
  </si>
  <si>
    <t>unid</t>
  </si>
  <si>
    <t xml:space="preserve">SERVIÇO: Porta de correr de alumínio, com duas folhas para vidro, incluso vidro liso incolor, fechadura e puxador, sem alizar </t>
  </si>
  <si>
    <t>COTAÇÃO 03</t>
  </si>
  <si>
    <t>SERVIÇO: Piso em granito preto São Gabriel, acabamento polido, com ranhuras antiderrapantes assentado com argamassa de cimento colante, inclusive rejuntamento</t>
  </si>
  <si>
    <t>UND: m2</t>
  </si>
  <si>
    <t>REFERÊNCIA: DER-ES 130219</t>
  </si>
  <si>
    <t>020509</t>
  </si>
  <si>
    <t>Cimento Branco não estrututral</t>
  </si>
  <si>
    <t>020510</t>
  </si>
  <si>
    <t>Cimento colante industrializado ACI</t>
  </si>
  <si>
    <t>SERVIÇO: Rodapé de granito Preto São Gabriel esp. 2cm, h=7cm, assentado com argamassa de cimento, cal hidratada CH1 e areia no traço 1:0,5:8, incl. rejuntamento com cimento branco</t>
  </si>
  <si>
    <t>UND: M</t>
  </si>
  <si>
    <t>REFERÊNCIA: DER-ES 130321</t>
  </si>
  <si>
    <t>010124</t>
  </si>
  <si>
    <t>Graniteiro/Marmorista</t>
  </si>
  <si>
    <t>Cimento Branco não estrutural</t>
  </si>
  <si>
    <t>COTAÇÃO 04</t>
  </si>
  <si>
    <t xml:space="preserve">Granito Preto São Gabriel </t>
  </si>
  <si>
    <t>010115</t>
  </si>
  <si>
    <t>COTAÇÃO 05</t>
  </si>
  <si>
    <t xml:space="preserve">TOTAL C </t>
  </si>
  <si>
    <t>SERVIÇO: Fornecimento e instalação de Ar Condicionado Split Inverter 9000 Btu/h</t>
  </si>
  <si>
    <t xml:space="preserve">MÃO-DE-OBRA </t>
  </si>
  <si>
    <t>COTAÇÃO 07</t>
  </si>
  <si>
    <t>Instalação de ar Condicionado 9000 e 12000 Btu/h</t>
  </si>
  <si>
    <t>00042424</t>
  </si>
  <si>
    <t>AR CONDICIONADO SPLIT INVERTER, HI-WALL (PAREDE), 9000 BTU/H, CICLO FRIO, 60HZ, UN 1.756,65 CLASSIFICACAO A (SELO PROCEL), GAS HFC, CONTROLE S/FIO</t>
  </si>
  <si>
    <t>COMP-12</t>
  </si>
  <si>
    <t>SERVIÇO: Fornecimento e instalação de Ar Condicionado  Split Inverter 12000 Btu/h</t>
  </si>
  <si>
    <t>00042425</t>
  </si>
  <si>
    <t>AR CONDICIONADO SPLIT INVERTER, HI-WALL (PAREDE), 12000 BTU/H, CICLO FRIO, 60HZ, UN 1.966,95 CLASSIFICACAO A (SELO PROCEL), GAS HFC, CONTROLE S/FIO</t>
  </si>
  <si>
    <t>COMP-13</t>
  </si>
  <si>
    <t>SERVIÇO: Fornecimento e instalação de Ar Condicionado  Split Inverter 18000 Btu/h</t>
  </si>
  <si>
    <t>COTAÇÃO 08</t>
  </si>
  <si>
    <t>Instalação de ar Condicionado 18000 e 24000 Btu/h</t>
  </si>
  <si>
    <t>00042422</t>
  </si>
  <si>
    <t>AR CONDICIONADO SPLIT INVERTER, HI-WALL (PAREDE), 18000 BTU/H, CICLO FRIO, 60HZ, UN 2.920,00 CLASSIFICACAO A (SELO PROCEL), GAS HFC, CONTROLE S/FIO</t>
  </si>
  <si>
    <t>COMP-14</t>
  </si>
  <si>
    <t>SERVIÇO: Fornecimento e instalação de Ar Condicionado  Split Inverter 24000 Btu/h</t>
  </si>
  <si>
    <t>00043184</t>
  </si>
  <si>
    <t>AR CONDICIONADO SPLIT INVERTER, HI-WALL (PAREDE), 24000 BTU/H, CICLO FRIO, 60HZ, UN 4.035,72 CLASSIFICACAO A - SELO PROCEL, GAS HFC, CONTROLE S/FIO</t>
  </si>
  <si>
    <t>Gradil área de convivência</t>
  </si>
  <si>
    <t>L5</t>
  </si>
  <si>
    <t>L6</t>
  </si>
  <si>
    <t>L7</t>
  </si>
  <si>
    <t xml:space="preserve">040330 </t>
  </si>
  <si>
    <t>Fornecimento e aplicação de concreto USINADO Fck=25 MPa - considerando BOMBEAMENTO (5% de perdas já incluído no custo) (6% de taxa p/concr.bombeavel)</t>
  </si>
  <si>
    <t xml:space="preserve">040240 </t>
  </si>
  <si>
    <t xml:space="preserve">Fornecimento e aplicação de concreto USINADO Fck=25 MPa - considerando lançamento MANUAL para INFRA-ESTRUTURA (5% de perdas já incluído no custo) </t>
  </si>
  <si>
    <t>Cobertura</t>
  </si>
  <si>
    <t>L8</t>
  </si>
  <si>
    <t>L10</t>
  </si>
  <si>
    <t>L11</t>
  </si>
  <si>
    <t>L12</t>
  </si>
  <si>
    <t>L15</t>
  </si>
  <si>
    <t>L16</t>
  </si>
  <si>
    <t>L17</t>
  </si>
  <si>
    <t>L18</t>
  </si>
  <si>
    <t>L19</t>
  </si>
  <si>
    <t>L20</t>
  </si>
  <si>
    <t>L21</t>
  </si>
  <si>
    <t>L22</t>
  </si>
  <si>
    <t>L24</t>
  </si>
  <si>
    <t>L25</t>
  </si>
  <si>
    <t>Gradil galvanizado revestido com pintura eletrostática na cor branca em poliéster, fixação sobre mureta conforme projeto, exclusive a mureta</t>
  </si>
  <si>
    <t>Piso em granito preto São Gabriel, acabamento polido, com ranhuras antiderrapantes assentado com argamassa de cimento colante, inclusive rejuntamento</t>
  </si>
  <si>
    <t xml:space="preserve">GRANITEIRO/MARMORISTA (OFICIAL - SINDUSCON) (LABOR) </t>
  </si>
  <si>
    <t>Rodapé de granito Preto São Gabriel esp. 2cm, h=7cm, assentado com argamassa de cimento, cal hidratada CH1 e areia no traço 1:0,5:8, incl. rejuntamento com cimento branco</t>
  </si>
  <si>
    <t>COMP-15</t>
  </si>
  <si>
    <t>REFERÊNCIA: SINAPI 91956</t>
  </si>
  <si>
    <t>88247</t>
  </si>
  <si>
    <t>AUXILIAR DE ELETRICISTA COM ENCARGOS COMPLEMENTARES</t>
  </si>
  <si>
    <t>88264</t>
  </si>
  <si>
    <t>ELETRICISTA COM ENCARGOS COMPLEMENTARES</t>
  </si>
  <si>
    <t>38112</t>
  </si>
  <si>
    <t>INTERRUPTOR SIMPLES 10A, 250V (APENAS MODULO)</t>
  </si>
  <si>
    <t>38113</t>
  </si>
  <si>
    <t>INTERRUPTOR PARALELO 10A, 250V (APENAS MODULO)</t>
  </si>
  <si>
    <t>COMP-16</t>
  </si>
  <si>
    <t>SERVIÇO: Mini-Disjuntor monopolar 13 A, curva C - 5KA 220/127VCA (NBR IEC 60947-2), Ref. Siemens, GE, Schneider ou
equivalente</t>
  </si>
  <si>
    <t>REFERÊNCIA: DER-ES 151301</t>
  </si>
  <si>
    <t>00034653</t>
  </si>
  <si>
    <t>DISJUNTOR TIPO DIN/IEC, MONOPOLAR DE 6 ATE 32A</t>
  </si>
  <si>
    <t>COMP-17</t>
  </si>
  <si>
    <t>SERVIÇO: Mini-Disjuntor tripolar 125 A, curva C - 5KA 240VCA (NBR IEC 60947-2), Ref. Siemens, GE, Schneider ou
equivalente</t>
  </si>
  <si>
    <t>REFERÊNCIA: DER-ES 151331</t>
  </si>
  <si>
    <t>00002391</t>
  </si>
  <si>
    <t>DISJUNTOR TERMOMAGNETICO TRIPOLAR 125A</t>
  </si>
  <si>
    <t>Mini-Disjuntor monopolar 13 A, curva C - 5KA 220/127VCA (NBR IEC 60947-2), Ref. Siemens, GE, Schneider ou equivalente</t>
  </si>
  <si>
    <t>Mini-Disjuntor monopolar 16 A, curva C - 5KA 220/127VCA (NBR IEC 60947-2), Ref. Siemens, GE, Schneider ou equivalente</t>
  </si>
  <si>
    <t>Mini-Disjuntor bipolar 25 A, curva C - 5KA 220/127VCA (NBR IEC 60947-2), Ref. Siemens, GE, Schneider ou equivalente</t>
  </si>
  <si>
    <t>Mini-Disjuntor tripolar 63 A, curva C - 5KA 220/127VCA (NBR IEC 60947-2), Ref. Siemens, GE, Schneider ou equivalente</t>
  </si>
  <si>
    <t>Mini-Disjuntor tripolar 125 A, curva C - 5KA 220/127VCA (NBR IEC 60947-2), Ref. Siemens, GE, Schneider ou equivalente</t>
  </si>
  <si>
    <t>01 para cada fase + neutro</t>
  </si>
  <si>
    <t xml:space="preserve">Fio ou cabo de cobre termoplástico, com isolamento para 750V, seção de 16.0 mm2 </t>
  </si>
  <si>
    <t>Cabo de cobre termoplástico, com isolamento para 1000V, seção de 50 mm2</t>
  </si>
  <si>
    <t>Interruptor de uma tecla paralelo 10A/250V, com placa 4x2"</t>
  </si>
  <si>
    <t>Interruptor de três teclas simples 10A/250V, c/ placa 4x2"</t>
  </si>
  <si>
    <t>18.1.10</t>
  </si>
  <si>
    <t>Blocos pré-moldados de concreto tipo pavi-s ou equivalente, espessura de 6 cm e resistência a compressão mínima de 35MPa, assentados sobre colchão de pó de pedra na espessura de 10 cm</t>
  </si>
  <si>
    <t>20.1.5</t>
  </si>
  <si>
    <t>Piso em granito preto são gabriel, acabamento polido, com ranhuras antiderrapantes e acabamento em meia esquadria</t>
  </si>
  <si>
    <t>Escada (degraus)</t>
  </si>
  <si>
    <t>Escada (patamar)</t>
  </si>
  <si>
    <t>Escada (espelhos)</t>
  </si>
  <si>
    <t>15.5.5</t>
  </si>
  <si>
    <t>15.5.6</t>
  </si>
  <si>
    <t xml:space="preserve">Interruptor de uma tecla simples 10A/250V, com placa 4x2" </t>
  </si>
  <si>
    <t>SERVIÇOS DIVERSOS</t>
  </si>
  <si>
    <t>Bucha e arruela de alumínio fundido diâmetro 20mm (3/4")</t>
  </si>
  <si>
    <t>Bucha e arruela de alumínio fundido diâmetro 40mm (1 1/2")</t>
  </si>
  <si>
    <t>15.7.2</t>
  </si>
  <si>
    <t>15.8.1</t>
  </si>
  <si>
    <t>COMPOSIÇÕES INTERMEDIÁRIAS P/ ELÉTRICA</t>
  </si>
  <si>
    <t>Fita isolante em rolo de 19mm x 20 m, número 33 Scoth ou equivalente</t>
  </si>
  <si>
    <t>15.5.7</t>
  </si>
  <si>
    <t>15.6.3</t>
  </si>
  <si>
    <t>15.6.4</t>
  </si>
  <si>
    <t>15.6.5</t>
  </si>
  <si>
    <t>15.6.6</t>
  </si>
  <si>
    <t>21.1.4</t>
  </si>
  <si>
    <t>Fornecimento e instalação de Ar Condicionado Split Inverter 9000 Btu/h</t>
  </si>
  <si>
    <t>21.1.5</t>
  </si>
  <si>
    <t>21.1.6</t>
  </si>
  <si>
    <t>21.1.7</t>
  </si>
  <si>
    <t>Fornecimento e instalação de Ar Condicionado Split Inverter 12000 Btu/h</t>
  </si>
  <si>
    <t>Fornecimento e instalação de Ar Condicionado Split Inverter 1800 Btu/h</t>
  </si>
  <si>
    <t>Fornecimento e instalação de Ar Condicionado Split Inverter 2400 Btu/h</t>
  </si>
  <si>
    <t>Fornecimento e instalação de Ar Condicionado Split Inverter 18000 Btu/h</t>
  </si>
  <si>
    <t>Fornecimento e instalação de Ar Condicionado Split Inverter 24000 Btu/h</t>
  </si>
  <si>
    <t>Padrão de entrada de energia elétrica, trifásico, entrada aérea, a 4 fios, carga instalada em muro de 57001 até 75000W - 220/127V</t>
  </si>
  <si>
    <t>Kit Porta de correr de madeira lisa 100 x 210 cm, Natural</t>
  </si>
  <si>
    <t>GG Portas</t>
  </si>
  <si>
    <t>(27) 99235-5356
Atendente:Simone
Local: Santa Teresa (ES)</t>
  </si>
  <si>
    <t>21.1.4
21.1.5</t>
  </si>
  <si>
    <t>21.1.6
21.1.7</t>
  </si>
  <si>
    <t>COMP-18</t>
  </si>
  <si>
    <t>SERVIÇO: Kit Porta de correr de madeira lisa 100 x 210 cm, Natural</t>
  </si>
  <si>
    <t>COTAÇÃO 09</t>
  </si>
  <si>
    <t>P2 (100x210cm)</t>
  </si>
  <si>
    <t>Banheiro PNE feminino até a Caixa de Inspeção 02</t>
  </si>
  <si>
    <t>Banheiro PNE masculino até a Caixa de Inspeção 02</t>
  </si>
  <si>
    <t>Banheiro feminino até a Caixa de Inspeção 02</t>
  </si>
  <si>
    <t>Banheiro masculino até a Caixa de Inspeção 01</t>
  </si>
  <si>
    <t>Cozinha até a Caixa de Inspeção 01</t>
  </si>
  <si>
    <t xml:space="preserve">Caixa de Gordura até a Caixa de Inspeção 01 </t>
  </si>
  <si>
    <t xml:space="preserve">Caixa de Inspeção 01 até a Caixa de Inspeção 02 </t>
  </si>
  <si>
    <t>Caixa de Inspeção 02  até a Rua Pedro Zangrande</t>
  </si>
  <si>
    <t>Banheiro funcionários até Tubo de Queda 01</t>
  </si>
  <si>
    <t>Tubo de Queda 01 (vertical)</t>
  </si>
  <si>
    <t>Água Pluvial 01 (vertical)</t>
  </si>
  <si>
    <t>Água Pluvial 02 (vertical)</t>
  </si>
  <si>
    <t>Água Pluvial 03 (vertical)</t>
  </si>
  <si>
    <t>COMP-19</t>
  </si>
  <si>
    <t>REFERÊNCIA: SINAPI 100864</t>
  </si>
  <si>
    <t>BARRA DE APOIO EM "L", EM ACO INOX POLIDO 80 X 80 CM, DIAMETRO MINIMO 3 CM</t>
  </si>
  <si>
    <t>36209</t>
  </si>
  <si>
    <t>88267</t>
  </si>
  <si>
    <t>21.1.8</t>
  </si>
  <si>
    <t>Drenos Ares Condicionados</t>
  </si>
  <si>
    <t>Banheiro Masculino P.N.E.</t>
  </si>
  <si>
    <t>Banheiro Feminino P.N.E.</t>
  </si>
  <si>
    <t>Tubo de Queda 02 (vertical)</t>
  </si>
  <si>
    <t>Tubo de PVC rígido soldável marrom, diâm. 20mm (1/2"), inclusive conexões</t>
  </si>
  <si>
    <t>14.5.3</t>
  </si>
  <si>
    <t>Tubo de Ventilação 01</t>
  </si>
  <si>
    <t>Tubo de Ventilação 02</t>
  </si>
  <si>
    <t>Alimentação Reservatórios</t>
  </si>
  <si>
    <t>AF1 (vertical)</t>
  </si>
  <si>
    <t>AF2 (vertical)</t>
  </si>
  <si>
    <t>AF3 (vertical)</t>
  </si>
  <si>
    <t>AF4 (vertical)</t>
  </si>
  <si>
    <t>AF5 (vertical)</t>
  </si>
  <si>
    <t>AF6 (vertical)</t>
  </si>
  <si>
    <t>AF7 (vertical)</t>
  </si>
  <si>
    <t>AF8 (vertical)</t>
  </si>
  <si>
    <t>Cozinha (pavimento superior)</t>
  </si>
  <si>
    <t>Jardim</t>
  </si>
  <si>
    <t>Limpeza e Extravasor</t>
  </si>
  <si>
    <t>Distribuição para as AF's</t>
  </si>
  <si>
    <t>Considerando 6 meses de andaime com altura de 9 metros</t>
  </si>
  <si>
    <t>Aterro para a calçada perimetral + rampa</t>
  </si>
  <si>
    <t>Área de estacionamento, vivência e fundos da edificação</t>
  </si>
  <si>
    <t>Escavação para base do muro</t>
  </si>
  <si>
    <t>Demolição manual de concreto simples</t>
  </si>
  <si>
    <t>Retirada de grades, gradis, alambrados, cercas e portões</t>
  </si>
  <si>
    <t>D=diâmetro médio - 25% desta medida</t>
  </si>
  <si>
    <t>L=medida do comprimento da árvore</t>
  </si>
  <si>
    <t>Obs.: Para estimar o volume do corte e destocamento das árvores foi utilizado o cálculo V=(Dx0,75)² x L</t>
  </si>
  <si>
    <t>ALVENARIA ESTRUTURAL</t>
  </si>
  <si>
    <t xml:space="preserve">0505 </t>
  </si>
  <si>
    <t xml:space="preserve">050501 </t>
  </si>
  <si>
    <t>Alvenaria de blocos de concreto estrut. (14x19x39cm) cheios, c/ resist. mín. compr. 15MPa, assentados c/ arg. de cimento e areia no traço 1:4, esp. juntas 10mm e esp. da parede s/ revest. 14cm</t>
  </si>
  <si>
    <t>Base do muro externo</t>
  </si>
  <si>
    <t xml:space="preserve">Laje da marquise </t>
  </si>
  <si>
    <t>Fundação (sapatas, pilaretes e vigas baldrames)</t>
  </si>
  <si>
    <t xml:space="preserve">Detalhe marquise da fachada </t>
  </si>
  <si>
    <t>Detalhe marquise fachada</t>
  </si>
  <si>
    <t>Área de convivência</t>
  </si>
  <si>
    <t xml:space="preserve">Escada interna </t>
  </si>
  <si>
    <t>(27) 98119-1002
Atendente: Nandir Mendes
Local: João Neiva (ES)</t>
  </si>
  <si>
    <t>Mendes 
Esquadrias</t>
  </si>
  <si>
    <t>16.2.1</t>
  </si>
  <si>
    <t>16.2.2</t>
  </si>
  <si>
    <t>Caixa de telefone em chapa de aço padrão TELEBRAS do tipo CIE-4 600x600x120 mm und 319,54</t>
  </si>
  <si>
    <t>Caixa para telefone padrão TELEMAR, dim. 1070 x 520 x 500 mm, com tampa de ferro tipo R2, assentada com argamassa de cimento, cal e areia und 1.025,01</t>
  </si>
  <si>
    <t>Caixa de embutir marca de referência Tigreflex, 4x2"</t>
  </si>
  <si>
    <t>Caixa de embutir marca de referência Tigreflex, 4x4"</t>
  </si>
  <si>
    <t>Projeto elétrico</t>
  </si>
  <si>
    <t>Projeto rede estruturada</t>
  </si>
  <si>
    <t>Abertura Ventilação Cobertura</t>
  </si>
  <si>
    <t>Conforme Projeto elétrico</t>
  </si>
  <si>
    <t>Conforme Projeto de Rede estruturada</t>
  </si>
  <si>
    <t>SERVIÇO: INTERRUPTOR SIMPLES (1 MÓDULO) COM INTERRUPTOR PARALELO (1 MÓDULO), 10A/250V, SEM SUPORTE E SEM PLACA - FORNECIMENTO E INSTALAÇÃO.</t>
  </si>
  <si>
    <t>Interruptor simples (1 módulo) com interruptor paralelo (1 módulo), 10A/250V, sem suporte e sem placa - fornecimento e instalação.</t>
  </si>
  <si>
    <t>Conforme projeto elétrico</t>
  </si>
  <si>
    <t xml:space="preserve">SERVIÇO: BARRA DE APOIO EM "L", EM ACO INOX POLIDO 80 X 80 CM, FIXADA NA PAREDE - FORNECIMENTO E INSTALACAO. </t>
  </si>
  <si>
    <t>Barra de apoio em "L", em aço inox polido 80 x 80 cm, fixada na parede - Fornecimento e instalação.</t>
  </si>
  <si>
    <t>11</t>
  </si>
  <si>
    <t>12</t>
  </si>
  <si>
    <t xml:space="preserve">VALORES </t>
  </si>
  <si>
    <t>INSTALAÇÕES ELÉTRICAS</t>
  </si>
  <si>
    <t>COMP-20</t>
  </si>
  <si>
    <t>SERVIÇO: Placa cimentícia assentado com argamassa de cimento colante</t>
  </si>
  <si>
    <t xml:space="preserve">00011062 </t>
  </si>
  <si>
    <t>PLACA CIMENTICIA LISA E = 10 MM, DE 1,20 X 3,00 M (SEM AMIANTO)</t>
  </si>
  <si>
    <t xml:space="preserve">PEDREIRO - (OFICIAL - SINDUSCON) (LABOR) </t>
  </si>
  <si>
    <t>21.1.9</t>
  </si>
  <si>
    <t>Placa cimentícia assentado com argamassa de cimento colante</t>
  </si>
  <si>
    <t>Detalhe da fachada</t>
  </si>
  <si>
    <t>Impostos/Tributos</t>
  </si>
  <si>
    <t>Custos Financeiros</t>
  </si>
  <si>
    <t>Lucro</t>
  </si>
  <si>
    <t>Mavan Madeiras</t>
  </si>
  <si>
    <t>(27) 3348-6488
Atendente: José Leite
Local: Serra (ES)</t>
  </si>
  <si>
    <t>UND: m²</t>
  </si>
  <si>
    <t>Placa cimentícia assentada com argamassa de cimento colante</t>
  </si>
  <si>
    <t xml:space="preserve">COTAÇÃO 05 </t>
  </si>
  <si>
    <t>COTAÇÃO 06</t>
  </si>
  <si>
    <t>Banheiros PNE masculino e feminino</t>
  </si>
  <si>
    <t>Saboneteira plástica tipo dispenser para sabonete líquido com reservatório 800 a 1500 ml, incluso fixação.</t>
  </si>
  <si>
    <t>REFERÊNCIA: SINAPI-ES 95547</t>
  </si>
  <si>
    <t>SERVIÇO: Saboneteira plástica tipo dispenser para sabonete líquido com reservatório 800 a 1500 ml, incluso fixação.</t>
  </si>
  <si>
    <t>COMP-21</t>
  </si>
  <si>
    <t>ENCANADOR OU BOMBEIRO HIDRÁULICO COM ENCARGOS COMPLEMENTARES</t>
  </si>
  <si>
    <t>SINAPI-ES</t>
  </si>
  <si>
    <t>11758</t>
  </si>
  <si>
    <t>21.1.10</t>
  </si>
  <si>
    <t xml:space="preserve">Banheiro feminino </t>
  </si>
  <si>
    <t>COMP-22</t>
  </si>
  <si>
    <t>SERVIÇO: Papeleira de parede em metal cromado sem tampa, incluso fixação.</t>
  </si>
  <si>
    <t xml:space="preserve">REFERÊNCIA: SINAPI-ES 95544 </t>
  </si>
  <si>
    <t>PAPELEIRA DE PAREDE EM METAL CROMADO SEM TAMPA</t>
  </si>
  <si>
    <t>11703</t>
  </si>
  <si>
    <t>SABONETEIRA PLASTICA TIPO DISPENSER PARA SABONETE LIQUIDO COM RESERVATORIO 800 A 1500 ML</t>
  </si>
  <si>
    <t>Papeleira de parede em metal cromado sem tampa, incluso fixação.</t>
  </si>
  <si>
    <t>21.1.11</t>
  </si>
  <si>
    <t>COTAÇÃO 10</t>
  </si>
  <si>
    <t>SERVIÇO: Porta papel toalha plástica tipo dispenser, capacidade para aproximadamente 750 folhas, incluso fixação.</t>
  </si>
  <si>
    <t>https://www.americanas.com.br/produto/1978061482/dispenser-p-papel-toalha-velox-premisse-branco?WT.srch=1&amp;acc=e789ea56094489dffd798f86ff51c7a9&amp;epar=bp_pl_00_go_todos-os-produtos_geral_gmv&amp;gclid=Cj0KCQjwqrb7BRDlARIsACwGad7MVi73ugrkWG5jAIN6yU4ecz3MaOidsVcftGdHkCKENgGQh0EW_SUaAvy-EALw_wcB&amp;i=57f47f15eec3dfb1f844c030&amp;o=5f455abbf8e95eac3d12846b&amp;opn=YSMESP&amp;sellerid=3899421000194#info-section</t>
  </si>
  <si>
    <t>Porta papel toalha plástica tipo dispenser, capacidade para aproximadamente 750 folhas</t>
  </si>
  <si>
    <t>Kalunga</t>
  </si>
  <si>
    <t>https://www.kalunga.com.br/prod/dispenser-papel-toalha-interfolhado-branco-c19533-premisse-cx-1-un/324175?pcID=39&amp;gclid=Cj0KCQjwqrb7BRDlARIsACwGad6HO2dT5IOnuzBk8d55FZvxHn7u8z-LvSHzV70iwJALgCLUeG6uVL4aAqcFEALw_wcB</t>
  </si>
  <si>
    <t>Submarino</t>
  </si>
  <si>
    <t>https://www.submarino.com.br/produto/1978061482/dispenser-p-papel-toalha-velox-premisse-branco?WT.srch=1&amp;acc=d47a04c6f99456bc289220d5d0ff208d&amp;epar=bp_pl_00_go_pla_aic_geral_gmv&amp;gclid=Cj0KCQjwqrb7BRDlARIsACwGad5qhu8e-MVC7waZ4lS8pgcaHr3VGGgI1Hi8l7aEO5_d5nqDgqwGn4MaAtmxEALw_wcB&amp;i=57f4b679eec3dfb1f84b1089&amp;o=5f455f6bf8e95eac3d12bcdd&amp;opn=XMLGOOGLE&amp;sellerid=3899421000194</t>
  </si>
  <si>
    <t>21.1.12</t>
  </si>
  <si>
    <t>COMP-23</t>
  </si>
  <si>
    <t>Porta papel toalha plástica tipo dispenser, capacidade para aproximadamente 750 folhas, incluso fixação</t>
  </si>
  <si>
    <t xml:space="preserve">88247 </t>
  </si>
  <si>
    <t xml:space="preserve">88264 </t>
  </si>
  <si>
    <t>COMP-24</t>
  </si>
  <si>
    <t>REFERÊNCIA: SINAPI-ES 91937</t>
  </si>
  <si>
    <t>21.1.13</t>
  </si>
  <si>
    <t>COMP-25</t>
  </si>
  <si>
    <t>REFERÊNCIA: SINAPI-ES 97607</t>
  </si>
  <si>
    <t xml:space="preserve">SERVIÇO: Luminária arandela tipo tartaruga, de sobrepor, com 1 lâmpada led de 6W, - fornecimento e instalação. </t>
  </si>
  <si>
    <t>LAMPADA LED 6 W BIVOLT BRANCA, FORMATO TRADICIONAL (BASE E27)</t>
  </si>
  <si>
    <t xml:space="preserve">38193 </t>
  </si>
  <si>
    <t>38775</t>
  </si>
  <si>
    <t xml:space="preserve"> LUMINARIA TIPO TARTARUGA PARA AREA EXTERNA EM ALUMINIO, COM GRADE, PARA 1LAMPADA, BASE E27, POTENCIA MAXIMA 40/60 W (NAO INCLUI LAMPADA)</t>
  </si>
  <si>
    <t xml:space="preserve">Luminária arandela tipo tartaruga, de sobrepor, com 1 lâmpada led de 6W, - fornecimento e instalação. </t>
  </si>
  <si>
    <t>Luminária arandela tipo tartaruga, de sobrepor, com 1 lâmpada led de 6W, - fornecimento e instalação.</t>
  </si>
  <si>
    <t xml:space="preserve">SERVIÇO: Plantio de palmeira com altura de muda menor ou igual a 2,00 m. </t>
  </si>
  <si>
    <t>JARDINEIRO COM ENCARGOS COMPLEMENTARES</t>
  </si>
  <si>
    <t xml:space="preserve">88441 </t>
  </si>
  <si>
    <t xml:space="preserve">91634 </t>
  </si>
  <si>
    <t>GUINDAUTO HIDRÁULICO, CAPACIDADE MÁXIMA DE CARGA 6500 KG, MOMENTO MÁXIMO DE CARGA 5,8 TM, ALCANCE MÁXIMO HORIZONTAL 7,60 M, INCLUSIVE CAMINHÃO TOCO
PBT 9.700 KG, POTÊNCIA DE 160 CV - CHP DIURNO. AF_08/2015</t>
  </si>
  <si>
    <t>GUINDAUTO HIDRÁULICO, CAPACIDADE MÁXIMA DE CARGA 6500 KG, MOMENTO MÁXIMO DE CARGA 5,8 TM, ALCANCE MÁXIMO HORIZONTAL 7,60 M, INCLUSIVE CAMINHÃO TOCO
PBT 9.700 KG, POTÊNCIA DE 160 CV - CHI DIURNO. AF_08/2015</t>
  </si>
  <si>
    <t>CHP</t>
  </si>
  <si>
    <t>CHI</t>
  </si>
  <si>
    <t xml:space="preserve">38641 </t>
  </si>
  <si>
    <t>MUDA DE PALMEIRA, ARECA, H= *1,50* CM</t>
  </si>
  <si>
    <t>COMP-26</t>
  </si>
  <si>
    <t>REFERÊNCIA: SINAPI-ES 98516</t>
  </si>
  <si>
    <t>Plantio de palmeira com altura de muda menor ou igual a 2,00 m.</t>
  </si>
  <si>
    <t>20.4.2</t>
  </si>
  <si>
    <t>20.4.3</t>
  </si>
  <si>
    <t>20.4.4</t>
  </si>
  <si>
    <t>20.4.5</t>
  </si>
  <si>
    <t>COMP-27</t>
  </si>
  <si>
    <t>REFERÊNCIA: SINAPI-ES 98509</t>
  </si>
  <si>
    <t xml:space="preserve">365 </t>
  </si>
  <si>
    <t>MUDA DE ARBUSTO FOLHAGEM, SANSAO-DO-CAMPO OU EQUIVALENTE DA REGIAO, H= *50 A 70* CM</t>
  </si>
  <si>
    <t xml:space="preserve">Plantio de arbusto ou cerca viva. </t>
  </si>
  <si>
    <t>Conforme projeto paisagismo</t>
  </si>
  <si>
    <t>Administração Local</t>
  </si>
  <si>
    <t>GRUPO F</t>
  </si>
  <si>
    <t>COMPOSIÇÃO LEIS SOCIAIS</t>
  </si>
  <si>
    <t>(1 – C)</t>
  </si>
  <si>
    <t>A = ADMINISTRAÇÃO CENTRAL;</t>
  </si>
  <si>
    <t>B = ADMINISTRAÇÃO LOCAL;</t>
  </si>
  <si>
    <t>C = ISS + PIS + COFINS+INSS;</t>
  </si>
  <si>
    <t>E = RISCOS, SEGUROS E GARANTIAS;</t>
  </si>
  <si>
    <t>D = CUSTOS FINANCEIROS;</t>
  </si>
  <si>
    <t>F = BENEFÍCIO/LUCRO;</t>
  </si>
  <si>
    <t>Total Grupo F</t>
  </si>
  <si>
    <r>
      <t>BDI = {</t>
    </r>
    <r>
      <rPr>
        <b/>
        <u/>
        <sz val="10"/>
        <rFont val="Arial"/>
        <family val="2"/>
      </rPr>
      <t>(1 + D)*(1 + A+B+E)*(1 + F)}</t>
    </r>
    <r>
      <rPr>
        <b/>
        <sz val="10"/>
        <rFont val="Arial"/>
        <family val="2"/>
      </rPr>
      <t xml:space="preserve">  -1, onde:</t>
    </r>
  </si>
  <si>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</si>
  <si>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</si>
  <si>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</si>
  <si>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ORÇAMENTISTA: JEFYSON SILVA LOUREIRO - ENGENHEIRO CIVIL - CREA/ES 0047233/D</t>
  </si>
  <si>
    <t>Marquise atirantada em estrutura metálica com calha, fechamento em ACM, forro em ACM, e letreiro em aço inox</t>
  </si>
  <si>
    <t>Fachada (acima da porta entrada principal)</t>
  </si>
  <si>
    <t>COTAÇÃO 11</t>
  </si>
  <si>
    <t xml:space="preserve">Aquarela Comunicação Visual </t>
  </si>
  <si>
    <t>Marquise atirantada em estrutura metálica com calha, fechamento em ACM, forro em ACM, e letreiro em aço inox, fornecimento e instalação</t>
  </si>
  <si>
    <t>Guarda-corpo em aço inox, fornecimento e instalação</t>
  </si>
  <si>
    <t>COMPOSIÇÃO BDI</t>
  </si>
  <si>
    <t>18.1.9</t>
  </si>
  <si>
    <t>010209</t>
  </si>
  <si>
    <t>010210</t>
  </si>
  <si>
    <t>010224</t>
  </si>
  <si>
    <t>010255</t>
  </si>
  <si>
    <t>010325</t>
  </si>
  <si>
    <t>ABR/21</t>
  </si>
  <si>
    <t>023522</t>
  </si>
  <si>
    <t>SERVIÇO: Plantio de arbusto ou cerca viva</t>
  </si>
  <si>
    <t>Plataforma elevatória</t>
  </si>
  <si>
    <t>Portas Plataforma elevatória</t>
  </si>
  <si>
    <t>Shaft</t>
  </si>
  <si>
    <t>Cozinha (Térreo e Pav. superior)</t>
  </si>
  <si>
    <t>J3 (1,20x1,20)</t>
  </si>
  <si>
    <t>P4 (0,90x2,10)</t>
  </si>
  <si>
    <t>J3 (120x120cm)</t>
  </si>
  <si>
    <t>Amoxarifado</t>
  </si>
  <si>
    <t>Muro fundos e lateral existentes</t>
  </si>
  <si>
    <t>Muro dos fundos existente</t>
  </si>
  <si>
    <t xml:space="preserve"> Grades Janelas</t>
  </si>
  <si>
    <t>Grades Básculas</t>
  </si>
  <si>
    <t>Mobilitá Elevadores</t>
  </si>
  <si>
    <t>vendas@mobilitaelevadores.com.br
Atendente: Ana
Local: Atiabaia (SP)</t>
  </si>
  <si>
    <t>Fornecimento e Instalação de Plataforma Elevatória de Acessibilidade</t>
  </si>
  <si>
    <t>Prancha 04/12 - Projeto estrutural</t>
  </si>
  <si>
    <t xml:space="preserve">Prancha 08/12 - Projeto estrutural </t>
  </si>
  <si>
    <t xml:space="preserve">Prancha 11/12 - Projeto estrutural </t>
  </si>
  <si>
    <t>Prancha 08/12 - Projeto estrutural</t>
  </si>
  <si>
    <t>Prancha 11/12 - Projeto estrutural</t>
  </si>
  <si>
    <t>Obs.: Desconsiderando 10% de perda</t>
  </si>
  <si>
    <t xml:space="preserve">040332 </t>
  </si>
  <si>
    <t>Fornecimento, dobragem e colocação em fôrma, de armadura CA-50 A grossa, diâmetro de 12.5 a 25.0mm</t>
  </si>
  <si>
    <t xml:space="preserve"> kg</t>
  </si>
  <si>
    <t>S1=S16</t>
  </si>
  <si>
    <t>S2=S6=S13</t>
  </si>
  <si>
    <t>S3=S7=S9=S17=S19</t>
  </si>
  <si>
    <t>S4=S11=S12</t>
  </si>
  <si>
    <t>S18</t>
  </si>
  <si>
    <t>S5=S14</t>
  </si>
  <si>
    <t>S8</t>
  </si>
  <si>
    <t>S10=S15</t>
  </si>
  <si>
    <t>S20</t>
  </si>
  <si>
    <t>L26</t>
  </si>
  <si>
    <t>L27</t>
  </si>
  <si>
    <t>L28</t>
  </si>
  <si>
    <t xml:space="preserve">Bota-fora (volume excedente de reaterro) Considerando empolamento de 30% </t>
  </si>
  <si>
    <t>Com empolamento de 30%</t>
  </si>
  <si>
    <t>Poço Plataforma Elevatória</t>
  </si>
  <si>
    <t>Conforme projeto elétrico (exceto Poço Plataforma Elevatória)</t>
  </si>
  <si>
    <t xml:space="preserve">Arandelas </t>
  </si>
  <si>
    <t>Caixas intermediárias</t>
  </si>
  <si>
    <t>Caixas para Ar condicionado/Chuveiro/Passagem</t>
  </si>
  <si>
    <t>Montele Elevadores</t>
  </si>
  <si>
    <t xml:space="preserve"> clara.paiva@montele.ind.br
Atendente: Clara Paiva
Local: Contagem (MG)</t>
  </si>
  <si>
    <t>RBA Elevadores</t>
  </si>
  <si>
    <t>eliane@rbaelevadores.com.br
Atendente: Eliane
Local: São José do Rio Preto (SP)</t>
  </si>
  <si>
    <t>21.1.14</t>
  </si>
  <si>
    <t>COTAÇÃO 12</t>
  </si>
  <si>
    <t>MetalOne</t>
  </si>
  <si>
    <t>(27) 99873-4219
Atendente: Robert Silva
Local: Serra (ES)</t>
  </si>
  <si>
    <t>Tony Acabamentos</t>
  </si>
  <si>
    <t>(27) 98142-0176
Atendente: Gabriel
Local: Linhares (ES)</t>
  </si>
  <si>
    <t>COMP-28</t>
  </si>
  <si>
    <t>SERVIÇO: TOMADA BAIXA DE EMBUTIR (2 MÓDULOS), 2P+T 10 A, INCLUINDO SUPORTE E PLACA FORNECIMENTO E INSTALAÇÃO</t>
  </si>
  <si>
    <t>TOMADA 2P+T 10A, 250V (APENAS MODULO)</t>
  </si>
  <si>
    <t>38101</t>
  </si>
  <si>
    <t>38094</t>
  </si>
  <si>
    <t>38099</t>
  </si>
  <si>
    <t>SUPORTE DE FIXACAO PARA ESPELHO / PLACA 4" X 2", PARA 3 MODULOS, PARA INSTALACAO DE TOMADAS E INTERRUPTORES (SOMENTE SUPORTE)</t>
  </si>
  <si>
    <t>REFERÊNCIA: SINAPI-ES 92006 / 92008 / 91946</t>
  </si>
  <si>
    <t>ESPELHO / PLACA DE 3 POSTOS 4" X 2", PARA INSTALACAO DE TOMADAS E INTERRUPTORES</t>
  </si>
  <si>
    <t>18.1.11</t>
  </si>
  <si>
    <t>Tomada Baixa de embutir (2 módulos), 2P + T 10A, incluindo suporte e placa. Fornecimento e Instalação</t>
  </si>
  <si>
    <t>COMP-29</t>
  </si>
  <si>
    <t>SERVIÇO: TOMADA MÉDIA DE EMBUTIR (2 MÓDULOS), 2P+T 10 A, INCLUINDO SUPORTE E PLACA FORNECIMENTO E INSTALAÇÃO</t>
  </si>
  <si>
    <t>REFERÊNCIA: SINAPI-ES 92004 / 92002 / 91946</t>
  </si>
  <si>
    <t>Tomada Média de embutir (2 módulos), 2P + T 10A, incluindo suporte e placa. Fornecimento e Instalação</t>
  </si>
  <si>
    <t>Sala de Atendimento Coletivo</t>
  </si>
  <si>
    <t>Sala de Atendimento Individual 01</t>
  </si>
  <si>
    <t>Sala de Atendimento Individual 02</t>
  </si>
  <si>
    <t>Sala Equipe Referenciada</t>
  </si>
  <si>
    <t>Plataforma Elevatória</t>
  </si>
  <si>
    <t>1º Pavimento</t>
  </si>
  <si>
    <t>Sala Administração</t>
  </si>
  <si>
    <t>Auditório / Sala de Reuniões</t>
  </si>
  <si>
    <t>18.1.12</t>
  </si>
  <si>
    <t xml:space="preserve">Espelho para caixa estampada 4 x 4" </t>
  </si>
  <si>
    <t>Projeto Rede Estruturada</t>
  </si>
  <si>
    <t>Sala Atendimento Coletivo</t>
  </si>
  <si>
    <t>Sala Atendimento Individual 01</t>
  </si>
  <si>
    <t>Sala Atendimento Individual 02</t>
  </si>
  <si>
    <t>Sala administração</t>
  </si>
  <si>
    <t>18.1.13</t>
  </si>
  <si>
    <t>Tomada coaxial 75 ohms para TV</t>
  </si>
  <si>
    <t>16.1.3</t>
  </si>
  <si>
    <t>Tomada para telefone com conector RJ 11</t>
  </si>
  <si>
    <t>16.3</t>
  </si>
  <si>
    <t>INSTALAÇÃO DE INCÊNDIO</t>
  </si>
  <si>
    <t>16.3.1</t>
  </si>
  <si>
    <t>16.3.2</t>
  </si>
  <si>
    <t>Extintor de incêndio portátil de pó químico ABC com capacidade 2A-20B:C (4 kg), inclusive suporte para fixação, EXCLUSIVE placa sinalizadora em PVC fotoluminescente</t>
  </si>
  <si>
    <t>Conforme Projeto de Incêndio</t>
  </si>
  <si>
    <t>Placa de sinalização de segurança CODIGO 14 - 315/158(NBR 13.434); CÓDIGO S3(NT 14/2010-ES) ("SAIDA DE EMERGÊNCIA" - seta vertical)</t>
  </si>
  <si>
    <t>16.2.3</t>
  </si>
  <si>
    <t>Ponto para iluminação de emergência completo, inclusive bloco autônomo de iluminação 2x9W com tomada universal</t>
  </si>
  <si>
    <t>Magazine Luiza</t>
  </si>
  <si>
    <t>(11) 5891-0252
Atendente: Sara
Local: São Paulo (SP)</t>
  </si>
  <si>
    <t>(27) 99898-2100
Atendente: Roni
Local: Aracruz (ES)</t>
  </si>
  <si>
    <t>Guarda-corpo com corrimão em aço inox, fornecimento e instalação</t>
  </si>
  <si>
    <t>Guarda corpo com corrimão  em aço inox, fornecimento e instalação</t>
  </si>
  <si>
    <t>Caixa de telefone em chapa de aço padrão TELEBRAS do tipo CIE-4 600x600x120 mm</t>
  </si>
  <si>
    <t xml:space="preserve">Caixa para telefone padrão TELEMAR, dim. 1070 x 520 x 500 mm, com tampa de ferro tipo R2, assentada com argamassa de cimento, cal e areia </t>
  </si>
  <si>
    <t>Sudesteinox</t>
  </si>
  <si>
    <t>(27) 98860-7174
Atendente: Alexander
Local: Vila Velha (ES)</t>
  </si>
  <si>
    <t>COMP-30</t>
  </si>
  <si>
    <t xml:space="preserve">99833 </t>
  </si>
  <si>
    <t>LAVADORA DE ALTA PRESSAO (LAVA-JATO) PARA AGUA FRIA, PRESSAO DE OPERACAO ENTRE 1400 E 1900 LIB/POL2, VAZAO MAXIMA ENTRE 400 E 700 L/H - CHP DIURNO. AF_04/2019</t>
  </si>
  <si>
    <t>Limpeza de superfície com jato de alta pressão</t>
  </si>
  <si>
    <t>SERVIÇO: LIMPEZA DE SUPERFÍCIE COM JATO DE ALTA PRESSÃO.</t>
  </si>
  <si>
    <t>REFERÊNCIA: SINAPI-ES 99814</t>
  </si>
  <si>
    <t>Projeto de lógica</t>
  </si>
  <si>
    <t>15.2.3</t>
  </si>
  <si>
    <t>Caixa sextavada em PVC de 3x3x1 1/2", marca de referência Tigreflex</t>
  </si>
  <si>
    <t xml:space="preserve">Espelho 4" x 2" com conector RJ 45 fêmea CAT. 6e </t>
  </si>
  <si>
    <t xml:space="preserve">SERVIÇO: Espelho 4" x 2" com conector RJ 45 fêmea CAT. 6e </t>
  </si>
  <si>
    <t>AJUDANTE (AJUDANTE PRATICO - SINDUSCON) (LABOR)</t>
  </si>
  <si>
    <t>ELETRICISTA (OFICIAL - SINDUSCON) (LABOR)</t>
  </si>
  <si>
    <t>ESPELHO 4X2" C/ 1 CONECTOR RJ-45 FEMEA CAT 6E</t>
  </si>
  <si>
    <t>COTAÇÃO 13</t>
  </si>
  <si>
    <t>Via Inox</t>
  </si>
  <si>
    <t>Tramontina Store</t>
  </si>
  <si>
    <t>Dular</t>
  </si>
  <si>
    <t>https://www.viainox.com/conjunto-1-tomada-rj-45-cat-6-4x2-liz/p?utm_source=google&amp;utm_medium=cpc&amp;utm_campaign=shopping&amp;gclid=CjwKCAjw_o-HBhAsEiwANqYhp8x32TM5FtfJvu0Nc7bhfDZn6lLpQi0H88h_TJXjUFwcwunNMl4xbBoC-ZIQAvD_BwE</t>
  </si>
  <si>
    <t>https://www.tramontinastore.com/conjunto-4x2-com-1-tomada-rj45-cat--6-tramontina-liz-branco_57170022/p?idsku=57170022&amp;gclid=EAIaIQobChMI9ZbundrO8QIVFAeRCh3iYADmEAQYASABEgK0fvD_BwE</t>
  </si>
  <si>
    <t>https://www.dular.com.br/conjunto-4x2-com-1-tomada-rj45-cat--6-tramontina-liz-branco-2147450702/p?idsku=2147459374&amp;idtag=a7c38a3d-91af-4fa9-9229-26e175a26d9f&amp;idtag=351ba9af-063c-4145-be84-9eb7ce22bd10&amp;gclid=EAIaIQobChMI9ZbundrO8QIVFAeRCh3iYADmEAsYByABEgK6l_D_BwE</t>
  </si>
  <si>
    <t>Visualize Comunicação Visual</t>
  </si>
  <si>
    <t>(27) 99806-8110
Atendente: Lúcio Chaves
Local: Aracruz (ES)</t>
  </si>
  <si>
    <t xml:space="preserve">Fornecimento, dobragem e colocação em fôrma, de armadura CA-50 A grossa, diâmetro de 12.5 a 25.0mm </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</si>
</sst>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4" formatCode="_-&quot;R$&quot;\ * #,##0.00_-;\-&quot;R$&quot;\ * #,##0.00_-;_-&quot;R$&quot;\ * &quot;-&quot;??_-;_-@_-"/>
    <numFmt numFmtId="43" formatCode="_-* #,##0.00_-;\-* #,##0.00_-;_-* &quot;-&quot;??_-;_-@_-"/>
    <numFmt numFmtId="164" formatCode="_-[$R$-416]\ * #,##0.00_-;\-[$R$-416]\ * #,##0.00_-;_-[$R$-416]\ * &quot;-&quot;??_-;_-@_-"/>
    <numFmt numFmtId="165" formatCode="0.000"/>
    <numFmt numFmtId="166" formatCode="&quot;R$ &quot;#,##0.00"/>
    <numFmt numFmtId="167" formatCode="_(* #,##0.00_);_(* \(#,##0.00\);_(* &quot;-&quot;??_);_(@_)"/>
    <numFmt numFmtId="168" formatCode="_(&quot;R$ &quot;* #,##0.00_);_(&quot;R$ &quot;* \(#,##0.00\);_(&quot;R$ &quot;* &quot;-&quot;??_);_(@_)"/>
    <numFmt numFmtId="169" formatCode="0.00000"/>
    <numFmt numFmtId="170" formatCode="&quot;R$ &quot;#,##0.000"/>
    <numFmt numFmtId="171" formatCode="0.0000"/>
    <numFmt numFmtId="172" formatCode="&quot;R$&quot;\ #,##0.00"/>
  </numFmts>
  <fonts count="32" x14ac:knownFonts="1">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b/>
      <sz val="10"/>
      <color theme="1"/>
      <name val="Arial"/>
      <family val="2"/>
    </font>
    <font>
      <sz val="10"/>
      <color indexed="8"/>
      <name val="Arial"/>
      <family val="2"/>
    </font>
    <font>
      <b/>
      <u/>
      <sz val="10"/>
      <name val="Arial"/>
      <family val="2"/>
    </font>
    <font>
      <i/>
      <sz val="10"/>
      <color theme="1"/>
      <name val="Arial"/>
      <family val="2"/>
    </font>
    <font>
      <b/>
      <i/>
      <sz val="10"/>
      <color theme="1"/>
      <name val="Arial"/>
      <family val="2"/>
    </font>
    <font>
      <i/>
      <u/>
      <sz val="10"/>
      <color theme="1"/>
      <name val="Arial"/>
      <family val="2"/>
    </font>
    <font>
      <b/>
      <i/>
      <u/>
      <sz val="10"/>
      <color theme="1"/>
      <name val="Arial"/>
      <family val="2"/>
    </font>
    <font>
      <b/>
      <sz val="11"/>
      <color theme="1"/>
      <name val="Calibri"/>
      <family val="2"/>
      <scheme val="minor"/>
    </font>
    <font>
      <b/>
      <sz val="16"/>
      <color indexed="8"/>
      <name val="Calibri"/>
      <family val="2"/>
      <scheme val="minor"/>
    </font>
    <font>
      <b/>
      <sz val="11"/>
      <color indexed="8"/>
      <name val="Calibri"/>
      <family val="2"/>
      <scheme val="minor"/>
    </font>
    <font>
      <b/>
      <sz val="11"/>
      <color indexed="8"/>
      <name val="Calibri"/>
      <family val="2"/>
    </font>
    <font>
      <sz val="11"/>
      <color indexed="8"/>
      <name val="Calibri"/>
      <family val="2"/>
      <scheme val="minor"/>
    </font>
    <font>
      <sz val="11"/>
      <name val="Calibri"/>
      <family val="2"/>
      <scheme val="minor"/>
    </font>
    <font>
      <sz val="11"/>
      <color indexed="8"/>
      <name val="Calibri"/>
      <family val="2"/>
    </font>
    <font>
      <sz val="11"/>
      <color theme="1"/>
      <name val="Calibri"/>
      <family val="2"/>
    </font>
    <font>
      <sz val="10"/>
      <name val="Times New Roman"/>
      <family val="1"/>
    </font>
    <font>
      <u/>
      <sz val="11"/>
      <color indexed="12"/>
      <name val="Arial"/>
      <family val="2"/>
    </font>
    <font>
      <i/>
      <sz val="10"/>
      <name val="Arial"/>
      <family val="2"/>
    </font>
    <font>
      <sz val="10"/>
      <name val="Arial"/>
    </font>
    <font>
      <b/>
      <sz val="12"/>
      <name val="Arial"/>
      <family val="2"/>
    </font>
    <font>
      <sz val="9"/>
      <color theme="1"/>
      <name val="Arial"/>
      <family val="2"/>
    </font>
    <font>
      <b/>
      <sz val="9"/>
      <color theme="1"/>
      <name val="Arial"/>
      <family val="2"/>
    </font>
    <font>
      <sz val="12"/>
      <name val="Arial"/>
      <family val="2"/>
    </font>
    <font>
      <u/>
      <sz val="12"/>
      <color indexed="12"/>
      <name val="Arial"/>
      <family val="2"/>
    </font>
    <font>
      <sz val="13"/>
      <color theme="1"/>
      <name val="Arial"/>
      <family val="2"/>
    </font>
    <font>
      <b/>
      <sz val="13"/>
      <name val="Arial"/>
      <family val="2"/>
    </font>
    <font>
      <sz val="13"/>
      <name val="Arial"/>
      <family val="2"/>
    </font>
  </fonts>
  <fills count="12">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indexed="9"/>
        <bgColor indexed="64"/>
      </patternFill>
    </fill>
    <fill>
      <patternFill patternType="solid">
        <fgColor them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indexed="43"/>
        <bgColor indexed="64"/>
      </patternFill>
    </fill>
    <fill>
      <patternFill patternType="solid">
        <fgColor theme="0" tint="-0.14999847407452621"/>
        <bgColor indexed="64"/>
      </patternFill>
    </fill>
    <fill>
      <patternFill patternType="solid">
        <fgColor rgb="FFFFFFCC"/>
        <bgColor indexed="64"/>
      </patternFill>
    </fill>
  </fills>
  <borders count="2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9" fontId="1" fillId="0" borderId="0" applyFont="0" applyFill="0" applyBorder="0" applyAlignment="0" applyProtection="0"/>
    <xf numFmtId="0" fontId="4" fillId="0" borderId="0"/>
    <xf numFmtId="0" fontId="4" fillId="0" borderId="0"/>
    <xf numFmtId="2" fontId="4" fillId="0" borderId="0">
      <alignment vertical="center"/>
    </xf>
    <xf numFmtId="0" fontId="4" fillId="0" borderId="0"/>
    <xf numFmtId="0" fontId="1" fillId="0" borderId="0"/>
    <xf numFmtId="168" fontId="18" fillId="0" borderId="0" applyFont="0" applyFill="0" applyBorder="0" applyAlignment="0" applyProtection="0"/>
    <xf numFmtId="0" fontId="4" fillId="0" borderId="0"/>
    <xf numFmtId="167" fontId="4" fillId="0" borderId="0" applyFont="0" applyFill="0" applyBorder="0" applyAlignment="0" applyProtection="0"/>
    <xf numFmtId="44" fontId="4" fillId="0" borderId="0" applyFont="0" applyFill="0" applyBorder="0" applyAlignment="0" applyProtection="0"/>
    <xf numFmtId="0" fontId="20" fillId="0" borderId="0"/>
    <xf numFmtId="0" fontId="21" fillId="0" borderId="0" applyNumberFormat="0" applyFill="0" applyBorder="0" applyAlignment="0" applyProtection="0">
      <alignment vertical="top"/>
      <protection locked="0"/>
    </xf>
    <xf numFmtId="0" fontId="23"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cellStyleXfs>
  <cellXfs count="566">
    <xf numFmtId="0" fontId="0" fillId="0" borderId="0" xfId="0"/>
    <xf numFmtId="4" fontId="2" fillId="2" borderId="1"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4" fontId="2"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3" borderId="9" xfId="0" applyFont="1" applyFill="1" applyBorder="1" applyAlignment="1">
      <alignment horizontal="center" vertical="center"/>
    </xf>
    <xf numFmtId="43" fontId="3" fillId="3" borderId="9" xfId="1" applyFont="1" applyFill="1" applyBorder="1" applyAlignment="1">
      <alignment horizontal="center" vertical="center"/>
    </xf>
    <xf numFmtId="0" fontId="3" fillId="3" borderId="9" xfId="0" applyFont="1" applyFill="1" applyBorder="1" applyAlignment="1">
      <alignment horizontal="justify" vertical="center" wrapText="1"/>
    </xf>
    <xf numFmtId="43" fontId="3" fillId="3" borderId="9" xfId="1" applyFont="1" applyFill="1" applyBorder="1" applyAlignment="1">
      <alignment horizontal="right" vertical="center"/>
    </xf>
    <xf numFmtId="0" fontId="4" fillId="0" borderId="9" xfId="0" applyFont="1" applyFill="1" applyBorder="1" applyAlignment="1">
      <alignment horizontal="center" vertical="center"/>
    </xf>
    <xf numFmtId="164" fontId="4" fillId="0" borderId="9" xfId="1" applyNumberFormat="1" applyFont="1" applyFill="1" applyBorder="1" applyAlignment="1">
      <alignment horizontal="right" vertical="center"/>
    </xf>
    <xf numFmtId="0" fontId="3" fillId="3" borderId="9" xfId="0" quotePrefix="1" applyFont="1" applyFill="1" applyBorder="1" applyAlignment="1">
      <alignment horizontal="center" vertical="center"/>
    </xf>
    <xf numFmtId="0" fontId="3" fillId="0" borderId="9" xfId="0" quotePrefix="1" applyFont="1" applyFill="1" applyBorder="1" applyAlignment="1">
      <alignment horizontal="center" vertical="center"/>
    </xf>
    <xf numFmtId="0" fontId="3" fillId="0" borderId="9" xfId="0" applyFont="1" applyFill="1" applyBorder="1" applyAlignment="1">
      <alignment horizontal="center" vertical="center"/>
    </xf>
    <xf numFmtId="0" fontId="3" fillId="0" borderId="9" xfId="0" applyFont="1" applyFill="1" applyBorder="1" applyAlignment="1">
      <alignment horizontal="justify" vertical="center" wrapText="1"/>
    </xf>
    <xf numFmtId="0" fontId="2" fillId="0" borderId="0" xfId="0" applyFont="1"/>
    <xf numFmtId="49" fontId="3" fillId="2" borderId="8" xfId="1" applyNumberFormat="1" applyFont="1" applyFill="1" applyBorder="1" applyAlignment="1">
      <alignment horizontal="left" vertical="center" wrapText="1"/>
    </xf>
    <xf numFmtId="0" fontId="2" fillId="0" borderId="0" xfId="0" applyFont="1" applyAlignment="1">
      <alignment vertical="center"/>
    </xf>
    <xf numFmtId="0" fontId="5" fillId="0" borderId="9"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vertical="center"/>
    </xf>
    <xf numFmtId="0" fontId="2" fillId="0" borderId="9" xfId="0" applyFont="1" applyBorder="1" applyAlignment="1">
      <alignment vertical="center" wrapText="1"/>
    </xf>
    <xf numFmtId="0" fontId="5" fillId="0" borderId="9" xfId="0" quotePrefix="1" applyFont="1" applyBorder="1" applyAlignment="1">
      <alignment horizontal="center" vertical="center"/>
    </xf>
    <xf numFmtId="0" fontId="5" fillId="0" borderId="9" xfId="0" applyFont="1" applyBorder="1" applyAlignment="1">
      <alignment horizontal="center" vertical="center"/>
    </xf>
    <xf numFmtId="0" fontId="5" fillId="0" borderId="9" xfId="0" applyFont="1" applyBorder="1" applyAlignment="1">
      <alignment horizontal="left" vertical="center" wrapText="1"/>
    </xf>
    <xf numFmtId="0" fontId="2" fillId="0" borderId="0" xfId="0" applyFont="1" applyAlignment="1">
      <alignment horizontal="center" vertical="center"/>
    </xf>
    <xf numFmtId="10" fontId="3" fillId="2" borderId="0" xfId="1" applyNumberFormat="1" applyFont="1" applyFill="1" applyBorder="1" applyAlignment="1">
      <alignment horizontal="center" vertical="center" wrapText="1"/>
    </xf>
    <xf numFmtId="43" fontId="3" fillId="2" borderId="7" xfId="1" applyFont="1" applyFill="1" applyBorder="1" applyAlignment="1">
      <alignment horizontal="center" vertical="center" wrapText="1"/>
    </xf>
    <xf numFmtId="10" fontId="3" fillId="2" borderId="7" xfId="1" applyNumberFormat="1" applyFont="1" applyFill="1" applyBorder="1" applyAlignment="1">
      <alignment horizontal="center" vertical="center" wrapText="1"/>
    </xf>
    <xf numFmtId="0" fontId="3" fillId="2" borderId="7" xfId="1" applyNumberFormat="1" applyFont="1" applyFill="1" applyBorder="1" applyAlignment="1">
      <alignment horizontal="center" vertical="center" wrapText="1"/>
    </xf>
    <xf numFmtId="4" fontId="2" fillId="3" borderId="9" xfId="1" applyNumberFormat="1" applyFont="1" applyFill="1" applyBorder="1" applyAlignment="1">
      <alignment horizontal="center" vertical="center"/>
    </xf>
    <xf numFmtId="4" fontId="4" fillId="0" borderId="9" xfId="0" applyNumberFormat="1" applyFont="1" applyFill="1" applyBorder="1" applyAlignment="1">
      <alignment horizontal="center" vertical="center"/>
    </xf>
    <xf numFmtId="164" fontId="4" fillId="0" borderId="9" xfId="2" applyNumberFormat="1" applyFont="1" applyFill="1" applyBorder="1" applyAlignment="1">
      <alignment horizontal="center" vertical="center"/>
    </xf>
    <xf numFmtId="4" fontId="2" fillId="2" borderId="7" xfId="0"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1" applyNumberFormat="1" applyFont="1" applyFill="1" applyBorder="1" applyAlignment="1">
      <alignment horizontal="right" vertical="center" wrapText="1"/>
    </xf>
    <xf numFmtId="0" fontId="4" fillId="0" borderId="9" xfId="0" quotePrefix="1" applyFont="1" applyFill="1" applyBorder="1" applyAlignment="1">
      <alignment horizontal="center" vertical="center"/>
    </xf>
    <xf numFmtId="0" fontId="5" fillId="0" borderId="0" xfId="0" applyFont="1" applyAlignment="1">
      <alignment horizontal="center" vertical="center"/>
    </xf>
    <xf numFmtId="4" fontId="5" fillId="2" borderId="9" xfId="0" applyNumberFormat="1" applyFont="1" applyFill="1" applyBorder="1" applyAlignment="1">
      <alignment horizontal="center" vertical="center" wrapText="1"/>
    </xf>
    <xf numFmtId="4" fontId="5" fillId="0" borderId="9" xfId="0" applyNumberFormat="1" applyFont="1" applyFill="1" applyBorder="1" applyAlignment="1">
      <alignment horizontal="center" vertical="center" wrapText="1"/>
    </xf>
    <xf numFmtId="0" fontId="3" fillId="3" borderId="9" xfId="0" applyFont="1" applyFill="1" applyBorder="1" applyAlignment="1">
      <alignment horizontal="right" vertical="center" wrapText="1"/>
    </xf>
    <xf numFmtId="0" fontId="2" fillId="0" borderId="9" xfId="0" applyFont="1" applyBorder="1"/>
    <xf numFmtId="2" fontId="6" fillId="4" borderId="0" xfId="7" applyFont="1" applyFill="1">
      <alignment vertical="center"/>
    </xf>
    <xf numFmtId="0" fontId="4" fillId="0" borderId="0" xfId="5" applyFont="1"/>
    <xf numFmtId="0" fontId="2" fillId="0" borderId="0" xfId="0" applyFont="1" applyAlignment="1">
      <alignment horizontal="left" vertical="center"/>
    </xf>
    <xf numFmtId="0" fontId="4" fillId="4" borderId="9" xfId="6" applyFont="1" applyFill="1" applyBorder="1"/>
    <xf numFmtId="0" fontId="3" fillId="4" borderId="9" xfId="6" applyFont="1" applyFill="1" applyBorder="1" applyAlignment="1">
      <alignment horizontal="center" vertical="center" wrapText="1"/>
    </xf>
    <xf numFmtId="10" fontId="4" fillId="0" borderId="0" xfId="5" applyNumberFormat="1" applyFont="1"/>
    <xf numFmtId="49" fontId="3" fillId="4" borderId="0" xfId="7" applyNumberFormat="1" applyFont="1" applyFill="1" applyAlignment="1">
      <alignment horizontal="left" vertical="top" wrapText="1"/>
    </xf>
    <xf numFmtId="49" fontId="3" fillId="4" borderId="15" xfId="7" applyNumberFormat="1" applyFont="1" applyFill="1" applyBorder="1" applyAlignment="1">
      <alignment horizontal="left" vertical="top" wrapText="1"/>
    </xf>
    <xf numFmtId="49" fontId="3" fillId="4" borderId="15" xfId="7" applyNumberFormat="1" applyFont="1" applyFill="1" applyBorder="1" applyAlignment="1">
      <alignment horizontal="right" vertical="top" wrapText="1"/>
    </xf>
    <xf numFmtId="49" fontId="3" fillId="4" borderId="0" xfId="7" applyNumberFormat="1" applyFont="1" applyFill="1" applyAlignment="1">
      <alignment horizontal="left" vertical="top"/>
    </xf>
    <xf numFmtId="49" fontId="3" fillId="4" borderId="15" xfId="7" applyNumberFormat="1" applyFont="1" applyFill="1" applyBorder="1" applyAlignment="1">
      <alignment horizontal="right" wrapText="1"/>
    </xf>
    <xf numFmtId="0" fontId="4" fillId="4" borderId="0" xfId="8" applyFont="1" applyFill="1" applyAlignment="1">
      <alignment horizontal="left" vertical="top" wrapText="1"/>
    </xf>
    <xf numFmtId="0" fontId="4" fillId="4" borderId="16" xfId="8" applyFont="1" applyFill="1" applyBorder="1" applyAlignment="1">
      <alignment horizontal="left" vertical="top" wrapText="1"/>
    </xf>
    <xf numFmtId="49" fontId="3" fillId="4" borderId="17" xfId="7" applyNumberFormat="1" applyFont="1" applyFill="1" applyBorder="1" applyAlignment="1">
      <alignment horizontal="left" vertical="top" wrapText="1"/>
    </xf>
    <xf numFmtId="0" fontId="4" fillId="4" borderId="18" xfId="8" applyFont="1" applyFill="1" applyBorder="1" applyAlignment="1">
      <alignment horizontal="left" vertical="top" wrapText="1"/>
    </xf>
    <xf numFmtId="0" fontId="4" fillId="4" borderId="19" xfId="8" applyFont="1" applyFill="1" applyBorder="1" applyAlignment="1">
      <alignment horizontal="left" vertical="top" wrapText="1"/>
    </xf>
    <xf numFmtId="49" fontId="3" fillId="4" borderId="15" xfId="7" applyNumberFormat="1" applyFont="1" applyFill="1" applyBorder="1" applyAlignment="1">
      <alignment vertical="top" wrapText="1"/>
    </xf>
    <xf numFmtId="0" fontId="4" fillId="4" borderId="17" xfId="5" applyFont="1" applyFill="1" applyBorder="1"/>
    <xf numFmtId="0" fontId="3" fillId="4" borderId="9" xfId="6" applyFont="1" applyFill="1" applyBorder="1"/>
    <xf numFmtId="10" fontId="4" fillId="4" borderId="9" xfId="6" applyNumberFormat="1" applyFont="1" applyFill="1" applyBorder="1"/>
    <xf numFmtId="10" fontId="4" fillId="0" borderId="9" xfId="6" applyNumberFormat="1" applyFont="1" applyBorder="1" applyAlignment="1">
      <alignment horizontal="center"/>
    </xf>
    <xf numFmtId="10" fontId="3" fillId="0" borderId="9" xfId="6" applyNumberFormat="1" applyFont="1" applyBorder="1" applyAlignment="1">
      <alignment horizontal="center"/>
    </xf>
    <xf numFmtId="10" fontId="4" fillId="4" borderId="9" xfId="6" applyNumberFormat="1" applyFont="1" applyFill="1" applyBorder="1" applyAlignment="1">
      <alignment horizontal="center"/>
    </xf>
    <xf numFmtId="10" fontId="3" fillId="4" borderId="9" xfId="6" applyNumberFormat="1" applyFont="1" applyFill="1" applyBorder="1" applyAlignment="1">
      <alignment horizontal="center"/>
    </xf>
    <xf numFmtId="2" fontId="3" fillId="4" borderId="0" xfId="7" applyFont="1" applyFill="1" applyAlignment="1">
      <alignment horizontal="justify" vertical="top" wrapText="1"/>
    </xf>
    <xf numFmtId="4" fontId="3" fillId="4" borderId="0" xfId="7" applyNumberFormat="1" applyFont="1" applyFill="1" applyAlignment="1">
      <alignment vertical="top" wrapText="1"/>
    </xf>
    <xf numFmtId="2" fontId="3" fillId="4" borderId="16" xfId="7" applyFont="1" applyFill="1" applyBorder="1" applyAlignment="1">
      <alignment vertical="top" wrapText="1"/>
    </xf>
    <xf numFmtId="4" fontId="3" fillId="4" borderId="0" xfId="7" applyNumberFormat="1" applyFont="1" applyFill="1" applyAlignment="1">
      <alignment wrapText="1"/>
    </xf>
    <xf numFmtId="2" fontId="3" fillId="4" borderId="16" xfId="7" applyFont="1" applyFill="1" applyBorder="1" applyAlignment="1">
      <alignment wrapText="1"/>
    </xf>
    <xf numFmtId="4" fontId="3" fillId="4" borderId="0" xfId="8" applyNumberFormat="1" applyFont="1" applyFill="1" applyAlignment="1">
      <alignment vertical="top" wrapText="1"/>
    </xf>
    <xf numFmtId="0" fontId="3" fillId="4" borderId="16" xfId="8" applyFont="1" applyFill="1" applyBorder="1" applyAlignment="1">
      <alignment vertical="top" wrapText="1"/>
    </xf>
    <xf numFmtId="44" fontId="4" fillId="0" borderId="9" xfId="2" applyFont="1" applyFill="1" applyBorder="1" applyAlignment="1">
      <alignment horizontal="center" vertical="center"/>
    </xf>
    <xf numFmtId="44" fontId="2" fillId="0" borderId="9" xfId="2" applyFont="1" applyBorder="1" applyAlignment="1">
      <alignment horizontal="center" vertical="center"/>
    </xf>
    <xf numFmtId="44" fontId="3" fillId="3" borderId="9" xfId="2" applyFont="1" applyFill="1" applyBorder="1" applyAlignment="1">
      <alignment horizontal="center" vertical="center"/>
    </xf>
    <xf numFmtId="44" fontId="3" fillId="0" borderId="9" xfId="2" applyFont="1" applyFill="1" applyBorder="1" applyAlignment="1">
      <alignment horizontal="center" vertical="center"/>
    </xf>
    <xf numFmtId="0" fontId="2" fillId="3" borderId="9" xfId="0" applyFont="1" applyFill="1" applyBorder="1"/>
    <xf numFmtId="0" fontId="5" fillId="3" borderId="9" xfId="0" applyFont="1" applyFill="1" applyBorder="1" applyAlignment="1">
      <alignment horizontal="center" vertical="center"/>
    </xf>
    <xf numFmtId="0" fontId="2" fillId="3" borderId="9" xfId="0" applyFont="1" applyFill="1" applyBorder="1" applyAlignment="1">
      <alignment horizontal="center" vertical="center"/>
    </xf>
    <xf numFmtId="0" fontId="8" fillId="0" borderId="9" xfId="0" applyFont="1" applyBorder="1" applyAlignment="1">
      <alignment horizontal="right" vertical="center" wrapText="1"/>
    </xf>
    <xf numFmtId="164" fontId="4" fillId="0" borderId="9" xfId="1" applyNumberFormat="1" applyFont="1" applyFill="1" applyBorder="1" applyAlignment="1">
      <alignment horizontal="center" vertical="center"/>
    </xf>
    <xf numFmtId="2" fontId="2" fillId="0" borderId="9" xfId="0" applyNumberFormat="1" applyFont="1" applyBorder="1" applyAlignment="1">
      <alignment horizontal="center" vertical="center"/>
    </xf>
    <xf numFmtId="2" fontId="5" fillId="0" borderId="9" xfId="0" applyNumberFormat="1" applyFont="1" applyBorder="1" applyAlignment="1">
      <alignment horizontal="center" vertical="center"/>
    </xf>
    <xf numFmtId="0" fontId="9" fillId="0" borderId="9" xfId="0" applyFont="1" applyBorder="1" applyAlignment="1">
      <alignment horizontal="right" vertical="center" wrapText="1"/>
    </xf>
    <xf numFmtId="0" fontId="2" fillId="0" borderId="9" xfId="0" applyFont="1" applyFill="1" applyBorder="1" applyAlignment="1">
      <alignment horizontal="center" vertical="center"/>
    </xf>
    <xf numFmtId="0" fontId="9" fillId="0" borderId="9" xfId="0" applyFont="1" applyFill="1" applyBorder="1" applyAlignment="1">
      <alignment horizontal="right" vertical="center" wrapText="1"/>
    </xf>
    <xf numFmtId="0" fontId="8" fillId="0" borderId="9" xfId="0" applyFont="1" applyBorder="1" applyAlignment="1">
      <alignment horizontal="center" vertical="center"/>
    </xf>
    <xf numFmtId="2" fontId="9" fillId="0" borderId="9" xfId="0" applyNumberFormat="1" applyFont="1" applyBorder="1" applyAlignment="1">
      <alignment horizontal="center" vertical="center"/>
    </xf>
    <xf numFmtId="0" fontId="9" fillId="5" borderId="9" xfId="0" applyFont="1" applyFill="1" applyBorder="1" applyAlignment="1">
      <alignment horizontal="right"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0" fontId="8" fillId="0" borderId="9" xfId="0" applyFont="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164" fontId="3" fillId="3" borderId="9" xfId="0" applyNumberFormat="1" applyFont="1" applyFill="1" applyBorder="1" applyAlignment="1">
      <alignment horizontal="center" vertical="center"/>
    </xf>
    <xf numFmtId="2" fontId="4" fillId="0" borderId="9" xfId="1" applyNumberFormat="1" applyFont="1" applyFill="1" applyBorder="1" applyAlignment="1">
      <alignment horizontal="center" vertical="center"/>
    </xf>
    <xf numFmtId="0" fontId="10" fillId="0" borderId="9" xfId="0" applyFont="1" applyBorder="1" applyAlignment="1">
      <alignment horizontal="right" vertical="center" wrapText="1"/>
    </xf>
    <xf numFmtId="0" fontId="8" fillId="0" borderId="9" xfId="0" applyFont="1" applyBorder="1" applyAlignment="1">
      <alignment horizontal="right"/>
    </xf>
    <xf numFmtId="0" fontId="2" fillId="0" borderId="9" xfId="0" applyFont="1" applyBorder="1" applyAlignment="1">
      <alignment horizontal="center"/>
    </xf>
    <xf numFmtId="4" fontId="2" fillId="0" borderId="9" xfId="0" applyNumberFormat="1" applyFont="1" applyBorder="1" applyAlignment="1">
      <alignment horizontal="center"/>
    </xf>
    <xf numFmtId="0" fontId="11" fillId="0" borderId="9" xfId="0" applyFont="1" applyBorder="1" applyAlignment="1">
      <alignment horizontal="right" vertical="center" wrapText="1"/>
    </xf>
    <xf numFmtId="2" fontId="2" fillId="0" borderId="9" xfId="0" applyNumberFormat="1" applyFont="1" applyBorder="1" applyAlignment="1">
      <alignment horizontal="center"/>
    </xf>
    <xf numFmtId="2" fontId="9" fillId="0" borderId="9" xfId="0" applyNumberFormat="1" applyFont="1" applyFill="1" applyBorder="1" applyAlignment="1">
      <alignment horizontal="right" vertical="center"/>
    </xf>
    <xf numFmtId="2" fontId="5" fillId="0" borderId="9" xfId="0" applyNumberFormat="1" applyFont="1" applyFill="1" applyBorder="1" applyAlignment="1">
      <alignment horizontal="center" vertical="center"/>
    </xf>
    <xf numFmtId="49" fontId="2" fillId="0" borderId="9" xfId="0" applyNumberFormat="1" applyFont="1" applyBorder="1" applyAlignment="1">
      <alignment horizontal="center" vertical="center"/>
    </xf>
    <xf numFmtId="0" fontId="2" fillId="2" borderId="9" xfId="0" applyFont="1" applyFill="1" applyBorder="1" applyAlignment="1">
      <alignment horizontal="center" vertical="center"/>
    </xf>
    <xf numFmtId="49" fontId="2" fillId="2" borderId="9" xfId="0" applyNumberFormat="1" applyFont="1" applyFill="1" applyBorder="1" applyAlignment="1">
      <alignment horizontal="center" vertical="center"/>
    </xf>
    <xf numFmtId="0" fontId="4" fillId="2" borderId="9" xfId="0" applyFont="1" applyFill="1" applyBorder="1" applyAlignment="1">
      <alignment horizontal="center" vertical="center"/>
    </xf>
    <xf numFmtId="0" fontId="2" fillId="2" borderId="9" xfId="0" applyFont="1" applyFill="1" applyBorder="1" applyAlignment="1">
      <alignment vertical="center" wrapText="1"/>
    </xf>
    <xf numFmtId="44" fontId="2" fillId="2" borderId="9" xfId="2" applyFont="1" applyFill="1" applyBorder="1" applyAlignment="1">
      <alignment horizontal="center" vertical="center"/>
    </xf>
    <xf numFmtId="164" fontId="4" fillId="2" borderId="9" xfId="1" applyNumberFormat="1" applyFont="1" applyFill="1" applyBorder="1" applyAlignment="1">
      <alignment horizontal="right" vertical="center"/>
    </xf>
    <xf numFmtId="0" fontId="2" fillId="2" borderId="0" xfId="0" applyFont="1" applyFill="1"/>
    <xf numFmtId="17" fontId="15" fillId="2" borderId="9" xfId="9" applyNumberFormat="1" applyFont="1" applyFill="1" applyBorder="1" applyAlignment="1">
      <alignment horizontal="center" vertical="center" wrapText="1"/>
    </xf>
    <xf numFmtId="1" fontId="16" fillId="2" borderId="9" xfId="9" applyNumberFormat="1" applyFont="1" applyFill="1" applyBorder="1" applyAlignment="1">
      <alignment horizontal="center" vertical="center"/>
    </xf>
    <xf numFmtId="165" fontId="16" fillId="2" borderId="9" xfId="9" applyNumberFormat="1" applyFont="1" applyFill="1" applyBorder="1" applyAlignment="1">
      <alignment horizontal="center" vertical="center"/>
    </xf>
    <xf numFmtId="166" fontId="16" fillId="2" borderId="9" xfId="9" applyNumberFormat="1" applyFont="1" applyFill="1" applyBorder="1" applyAlignment="1">
      <alignment vertical="center"/>
    </xf>
    <xf numFmtId="0" fontId="16" fillId="2" borderId="9" xfId="9" applyFont="1" applyFill="1" applyBorder="1" applyAlignment="1">
      <alignment vertical="center"/>
    </xf>
    <xf numFmtId="1" fontId="18" fillId="2" borderId="9" xfId="9" applyNumberFormat="1" applyFont="1" applyFill="1" applyBorder="1" applyAlignment="1">
      <alignment horizontal="center" vertical="center" wrapText="1"/>
    </xf>
    <xf numFmtId="165" fontId="19" fillId="2" borderId="9" xfId="9" applyNumberFormat="1" applyFont="1" applyFill="1" applyBorder="1" applyAlignment="1">
      <alignment horizontal="center" vertical="center" wrapText="1"/>
    </xf>
    <xf numFmtId="2" fontId="19" fillId="2" borderId="9" xfId="9" applyNumberFormat="1" applyFont="1" applyFill="1" applyBorder="1" applyAlignment="1">
      <alignment horizontal="right" vertical="center" wrapText="1"/>
    </xf>
    <xf numFmtId="1" fontId="1" fillId="2" borderId="9" xfId="9" applyNumberFormat="1" applyFont="1" applyFill="1" applyBorder="1" applyAlignment="1">
      <alignment horizontal="center" vertical="center" wrapText="1"/>
    </xf>
    <xf numFmtId="49" fontId="1" fillId="2" borderId="9" xfId="9" applyNumberFormat="1" applyFont="1" applyFill="1" applyBorder="1" applyAlignment="1">
      <alignment vertical="center"/>
    </xf>
    <xf numFmtId="4" fontId="1" fillId="2" borderId="9" xfId="9" applyNumberFormat="1" applyFont="1" applyFill="1" applyBorder="1" applyAlignment="1">
      <alignment horizontal="right" vertical="center" wrapText="1"/>
    </xf>
    <xf numFmtId="166" fontId="1" fillId="2" borderId="9" xfId="9" applyNumberFormat="1" applyFont="1" applyFill="1" applyBorder="1" applyAlignment="1">
      <alignment horizontal="right" vertical="center" wrapText="1"/>
    </xf>
    <xf numFmtId="167" fontId="14" fillId="2" borderId="9" xfId="9" applyNumberFormat="1" applyFont="1" applyFill="1" applyBorder="1" applyAlignment="1">
      <alignment horizontal="right" vertical="center"/>
    </xf>
    <xf numFmtId="165" fontId="1" fillId="2" borderId="9" xfId="9" applyNumberFormat="1" applyFont="1" applyFill="1" applyBorder="1" applyAlignment="1">
      <alignment horizontal="center" vertical="center" wrapText="1"/>
    </xf>
    <xf numFmtId="0" fontId="1" fillId="0" borderId="9" xfId="9" applyBorder="1" applyAlignment="1">
      <alignment horizontal="center" vertical="center"/>
    </xf>
    <xf numFmtId="0" fontId="1" fillId="0" borderId="9" xfId="9" applyBorder="1" applyAlignment="1">
      <alignment vertical="center"/>
    </xf>
    <xf numFmtId="167" fontId="1" fillId="0" borderId="9" xfId="9" applyNumberFormat="1" applyBorder="1" applyAlignment="1">
      <alignment vertical="center"/>
    </xf>
    <xf numFmtId="43" fontId="1" fillId="0" borderId="9" xfId="9" applyNumberFormat="1" applyBorder="1" applyAlignment="1">
      <alignment vertical="center"/>
    </xf>
    <xf numFmtId="43" fontId="14" fillId="2" borderId="9" xfId="9" applyNumberFormat="1" applyFont="1" applyFill="1" applyBorder="1" applyAlignment="1">
      <alignment horizontal="right" vertical="center"/>
    </xf>
    <xf numFmtId="49" fontId="19" fillId="2" borderId="9" xfId="9" applyNumberFormat="1" applyFont="1" applyFill="1" applyBorder="1" applyAlignment="1">
      <alignment horizontal="center" vertical="center" wrapText="1"/>
    </xf>
    <xf numFmtId="4" fontId="19" fillId="2" borderId="9" xfId="9" applyNumberFormat="1" applyFont="1" applyFill="1" applyBorder="1" applyAlignment="1">
      <alignment horizontal="right" vertical="center" wrapText="1"/>
    </xf>
    <xf numFmtId="1" fontId="18" fillId="0" borderId="9" xfId="9" applyNumberFormat="1" applyFont="1" applyFill="1" applyBorder="1" applyAlignment="1">
      <alignment horizontal="center" vertical="center" wrapText="1"/>
    </xf>
    <xf numFmtId="1" fontId="17" fillId="0" borderId="9" xfId="9" applyNumberFormat="1" applyFont="1" applyFill="1" applyBorder="1" applyAlignment="1">
      <alignment horizontal="center" vertical="center" wrapText="1"/>
    </xf>
    <xf numFmtId="165" fontId="18" fillId="0" borderId="9" xfId="9" applyNumberFormat="1" applyFont="1" applyFill="1" applyBorder="1" applyAlignment="1">
      <alignment horizontal="center" vertical="center" wrapText="1"/>
    </xf>
    <xf numFmtId="4" fontId="18" fillId="0" borderId="9" xfId="9" applyNumberFormat="1" applyFont="1" applyFill="1" applyBorder="1" applyAlignment="1">
      <alignment vertical="center" wrapText="1"/>
    </xf>
    <xf numFmtId="1" fontId="17" fillId="2" borderId="9" xfId="9" applyNumberFormat="1" applyFont="1" applyFill="1" applyBorder="1" applyAlignment="1">
      <alignment horizontal="center" vertical="center" wrapText="1"/>
    </xf>
    <xf numFmtId="166" fontId="17" fillId="2" borderId="9" xfId="9" applyNumberFormat="1" applyFont="1" applyFill="1" applyBorder="1" applyAlignment="1">
      <alignment horizontal="center" vertical="center" wrapText="1"/>
    </xf>
    <xf numFmtId="165" fontId="17" fillId="2" borderId="9" xfId="9" applyNumberFormat="1" applyFont="1" applyFill="1" applyBorder="1" applyAlignment="1">
      <alignment horizontal="center" vertical="center" wrapText="1"/>
    </xf>
    <xf numFmtId="4" fontId="17" fillId="2" borderId="9" xfId="9" applyNumberFormat="1" applyFont="1" applyFill="1" applyBorder="1" applyAlignment="1">
      <alignment vertical="center" wrapText="1"/>
    </xf>
    <xf numFmtId="166" fontId="17" fillId="2" borderId="9" xfId="9" applyNumberFormat="1" applyFont="1" applyFill="1" applyBorder="1" applyAlignment="1">
      <alignment vertical="center" wrapText="1"/>
    </xf>
    <xf numFmtId="166" fontId="14" fillId="2" borderId="9" xfId="9" applyNumberFormat="1" applyFont="1" applyFill="1" applyBorder="1" applyAlignment="1">
      <alignment vertical="center" wrapText="1"/>
    </xf>
    <xf numFmtId="167" fontId="16" fillId="2" borderId="9" xfId="9" applyNumberFormat="1" applyFont="1" applyFill="1" applyBorder="1" applyAlignment="1">
      <alignment vertical="center"/>
    </xf>
    <xf numFmtId="0" fontId="1" fillId="0" borderId="0" xfId="9" applyAlignment="1">
      <alignment horizontal="center" vertical="center"/>
    </xf>
    <xf numFmtId="0" fontId="1" fillId="0" borderId="0" xfId="9" applyAlignment="1">
      <alignment vertical="center"/>
    </xf>
    <xf numFmtId="49" fontId="0" fillId="2" borderId="9" xfId="9" applyNumberFormat="1" applyFont="1" applyFill="1" applyBorder="1" applyAlignment="1">
      <alignment horizontal="center" vertical="center" wrapText="1"/>
    </xf>
    <xf numFmtId="169" fontId="19" fillId="2" borderId="9" xfId="9" applyNumberFormat="1" applyFont="1" applyFill="1" applyBorder="1" applyAlignment="1">
      <alignment horizontal="center" vertical="center" wrapText="1"/>
    </xf>
    <xf numFmtId="49" fontId="18" fillId="0" borderId="9" xfId="9" applyNumberFormat="1" applyFont="1" applyFill="1" applyBorder="1" applyAlignment="1">
      <alignment horizontal="center" vertical="center" wrapText="1"/>
    </xf>
    <xf numFmtId="49" fontId="17" fillId="2" borderId="9" xfId="9" applyNumberFormat="1" applyFont="1" applyFill="1" applyBorder="1" applyAlignment="1">
      <alignment horizontal="center" vertical="center" wrapText="1"/>
    </xf>
    <xf numFmtId="167" fontId="14" fillId="2" borderId="9" xfId="9" applyNumberFormat="1" applyFont="1" applyFill="1" applyBorder="1" applyAlignment="1">
      <alignment vertical="center"/>
    </xf>
    <xf numFmtId="2" fontId="2" fillId="2" borderId="9" xfId="0" applyNumberFormat="1" applyFont="1" applyFill="1" applyBorder="1" applyAlignment="1">
      <alignment horizontal="center" vertical="center" wrapText="1"/>
    </xf>
    <xf numFmtId="49" fontId="16" fillId="2" borderId="9" xfId="9" applyNumberFormat="1" applyFont="1" applyFill="1" applyBorder="1" applyAlignment="1">
      <alignment horizontal="center" vertical="center"/>
    </xf>
    <xf numFmtId="2" fontId="16" fillId="2" borderId="9" xfId="9" applyNumberFormat="1" applyFont="1" applyFill="1" applyBorder="1" applyAlignment="1">
      <alignment vertical="center"/>
    </xf>
    <xf numFmtId="170" fontId="1" fillId="2" borderId="9" xfId="9" applyNumberFormat="1" applyFont="1" applyFill="1" applyBorder="1" applyAlignment="1">
      <alignment horizontal="right" vertical="center" wrapText="1"/>
    </xf>
    <xf numFmtId="165" fontId="19" fillId="2" borderId="9" xfId="9" applyNumberFormat="1" applyFont="1" applyFill="1" applyBorder="1" applyAlignment="1">
      <alignment horizontal="right" vertical="center" wrapText="1"/>
    </xf>
    <xf numFmtId="165" fontId="19" fillId="0" borderId="9" xfId="9" applyNumberFormat="1" applyFont="1" applyFill="1" applyBorder="1" applyAlignment="1">
      <alignment horizontal="right" vertical="center" wrapText="1"/>
    </xf>
    <xf numFmtId="171" fontId="19" fillId="2" borderId="9" xfId="9" applyNumberFormat="1" applyFont="1" applyFill="1" applyBorder="1" applyAlignment="1">
      <alignment horizontal="center" vertical="center" wrapText="1"/>
    </xf>
    <xf numFmtId="171" fontId="17" fillId="2" borderId="9" xfId="9"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0" fontId="8" fillId="0" borderId="20" xfId="0" applyFont="1" applyBorder="1" applyAlignment="1">
      <alignment horizontal="right" vertical="center" wrapText="1"/>
    </xf>
    <xf numFmtId="2" fontId="2" fillId="2" borderId="9" xfId="0" applyNumberFormat="1" applyFont="1" applyFill="1" applyBorder="1" applyAlignment="1">
      <alignment horizontal="center"/>
    </xf>
    <xf numFmtId="2" fontId="4" fillId="2" borderId="9" xfId="0" applyNumberFormat="1" applyFont="1" applyFill="1" applyBorder="1" applyAlignment="1">
      <alignment horizontal="center"/>
    </xf>
    <xf numFmtId="2" fontId="9" fillId="2" borderId="9" xfId="0" applyNumberFormat="1" applyFont="1" applyFill="1" applyBorder="1" applyAlignment="1">
      <alignment horizontal="right" vertical="center"/>
    </xf>
    <xf numFmtId="2" fontId="5" fillId="2" borderId="9" xfId="0" applyNumberFormat="1" applyFont="1" applyFill="1" applyBorder="1" applyAlignment="1">
      <alignment horizontal="center" vertical="center"/>
    </xf>
    <xf numFmtId="2" fontId="19" fillId="2" borderId="9" xfId="9" applyNumberFormat="1" applyFont="1" applyFill="1" applyBorder="1" applyAlignment="1">
      <alignment horizontal="center" vertical="center" wrapText="1"/>
    </xf>
    <xf numFmtId="0" fontId="8" fillId="0" borderId="9" xfId="0" applyFont="1" applyBorder="1" applyAlignment="1">
      <alignment horizontal="center" vertical="center" wrapText="1"/>
    </xf>
    <xf numFmtId="4" fontId="8" fillId="2" borderId="9" xfId="0" applyNumberFormat="1" applyFont="1" applyFill="1" applyBorder="1" applyAlignment="1">
      <alignment horizontal="center" vertical="center" wrapText="1"/>
    </xf>
    <xf numFmtId="0" fontId="11" fillId="0" borderId="9" xfId="0" applyFont="1" applyBorder="1" applyAlignment="1">
      <alignment horizontal="right"/>
    </xf>
    <xf numFmtId="0" fontId="2" fillId="0" borderId="12" xfId="0" applyFont="1" applyBorder="1" applyAlignment="1">
      <alignment vertical="center" wrapText="1"/>
    </xf>
    <xf numFmtId="0" fontId="8" fillId="0" borderId="9" xfId="0" applyFont="1" applyBorder="1" applyAlignment="1">
      <alignment horizontal="right" vertical="center" wrapText="1"/>
    </xf>
    <xf numFmtId="0" fontId="8" fillId="0" borderId="9" xfId="0" applyFont="1" applyBorder="1" applyAlignment="1">
      <alignment vertical="center"/>
    </xf>
    <xf numFmtId="0" fontId="8" fillId="0" borderId="9" xfId="0" applyFont="1" applyBorder="1" applyAlignment="1">
      <alignment horizontal="center"/>
    </xf>
    <xf numFmtId="0" fontId="8" fillId="0" borderId="9" xfId="0" applyFont="1" applyBorder="1" applyAlignment="1">
      <alignment horizontal="right" vertical="center" wrapText="1"/>
    </xf>
    <xf numFmtId="0" fontId="9" fillId="0" borderId="9" xfId="0" applyFont="1" applyFill="1" applyBorder="1" applyAlignment="1">
      <alignment horizontal="right" vertical="center"/>
    </xf>
    <xf numFmtId="2" fontId="8" fillId="0" borderId="9" xfId="0" applyNumberFormat="1" applyFont="1" applyBorder="1" applyAlignment="1">
      <alignment horizontal="right" vertical="center" wrapText="1"/>
    </xf>
    <xf numFmtId="0" fontId="2" fillId="0" borderId="9" xfId="0" applyFont="1" applyFill="1" applyBorder="1" applyAlignment="1">
      <alignment vertical="center" wrapText="1"/>
    </xf>
    <xf numFmtId="4" fontId="2" fillId="0" borderId="9" xfId="0" applyNumberFormat="1" applyFont="1" applyBorder="1" applyAlignment="1">
      <alignment horizontal="center" vertical="center"/>
    </xf>
    <xf numFmtId="2" fontId="2" fillId="2" borderId="9" xfId="0" applyNumberFormat="1" applyFont="1" applyFill="1" applyBorder="1" applyAlignment="1">
      <alignment horizontal="center" vertical="center"/>
    </xf>
    <xf numFmtId="0" fontId="2" fillId="0" borderId="9" xfId="0" quotePrefix="1" applyFont="1" applyBorder="1" applyAlignment="1">
      <alignment horizontal="center" vertical="center"/>
    </xf>
    <xf numFmtId="0" fontId="9" fillId="2" borderId="9" xfId="0" applyFont="1" applyFill="1" applyBorder="1" applyAlignment="1">
      <alignment horizontal="right" vertical="center"/>
    </xf>
    <xf numFmtId="0" fontId="2" fillId="0" borderId="0" xfId="0" applyFont="1" applyFill="1"/>
    <xf numFmtId="0" fontId="0" fillId="0" borderId="0" xfId="0" applyAlignment="1">
      <alignment wrapText="1"/>
    </xf>
    <xf numFmtId="0" fontId="8" fillId="0" borderId="9" xfId="0" applyFont="1" applyBorder="1" applyAlignment="1">
      <alignment horizontal="right" vertical="center" wrapText="1"/>
    </xf>
    <xf numFmtId="2" fontId="16" fillId="2" borderId="9" xfId="9" applyNumberFormat="1" applyFont="1" applyFill="1" applyBorder="1" applyAlignment="1">
      <alignment horizontal="center" vertical="center"/>
    </xf>
    <xf numFmtId="165" fontId="19" fillId="0" borderId="9" xfId="9" applyNumberFormat="1" applyFont="1" applyFill="1" applyBorder="1" applyAlignment="1">
      <alignment horizontal="center" vertical="center" wrapText="1"/>
    </xf>
    <xf numFmtId="166" fontId="16" fillId="2" borderId="9" xfId="9" applyNumberFormat="1" applyFont="1" applyFill="1" applyBorder="1" applyAlignment="1">
      <alignment horizontal="center" vertical="center"/>
    </xf>
    <xf numFmtId="170" fontId="1" fillId="2" borderId="9" xfId="9" applyNumberFormat="1" applyFont="1" applyFill="1" applyBorder="1" applyAlignment="1">
      <alignment horizontal="center" vertical="center" wrapText="1"/>
    </xf>
    <xf numFmtId="4" fontId="1" fillId="2" borderId="9" xfId="9" applyNumberFormat="1" applyFont="1" applyFill="1" applyBorder="1" applyAlignment="1">
      <alignment horizontal="center" vertical="center" wrapText="1"/>
    </xf>
    <xf numFmtId="167" fontId="14" fillId="2" borderId="9" xfId="9" applyNumberFormat="1" applyFont="1" applyFill="1" applyBorder="1" applyAlignment="1">
      <alignment horizontal="center" vertical="center"/>
    </xf>
    <xf numFmtId="4" fontId="19" fillId="2" borderId="9" xfId="9" applyNumberFormat="1" applyFont="1" applyFill="1" applyBorder="1" applyAlignment="1">
      <alignment horizontal="center" vertical="center" wrapText="1"/>
    </xf>
    <xf numFmtId="4" fontId="18" fillId="0" borderId="9" xfId="9" applyNumberFormat="1" applyFont="1" applyFill="1" applyBorder="1" applyAlignment="1">
      <alignment horizontal="center" vertical="center" wrapText="1"/>
    </xf>
    <xf numFmtId="4" fontId="17" fillId="2" borderId="9" xfId="9" applyNumberFormat="1" applyFont="1" applyFill="1" applyBorder="1" applyAlignment="1">
      <alignment horizontal="center" vertical="center" wrapText="1"/>
    </xf>
    <xf numFmtId="166" fontId="14" fillId="2" borderId="9" xfId="9" applyNumberFormat="1" applyFont="1" applyFill="1" applyBorder="1" applyAlignment="1">
      <alignment horizontal="center" vertical="center" wrapText="1"/>
    </xf>
    <xf numFmtId="166" fontId="1" fillId="2" borderId="9" xfId="9" applyNumberFormat="1" applyFont="1" applyFill="1" applyBorder="1" applyAlignment="1">
      <alignment horizontal="center" vertical="center" wrapText="1"/>
    </xf>
    <xf numFmtId="167" fontId="1" fillId="0" borderId="9" xfId="9" applyNumberFormat="1" applyBorder="1" applyAlignment="1">
      <alignment horizontal="center" vertical="center"/>
    </xf>
    <xf numFmtId="43" fontId="1" fillId="0" borderId="9" xfId="9" applyNumberFormat="1" applyBorder="1" applyAlignment="1">
      <alignment horizontal="center" vertical="center"/>
    </xf>
    <xf numFmtId="43" fontId="14" fillId="2" borderId="9" xfId="9" applyNumberFormat="1" applyFont="1" applyFill="1" applyBorder="1" applyAlignment="1">
      <alignment horizontal="center" vertical="center"/>
    </xf>
    <xf numFmtId="167" fontId="16" fillId="2" borderId="9" xfId="9" applyNumberFormat="1" applyFont="1" applyFill="1" applyBorder="1" applyAlignment="1">
      <alignment horizontal="center" vertical="center"/>
    </xf>
    <xf numFmtId="43" fontId="3" fillId="0" borderId="9" xfId="1" applyFont="1" applyFill="1" applyBorder="1" applyAlignment="1">
      <alignment horizontal="center" vertical="center"/>
    </xf>
    <xf numFmtId="4" fontId="2" fillId="0" borderId="9" xfId="1" applyNumberFormat="1" applyFont="1" applyFill="1" applyBorder="1" applyAlignment="1">
      <alignment horizontal="center" vertical="center"/>
    </xf>
    <xf numFmtId="0" fontId="4" fillId="0" borderId="9" xfId="0" applyFont="1" applyFill="1" applyBorder="1" applyAlignment="1">
      <alignment horizontal="justify" vertical="center" wrapText="1"/>
    </xf>
    <xf numFmtId="0" fontId="5" fillId="0" borderId="9" xfId="0" applyFont="1" applyBorder="1"/>
    <xf numFmtId="0" fontId="22" fillId="0" borderId="9" xfId="0" applyFont="1" applyFill="1" applyBorder="1" applyAlignment="1">
      <alignment horizontal="right" vertical="center" wrapText="1"/>
    </xf>
    <xf numFmtId="2" fontId="4" fillId="0" borderId="9" xfId="2" applyNumberFormat="1" applyFont="1" applyFill="1" applyBorder="1" applyAlignment="1">
      <alignment horizontal="center" vertical="center"/>
    </xf>
    <xf numFmtId="2" fontId="4" fillId="0" borderId="9" xfId="0" applyNumberFormat="1" applyFont="1" applyFill="1" applyBorder="1" applyAlignment="1">
      <alignment horizontal="center" vertical="center"/>
    </xf>
    <xf numFmtId="4" fontId="2" fillId="0" borderId="0" xfId="0" applyNumberFormat="1" applyFont="1"/>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14"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0" fontId="14" fillId="2" borderId="9" xfId="9" applyFont="1" applyFill="1" applyBorder="1" applyAlignment="1">
      <alignment horizontal="center" vertical="center" wrapText="1"/>
    </xf>
    <xf numFmtId="0" fontId="8" fillId="0" borderId="9" xfId="0" applyFont="1" applyBorder="1" applyAlignment="1">
      <alignment horizontal="right" vertical="center" wrapText="1"/>
    </xf>
    <xf numFmtId="0" fontId="16" fillId="2" borderId="9" xfId="9" applyFont="1" applyFill="1" applyBorder="1" applyAlignment="1">
      <alignment horizontal="center" vertical="center"/>
    </xf>
    <xf numFmtId="0" fontId="14" fillId="2" borderId="9" xfId="9" applyFont="1" applyFill="1" applyBorder="1" applyAlignment="1">
      <alignment horizontal="center" vertical="center" wrapText="1"/>
    </xf>
    <xf numFmtId="1" fontId="16" fillId="2" borderId="9" xfId="9" applyNumberFormat="1" applyFont="1" applyFill="1" applyBorder="1" applyAlignment="1">
      <alignment horizontal="center" vertical="center" wrapText="1"/>
    </xf>
    <xf numFmtId="0" fontId="16" fillId="2" borderId="9" xfId="9" applyFont="1" applyFill="1" applyBorder="1" applyAlignment="1">
      <alignment horizontal="center" vertical="center" wrapText="1"/>
    </xf>
    <xf numFmtId="0" fontId="14"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8" fillId="0" borderId="9" xfId="0" applyFont="1" applyBorder="1" applyAlignment="1">
      <alignment horizontal="right" vertical="center" wrapText="1"/>
    </xf>
    <xf numFmtId="1" fontId="2" fillId="0" borderId="9" xfId="0" applyNumberFormat="1" applyFont="1" applyBorder="1" applyAlignment="1">
      <alignment vertical="center" wrapText="1"/>
    </xf>
    <xf numFmtId="0" fontId="8" fillId="0" borderId="9" xfId="0" applyFont="1" applyBorder="1" applyAlignment="1">
      <alignment horizontal="right" vertical="center" wrapText="1"/>
    </xf>
    <xf numFmtId="0" fontId="14" fillId="2" borderId="9" xfId="9" applyFont="1" applyFill="1" applyBorder="1" applyAlignment="1">
      <alignment horizontal="center" vertical="center" wrapText="1"/>
    </xf>
    <xf numFmtId="0" fontId="16" fillId="2" borderId="9" xfId="9" applyFont="1" applyFill="1" applyBorder="1" applyAlignment="1">
      <alignment horizontal="center" vertical="center"/>
    </xf>
    <xf numFmtId="0" fontId="14"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8" fillId="0" borderId="9" xfId="0" applyFont="1" applyBorder="1" applyAlignment="1">
      <alignment horizontal="right" vertical="center" wrapText="1"/>
    </xf>
    <xf numFmtId="0" fontId="25" fillId="0" borderId="9" xfId="0" applyFont="1" applyBorder="1" applyAlignment="1">
      <alignment horizontal="center" vertical="center"/>
    </xf>
    <xf numFmtId="0" fontId="25" fillId="0" borderId="9" xfId="0" applyFont="1" applyBorder="1" applyAlignment="1">
      <alignment vertical="center" wrapText="1"/>
    </xf>
    <xf numFmtId="0" fontId="25" fillId="0" borderId="0" xfId="0" applyFont="1"/>
    <xf numFmtId="2" fontId="25" fillId="0" borderId="9" xfId="0" applyNumberFormat="1" applyFont="1" applyBorder="1" applyAlignment="1">
      <alignment horizontal="center" vertical="center"/>
    </xf>
    <xf numFmtId="2" fontId="26" fillId="5" borderId="9" xfId="0" applyNumberFormat="1" applyFont="1" applyFill="1" applyBorder="1" applyAlignment="1">
      <alignment horizontal="center" vertical="center"/>
    </xf>
    <xf numFmtId="0" fontId="2" fillId="0" borderId="9" xfId="0" applyFont="1" applyBorder="1" applyAlignment="1">
      <alignment horizontal="right" vertical="center" wrapText="1"/>
    </xf>
    <xf numFmtId="0" fontId="8" fillId="0" borderId="9" xfId="0" applyFont="1" applyBorder="1" applyAlignment="1">
      <alignment horizontal="right" vertical="center" wrapText="1"/>
    </xf>
    <xf numFmtId="0" fontId="2" fillId="0" borderId="0" xfId="0" applyFont="1" applyAlignment="1">
      <alignment horizontal="center"/>
    </xf>
    <xf numFmtId="0" fontId="8" fillId="0" borderId="9" xfId="0" applyFont="1" applyFill="1" applyBorder="1" applyAlignment="1">
      <alignment horizontal="right" vertical="center" wrapText="1"/>
    </xf>
    <xf numFmtId="0" fontId="2" fillId="0" borderId="0" xfId="0" applyFont="1"/>
    <xf numFmtId="0" fontId="2" fillId="0" borderId="9" xfId="0" applyFont="1" applyBorder="1" applyAlignment="1">
      <alignment horizontal="center" vertical="center"/>
    </xf>
    <xf numFmtId="0" fontId="8" fillId="0" borderId="9" xfId="0" applyFont="1" applyBorder="1" applyAlignment="1">
      <alignment horizontal="right" vertical="center" wrapText="1"/>
    </xf>
    <xf numFmtId="2" fontId="2" fillId="0" borderId="9" xfId="0" applyNumberFormat="1" applyFont="1" applyBorder="1" applyAlignment="1">
      <alignment horizontal="center"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2" fontId="8" fillId="0" borderId="9" xfId="0" applyNumberFormat="1" applyFont="1" applyBorder="1" applyAlignment="1">
      <alignment horizontal="right" vertical="center" wrapText="1"/>
    </xf>
    <xf numFmtId="49" fontId="2" fillId="0" borderId="9" xfId="0" applyNumberFormat="1" applyFont="1" applyFill="1" applyBorder="1" applyAlignment="1">
      <alignment horizontal="center" vertical="center"/>
    </xf>
    <xf numFmtId="2" fontId="2" fillId="0" borderId="9" xfId="0" applyNumberFormat="1" applyFont="1" applyFill="1" applyBorder="1" applyAlignment="1">
      <alignment horizontal="center" vertical="center"/>
    </xf>
    <xf numFmtId="44" fontId="2" fillId="0" borderId="9" xfId="2" applyFont="1" applyFill="1" applyBorder="1" applyAlignment="1">
      <alignment horizontal="center" vertical="center"/>
    </xf>
    <xf numFmtId="0" fontId="2" fillId="0" borderId="9" xfId="0" applyFont="1" applyBorder="1" applyAlignment="1">
      <alignment horizontal="left" vertical="center" wrapText="1"/>
    </xf>
    <xf numFmtId="0" fontId="4" fillId="0" borderId="9" xfId="0" applyFont="1" applyFill="1" applyBorder="1" applyAlignment="1">
      <alignment horizontal="center" vertical="center"/>
    </xf>
    <xf numFmtId="0" fontId="2" fillId="0" borderId="0" xfId="0" applyFont="1"/>
    <xf numFmtId="0" fontId="2" fillId="0" borderId="9" xfId="0" applyFont="1" applyBorder="1" applyAlignment="1">
      <alignment horizontal="center" vertical="center"/>
    </xf>
    <xf numFmtId="0" fontId="2" fillId="0" borderId="9" xfId="0" applyFont="1" applyBorder="1" applyAlignment="1">
      <alignment vertical="center" wrapText="1"/>
    </xf>
    <xf numFmtId="0" fontId="2" fillId="0" borderId="9" xfId="0" applyFont="1" applyBorder="1"/>
    <xf numFmtId="0" fontId="8" fillId="0" borderId="9" xfId="0" applyFont="1" applyBorder="1" applyAlignment="1">
      <alignment horizontal="right" vertical="center" wrapText="1"/>
    </xf>
    <xf numFmtId="2" fontId="2" fillId="0" borderId="9" xfId="0" applyNumberFormat="1" applyFont="1" applyBorder="1" applyAlignment="1">
      <alignment horizontal="center" vertical="center"/>
    </xf>
    <xf numFmtId="0" fontId="2" fillId="0" borderId="9" xfId="0" applyFont="1" applyFill="1" applyBorder="1" applyAlignment="1">
      <alignment horizontal="center"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0" fontId="8" fillId="0" borderId="9" xfId="0" applyFont="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2" fontId="2" fillId="0" borderId="9" xfId="0" applyNumberFormat="1" applyFont="1" applyBorder="1" applyAlignment="1">
      <alignment horizontal="center"/>
    </xf>
    <xf numFmtId="2" fontId="9" fillId="0" borderId="9" xfId="0" applyNumberFormat="1" applyFont="1" applyFill="1" applyBorder="1" applyAlignment="1">
      <alignment horizontal="right" vertical="center"/>
    </xf>
    <xf numFmtId="2" fontId="5" fillId="0" borderId="9" xfId="0" applyNumberFormat="1" applyFont="1" applyFill="1" applyBorder="1" applyAlignment="1">
      <alignment horizontal="center" vertical="center"/>
    </xf>
    <xf numFmtId="0" fontId="2" fillId="0" borderId="9" xfId="0" applyFont="1" applyFill="1" applyBorder="1" applyAlignment="1">
      <alignment vertical="center" wrapText="1"/>
    </xf>
    <xf numFmtId="0" fontId="2" fillId="0" borderId="0" xfId="0" applyFont="1" applyFill="1"/>
    <xf numFmtId="2" fontId="2" fillId="0" borderId="0" xfId="0" applyNumberFormat="1" applyFont="1" applyAlignment="1">
      <alignment horizontal="center"/>
    </xf>
    <xf numFmtId="0" fontId="8" fillId="0" borderId="9" xfId="0" applyFont="1" applyBorder="1" applyAlignment="1">
      <alignment horizontal="right" vertical="center" wrapText="1"/>
    </xf>
    <xf numFmtId="0" fontId="14" fillId="2" borderId="9" xfId="9" applyFont="1" applyFill="1" applyBorder="1" applyAlignment="1">
      <alignment horizontal="right" vertical="center"/>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0" fontId="2" fillId="3" borderId="9" xfId="0" applyFont="1" applyFill="1" applyBorder="1" applyAlignment="1">
      <alignment horizontal="center"/>
    </xf>
    <xf numFmtId="0" fontId="2" fillId="2" borderId="9" xfId="0" quotePrefix="1" applyFont="1" applyFill="1" applyBorder="1" applyAlignment="1">
      <alignment horizontal="center" vertical="center"/>
    </xf>
    <xf numFmtId="9" fontId="2" fillId="0" borderId="0" xfId="4" applyFont="1"/>
    <xf numFmtId="164" fontId="2" fillId="0" borderId="0" xfId="0" applyNumberFormat="1" applyFont="1"/>
    <xf numFmtId="0" fontId="4" fillId="4" borderId="11" xfId="6" applyFont="1" applyFill="1" applyBorder="1"/>
    <xf numFmtId="44" fontId="2" fillId="0" borderId="0" xfId="2" applyFont="1" applyAlignment="1">
      <alignment vertical="center"/>
    </xf>
    <xf numFmtId="0" fontId="3" fillId="2" borderId="0" xfId="1" applyNumberFormat="1" applyFont="1" applyFill="1" applyBorder="1" applyAlignment="1">
      <alignment horizontal="center" vertical="center" wrapText="1"/>
    </xf>
    <xf numFmtId="0" fontId="3" fillId="2" borderId="0" xfId="0" applyFont="1" applyFill="1" applyBorder="1" applyAlignment="1">
      <alignment horizontal="left" vertical="center" wrapText="1"/>
    </xf>
    <xf numFmtId="0" fontId="8" fillId="0" borderId="9" xfId="0" applyFont="1" applyBorder="1" applyAlignment="1">
      <alignment horizontal="right" vertical="center" wrapText="1"/>
    </xf>
    <xf numFmtId="0" fontId="14" fillId="2" borderId="9" xfId="9" applyFont="1" applyFill="1" applyBorder="1" applyAlignment="1">
      <alignment horizontal="right" vertical="center"/>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171" fontId="16" fillId="2" borderId="9" xfId="9" applyNumberFormat="1" applyFont="1" applyFill="1" applyBorder="1" applyAlignment="1">
      <alignment horizontal="center" vertical="center"/>
    </xf>
    <xf numFmtId="44" fontId="2" fillId="0" borderId="9" xfId="2" applyNumberFormat="1" applyFont="1" applyBorder="1" applyAlignment="1">
      <alignment horizontal="center" vertical="center"/>
    </xf>
    <xf numFmtId="169" fontId="16" fillId="2" borderId="9" xfId="9" applyNumberFormat="1" applyFont="1" applyFill="1" applyBorder="1" applyAlignment="1">
      <alignment horizontal="center" vertical="center"/>
    </xf>
    <xf numFmtId="0" fontId="0" fillId="0" borderId="9" xfId="9" applyFont="1" applyBorder="1" applyAlignment="1">
      <alignment vertical="center"/>
    </xf>
    <xf numFmtId="0" fontId="3" fillId="0" borderId="9" xfId="0" applyFont="1" applyBorder="1" applyAlignment="1">
      <alignment horizontal="center" vertical="top" wrapText="1"/>
    </xf>
    <xf numFmtId="0" fontId="4" fillId="0" borderId="9" xfId="0" applyFont="1" applyBorder="1" applyAlignment="1">
      <alignment horizontal="left" vertical="top" wrapText="1"/>
    </xf>
    <xf numFmtId="10" fontId="4" fillId="0" borderId="9" xfId="4" applyNumberFormat="1" applyFont="1" applyFill="1" applyBorder="1" applyAlignment="1">
      <alignment horizontal="center" vertical="top" wrapText="1"/>
    </xf>
    <xf numFmtId="10" fontId="3" fillId="0" borderId="9" xfId="4" applyNumberFormat="1" applyFont="1" applyFill="1" applyBorder="1" applyAlignment="1">
      <alignment horizontal="center" vertical="top" wrapText="1"/>
    </xf>
    <xf numFmtId="0" fontId="3" fillId="0" borderId="9" xfId="0" applyFont="1" applyBorder="1" applyAlignment="1">
      <alignment horizontal="left" vertical="top" wrapText="1" indent="5"/>
    </xf>
    <xf numFmtId="9" fontId="3" fillId="0" borderId="9" xfId="4" applyFont="1" applyFill="1" applyBorder="1" applyAlignment="1">
      <alignment horizontal="left" vertical="top" wrapText="1" indent="1"/>
    </xf>
    <xf numFmtId="9" fontId="4" fillId="0" borderId="9" xfId="4" applyFont="1" applyFill="1" applyBorder="1" applyAlignment="1">
      <alignment horizontal="center" vertical="top" wrapText="1"/>
    </xf>
    <xf numFmtId="10" fontId="3" fillId="0" borderId="9" xfId="4" applyNumberFormat="1" applyFont="1" applyFill="1" applyBorder="1" applyAlignment="1">
      <alignment horizontal="left" vertical="top" wrapText="1" indent="1"/>
    </xf>
    <xf numFmtId="0" fontId="3" fillId="0" borderId="9" xfId="0" applyFont="1" applyBorder="1" applyAlignment="1">
      <alignment horizontal="left" vertical="top" wrapText="1" indent="4"/>
    </xf>
    <xf numFmtId="10" fontId="4" fillId="0" borderId="9" xfId="4" applyNumberFormat="1" applyFont="1" applyFill="1" applyBorder="1" applyAlignment="1">
      <alignment horizontal="center" vertical="center" wrapText="1"/>
    </xf>
    <xf numFmtId="9" fontId="4" fillId="0" borderId="9" xfId="4" applyFont="1" applyFill="1" applyBorder="1" applyAlignment="1">
      <alignment horizontal="center" vertical="center" wrapText="1"/>
    </xf>
    <xf numFmtId="0" fontId="3" fillId="0" borderId="9" xfId="0" applyFont="1" applyBorder="1" applyAlignment="1">
      <alignment horizontal="left" vertical="top" wrapText="1" indent="8"/>
    </xf>
    <xf numFmtId="9" fontId="3" fillId="0" borderId="9" xfId="4" applyFont="1" applyFill="1" applyBorder="1" applyAlignment="1">
      <alignment horizontal="center" vertical="top" wrapText="1"/>
    </xf>
    <xf numFmtId="0" fontId="2" fillId="0" borderId="9" xfId="0" applyFont="1" applyBorder="1" applyAlignment="1">
      <alignment horizontal="left" vertical="top" wrapText="1"/>
    </xf>
    <xf numFmtId="0" fontId="3" fillId="0" borderId="9" xfId="0" applyFont="1" applyBorder="1" applyAlignment="1">
      <alignment horizontal="left" vertical="top" wrapText="1" indent="11"/>
    </xf>
    <xf numFmtId="49" fontId="3" fillId="4" borderId="0" xfId="7" applyNumberFormat="1" applyFont="1" applyFill="1" applyBorder="1" applyAlignment="1">
      <alignment horizontal="left" vertical="top" wrapText="1"/>
    </xf>
    <xf numFmtId="43" fontId="3" fillId="2" borderId="0" xfId="1" applyFont="1" applyFill="1" applyBorder="1" applyAlignment="1">
      <alignment horizontal="center" vertical="center" wrapText="1"/>
    </xf>
    <xf numFmtId="0" fontId="3" fillId="2" borderId="0" xfId="1" applyNumberFormat="1" applyFont="1" applyFill="1" applyBorder="1" applyAlignment="1">
      <alignment horizontal="right" vertical="center" wrapText="1"/>
    </xf>
    <xf numFmtId="49" fontId="3" fillId="2" borderId="5" xfId="1" applyNumberFormat="1" applyFont="1" applyFill="1" applyBorder="1" applyAlignment="1">
      <alignment horizontal="left" vertical="center" wrapText="1"/>
    </xf>
    <xf numFmtId="44" fontId="3" fillId="3" borderId="9" xfId="2" applyNumberFormat="1" applyFont="1" applyFill="1" applyBorder="1" applyAlignment="1">
      <alignment horizontal="center" vertical="center"/>
    </xf>
    <xf numFmtId="0" fontId="4" fillId="4" borderId="0" xfId="6" applyFont="1" applyFill="1" applyBorder="1"/>
    <xf numFmtId="2" fontId="3" fillId="4" borderId="0" xfId="7" applyFont="1" applyFill="1" applyBorder="1" applyAlignment="1">
      <alignment vertical="top" wrapText="1"/>
    </xf>
    <xf numFmtId="0" fontId="2" fillId="0" borderId="0" xfId="0" applyFont="1" applyBorder="1"/>
    <xf numFmtId="4" fontId="2" fillId="2" borderId="6" xfId="0" applyNumberFormat="1" applyFont="1" applyFill="1" applyBorder="1" applyAlignment="1">
      <alignment horizontal="center" vertical="center"/>
    </xf>
    <xf numFmtId="10" fontId="3" fillId="2" borderId="0" xfId="1" applyNumberFormat="1" applyFont="1" applyFill="1" applyBorder="1" applyAlignment="1">
      <alignment horizontal="left" vertical="center" wrapText="1"/>
    </xf>
    <xf numFmtId="43" fontId="3" fillId="2" borderId="0" xfId="1" applyFont="1" applyFill="1" applyBorder="1" applyAlignment="1">
      <alignment horizontal="right" vertical="center" wrapText="1"/>
    </xf>
    <xf numFmtId="0" fontId="3" fillId="2" borderId="5" xfId="1" applyNumberFormat="1" applyFont="1" applyFill="1" applyBorder="1" applyAlignment="1">
      <alignment horizontal="right" vertical="center" wrapText="1"/>
    </xf>
    <xf numFmtId="0" fontId="4" fillId="4" borderId="4" xfId="6" applyFont="1" applyFill="1" applyBorder="1"/>
    <xf numFmtId="0" fontId="4" fillId="4" borderId="5" xfId="6" applyFont="1" applyFill="1" applyBorder="1"/>
    <xf numFmtId="2" fontId="4" fillId="4" borderId="0" xfId="6" applyNumberFormat="1" applyFont="1" applyFill="1" applyBorder="1"/>
    <xf numFmtId="0" fontId="3" fillId="4" borderId="0" xfId="6" applyFont="1" applyFill="1" applyBorder="1" applyAlignment="1">
      <alignment horizontal="right"/>
    </xf>
    <xf numFmtId="10" fontId="3" fillId="4" borderId="0" xfId="6" applyNumberFormat="1" applyFont="1" applyFill="1" applyBorder="1" applyAlignment="1">
      <alignment horizontal="center"/>
    </xf>
    <xf numFmtId="10" fontId="4" fillId="4" borderId="0" xfId="4" applyNumberFormat="1" applyFont="1" applyFill="1" applyBorder="1"/>
    <xf numFmtId="49" fontId="3" fillId="4" borderId="4" xfId="7" applyNumberFormat="1" applyFont="1" applyFill="1" applyBorder="1" applyAlignment="1">
      <alignment horizontal="left" vertical="top"/>
    </xf>
    <xf numFmtId="2" fontId="3" fillId="4" borderId="0" xfId="7" applyFont="1" applyFill="1" applyBorder="1" applyAlignment="1">
      <alignment horizontal="justify" vertical="top" wrapText="1"/>
    </xf>
    <xf numFmtId="4" fontId="3" fillId="4" borderId="0" xfId="7" applyNumberFormat="1" applyFont="1" applyFill="1" applyBorder="1" applyAlignment="1">
      <alignment vertical="top" wrapText="1"/>
    </xf>
    <xf numFmtId="2" fontId="3" fillId="4" borderId="5" xfId="7" applyFont="1" applyFill="1" applyBorder="1" applyAlignment="1">
      <alignment vertical="top" wrapText="1"/>
    </xf>
    <xf numFmtId="49" fontId="3" fillId="4" borderId="4" xfId="7" applyNumberFormat="1" applyFont="1" applyFill="1" applyBorder="1" applyAlignment="1">
      <alignment horizontal="left" vertical="top" wrapText="1"/>
    </xf>
    <xf numFmtId="49" fontId="3" fillId="4" borderId="4" xfId="7" applyNumberFormat="1" applyFont="1" applyFill="1" applyBorder="1" applyAlignment="1">
      <alignment horizontal="right" vertical="top" wrapText="1"/>
    </xf>
    <xf numFmtId="49" fontId="3" fillId="4" borderId="0" xfId="7" applyNumberFormat="1" applyFont="1" applyFill="1" applyBorder="1" applyAlignment="1">
      <alignment horizontal="left" vertical="top"/>
    </xf>
    <xf numFmtId="49" fontId="3" fillId="4" borderId="0" xfId="7" applyNumberFormat="1" applyFont="1" applyFill="1" applyBorder="1" applyAlignment="1">
      <alignment horizontal="left"/>
    </xf>
    <xf numFmtId="2" fontId="6" fillId="4" borderId="0" xfId="7" applyFont="1" applyFill="1" applyBorder="1">
      <alignment vertical="center"/>
    </xf>
    <xf numFmtId="0" fontId="5" fillId="0" borderId="4" xfId="0" applyFont="1" applyBorder="1" applyAlignment="1">
      <alignment horizontal="center" vertical="center"/>
    </xf>
    <xf numFmtId="1" fontId="27" fillId="2" borderId="9" xfId="0" applyNumberFormat="1" applyFont="1" applyFill="1" applyBorder="1" applyAlignment="1">
      <alignment horizontal="center" vertical="center"/>
    </xf>
    <xf numFmtId="2" fontId="27" fillId="2" borderId="9" xfId="0" applyNumberFormat="1" applyFont="1" applyFill="1" applyBorder="1" applyAlignment="1">
      <alignment horizontal="center" vertical="center" wrapText="1"/>
    </xf>
    <xf numFmtId="2" fontId="27" fillId="2" borderId="9" xfId="0" applyNumberFormat="1" applyFont="1" applyFill="1" applyBorder="1" applyAlignment="1">
      <alignment horizontal="center" vertical="center"/>
    </xf>
    <xf numFmtId="2" fontId="28" fillId="2" borderId="9" xfId="15" applyNumberFormat="1" applyFont="1" applyFill="1" applyBorder="1" applyAlignment="1" applyProtection="1">
      <alignment horizontal="center" vertical="center" wrapText="1"/>
    </xf>
    <xf numFmtId="44" fontId="27" fillId="2" borderId="9" xfId="2" applyFont="1" applyFill="1" applyBorder="1" applyAlignment="1">
      <alignment horizontal="center" vertical="center"/>
    </xf>
    <xf numFmtId="14" fontId="27" fillId="2" borderId="9" xfId="0" applyNumberFormat="1" applyFont="1" applyFill="1" applyBorder="1" applyAlignment="1">
      <alignment horizontal="center" vertical="center"/>
    </xf>
    <xf numFmtId="172" fontId="27" fillId="2" borderId="9" xfId="0" applyNumberFormat="1" applyFont="1" applyFill="1" applyBorder="1" applyAlignment="1">
      <alignment horizontal="center" vertical="center"/>
    </xf>
    <xf numFmtId="164" fontId="27" fillId="2" borderId="9" xfId="0" applyNumberFormat="1" applyFont="1" applyFill="1" applyBorder="1" applyAlignment="1">
      <alignment horizontal="center" vertical="center"/>
    </xf>
    <xf numFmtId="2" fontId="27" fillId="2" borderId="9" xfId="15" applyNumberFormat="1" applyFont="1" applyFill="1" applyBorder="1" applyAlignment="1" applyProtection="1">
      <alignment horizontal="center" vertical="center" wrapText="1"/>
    </xf>
    <xf numFmtId="1" fontId="27" fillId="2" borderId="9" xfId="0" applyNumberFormat="1" applyFont="1" applyFill="1" applyBorder="1" applyAlignment="1">
      <alignment horizontal="center" vertical="center" wrapText="1"/>
    </xf>
    <xf numFmtId="2" fontId="21" fillId="2" borderId="9" xfId="15" applyNumberFormat="1" applyFill="1" applyBorder="1" applyAlignment="1" applyProtection="1">
      <alignment horizontal="center" vertical="center" wrapText="1"/>
    </xf>
    <xf numFmtId="49" fontId="4" fillId="0" borderId="9" xfId="0" quotePrefix="1" applyNumberFormat="1" applyFont="1" applyFill="1" applyBorder="1" applyAlignment="1">
      <alignment horizontal="center" vertical="center"/>
    </xf>
    <xf numFmtId="0" fontId="8" fillId="0" borderId="20" xfId="0" applyFont="1" applyBorder="1" applyAlignment="1">
      <alignment horizontal="right" vertical="center" wrapText="1"/>
    </xf>
    <xf numFmtId="0" fontId="8" fillId="0" borderId="13" xfId="0" applyFont="1" applyBorder="1" applyAlignment="1">
      <alignment horizontal="right" vertical="center"/>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49" fontId="5" fillId="0" borderId="9" xfId="0" applyNumberFormat="1" applyFont="1" applyBorder="1" applyAlignment="1">
      <alignment horizontal="center" vertical="center"/>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vertical="center" wrapText="1"/>
    </xf>
    <xf numFmtId="0" fontId="8" fillId="0" borderId="0" xfId="0" applyFont="1" applyAlignment="1">
      <alignment horizontal="right"/>
    </xf>
    <xf numFmtId="0" fontId="8" fillId="0" borderId="9" xfId="0" applyFont="1" applyBorder="1" applyAlignment="1">
      <alignment horizontal="right" vertical="center" wrapText="1"/>
    </xf>
    <xf numFmtId="0" fontId="14" fillId="2" borderId="9" xfId="9" applyFont="1" applyFill="1" applyBorder="1" applyAlignment="1">
      <alignment horizontal="center" vertical="center"/>
    </xf>
    <xf numFmtId="0" fontId="14" fillId="2" borderId="9" xfId="9" applyFont="1" applyFill="1" applyBorder="1" applyAlignment="1">
      <alignment horizontal="center" vertical="center" wrapText="1"/>
    </xf>
    <xf numFmtId="0" fontId="16" fillId="2" borderId="9" xfId="9" applyFont="1" applyFill="1" applyBorder="1" applyAlignment="1">
      <alignment horizontal="center" vertical="center"/>
    </xf>
    <xf numFmtId="0" fontId="14" fillId="2" borderId="9" xfId="9" applyFont="1" applyFill="1" applyBorder="1" applyAlignment="1">
      <alignment horizontal="right" vertical="center"/>
    </xf>
    <xf numFmtId="49" fontId="19" fillId="2" borderId="9" xfId="9" applyNumberFormat="1" applyFont="1" applyFill="1" applyBorder="1" applyAlignment="1">
      <alignment horizontal="left" vertical="center" wrapText="1"/>
    </xf>
    <xf numFmtId="49" fontId="1" fillId="2" borderId="9" xfId="9" applyNumberFormat="1" applyFont="1" applyFill="1" applyBorder="1" applyAlignment="1">
      <alignment horizontal="center" vertical="center" wrapText="1"/>
    </xf>
    <xf numFmtId="2" fontId="2" fillId="0" borderId="9" xfId="0" applyNumberFormat="1" applyFont="1" applyFill="1" applyBorder="1" applyAlignment="1">
      <alignment horizontal="center"/>
    </xf>
    <xf numFmtId="0" fontId="2" fillId="0" borderId="9" xfId="0" applyFont="1" applyBorder="1" applyAlignment="1">
      <alignment horizontal="center" vertical="center" wrapText="1"/>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0" fontId="2" fillId="2" borderId="9" xfId="0" applyFont="1" applyFill="1" applyBorder="1" applyAlignment="1">
      <alignment horizontal="right" vertical="center" wrapText="1"/>
    </xf>
    <xf numFmtId="0" fontId="8" fillId="2" borderId="9" xfId="0" applyFont="1" applyFill="1" applyBorder="1" applyAlignment="1">
      <alignment horizontal="right" vertical="center" wrapText="1"/>
    </xf>
    <xf numFmtId="0" fontId="14" fillId="2" borderId="9" xfId="9" applyFont="1" applyFill="1" applyBorder="1" applyAlignment="1">
      <alignment horizontal="right" vertical="center"/>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49" fontId="19" fillId="2" borderId="9" xfId="9" applyNumberFormat="1" applyFont="1" applyFill="1" applyBorder="1" applyAlignment="1">
      <alignment horizontal="left" vertical="center" wrapText="1"/>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0" fontId="5" fillId="2" borderId="9" xfId="0" applyFont="1" applyFill="1" applyBorder="1" applyAlignment="1">
      <alignment vertical="center" wrapText="1"/>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4" fontId="29" fillId="2" borderId="1" xfId="0" applyNumberFormat="1" applyFont="1" applyFill="1" applyBorder="1" applyAlignment="1">
      <alignment horizontal="center" vertical="center"/>
    </xf>
    <xf numFmtId="4" fontId="31" fillId="4" borderId="2" xfId="16" applyNumberFormat="1" applyFont="1" applyFill="1" applyBorder="1" applyAlignment="1">
      <alignment horizontal="center" vertical="center"/>
    </xf>
    <xf numFmtId="4" fontId="31" fillId="0" borderId="0" xfId="16" applyNumberFormat="1" applyFont="1" applyBorder="1" applyAlignment="1">
      <alignment horizontal="center" vertical="center"/>
    </xf>
    <xf numFmtId="4" fontId="29" fillId="2" borderId="4" xfId="0" applyNumberFormat="1" applyFont="1" applyFill="1" applyBorder="1" applyAlignment="1">
      <alignment horizontal="center" vertical="center"/>
    </xf>
    <xf numFmtId="0" fontId="30" fillId="2" borderId="0" xfId="0" applyFont="1" applyFill="1" applyBorder="1" applyAlignment="1">
      <alignment horizontal="center" vertical="center" wrapText="1"/>
    </xf>
    <xf numFmtId="4" fontId="29" fillId="2" borderId="0" xfId="0" applyNumberFormat="1" applyFont="1" applyFill="1" applyBorder="1" applyAlignment="1">
      <alignment horizontal="center" vertical="center" wrapText="1"/>
    </xf>
    <xf numFmtId="4" fontId="31" fillId="4" borderId="0" xfId="16" applyNumberFormat="1" applyFont="1" applyFill="1" applyBorder="1" applyAlignment="1">
      <alignment horizontal="center" vertical="center"/>
    </xf>
    <xf numFmtId="0" fontId="30" fillId="2" borderId="0" xfId="1" applyNumberFormat="1" applyFont="1" applyFill="1" applyBorder="1" applyAlignment="1">
      <alignment horizontal="center" vertical="center" wrapText="1"/>
    </xf>
    <xf numFmtId="10" fontId="30" fillId="2" borderId="0" xfId="1" applyNumberFormat="1" applyFont="1" applyFill="1" applyBorder="1" applyAlignment="1">
      <alignment horizontal="center" vertical="center" wrapText="1"/>
    </xf>
    <xf numFmtId="0" fontId="31" fillId="4" borderId="0" xfId="16" applyFont="1" applyFill="1" applyBorder="1" applyAlignment="1">
      <alignment horizontal="center" vertical="center"/>
    </xf>
    <xf numFmtId="43" fontId="30" fillId="2" borderId="0" xfId="1" applyFont="1" applyFill="1" applyBorder="1" applyAlignment="1">
      <alignment horizontal="center" vertical="center" wrapText="1"/>
    </xf>
    <xf numFmtId="0" fontId="29" fillId="0" borderId="0" xfId="0" applyFont="1"/>
    <xf numFmtId="0" fontId="30" fillId="2" borderId="0" xfId="1" applyNumberFormat="1" applyFont="1" applyFill="1" applyBorder="1" applyAlignment="1">
      <alignment horizontal="right" vertical="center" wrapText="1"/>
    </xf>
    <xf numFmtId="49" fontId="30" fillId="2" borderId="0" xfId="1" applyNumberFormat="1" applyFont="1" applyFill="1" applyBorder="1" applyAlignment="1">
      <alignment horizontal="left" vertical="center" wrapText="1"/>
    </xf>
    <xf numFmtId="0" fontId="31" fillId="4" borderId="7" xfId="16" applyFont="1" applyFill="1" applyBorder="1" applyAlignment="1">
      <alignment horizontal="center" vertical="center"/>
    </xf>
    <xf numFmtId="3" fontId="30" fillId="9" borderId="12" xfId="12" applyNumberFormat="1" applyFont="1" applyFill="1" applyBorder="1" applyAlignment="1">
      <alignment horizontal="center" vertical="center"/>
    </xf>
    <xf numFmtId="0" fontId="31" fillId="10" borderId="12" xfId="16" applyFont="1" applyFill="1" applyBorder="1" applyAlignment="1">
      <alignment horizontal="left" vertical="center"/>
    </xf>
    <xf numFmtId="10" fontId="31" fillId="10" borderId="12" xfId="4" applyNumberFormat="1" applyFont="1" applyFill="1" applyBorder="1" applyAlignment="1">
      <alignment horizontal="center" vertical="center"/>
    </xf>
    <xf numFmtId="10" fontId="30" fillId="10" borderId="24" xfId="17" applyNumberFormat="1" applyFont="1" applyFill="1" applyBorder="1" applyAlignment="1">
      <alignment horizontal="center" vertical="center"/>
    </xf>
    <xf numFmtId="0" fontId="31" fillId="0" borderId="27" xfId="16" applyFont="1" applyBorder="1" applyAlignment="1">
      <alignment horizontal="left" vertical="center"/>
    </xf>
    <xf numFmtId="44" fontId="31" fillId="0" borderId="27" xfId="2" applyFont="1" applyBorder="1" applyAlignment="1">
      <alignment horizontal="left" vertical="center"/>
    </xf>
    <xf numFmtId="44" fontId="30" fillId="0" borderId="27" xfId="2" applyFont="1" applyBorder="1" applyAlignment="1">
      <alignment horizontal="center" vertical="center"/>
    </xf>
    <xf numFmtId="10" fontId="30" fillId="10" borderId="12" xfId="17" applyNumberFormat="1" applyFont="1" applyFill="1" applyBorder="1" applyAlignment="1">
      <alignment horizontal="center" vertical="center"/>
    </xf>
    <xf numFmtId="10" fontId="30" fillId="10" borderId="24" xfId="16" applyNumberFormat="1" applyFont="1" applyFill="1" applyBorder="1" applyAlignment="1">
      <alignment horizontal="center" vertical="center"/>
    </xf>
    <xf numFmtId="10" fontId="30" fillId="11" borderId="13" xfId="17" applyNumberFormat="1" applyFont="1" applyFill="1" applyBorder="1" applyAlignment="1">
      <alignment horizontal="center" vertical="center"/>
    </xf>
    <xf numFmtId="10" fontId="30" fillId="11" borderId="9" xfId="16" applyNumberFormat="1" applyFont="1" applyFill="1" applyBorder="1" applyAlignment="1">
      <alignment horizontal="center" vertical="center"/>
    </xf>
    <xf numFmtId="44" fontId="30" fillId="11" borderId="9" xfId="2" applyFont="1" applyFill="1" applyBorder="1" applyAlignment="1">
      <alignment horizontal="center" vertical="center"/>
    </xf>
    <xf numFmtId="4" fontId="31" fillId="0" borderId="0" xfId="16" applyNumberFormat="1" applyFont="1" applyAlignment="1">
      <alignment horizontal="center" vertical="center"/>
    </xf>
    <xf numFmtId="0" fontId="3" fillId="2" borderId="0" xfId="1" applyNumberFormat="1" applyFont="1" applyFill="1" applyBorder="1" applyAlignment="1">
      <alignment horizontal="center" vertical="center" wrapText="1"/>
    </xf>
    <xf numFmtId="0" fontId="3" fillId="2" borderId="5" xfId="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1"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8" fillId="0" borderId="12" xfId="0" applyFont="1" applyBorder="1" applyAlignment="1">
      <alignment horizontal="right" vertical="center" wrapText="1"/>
    </xf>
    <xf numFmtId="0" fontId="8" fillId="0" borderId="13" xfId="0" applyFont="1" applyBorder="1" applyAlignment="1">
      <alignment horizontal="right" vertical="center" wrapText="1"/>
    </xf>
    <xf numFmtId="4" fontId="2" fillId="2" borderId="12" xfId="0" applyNumberFormat="1" applyFont="1" applyFill="1" applyBorder="1" applyAlignment="1">
      <alignment horizontal="center" vertical="center" wrapText="1"/>
    </xf>
    <xf numFmtId="4" fontId="2" fillId="2" borderId="20" xfId="0" applyNumberFormat="1" applyFont="1" applyFill="1" applyBorder="1" applyAlignment="1">
      <alignment horizontal="center" vertical="center" wrapText="1"/>
    </xf>
    <xf numFmtId="4" fontId="2" fillId="2" borderId="13" xfId="0" applyNumberFormat="1" applyFont="1" applyFill="1" applyBorder="1" applyAlignment="1">
      <alignment horizontal="center" vertical="center" wrapText="1"/>
    </xf>
    <xf numFmtId="0" fontId="8" fillId="0" borderId="20" xfId="0" applyFont="1" applyBorder="1" applyAlignment="1">
      <alignment horizontal="right" vertical="center" wrapText="1"/>
    </xf>
    <xf numFmtId="0" fontId="8" fillId="0" borderId="9" xfId="0" applyFont="1" applyBorder="1" applyAlignment="1">
      <alignment horizontal="right" vertical="center" wrapText="1"/>
    </xf>
    <xf numFmtId="0" fontId="8" fillId="0" borderId="12" xfId="0" applyFont="1" applyBorder="1" applyAlignment="1">
      <alignment horizontal="right" vertical="center"/>
    </xf>
    <xf numFmtId="0" fontId="8" fillId="0" borderId="20" xfId="0" applyFont="1" applyBorder="1" applyAlignment="1">
      <alignment horizontal="right" vertical="center"/>
    </xf>
    <xf numFmtId="0" fontId="8" fillId="0" borderId="13" xfId="0" applyFont="1" applyBorder="1" applyAlignment="1">
      <alignment horizontal="right" vertical="center"/>
    </xf>
    <xf numFmtId="2" fontId="2" fillId="0" borderId="12" xfId="0" applyNumberFormat="1" applyFont="1" applyBorder="1" applyAlignment="1">
      <alignment horizontal="center" vertical="center"/>
    </xf>
    <xf numFmtId="2" fontId="2" fillId="0" borderId="20" xfId="0" applyNumberFormat="1" applyFont="1" applyBorder="1" applyAlignment="1">
      <alignment horizontal="center" vertical="center"/>
    </xf>
    <xf numFmtId="2" fontId="2" fillId="0" borderId="13" xfId="0" applyNumberFormat="1" applyFont="1" applyBorder="1" applyAlignment="1">
      <alignment horizontal="center" vertical="center"/>
    </xf>
    <xf numFmtId="0" fontId="3" fillId="2" borderId="7" xfId="0" applyFont="1" applyFill="1" applyBorder="1" applyAlignment="1">
      <alignment horizontal="left" vertical="center" wrapText="1"/>
    </xf>
    <xf numFmtId="0" fontId="30" fillId="2" borderId="4" xfId="0" applyFont="1" applyFill="1" applyBorder="1" applyAlignment="1">
      <alignment horizontal="left" vertical="center" wrapText="1"/>
    </xf>
    <xf numFmtId="0" fontId="30" fillId="2" borderId="0" xfId="0" applyFont="1" applyFill="1" applyBorder="1" applyAlignment="1">
      <alignment horizontal="left" vertical="center" wrapText="1"/>
    </xf>
    <xf numFmtId="0" fontId="30" fillId="2" borderId="1"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0" xfId="1" applyNumberFormat="1" applyFont="1" applyFill="1" applyBorder="1" applyAlignment="1">
      <alignment horizontal="center" vertical="center" wrapText="1"/>
    </xf>
    <xf numFmtId="0" fontId="30" fillId="9" borderId="9" xfId="16" applyFont="1" applyFill="1" applyBorder="1" applyAlignment="1">
      <alignment horizontal="center" vertical="center"/>
    </xf>
    <xf numFmtId="0" fontId="30" fillId="9" borderId="12" xfId="16" applyFont="1" applyFill="1" applyBorder="1" applyAlignment="1">
      <alignment horizontal="center" vertical="center"/>
    </xf>
    <xf numFmtId="0" fontId="30" fillId="9" borderId="20" xfId="16" applyFont="1" applyFill="1" applyBorder="1" applyAlignment="1">
      <alignment horizontal="center" vertical="center"/>
    </xf>
    <xf numFmtId="4" fontId="30" fillId="0" borderId="22" xfId="16" applyNumberFormat="1" applyFont="1" applyBorder="1" applyAlignment="1">
      <alignment horizontal="center" vertical="center" wrapText="1"/>
    </xf>
    <xf numFmtId="4" fontId="30" fillId="0" borderId="26" xfId="16" applyNumberFormat="1" applyFont="1" applyBorder="1" applyAlignment="1">
      <alignment horizontal="center" vertical="center" wrapText="1"/>
    </xf>
    <xf numFmtId="2" fontId="30" fillId="0" borderId="21" xfId="16" applyNumberFormat="1" applyFont="1" applyBorder="1" applyAlignment="1">
      <alignment horizontal="center" vertical="center"/>
    </xf>
    <xf numFmtId="2" fontId="30" fillId="0" borderId="25" xfId="16" applyNumberFormat="1" applyFont="1" applyBorder="1" applyAlignment="1">
      <alignment horizontal="center" vertical="center"/>
    </xf>
    <xf numFmtId="167" fontId="30" fillId="9" borderId="1" xfId="12" applyFont="1" applyFill="1" applyBorder="1" applyAlignment="1">
      <alignment horizontal="center" vertical="center"/>
    </xf>
    <xf numFmtId="167" fontId="30" fillId="9" borderId="3" xfId="12" applyFont="1" applyFill="1" applyBorder="1" applyAlignment="1">
      <alignment horizontal="center" vertical="center"/>
    </xf>
    <xf numFmtId="167" fontId="30" fillId="9" borderId="6" xfId="12" applyFont="1" applyFill="1" applyBorder="1" applyAlignment="1">
      <alignment horizontal="center" vertical="center"/>
    </xf>
    <xf numFmtId="167" fontId="30" fillId="9" borderId="8" xfId="12" applyFont="1" applyFill="1" applyBorder="1" applyAlignment="1">
      <alignment horizontal="center" vertical="center"/>
    </xf>
    <xf numFmtId="4" fontId="30" fillId="0" borderId="23" xfId="16" applyNumberFormat="1" applyFont="1" applyBorder="1" applyAlignment="1">
      <alignment horizontal="center" vertical="center" wrapText="1"/>
    </xf>
    <xf numFmtId="4" fontId="30" fillId="0" borderId="28" xfId="16" applyNumberFormat="1" applyFont="1" applyBorder="1" applyAlignment="1">
      <alignment horizontal="center" vertical="center" wrapText="1"/>
    </xf>
    <xf numFmtId="0" fontId="30" fillId="11" borderId="6" xfId="16" applyFont="1" applyFill="1" applyBorder="1" applyAlignment="1">
      <alignment horizontal="center" vertical="center"/>
    </xf>
    <xf numFmtId="0" fontId="30" fillId="11" borderId="7" xfId="16" applyFont="1" applyFill="1" applyBorder="1" applyAlignment="1">
      <alignment horizontal="center" vertical="center"/>
    </xf>
    <xf numFmtId="172" fontId="30" fillId="11" borderId="4" xfId="12" applyNumberFormat="1" applyFont="1" applyFill="1" applyBorder="1" applyAlignment="1">
      <alignment horizontal="center" vertical="center"/>
    </xf>
    <xf numFmtId="172" fontId="30" fillId="11" borderId="6" xfId="12" applyNumberFormat="1" applyFont="1" applyFill="1" applyBorder="1" applyAlignment="1">
      <alignment horizontal="center" vertical="center"/>
    </xf>
    <xf numFmtId="0" fontId="30" fillId="11" borderId="10" xfId="16" applyFont="1" applyFill="1" applyBorder="1" applyAlignment="1">
      <alignment horizontal="center" vertical="center"/>
    </xf>
    <xf numFmtId="0" fontId="30" fillId="11" borderId="14" xfId="16" applyFont="1" applyFill="1" applyBorder="1" applyAlignment="1">
      <alignment horizontal="center" vertical="center"/>
    </xf>
    <xf numFmtId="49" fontId="30" fillId="0" borderId="21" xfId="16" applyNumberFormat="1" applyFont="1" applyBorder="1" applyAlignment="1">
      <alignment horizontal="center" vertical="center"/>
    </xf>
    <xf numFmtId="49" fontId="30" fillId="0" borderId="25" xfId="16" applyNumberFormat="1" applyFont="1" applyBorder="1" applyAlignment="1">
      <alignment horizontal="center" vertical="center"/>
    </xf>
    <xf numFmtId="0" fontId="30" fillId="9" borderId="13" xfId="16" applyFont="1" applyFill="1" applyBorder="1" applyAlignment="1">
      <alignment horizontal="center" vertical="center"/>
    </xf>
    <xf numFmtId="0" fontId="3" fillId="4" borderId="0" xfId="8" applyFont="1" applyFill="1" applyAlignment="1">
      <alignment horizontal="left" vertical="top" wrapText="1"/>
    </xf>
    <xf numFmtId="0" fontId="3" fillId="4" borderId="16" xfId="8" applyFont="1" applyFill="1" applyBorder="1" applyAlignment="1">
      <alignment horizontal="left" vertical="top" wrapText="1"/>
    </xf>
    <xf numFmtId="0" fontId="3" fillId="4" borderId="18" xfId="8" applyFont="1" applyFill="1" applyBorder="1" applyAlignment="1">
      <alignment horizontal="left" vertical="top" wrapText="1"/>
    </xf>
    <xf numFmtId="0" fontId="3" fillId="4" borderId="19" xfId="8" applyFont="1" applyFill="1" applyBorder="1" applyAlignment="1">
      <alignment horizontal="left" vertical="top" wrapText="1"/>
    </xf>
    <xf numFmtId="0" fontId="3" fillId="4" borderId="0" xfId="8" applyFont="1" applyFill="1" applyAlignment="1">
      <alignment horizontal="center" vertical="top" wrapText="1"/>
    </xf>
    <xf numFmtId="0" fontId="4" fillId="4" borderId="0" xfId="8" applyFont="1" applyFill="1" applyAlignment="1">
      <alignment horizontal="left" vertical="top" wrapText="1"/>
    </xf>
    <xf numFmtId="0" fontId="4" fillId="4" borderId="16" xfId="8" applyFont="1" applyFill="1" applyBorder="1" applyAlignment="1">
      <alignment horizontal="left" vertical="top" wrapText="1"/>
    </xf>
    <xf numFmtId="0" fontId="3" fillId="4" borderId="10" xfId="6" applyFont="1" applyFill="1" applyBorder="1" applyAlignment="1">
      <alignment horizontal="right"/>
    </xf>
    <xf numFmtId="0" fontId="3" fillId="4" borderId="11" xfId="6" applyFont="1" applyFill="1" applyBorder="1" applyAlignment="1">
      <alignment horizontal="right"/>
    </xf>
    <xf numFmtId="0" fontId="3" fillId="4" borderId="10" xfId="6" applyFont="1" applyFill="1" applyBorder="1" applyAlignment="1">
      <alignment horizontal="center"/>
    </xf>
    <xf numFmtId="0" fontId="3" fillId="4" borderId="11" xfId="6" applyFont="1" applyFill="1" applyBorder="1" applyAlignment="1">
      <alignment horizontal="center"/>
    </xf>
    <xf numFmtId="49" fontId="3" fillId="4" borderId="0" xfId="7" applyNumberFormat="1" applyFont="1" applyFill="1" applyBorder="1" applyAlignment="1">
      <alignment horizontal="center" vertical="top" wrapText="1"/>
    </xf>
    <xf numFmtId="49" fontId="3" fillId="4" borderId="0" xfId="7" applyNumberFormat="1" applyFont="1" applyFill="1" applyAlignment="1">
      <alignment horizontal="center" wrapText="1"/>
    </xf>
    <xf numFmtId="0" fontId="3" fillId="4" borderId="0" xfId="8" applyFont="1" applyFill="1" applyAlignment="1">
      <alignment horizontal="center" vertical="center" wrapText="1"/>
    </xf>
    <xf numFmtId="49" fontId="3" fillId="4" borderId="4" xfId="7" applyNumberFormat="1" applyFont="1" applyFill="1" applyBorder="1" applyAlignment="1">
      <alignment horizontal="center" vertical="center" wrapText="1"/>
    </xf>
    <xf numFmtId="49" fontId="3" fillId="4" borderId="0" xfId="7" applyNumberFormat="1" applyFont="1" applyFill="1" applyBorder="1" applyAlignment="1">
      <alignment horizontal="center" vertical="center" wrapText="1"/>
    </xf>
    <xf numFmtId="49" fontId="3" fillId="4" borderId="5" xfId="7" applyNumberFormat="1" applyFont="1" applyFill="1" applyBorder="1" applyAlignment="1">
      <alignment horizontal="center" vertical="center" wrapText="1"/>
    </xf>
    <xf numFmtId="49" fontId="3" fillId="4" borderId="4" xfId="7" applyNumberFormat="1" applyFont="1" applyFill="1" applyBorder="1" applyAlignment="1">
      <alignment horizontal="left" vertical="top" wrapText="1"/>
    </xf>
    <xf numFmtId="49" fontId="3" fillId="4" borderId="0" xfId="7" applyNumberFormat="1" applyFont="1" applyFill="1" applyBorder="1" applyAlignment="1">
      <alignment horizontal="left" vertical="top" wrapText="1"/>
    </xf>
    <xf numFmtId="49" fontId="3" fillId="4" borderId="5" xfId="7" applyNumberFormat="1" applyFont="1" applyFill="1" applyBorder="1" applyAlignment="1">
      <alignment horizontal="left" vertical="top" wrapText="1"/>
    </xf>
    <xf numFmtId="49" fontId="3" fillId="4" borderId="6" xfId="7" applyNumberFormat="1" applyFont="1" applyFill="1" applyBorder="1" applyAlignment="1">
      <alignment horizontal="left" vertical="top" wrapText="1"/>
    </xf>
    <xf numFmtId="49" fontId="3" fillId="4" borderId="7" xfId="7" applyNumberFormat="1" applyFont="1" applyFill="1" applyBorder="1" applyAlignment="1">
      <alignment horizontal="left" vertical="top" wrapText="1"/>
    </xf>
    <xf numFmtId="49" fontId="3" fillId="4" borderId="8" xfId="7" applyNumberFormat="1" applyFont="1" applyFill="1" applyBorder="1" applyAlignment="1">
      <alignment horizontal="left" vertical="top" wrapText="1"/>
    </xf>
    <xf numFmtId="0" fontId="3" fillId="2" borderId="0" xfId="1" applyNumberFormat="1" applyFont="1" applyFill="1" applyBorder="1" applyAlignment="1">
      <alignment horizontal="right" vertical="center" wrapText="1"/>
    </xf>
    <xf numFmtId="0" fontId="3" fillId="2" borderId="6" xfId="0" applyFont="1" applyFill="1" applyBorder="1" applyAlignment="1">
      <alignment horizontal="left" vertical="center" wrapText="1"/>
    </xf>
    <xf numFmtId="49" fontId="3" fillId="4" borderId="0" xfId="7" applyNumberFormat="1" applyFont="1" applyFill="1" applyAlignment="1">
      <alignment horizontal="center" vertical="top" wrapText="1"/>
    </xf>
    <xf numFmtId="0" fontId="4" fillId="4" borderId="10" xfId="6" applyFont="1" applyFill="1" applyBorder="1" applyAlignment="1">
      <alignment horizontal="left"/>
    </xf>
    <xf numFmtId="0" fontId="4" fillId="4" borderId="11" xfId="6" applyFont="1" applyFill="1" applyBorder="1" applyAlignment="1">
      <alignment horizontal="left"/>
    </xf>
    <xf numFmtId="0" fontId="3" fillId="0" borderId="9" xfId="0" applyFont="1" applyBorder="1" applyAlignment="1">
      <alignment horizontal="center" vertical="top" wrapText="1"/>
    </xf>
    <xf numFmtId="0" fontId="3" fillId="0" borderId="9" xfId="0" applyFont="1" applyBorder="1" applyAlignment="1">
      <alignment horizontal="left" vertical="top" wrapText="1" indent="4"/>
    </xf>
    <xf numFmtId="0" fontId="3" fillId="0" borderId="9" xfId="0" applyFont="1" applyBorder="1" applyAlignment="1">
      <alignment horizontal="left" vertical="top" wrapText="1" indent="8"/>
    </xf>
    <xf numFmtId="0" fontId="3" fillId="0" borderId="9" xfId="0" applyFont="1" applyBorder="1" applyAlignment="1">
      <alignment horizontal="left" vertical="top" wrapText="1" indent="11"/>
    </xf>
    <xf numFmtId="0" fontId="3" fillId="2" borderId="10"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1" xfId="0" applyFont="1" applyFill="1" applyBorder="1" applyAlignment="1">
      <alignment horizontal="left" vertical="center" wrapText="1"/>
    </xf>
    <xf numFmtId="4" fontId="2" fillId="2" borderId="12" xfId="0" applyNumberFormat="1" applyFont="1" applyFill="1" applyBorder="1" applyAlignment="1">
      <alignment horizontal="center" vertical="center"/>
    </xf>
    <xf numFmtId="4" fontId="2" fillId="2" borderId="20" xfId="0" applyNumberFormat="1" applyFont="1" applyFill="1" applyBorder="1" applyAlignment="1">
      <alignment horizontal="center" vertical="center"/>
    </xf>
    <xf numFmtId="4" fontId="2" fillId="2" borderId="13" xfId="0" applyNumberFormat="1" applyFont="1" applyFill="1" applyBorder="1" applyAlignment="1">
      <alignment horizontal="center" vertical="center"/>
    </xf>
    <xf numFmtId="0" fontId="5" fillId="0" borderId="9" xfId="0" applyFont="1" applyBorder="1" applyAlignment="1">
      <alignment horizontal="center" vertical="center"/>
    </xf>
    <xf numFmtId="0" fontId="3" fillId="0" borderId="9" xfId="0" applyFont="1" applyBorder="1" applyAlignment="1">
      <alignment horizontal="left" vertical="top" wrapText="1" indent="5"/>
    </xf>
    <xf numFmtId="0" fontId="14" fillId="2" borderId="9" xfId="9" applyFont="1" applyFill="1" applyBorder="1" applyAlignment="1">
      <alignment horizontal="center" vertical="center"/>
    </xf>
    <xf numFmtId="0" fontId="13" fillId="2" borderId="9" xfId="9" applyFont="1" applyFill="1" applyBorder="1" applyAlignment="1">
      <alignment horizontal="center" vertical="center" wrapText="1"/>
    </xf>
    <xf numFmtId="0" fontId="14" fillId="2" borderId="9" xfId="9" applyFont="1" applyFill="1" applyBorder="1" applyAlignment="1">
      <alignment horizontal="center" vertical="center" wrapText="1"/>
    </xf>
    <xf numFmtId="1" fontId="16" fillId="2" borderId="9" xfId="9" applyNumberFormat="1" applyFont="1" applyFill="1" applyBorder="1" applyAlignment="1">
      <alignment horizontal="center" vertical="center" wrapText="1"/>
    </xf>
    <xf numFmtId="0" fontId="16" fillId="2" borderId="9" xfId="9" applyFont="1" applyFill="1" applyBorder="1" applyAlignment="1">
      <alignment horizontal="center" vertical="center" wrapText="1"/>
    </xf>
    <xf numFmtId="2" fontId="17" fillId="2" borderId="9" xfId="9" applyNumberFormat="1" applyFont="1" applyFill="1" applyBorder="1" applyAlignment="1">
      <alignment horizontal="center" vertical="center" wrapText="1"/>
    </xf>
    <xf numFmtId="0" fontId="1" fillId="0" borderId="10" xfId="9" applyBorder="1" applyAlignment="1">
      <alignment horizontal="left" vertical="center"/>
    </xf>
    <xf numFmtId="0" fontId="1" fillId="0" borderId="14" xfId="9" applyBorder="1" applyAlignment="1">
      <alignment horizontal="left" vertical="center"/>
    </xf>
    <xf numFmtId="0" fontId="1" fillId="0" borderId="11" xfId="9" applyBorder="1" applyAlignment="1">
      <alignment horizontal="left" vertical="center"/>
    </xf>
    <xf numFmtId="0" fontId="16" fillId="2" borderId="9" xfId="9" applyFont="1" applyFill="1" applyBorder="1" applyAlignment="1">
      <alignment horizontal="center" vertical="center"/>
    </xf>
    <xf numFmtId="49" fontId="0" fillId="2" borderId="9" xfId="9" applyNumberFormat="1" applyFont="1" applyFill="1" applyBorder="1" applyAlignment="1">
      <alignment horizontal="left" vertical="center"/>
    </xf>
    <xf numFmtId="49" fontId="1" fillId="2" borderId="9" xfId="9" applyNumberFormat="1" applyFont="1" applyFill="1" applyBorder="1" applyAlignment="1">
      <alignment horizontal="left" vertical="center"/>
    </xf>
    <xf numFmtId="0" fontId="14" fillId="2" borderId="9" xfId="9" applyFont="1" applyFill="1" applyBorder="1" applyAlignment="1">
      <alignment horizontal="right" vertical="center"/>
    </xf>
    <xf numFmtId="49" fontId="19" fillId="2" borderId="9" xfId="9" applyNumberFormat="1" applyFont="1" applyFill="1" applyBorder="1" applyAlignment="1">
      <alignment horizontal="left" vertical="center" wrapText="1"/>
    </xf>
    <xf numFmtId="166" fontId="17" fillId="2" borderId="9" xfId="9" applyNumberFormat="1" applyFont="1" applyFill="1" applyBorder="1" applyAlignment="1">
      <alignment horizontal="left" vertical="center" wrapText="1"/>
    </xf>
    <xf numFmtId="1" fontId="12" fillId="2" borderId="9" xfId="9" applyNumberFormat="1"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6" fillId="2" borderId="9" xfId="9" applyFont="1" applyFill="1" applyBorder="1" applyAlignment="1">
      <alignment horizontal="right" vertical="center"/>
    </xf>
    <xf numFmtId="0" fontId="16" fillId="2" borderId="10" xfId="9" applyFont="1" applyFill="1" applyBorder="1" applyAlignment="1">
      <alignment horizontal="center" vertical="center"/>
    </xf>
    <xf numFmtId="0" fontId="16" fillId="2" borderId="14" xfId="9" applyFont="1" applyFill="1" applyBorder="1" applyAlignment="1">
      <alignment horizontal="center" vertical="center"/>
    </xf>
    <xf numFmtId="0" fontId="16" fillId="2" borderId="11" xfId="9" applyFont="1" applyFill="1" applyBorder="1" applyAlignment="1">
      <alignment horizontal="center" vertical="center"/>
    </xf>
    <xf numFmtId="0" fontId="16" fillId="2" borderId="10" xfId="9" applyFont="1" applyFill="1" applyBorder="1" applyAlignment="1">
      <alignment horizontal="left" vertical="center"/>
    </xf>
    <xf numFmtId="0" fontId="16" fillId="2" borderId="11" xfId="9" applyFont="1" applyFill="1" applyBorder="1" applyAlignment="1">
      <alignment horizontal="left" vertical="center"/>
    </xf>
    <xf numFmtId="166" fontId="17" fillId="2" borderId="10" xfId="9" applyNumberFormat="1" applyFont="1" applyFill="1" applyBorder="1" applyAlignment="1">
      <alignment horizontal="left" vertical="center" wrapText="1"/>
    </xf>
    <xf numFmtId="166" fontId="17" fillId="2" borderId="14" xfId="9" applyNumberFormat="1" applyFont="1" applyFill="1" applyBorder="1" applyAlignment="1">
      <alignment horizontal="left" vertical="center" wrapText="1"/>
    </xf>
    <xf numFmtId="166" fontId="17" fillId="2" borderId="11" xfId="9" applyNumberFormat="1" applyFont="1" applyFill="1" applyBorder="1" applyAlignment="1">
      <alignment horizontal="left" vertical="center" wrapText="1"/>
    </xf>
    <xf numFmtId="49" fontId="19" fillId="2" borderId="10" xfId="9" applyNumberFormat="1" applyFont="1" applyFill="1" applyBorder="1" applyAlignment="1">
      <alignment horizontal="left" vertical="center" wrapText="1"/>
    </xf>
    <xf numFmtId="49" fontId="19" fillId="2" borderId="14" xfId="9" applyNumberFormat="1" applyFont="1" applyFill="1" applyBorder="1" applyAlignment="1">
      <alignment horizontal="left" vertical="center" wrapText="1"/>
    </xf>
    <xf numFmtId="49" fontId="19" fillId="2" borderId="11" xfId="9" applyNumberFormat="1" applyFont="1" applyFill="1" applyBorder="1" applyAlignment="1">
      <alignment horizontal="left" vertical="center" wrapText="1"/>
    </xf>
    <xf numFmtId="166" fontId="18" fillId="0" borderId="9" xfId="9" applyNumberFormat="1" applyFont="1" applyFill="1" applyBorder="1" applyAlignment="1">
      <alignment horizontal="left" vertical="center" wrapText="1"/>
    </xf>
    <xf numFmtId="0" fontId="16" fillId="2" borderId="10" xfId="9" applyFont="1" applyFill="1" applyBorder="1" applyAlignment="1">
      <alignment horizontal="left" vertical="center" wrapText="1"/>
    </xf>
    <xf numFmtId="49" fontId="0" fillId="2" borderId="9" xfId="9" applyNumberFormat="1" applyFont="1" applyFill="1" applyBorder="1" applyAlignment="1">
      <alignment horizontal="left" vertical="center" wrapText="1"/>
    </xf>
    <xf numFmtId="49" fontId="1" fillId="2" borderId="9" xfId="9" applyNumberFormat="1" applyFont="1" applyFill="1" applyBorder="1" applyAlignment="1">
      <alignment horizontal="left" vertical="center" wrapText="1"/>
    </xf>
    <xf numFmtId="49" fontId="0" fillId="2" borderId="10" xfId="9" applyNumberFormat="1" applyFont="1" applyFill="1" applyBorder="1" applyAlignment="1">
      <alignment horizontal="left" vertical="center" wrapText="1"/>
    </xf>
    <xf numFmtId="49" fontId="0" fillId="2" borderId="11" xfId="9" applyNumberFormat="1" applyFont="1" applyFill="1" applyBorder="1" applyAlignment="1">
      <alignment horizontal="left" vertical="center" wrapText="1"/>
    </xf>
    <xf numFmtId="0" fontId="16" fillId="2" borderId="11" xfId="9" applyFont="1" applyFill="1" applyBorder="1" applyAlignment="1">
      <alignment horizontal="left" vertical="center" wrapText="1"/>
    </xf>
    <xf numFmtId="0" fontId="0" fillId="0" borderId="10" xfId="9" applyFont="1" applyBorder="1" applyAlignment="1">
      <alignment horizontal="left" vertical="center" wrapText="1"/>
    </xf>
    <xf numFmtId="2" fontId="27" fillId="2" borderId="12" xfId="0" applyNumberFormat="1" applyFont="1" applyFill="1" applyBorder="1" applyAlignment="1">
      <alignment horizontal="center" vertical="center"/>
    </xf>
    <xf numFmtId="2" fontId="27" fillId="2" borderId="20" xfId="0" applyNumberFormat="1" applyFont="1" applyFill="1" applyBorder="1" applyAlignment="1">
      <alignment horizontal="center" vertical="center"/>
    </xf>
    <xf numFmtId="2" fontId="27" fillId="2" borderId="13" xfId="0" applyNumberFormat="1" applyFont="1" applyFill="1" applyBorder="1" applyAlignment="1">
      <alignment horizontal="center" vertical="center"/>
    </xf>
    <xf numFmtId="0" fontId="24" fillId="2" borderId="9" xfId="0" applyFont="1" applyFill="1" applyBorder="1" applyAlignment="1">
      <alignment horizontal="left" vertical="center" wrapText="1"/>
    </xf>
    <xf numFmtId="0" fontId="24" fillId="2" borderId="10" xfId="0" applyFont="1" applyFill="1" applyBorder="1" applyAlignment="1">
      <alignment horizontal="left" vertical="center" wrapText="1"/>
    </xf>
    <xf numFmtId="0" fontId="24" fillId="2" borderId="14" xfId="0" applyFont="1" applyFill="1" applyBorder="1" applyAlignment="1">
      <alignment horizontal="left" vertical="center" wrapText="1"/>
    </xf>
    <xf numFmtId="0" fontId="24" fillId="2" borderId="11" xfId="0" applyFont="1" applyFill="1" applyBorder="1" applyAlignment="1">
      <alignment horizontal="left" vertical="center" wrapText="1"/>
    </xf>
    <xf numFmtId="2" fontId="24" fillId="8" borderId="20" xfId="14" applyNumberFormat="1" applyFont="1" applyFill="1" applyBorder="1" applyAlignment="1">
      <alignment horizontal="center" vertical="center"/>
    </xf>
    <xf numFmtId="2" fontId="24" fillId="3" borderId="9" xfId="14" applyNumberFormat="1" applyFont="1" applyFill="1" applyBorder="1" applyAlignment="1">
      <alignment horizontal="center" vertical="center" wrapText="1"/>
    </xf>
    <xf numFmtId="2" fontId="24" fillId="3" borderId="20" xfId="14" applyNumberFormat="1" applyFont="1" applyFill="1" applyBorder="1" applyAlignment="1">
      <alignment horizontal="center" vertical="center" wrapText="1"/>
    </xf>
    <xf numFmtId="2" fontId="24" fillId="3" borderId="13" xfId="14" applyNumberFormat="1" applyFont="1" applyFill="1" applyBorder="1" applyAlignment="1">
      <alignment horizontal="center" vertical="center" wrapText="1"/>
    </xf>
    <xf numFmtId="2" fontId="24" fillId="6" borderId="20" xfId="14" applyNumberFormat="1" applyFont="1" applyFill="1" applyBorder="1" applyAlignment="1">
      <alignment horizontal="center" vertical="center"/>
    </xf>
    <xf numFmtId="2" fontId="24" fillId="6" borderId="13" xfId="14" applyNumberFormat="1" applyFont="1" applyFill="1" applyBorder="1" applyAlignment="1">
      <alignment horizontal="center" vertical="center"/>
    </xf>
    <xf numFmtId="2" fontId="24" fillId="6" borderId="20" xfId="1" applyNumberFormat="1" applyFont="1" applyFill="1" applyBorder="1" applyAlignment="1">
      <alignment horizontal="center" vertical="center" wrapText="1"/>
    </xf>
    <xf numFmtId="14" fontId="24" fillId="6" borderId="20" xfId="1" applyNumberFormat="1" applyFont="1" applyFill="1" applyBorder="1" applyAlignment="1">
      <alignment horizontal="center" vertical="center" wrapText="1"/>
    </xf>
    <xf numFmtId="2" fontId="24" fillId="7" borderId="13" xfId="14" applyNumberFormat="1" applyFont="1" applyFill="1" applyBorder="1" applyAlignment="1">
      <alignment horizontal="center" vertical="center"/>
    </xf>
    <xf numFmtId="2" fontId="24" fillId="7" borderId="9" xfId="14" applyNumberFormat="1" applyFont="1" applyFill="1" applyBorder="1" applyAlignment="1">
      <alignment horizontal="center" vertical="center"/>
    </xf>
    <xf numFmtId="2" fontId="24" fillId="7" borderId="20" xfId="14" applyNumberFormat="1" applyFont="1" applyFill="1" applyBorder="1" applyAlignment="1">
      <alignment horizontal="center" vertical="center"/>
    </xf>
    <xf numFmtId="2" fontId="24" fillId="7" borderId="13" xfId="1" applyNumberFormat="1" applyFont="1" applyFill="1" applyBorder="1" applyAlignment="1">
      <alignment horizontal="center" vertical="center" wrapText="1"/>
    </xf>
    <xf numFmtId="2" fontId="24" fillId="7" borderId="9" xfId="1" applyNumberFormat="1" applyFont="1" applyFill="1" applyBorder="1" applyAlignment="1">
      <alignment horizontal="center" vertical="center" wrapText="1"/>
    </xf>
    <xf numFmtId="2" fontId="24" fillId="7" borderId="20" xfId="1" applyNumberFormat="1" applyFont="1" applyFill="1" applyBorder="1" applyAlignment="1">
      <alignment horizontal="center" vertical="center" wrapText="1"/>
    </xf>
    <xf numFmtId="2" fontId="24" fillId="8" borderId="13" xfId="14" applyNumberFormat="1" applyFont="1" applyFill="1" applyBorder="1" applyAlignment="1">
      <alignment horizontal="center" vertical="center"/>
    </xf>
    <xf numFmtId="2" fontId="24" fillId="8" borderId="20" xfId="14" applyNumberFormat="1" applyFont="1" applyFill="1" applyBorder="1" applyAlignment="1">
      <alignment horizontal="center" vertical="center" wrapText="1"/>
    </xf>
    <xf numFmtId="14" fontId="24" fillId="8" borderId="13" xfId="1" applyNumberFormat="1" applyFont="1" applyFill="1" applyBorder="1" applyAlignment="1">
      <alignment horizontal="center" vertical="center" wrapText="1"/>
    </xf>
    <xf numFmtId="14" fontId="24" fillId="8" borderId="9" xfId="1" applyNumberFormat="1" applyFont="1" applyFill="1" applyBorder="1" applyAlignment="1">
      <alignment horizontal="center" vertical="center" wrapText="1"/>
    </xf>
    <xf numFmtId="2" fontId="24" fillId="3" borderId="13" xfId="14" applyNumberFormat="1" applyFont="1" applyFill="1" applyBorder="1" applyAlignment="1">
      <alignment horizontal="center" vertical="center"/>
    </xf>
    <xf numFmtId="2" fontId="24" fillId="3" borderId="9" xfId="14" applyNumberFormat="1" applyFont="1" applyFill="1" applyBorder="1" applyAlignment="1">
      <alignment horizontal="center" vertical="center"/>
    </xf>
  </cellXfs>
  <cellStyles count="26">
    <cellStyle name="Hiperlink" xfId="15" builtinId="8"/>
    <cellStyle name="Moeda" xfId="2" builtinId="4"/>
    <cellStyle name="Moeda 2" xfId="10"/>
    <cellStyle name="Moeda 3" xfId="13"/>
    <cellStyle name="Moeda 3 2" xfId="21"/>
    <cellStyle name="Moeda 3 3" xfId="24"/>
    <cellStyle name="Moeda 4" xfId="19"/>
    <cellStyle name="Moeda 5" xfId="23"/>
    <cellStyle name="Normal" xfId="0" builtinId="0"/>
    <cellStyle name="Normal 2" xfId="5"/>
    <cellStyle name="Normal 2 3" xfId="11"/>
    <cellStyle name="Normal 3" xfId="3"/>
    <cellStyle name="Normal 4" xfId="16"/>
    <cellStyle name="Normal 4 2" xfId="25"/>
    <cellStyle name="Normal 6" xfId="9"/>
    <cellStyle name="Normal 61 2" xfId="8"/>
    <cellStyle name="Normal_Composição BDI" xfId="7"/>
    <cellStyle name="Normal_Composição do BDI - final" xfId="6"/>
    <cellStyle name="Normal_Replanilhamento T-1 - 18-02-08" xfId="14"/>
    <cellStyle name="Porcentagem" xfId="4" builtinId="5"/>
    <cellStyle name="Porcentagem 2" xfId="17"/>
    <cellStyle name="Vírgula" xfId="1" builtinId="3"/>
    <cellStyle name="Vírgula 2" xfId="12"/>
    <cellStyle name="Vírgula 2 2" xfId="20"/>
    <cellStyle name="Vírgula 3" xfId="18"/>
    <cellStyle name="Vírgula 4" xfId="22"/>
  </cellStyles>
  <dxfs count="201">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76201</xdr:colOff>
      <xdr:row>1</xdr:row>
      <xdr:rowOff>104775</xdr:rowOff>
    </xdr:from>
    <xdr:to>
      <xdr:col>0</xdr:col>
      <xdr:colOff>652865</xdr:colOff>
      <xdr:row>3</xdr:row>
      <xdr:rowOff>209550</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1" y="371475"/>
          <a:ext cx="576664" cy="638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228601</xdr:colOff>
      <xdr:row>0</xdr:row>
      <xdr:rowOff>123826</xdr:rowOff>
    </xdr:from>
    <xdr:to>
      <xdr:col>0</xdr:col>
      <xdr:colOff>723900</xdr:colOff>
      <xdr:row>3</xdr:row>
      <xdr:rowOff>122925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1" y="123826"/>
          <a:ext cx="495299" cy="5420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179933</xdr:colOff>
      <xdr:row>0</xdr:row>
      <xdr:rowOff>134470</xdr:rowOff>
    </xdr:from>
    <xdr:to>
      <xdr:col>15</xdr:col>
      <xdr:colOff>989450</xdr:colOff>
      <xdr:row>4</xdr:row>
      <xdr:rowOff>280147</xdr:rowOff>
    </xdr:to>
    <xdr:pic>
      <xdr:nvPicPr>
        <xdr:cNvPr id="2" name="Imagem 1">
          <a:extLst>
            <a:ext uri="{FF2B5EF4-FFF2-40B4-BE49-F238E27FC236}">
              <a16:creationId xmlns:a16="http://schemas.microsoft.com/office/drawing/2014/main" xmlns=""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639" y="134470"/>
          <a:ext cx="809517" cy="907677"/>
        </a:xfrm>
        <a:prstGeom prst="rect">
          <a:avLst/>
        </a:prstGeom>
      </xdr:spPr>
    </xdr:pic>
    <xdr:clientData/>
  </xdr:twoCellAnchor>
  <xdr:twoCellAnchor editAs="oneCell">
    <xdr:from>
      <xdr:col>0</xdr:col>
      <xdr:colOff>76201</xdr:colOff>
      <xdr:row>1</xdr:row>
      <xdr:rowOff>104775</xdr:rowOff>
    </xdr:from>
    <xdr:to>
      <xdr:col>0</xdr:col>
      <xdr:colOff>652865</xdr:colOff>
      <xdr:row>4</xdr:row>
      <xdr:rowOff>171450</xdr:rowOff>
    </xdr:to>
    <xdr:pic>
      <xdr:nvPicPr>
        <xdr:cNvPr id="3" name="Imagem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201" y="371475"/>
          <a:ext cx="576664" cy="6381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183324</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199" y="414338"/>
          <a:ext cx="781049" cy="8643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4</xdr:row>
      <xdr:rowOff>9525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6.xml><?xml version="1.0" encoding="utf-8"?>
<xdr:wsDr xmlns:xdr="http://schemas.openxmlformats.org/drawingml/2006/spreadsheetDrawing" xmlns:a="http://schemas.openxmlformats.org/drawingml/2006/main">
  <xdr:twoCellAnchor editAs="oneCell">
    <xdr:from>
      <xdr:col>0</xdr:col>
      <xdr:colOff>17972</xdr:colOff>
      <xdr:row>1</xdr:row>
      <xdr:rowOff>35943</xdr:rowOff>
    </xdr:from>
    <xdr:to>
      <xdr:col>0</xdr:col>
      <xdr:colOff>594636</xdr:colOff>
      <xdr:row>4</xdr:row>
      <xdr:rowOff>100156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2" y="226443"/>
          <a:ext cx="576664" cy="651588"/>
        </a:xfrm>
        <a:prstGeom prst="rect">
          <a:avLst/>
        </a:prstGeom>
      </xdr:spPr>
    </xdr:pic>
    <xdr:clientData/>
  </xdr:twoCellAnchor>
  <xdr:twoCellAnchor editAs="oneCell">
    <xdr:from>
      <xdr:col>0</xdr:col>
      <xdr:colOff>17972</xdr:colOff>
      <xdr:row>1</xdr:row>
      <xdr:rowOff>35943</xdr:rowOff>
    </xdr:from>
    <xdr:to>
      <xdr:col>0</xdr:col>
      <xdr:colOff>594636</xdr:colOff>
      <xdr:row>4</xdr:row>
      <xdr:rowOff>100156</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2" y="226443"/>
          <a:ext cx="576664" cy="6515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Obras/ENGENHARIA/PROPOSTA%20-%20NOVAS%20OBRAS/10-%20NOVO%20CRAS/BRUNA_PLANILHA%20OR&#199;AMENT&#193;RIA%20-%20CONSTRU&#199;&#195;O%20DO%20CRAS%20-%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ORÇAMENTÁRIA"/>
      <sheetName val="CRONOGRAMA"/>
      <sheetName val="modelo cronograma"/>
      <sheetName val="MC"/>
      <sheetName val="BDI"/>
      <sheetName val="LS"/>
      <sheetName val="COMP-01"/>
      <sheetName val="COMP-02"/>
      <sheetName val="COMP-03"/>
      <sheetName val="COMP-04"/>
      <sheetName val="COMP-05"/>
      <sheetName val="COMP-06"/>
      <sheetName val="COMP-07"/>
      <sheetName val="COMP-08"/>
      <sheetName val="COMP-09"/>
      <sheetName val="COMP-10"/>
      <sheetName val="COMP-11"/>
      <sheetName val="COMP-12"/>
      <sheetName val="COMP-13"/>
      <sheetName val="COMP-14"/>
      <sheetName val="COTAÇÕ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8">
          <cell r="P8">
            <v>898.77333333333343</v>
          </cell>
        </row>
        <row r="9">
          <cell r="P9">
            <v>19440.596666666668</v>
          </cell>
        </row>
        <row r="10">
          <cell r="P10">
            <v>7766.666666666667</v>
          </cell>
        </row>
        <row r="11">
          <cell r="P11">
            <v>316.66666666666669</v>
          </cell>
        </row>
        <row r="12">
          <cell r="P12">
            <v>57.26</v>
          </cell>
        </row>
        <row r="14">
          <cell r="P14">
            <v>2880.6666666666665</v>
          </cell>
        </row>
        <row r="15">
          <cell r="P15">
            <v>2897.3333333333335</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8" Type="http://schemas.openxmlformats.org/officeDocument/2006/relationships/drawing" Target="../drawings/drawing36.xml"/><Relationship Id="rId3" Type="http://schemas.openxmlformats.org/officeDocument/2006/relationships/hyperlink" Target="https://www.kalunga.com.br/prod/dispenser-papel-toalha-interfolhado-branco-c19533-premisse-cx-1-un/324175?pcID=39&amp;gclid=Cj0KCQjwqrb7BRDlARIsACwGad6HO2dT5IOnuzBk8d55FZvxHn7u8z-LvSHzV70iwJALgCLUeG6uVL4aAqcFEALw_wcB" TargetMode="External"/><Relationship Id="rId7" Type="http://schemas.openxmlformats.org/officeDocument/2006/relationships/printerSettings" Target="../printerSettings/printerSettings36.bin"/><Relationship Id="rId2" Type="http://schemas.openxmlformats.org/officeDocument/2006/relationships/hyperlink" Target="https://www.telhanorte.com.br/led-painel-pop-embutir-quadrado-30x30-ne-4000k-24w-bivolt-1680-avant-1774948/p?idsku=1774948&amp;gclid=EAIaIQobChMIv7j4ns3B8AIVCuDICh1NEwsxEAQYKCABEgLxKPD_BwE" TargetMode="External"/><Relationship Id="rId1" Type="http://schemas.openxmlformats.org/officeDocument/2006/relationships/hyperlink" Target="https://www.ismafer.com.br/MLB-1547067509-painel-plafon-led-24w-quadrado-embutir-branco-neutro-_JM?variation=78806764363&amp;gclid=EAIaIQobChMIv7j4ns3B8AIVCuDICh1NEwsxEAQYCCABEgKMrPD_BwE" TargetMode="External"/><Relationship Id="rId6" Type="http://schemas.openxmlformats.org/officeDocument/2006/relationships/hyperlink" Target="https://www.viainox.com/conjunto-1-tomada-rj-45-cat-6-4x2-liz/p?utm_source=google&amp;utm_medium=cpc&amp;utm_campaign=shopping&amp;gclid=CjwKCAjw_o-HBhAsEiwANqYhp8x32TM5FtfJvu0Nc7bhfDZn6lLpQi0H88h_TJXjUFwcwunNMl4xbBoC-ZIQAvD_BwE" TargetMode="External"/><Relationship Id="rId5" Type="http://schemas.openxmlformats.org/officeDocument/2006/relationships/hyperlink" Target="mailto:eliane@rbaelevadores.com.brAtendente:%20ElianeLocal:%20S&#227;o%20Jos&#233;%20do%20Rio%20Preto%20(SP)" TargetMode="External"/><Relationship Id="rId4" Type="http://schemas.openxmlformats.org/officeDocument/2006/relationships/hyperlink" Target="mailto:vendas@mobilitaelevadores.com.brAtendente:%20AnaLocal:%20Atiabaia%20(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X314"/>
  <sheetViews>
    <sheetView view="pageBreakPreview" topLeftCell="A283" zoomScale="84" zoomScaleNormal="84" zoomScaleSheetLayoutView="84" workbookViewId="0">
      <selection activeCell="I307" sqref="I307"/>
    </sheetView>
  </sheetViews>
  <sheetFormatPr defaultRowHeight="12.75" x14ac:dyDescent="0.2"/>
  <cols>
    <col min="1" max="1" width="10.140625" style="17" customWidth="1"/>
    <col min="2" max="2" width="12.5703125" style="25" bestFit="1" customWidth="1"/>
    <col min="3" max="3" width="11.42578125" style="17" customWidth="1"/>
    <col min="4" max="4" width="76.28515625" style="17" customWidth="1"/>
    <col min="5" max="5" width="12" style="25" customWidth="1"/>
    <col min="6" max="6" width="12.7109375" style="25" customWidth="1"/>
    <col min="7" max="7" width="14" style="25" bestFit="1" customWidth="1"/>
    <col min="8" max="8" width="17.42578125" style="25" customWidth="1"/>
    <col min="9" max="9" width="18" style="17" bestFit="1" customWidth="1"/>
    <col min="10" max="10" width="12.28515625" style="15" bestFit="1" customWidth="1"/>
    <col min="11" max="11" width="14" style="15" customWidth="1"/>
    <col min="12" max="16384" width="9.140625" style="15"/>
  </cols>
  <sheetData>
    <row r="1" spans="1:10" ht="21" customHeight="1" x14ac:dyDescent="0.2">
      <c r="A1" s="1"/>
      <c r="B1" s="411" t="s">
        <v>0</v>
      </c>
      <c r="C1" s="412"/>
      <c r="D1" s="412"/>
      <c r="E1" s="412"/>
      <c r="F1" s="412"/>
      <c r="G1" s="412"/>
      <c r="H1" s="412"/>
      <c r="I1" s="413"/>
    </row>
    <row r="2" spans="1:10" ht="21" customHeight="1" x14ac:dyDescent="0.2">
      <c r="A2" s="2"/>
      <c r="B2" s="419" t="s">
        <v>1</v>
      </c>
      <c r="C2" s="420"/>
      <c r="D2" s="420"/>
      <c r="E2" s="4"/>
      <c r="F2" s="3"/>
      <c r="G2" s="4"/>
      <c r="H2" s="4"/>
      <c r="I2" s="34"/>
    </row>
    <row r="3" spans="1:10" ht="21" customHeight="1" x14ac:dyDescent="0.2">
      <c r="A3" s="2"/>
      <c r="B3" s="419" t="s">
        <v>19</v>
      </c>
      <c r="C3" s="420"/>
      <c r="D3" s="420"/>
      <c r="E3" s="283" t="s">
        <v>3</v>
      </c>
      <c r="F3" s="26">
        <v>1.5727</v>
      </c>
      <c r="G3" s="409" t="s">
        <v>264</v>
      </c>
      <c r="H3" s="409"/>
      <c r="I3" s="410"/>
      <c r="J3" s="4"/>
    </row>
    <row r="4" spans="1:10" ht="21" customHeight="1" x14ac:dyDescent="0.2">
      <c r="A4" s="2"/>
      <c r="B4" s="419" t="s">
        <v>2</v>
      </c>
      <c r="C4" s="420"/>
      <c r="D4" s="420"/>
      <c r="E4" s="311" t="s">
        <v>5</v>
      </c>
      <c r="F4" s="26">
        <v>0.3196</v>
      </c>
      <c r="G4" s="317"/>
      <c r="H4" s="312" t="s">
        <v>6</v>
      </c>
      <c r="I4" s="313" t="s">
        <v>1369</v>
      </c>
    </row>
    <row r="5" spans="1:10" s="253" customFormat="1" ht="21" customHeight="1" x14ac:dyDescent="0.2">
      <c r="A5" s="2"/>
      <c r="B5" s="419" t="s">
        <v>1355</v>
      </c>
      <c r="C5" s="420"/>
      <c r="D5" s="420"/>
      <c r="E5" s="311"/>
      <c r="F5" s="26"/>
      <c r="G5" s="312"/>
      <c r="H5" s="312"/>
      <c r="I5" s="313"/>
    </row>
    <row r="6" spans="1:10" x14ac:dyDescent="0.2">
      <c r="A6" s="414" t="s">
        <v>7</v>
      </c>
      <c r="B6" s="414" t="s">
        <v>8</v>
      </c>
      <c r="C6" s="414" t="s">
        <v>9</v>
      </c>
      <c r="D6" s="414" t="s">
        <v>10</v>
      </c>
      <c r="E6" s="414" t="s">
        <v>11</v>
      </c>
      <c r="F6" s="414" t="s">
        <v>12</v>
      </c>
      <c r="G6" s="416" t="s">
        <v>13</v>
      </c>
      <c r="H6" s="417"/>
      <c r="I6" s="418"/>
    </row>
    <row r="7" spans="1:10" x14ac:dyDescent="0.2">
      <c r="A7" s="415"/>
      <c r="B7" s="415"/>
      <c r="C7" s="415"/>
      <c r="D7" s="415"/>
      <c r="E7" s="415"/>
      <c r="F7" s="415"/>
      <c r="G7" s="6" t="s">
        <v>14</v>
      </c>
      <c r="H7" s="6" t="s">
        <v>598</v>
      </c>
      <c r="I7" s="6" t="s">
        <v>15</v>
      </c>
    </row>
    <row r="8" spans="1:10" x14ac:dyDescent="0.2">
      <c r="A8" s="11">
        <v>1</v>
      </c>
      <c r="B8" s="11" t="s">
        <v>17</v>
      </c>
      <c r="C8" s="5"/>
      <c r="D8" s="7" t="s">
        <v>18</v>
      </c>
      <c r="E8" s="5"/>
      <c r="F8" s="6"/>
      <c r="G8" s="30"/>
      <c r="H8" s="30"/>
      <c r="I8" s="8"/>
    </row>
    <row r="9" spans="1:10" x14ac:dyDescent="0.2">
      <c r="A9" s="12" t="s">
        <v>265</v>
      </c>
      <c r="B9" s="12" t="s">
        <v>987</v>
      </c>
      <c r="C9" s="252" t="s">
        <v>599</v>
      </c>
      <c r="D9" s="14" t="s">
        <v>986</v>
      </c>
      <c r="E9" s="13"/>
      <c r="F9" s="200"/>
      <c r="G9" s="201"/>
      <c r="H9" s="201"/>
      <c r="I9" s="10">
        <f t="shared" ref="I9:I14" si="0">TRUNC(ROUND(F9*H9,2),2)</f>
        <v>0</v>
      </c>
    </row>
    <row r="10" spans="1:10" x14ac:dyDescent="0.2">
      <c r="A10" s="36" t="s">
        <v>266</v>
      </c>
      <c r="B10" s="349" t="s">
        <v>1364</v>
      </c>
      <c r="C10" s="252" t="s">
        <v>599</v>
      </c>
      <c r="D10" s="202" t="s">
        <v>988</v>
      </c>
      <c r="E10" s="252" t="s">
        <v>56</v>
      </c>
      <c r="F10" s="258">
        <f>MC!J11</f>
        <v>8.1640500000000014</v>
      </c>
      <c r="G10" s="74">
        <v>44.72</v>
      </c>
      <c r="H10" s="32">
        <f>TRUNC(ROUND(G10*1.3196,2),2)</f>
        <v>59.01</v>
      </c>
      <c r="I10" s="10">
        <f t="shared" si="0"/>
        <v>481.76</v>
      </c>
    </row>
    <row r="11" spans="1:10" x14ac:dyDescent="0.2">
      <c r="A11" s="36" t="s">
        <v>268</v>
      </c>
      <c r="B11" s="349" t="s">
        <v>1365</v>
      </c>
      <c r="C11" s="252" t="s">
        <v>599</v>
      </c>
      <c r="D11" s="202" t="s">
        <v>989</v>
      </c>
      <c r="E11" s="252" t="s">
        <v>56</v>
      </c>
      <c r="F11" s="258">
        <f>MC!J17</f>
        <v>9.8312850000000012</v>
      </c>
      <c r="G11" s="74">
        <v>209.92</v>
      </c>
      <c r="H11" s="32">
        <f t="shared" ref="H11:H71" si="1">TRUNC(ROUND(G11*1.3196,2),2)</f>
        <v>277.01</v>
      </c>
      <c r="I11" s="10">
        <f t="shared" si="0"/>
        <v>2723.36</v>
      </c>
    </row>
    <row r="12" spans="1:10" x14ac:dyDescent="0.2">
      <c r="A12" s="36" t="s">
        <v>269</v>
      </c>
      <c r="B12" s="349" t="s">
        <v>1366</v>
      </c>
      <c r="C12" s="252" t="s">
        <v>599</v>
      </c>
      <c r="D12" s="202" t="s">
        <v>990</v>
      </c>
      <c r="E12" s="252" t="s">
        <v>24</v>
      </c>
      <c r="F12" s="258">
        <f>MC!J23</f>
        <v>51.134999999999998</v>
      </c>
      <c r="G12" s="74">
        <v>13.12</v>
      </c>
      <c r="H12" s="32">
        <f t="shared" si="1"/>
        <v>17.309999999999999</v>
      </c>
      <c r="I12" s="10">
        <f t="shared" si="0"/>
        <v>885.15</v>
      </c>
    </row>
    <row r="13" spans="1:10" x14ac:dyDescent="0.2">
      <c r="A13" s="36" t="s">
        <v>270</v>
      </c>
      <c r="B13" s="349" t="s">
        <v>1367</v>
      </c>
      <c r="C13" s="252" t="s">
        <v>599</v>
      </c>
      <c r="D13" s="202" t="s">
        <v>991</v>
      </c>
      <c r="E13" s="252" t="s">
        <v>24</v>
      </c>
      <c r="F13" s="258">
        <f>MC!J27</f>
        <v>42.833000000000006</v>
      </c>
      <c r="G13" s="74">
        <v>17.91</v>
      </c>
      <c r="H13" s="32">
        <f t="shared" si="1"/>
        <v>23.63</v>
      </c>
      <c r="I13" s="10">
        <f t="shared" si="0"/>
        <v>1012.14</v>
      </c>
    </row>
    <row r="14" spans="1:10" x14ac:dyDescent="0.2">
      <c r="A14" s="36" t="s">
        <v>992</v>
      </c>
      <c r="B14" s="349" t="s">
        <v>1368</v>
      </c>
      <c r="C14" s="252" t="s">
        <v>599</v>
      </c>
      <c r="D14" s="202" t="s">
        <v>993</v>
      </c>
      <c r="E14" s="252" t="s">
        <v>24</v>
      </c>
      <c r="F14" s="258">
        <f>MC!J31</f>
        <v>42.833000000000006</v>
      </c>
      <c r="G14" s="74">
        <v>21.93</v>
      </c>
      <c r="H14" s="32">
        <f t="shared" si="1"/>
        <v>28.94</v>
      </c>
      <c r="I14" s="10">
        <f t="shared" si="0"/>
        <v>1239.5899999999999</v>
      </c>
    </row>
    <row r="15" spans="1:10" x14ac:dyDescent="0.2">
      <c r="A15" s="23" t="s">
        <v>271</v>
      </c>
      <c r="B15" s="12" t="s">
        <v>21</v>
      </c>
      <c r="C15" s="252" t="s">
        <v>599</v>
      </c>
      <c r="D15" s="18" t="s">
        <v>20</v>
      </c>
      <c r="E15" s="252"/>
      <c r="F15" s="258"/>
      <c r="G15" s="73"/>
      <c r="H15" s="32">
        <f t="shared" si="1"/>
        <v>0</v>
      </c>
      <c r="I15" s="10">
        <f>TRUNC(ROUND(F15*H15,2),2)</f>
        <v>0</v>
      </c>
    </row>
    <row r="16" spans="1:10" x14ac:dyDescent="0.2">
      <c r="A16" s="36" t="s">
        <v>272</v>
      </c>
      <c r="B16" s="105" t="s">
        <v>688</v>
      </c>
      <c r="C16" s="252" t="s">
        <v>599</v>
      </c>
      <c r="D16" s="255" t="s">
        <v>26</v>
      </c>
      <c r="E16" s="254" t="s">
        <v>24</v>
      </c>
      <c r="F16" s="258">
        <f>MC!J36</f>
        <v>336.27</v>
      </c>
      <c r="G16" s="74">
        <v>1.02</v>
      </c>
      <c r="H16" s="32">
        <f t="shared" si="1"/>
        <v>1.35</v>
      </c>
      <c r="I16" s="10">
        <f t="shared" ref="I16:I21" si="2">TRUNC(ROUND(F16*H16,2),2)</f>
        <v>453.96</v>
      </c>
    </row>
    <row r="17" spans="1:9" x14ac:dyDescent="0.2">
      <c r="A17" s="36" t="s">
        <v>994</v>
      </c>
      <c r="B17" s="105" t="s">
        <v>689</v>
      </c>
      <c r="C17" s="252" t="s">
        <v>599</v>
      </c>
      <c r="D17" s="255" t="s">
        <v>27</v>
      </c>
      <c r="E17" s="254" t="s">
        <v>24</v>
      </c>
      <c r="F17" s="258">
        <f>MC!J40</f>
        <v>336.27</v>
      </c>
      <c r="G17" s="74">
        <v>3.28</v>
      </c>
      <c r="H17" s="32">
        <f t="shared" si="1"/>
        <v>4.33</v>
      </c>
      <c r="I17" s="10">
        <f t="shared" si="2"/>
        <v>1456.05</v>
      </c>
    </row>
    <row r="18" spans="1:9" x14ac:dyDescent="0.2">
      <c r="A18" s="36" t="s">
        <v>995</v>
      </c>
      <c r="B18" s="105" t="s">
        <v>690</v>
      </c>
      <c r="C18" s="252" t="s">
        <v>599</v>
      </c>
      <c r="D18" s="255" t="s">
        <v>28</v>
      </c>
      <c r="E18" s="254" t="s">
        <v>25</v>
      </c>
      <c r="F18" s="258">
        <f>MC!J44</f>
        <v>7</v>
      </c>
      <c r="G18" s="74">
        <v>39.36</v>
      </c>
      <c r="H18" s="32">
        <f t="shared" si="1"/>
        <v>51.94</v>
      </c>
      <c r="I18" s="10">
        <f t="shared" si="2"/>
        <v>363.58</v>
      </c>
    </row>
    <row r="19" spans="1:9" x14ac:dyDescent="0.2">
      <c r="A19" s="36" t="s">
        <v>996</v>
      </c>
      <c r="B19" s="105" t="s">
        <v>691</v>
      </c>
      <c r="C19" s="252" t="s">
        <v>599</v>
      </c>
      <c r="D19" s="255" t="s">
        <v>29</v>
      </c>
      <c r="E19" s="254" t="s">
        <v>25</v>
      </c>
      <c r="F19" s="258">
        <f>MC!J48</f>
        <v>22</v>
      </c>
      <c r="G19" s="74">
        <v>97.88</v>
      </c>
      <c r="H19" s="32">
        <f t="shared" si="1"/>
        <v>129.16</v>
      </c>
      <c r="I19" s="10">
        <f t="shared" si="2"/>
        <v>2841.52</v>
      </c>
    </row>
    <row r="20" spans="1:9" x14ac:dyDescent="0.2">
      <c r="A20" s="337" t="s">
        <v>997</v>
      </c>
      <c r="B20" s="12" t="s">
        <v>30</v>
      </c>
      <c r="C20" s="252" t="s">
        <v>599</v>
      </c>
      <c r="D20" s="18" t="s">
        <v>31</v>
      </c>
      <c r="E20" s="254"/>
      <c r="F20" s="254"/>
      <c r="G20" s="74"/>
      <c r="H20" s="32">
        <f t="shared" si="1"/>
        <v>0</v>
      </c>
      <c r="I20" s="10">
        <f t="shared" si="2"/>
        <v>0</v>
      </c>
    </row>
    <row r="21" spans="1:9" x14ac:dyDescent="0.2">
      <c r="A21" s="254" t="s">
        <v>998</v>
      </c>
      <c r="B21" s="180" t="s">
        <v>918</v>
      </c>
      <c r="C21" s="252" t="s">
        <v>599</v>
      </c>
      <c r="D21" s="255" t="s">
        <v>47</v>
      </c>
      <c r="E21" s="254" t="s">
        <v>48</v>
      </c>
      <c r="F21" s="258">
        <f>MC!J52</f>
        <v>160.74</v>
      </c>
      <c r="G21" s="74">
        <v>9.11</v>
      </c>
      <c r="H21" s="32">
        <f t="shared" si="1"/>
        <v>12.02</v>
      </c>
      <c r="I21" s="10">
        <f t="shared" si="2"/>
        <v>1932.09</v>
      </c>
    </row>
    <row r="22" spans="1:9" x14ac:dyDescent="0.2">
      <c r="A22" s="11"/>
      <c r="B22" s="11"/>
      <c r="C22" s="5"/>
      <c r="D22" s="40" t="s">
        <v>459</v>
      </c>
      <c r="E22" s="5"/>
      <c r="F22" s="5"/>
      <c r="G22" s="75"/>
      <c r="H22" s="75"/>
      <c r="I22" s="95">
        <f>SUM(I9:I21)</f>
        <v>13389.2</v>
      </c>
    </row>
    <row r="23" spans="1:9" x14ac:dyDescent="0.2">
      <c r="A23" s="11">
        <v>2</v>
      </c>
      <c r="B23" s="11" t="s">
        <v>22</v>
      </c>
      <c r="C23" s="5"/>
      <c r="D23" s="7" t="s">
        <v>23</v>
      </c>
      <c r="E23" s="5"/>
      <c r="F23" s="5"/>
      <c r="G23" s="75"/>
      <c r="H23" s="75"/>
      <c r="I23" s="5"/>
    </row>
    <row r="24" spans="1:9" x14ac:dyDescent="0.2">
      <c r="A24" s="337" t="s">
        <v>273</v>
      </c>
      <c r="B24" s="12" t="s">
        <v>33</v>
      </c>
      <c r="C24" s="252" t="s">
        <v>599</v>
      </c>
      <c r="D24" s="18" t="s">
        <v>32</v>
      </c>
      <c r="E24" s="254"/>
      <c r="F24" s="254"/>
      <c r="G24" s="74"/>
      <c r="H24" s="32">
        <f t="shared" si="1"/>
        <v>0</v>
      </c>
      <c r="I24" s="10">
        <f t="shared" ref="I24:I38" si="3">TRUNC(ROUND(F24*H24,2),2)</f>
        <v>0</v>
      </c>
    </row>
    <row r="25" spans="1:9" x14ac:dyDescent="0.2">
      <c r="A25" s="254" t="s">
        <v>274</v>
      </c>
      <c r="B25" s="105" t="s">
        <v>692</v>
      </c>
      <c r="C25" s="252" t="s">
        <v>599</v>
      </c>
      <c r="D25" s="255" t="s">
        <v>34</v>
      </c>
      <c r="E25" s="254" t="s">
        <v>24</v>
      </c>
      <c r="F25" s="258">
        <f>MC!J58</f>
        <v>8</v>
      </c>
      <c r="G25" s="74">
        <v>285.33</v>
      </c>
      <c r="H25" s="32">
        <f t="shared" si="1"/>
        <v>376.52</v>
      </c>
      <c r="I25" s="10">
        <f t="shared" si="3"/>
        <v>3012.16</v>
      </c>
    </row>
    <row r="26" spans="1:9" ht="38.25" x14ac:dyDescent="0.2">
      <c r="A26" s="254" t="s">
        <v>275</v>
      </c>
      <c r="B26" s="105" t="s">
        <v>693</v>
      </c>
      <c r="C26" s="252" t="s">
        <v>599</v>
      </c>
      <c r="D26" s="255" t="s">
        <v>35</v>
      </c>
      <c r="E26" s="254" t="s">
        <v>16</v>
      </c>
      <c r="F26" s="258">
        <f>MC!J63</f>
        <v>40.61</v>
      </c>
      <c r="G26" s="74">
        <v>175.26</v>
      </c>
      <c r="H26" s="32">
        <f t="shared" si="1"/>
        <v>231.27</v>
      </c>
      <c r="I26" s="10">
        <f t="shared" si="3"/>
        <v>9391.8700000000008</v>
      </c>
    </row>
    <row r="27" spans="1:9" s="112" customFormat="1" x14ac:dyDescent="0.2">
      <c r="A27" s="106" t="s">
        <v>276</v>
      </c>
      <c r="B27" s="107" t="s">
        <v>694</v>
      </c>
      <c r="C27" s="108" t="s">
        <v>599</v>
      </c>
      <c r="D27" s="109" t="s">
        <v>36</v>
      </c>
      <c r="E27" s="106" t="s">
        <v>37</v>
      </c>
      <c r="F27" s="179">
        <f>MC!J67</f>
        <v>54</v>
      </c>
      <c r="G27" s="110">
        <v>7.73</v>
      </c>
      <c r="H27" s="32">
        <f t="shared" si="1"/>
        <v>10.199999999999999</v>
      </c>
      <c r="I27" s="10">
        <f t="shared" si="3"/>
        <v>550.79999999999995</v>
      </c>
    </row>
    <row r="28" spans="1:9" ht="25.5" x14ac:dyDescent="0.2">
      <c r="A28" s="23" t="s">
        <v>277</v>
      </c>
      <c r="B28" s="12" t="s">
        <v>54</v>
      </c>
      <c r="C28" s="252" t="s">
        <v>599</v>
      </c>
      <c r="D28" s="18" t="s">
        <v>55</v>
      </c>
      <c r="E28" s="254"/>
      <c r="F28" s="254"/>
      <c r="G28" s="74"/>
      <c r="H28" s="32">
        <f t="shared" si="1"/>
        <v>0</v>
      </c>
      <c r="I28" s="10">
        <f t="shared" si="3"/>
        <v>0</v>
      </c>
    </row>
    <row r="29" spans="1:9" ht="38.25" x14ac:dyDescent="0.2">
      <c r="A29" s="254" t="s">
        <v>278</v>
      </c>
      <c r="B29" s="105" t="s">
        <v>695</v>
      </c>
      <c r="C29" s="252" t="s">
        <v>599</v>
      </c>
      <c r="D29" s="255" t="s">
        <v>52</v>
      </c>
      <c r="E29" s="254" t="s">
        <v>16</v>
      </c>
      <c r="F29" s="258">
        <f>MC!J72</f>
        <v>20</v>
      </c>
      <c r="G29" s="74">
        <v>603.46</v>
      </c>
      <c r="H29" s="32">
        <f t="shared" si="1"/>
        <v>796.33</v>
      </c>
      <c r="I29" s="10">
        <f t="shared" si="3"/>
        <v>15926.6</v>
      </c>
    </row>
    <row r="30" spans="1:9" ht="25.5" x14ac:dyDescent="0.2">
      <c r="A30" s="254" t="s">
        <v>267</v>
      </c>
      <c r="B30" s="105" t="s">
        <v>696</v>
      </c>
      <c r="C30" s="252" t="s">
        <v>599</v>
      </c>
      <c r="D30" s="255" t="s">
        <v>53</v>
      </c>
      <c r="E30" s="254" t="s">
        <v>49</v>
      </c>
      <c r="F30" s="258">
        <f>MC!J76</f>
        <v>25</v>
      </c>
      <c r="G30" s="74">
        <v>329.4</v>
      </c>
      <c r="H30" s="32">
        <f t="shared" si="1"/>
        <v>434.68</v>
      </c>
      <c r="I30" s="10">
        <f t="shared" si="3"/>
        <v>10867</v>
      </c>
    </row>
    <row r="31" spans="1:9" ht="28.5" customHeight="1" x14ac:dyDescent="0.2">
      <c r="A31" s="23" t="s">
        <v>279</v>
      </c>
      <c r="B31" s="12" t="s">
        <v>40</v>
      </c>
      <c r="C31" s="252" t="s">
        <v>599</v>
      </c>
      <c r="D31" s="18" t="s">
        <v>41</v>
      </c>
      <c r="E31" s="254"/>
      <c r="F31" s="254"/>
      <c r="G31" s="74"/>
      <c r="H31" s="32">
        <f t="shared" si="1"/>
        <v>0</v>
      </c>
      <c r="I31" s="10">
        <f t="shared" si="3"/>
        <v>0</v>
      </c>
    </row>
    <row r="32" spans="1:9" ht="45" customHeight="1" x14ac:dyDescent="0.2">
      <c r="A32" s="254" t="s">
        <v>280</v>
      </c>
      <c r="B32" s="105" t="s">
        <v>697</v>
      </c>
      <c r="C32" s="252" t="s">
        <v>599</v>
      </c>
      <c r="D32" s="255" t="s">
        <v>38</v>
      </c>
      <c r="E32" s="254" t="s">
        <v>39</v>
      </c>
      <c r="F32" s="258">
        <f>MC!J80</f>
        <v>14.5</v>
      </c>
      <c r="G32" s="74">
        <v>509.18</v>
      </c>
      <c r="H32" s="32">
        <f t="shared" si="1"/>
        <v>671.91</v>
      </c>
      <c r="I32" s="10">
        <f t="shared" si="3"/>
        <v>9742.7000000000007</v>
      </c>
    </row>
    <row r="33" spans="1:11" ht="38.25" x14ac:dyDescent="0.2">
      <c r="A33" s="254" t="s">
        <v>281</v>
      </c>
      <c r="B33" s="105" t="s">
        <v>698</v>
      </c>
      <c r="C33" s="252" t="s">
        <v>599</v>
      </c>
      <c r="D33" s="255" t="s">
        <v>42</v>
      </c>
      <c r="E33" s="254" t="s">
        <v>39</v>
      </c>
      <c r="F33" s="258">
        <f>MC!J84</f>
        <v>10.9</v>
      </c>
      <c r="G33" s="74">
        <v>362.32</v>
      </c>
      <c r="H33" s="32">
        <f t="shared" si="1"/>
        <v>478.12</v>
      </c>
      <c r="I33" s="10">
        <f t="shared" si="3"/>
        <v>5211.51</v>
      </c>
    </row>
    <row r="34" spans="1:11" ht="38.25" x14ac:dyDescent="0.2">
      <c r="A34" s="254" t="s">
        <v>283</v>
      </c>
      <c r="B34" s="105" t="s">
        <v>699</v>
      </c>
      <c r="C34" s="252" t="s">
        <v>599</v>
      </c>
      <c r="D34" s="255" t="s">
        <v>728</v>
      </c>
      <c r="E34" s="254" t="s">
        <v>39</v>
      </c>
      <c r="F34" s="258">
        <f>MC!J88</f>
        <v>20</v>
      </c>
      <c r="G34" s="74">
        <v>313.83999999999997</v>
      </c>
      <c r="H34" s="32">
        <f t="shared" si="1"/>
        <v>414.14</v>
      </c>
      <c r="I34" s="10">
        <f t="shared" si="3"/>
        <v>8282.7999999999993</v>
      </c>
    </row>
    <row r="35" spans="1:11" ht="51" x14ac:dyDescent="0.2">
      <c r="A35" s="254" t="s">
        <v>284</v>
      </c>
      <c r="B35" s="105" t="s">
        <v>700</v>
      </c>
      <c r="C35" s="252" t="s">
        <v>599</v>
      </c>
      <c r="D35" s="255" t="s">
        <v>45</v>
      </c>
      <c r="E35" s="254" t="s">
        <v>43</v>
      </c>
      <c r="F35" s="258">
        <f>MC!J92</f>
        <v>1</v>
      </c>
      <c r="G35" s="74">
        <v>9951.19</v>
      </c>
      <c r="H35" s="32">
        <f t="shared" si="1"/>
        <v>13131.59</v>
      </c>
      <c r="I35" s="10">
        <f t="shared" si="3"/>
        <v>13131.59</v>
      </c>
    </row>
    <row r="36" spans="1:11" ht="51" x14ac:dyDescent="0.2">
      <c r="A36" s="254" t="s">
        <v>282</v>
      </c>
      <c r="B36" s="105" t="s">
        <v>701</v>
      </c>
      <c r="C36" s="252" t="s">
        <v>599</v>
      </c>
      <c r="D36" s="255" t="s">
        <v>46</v>
      </c>
      <c r="E36" s="254" t="s">
        <v>39</v>
      </c>
      <c r="F36" s="258">
        <f>MC!J96</f>
        <v>6</v>
      </c>
      <c r="G36" s="74">
        <v>165.43</v>
      </c>
      <c r="H36" s="32">
        <f t="shared" si="1"/>
        <v>218.3</v>
      </c>
      <c r="I36" s="10">
        <f t="shared" si="3"/>
        <v>1309.8</v>
      </c>
    </row>
    <row r="37" spans="1:11" ht="25.5" x14ac:dyDescent="0.2">
      <c r="A37" s="254" t="s">
        <v>285</v>
      </c>
      <c r="B37" s="105" t="s">
        <v>702</v>
      </c>
      <c r="C37" s="252" t="s">
        <v>599</v>
      </c>
      <c r="D37" s="255" t="s">
        <v>50</v>
      </c>
      <c r="E37" s="254" t="s">
        <v>25</v>
      </c>
      <c r="F37" s="258">
        <f>MC!J100</f>
        <v>1</v>
      </c>
      <c r="G37" s="74">
        <v>2059.16</v>
      </c>
      <c r="H37" s="32">
        <f t="shared" si="1"/>
        <v>2717.27</v>
      </c>
      <c r="I37" s="10">
        <f t="shared" si="3"/>
        <v>2717.27</v>
      </c>
    </row>
    <row r="38" spans="1:11" ht="38.25" x14ac:dyDescent="0.2">
      <c r="A38" s="254" t="s">
        <v>286</v>
      </c>
      <c r="B38" s="105" t="s">
        <v>703</v>
      </c>
      <c r="C38" s="252" t="s">
        <v>599</v>
      </c>
      <c r="D38" s="255" t="s">
        <v>51</v>
      </c>
      <c r="E38" s="254" t="s">
        <v>49</v>
      </c>
      <c r="F38" s="258">
        <f>MC!J104</f>
        <v>25</v>
      </c>
      <c r="G38" s="74">
        <v>28.36</v>
      </c>
      <c r="H38" s="32">
        <f t="shared" si="1"/>
        <v>37.42</v>
      </c>
      <c r="I38" s="10">
        <f t="shared" si="3"/>
        <v>935.5</v>
      </c>
    </row>
    <row r="39" spans="1:11" x14ac:dyDescent="0.2">
      <c r="A39" s="11"/>
      <c r="B39" s="11"/>
      <c r="C39" s="5"/>
      <c r="D39" s="40" t="s">
        <v>460</v>
      </c>
      <c r="E39" s="5"/>
      <c r="F39" s="5"/>
      <c r="G39" s="75"/>
      <c r="H39" s="75"/>
      <c r="I39" s="95">
        <f>SUM(I24:I38)</f>
        <v>81079.600000000006</v>
      </c>
    </row>
    <row r="40" spans="1:11" x14ac:dyDescent="0.2">
      <c r="A40" s="11">
        <v>3</v>
      </c>
      <c r="B40" s="5" t="s">
        <v>61</v>
      </c>
      <c r="C40" s="5"/>
      <c r="D40" s="7" t="s">
        <v>60</v>
      </c>
      <c r="E40" s="5"/>
      <c r="F40" s="5"/>
      <c r="G40" s="75"/>
      <c r="H40" s="75"/>
      <c r="I40" s="5"/>
    </row>
    <row r="41" spans="1:11" x14ac:dyDescent="0.2">
      <c r="A41" s="337" t="s">
        <v>287</v>
      </c>
      <c r="B41" s="12" t="s">
        <v>62</v>
      </c>
      <c r="C41" s="252" t="s">
        <v>599</v>
      </c>
      <c r="D41" s="18" t="s">
        <v>59</v>
      </c>
      <c r="E41" s="254"/>
      <c r="F41" s="254"/>
      <c r="G41" s="74"/>
      <c r="H41" s="32">
        <f t="shared" si="1"/>
        <v>0</v>
      </c>
      <c r="I41" s="10">
        <f t="shared" ref="I41:I47" si="4">TRUNC(ROUND(F41*H41,2),2)</f>
        <v>0</v>
      </c>
    </row>
    <row r="42" spans="1:11" x14ac:dyDescent="0.2">
      <c r="A42" s="254" t="s">
        <v>288</v>
      </c>
      <c r="B42" s="105" t="s">
        <v>687</v>
      </c>
      <c r="C42" s="252" t="s">
        <v>599</v>
      </c>
      <c r="D42" s="255" t="s">
        <v>58</v>
      </c>
      <c r="E42" s="254" t="s">
        <v>56</v>
      </c>
      <c r="F42" s="258">
        <f>MC!J121</f>
        <v>102.23715000000001</v>
      </c>
      <c r="G42" s="74">
        <v>42.64</v>
      </c>
      <c r="H42" s="32">
        <f t="shared" si="1"/>
        <v>56.27</v>
      </c>
      <c r="I42" s="10">
        <f t="shared" si="4"/>
        <v>5752.88</v>
      </c>
    </row>
    <row r="43" spans="1:11" x14ac:dyDescent="0.2">
      <c r="A43" s="23" t="s">
        <v>289</v>
      </c>
      <c r="B43" s="12" t="s">
        <v>65</v>
      </c>
      <c r="C43" s="252" t="s">
        <v>599</v>
      </c>
      <c r="D43" s="18" t="s">
        <v>64</v>
      </c>
      <c r="E43" s="254"/>
      <c r="F43" s="254"/>
      <c r="G43" s="74"/>
      <c r="H43" s="32">
        <f t="shared" si="1"/>
        <v>0</v>
      </c>
      <c r="I43" s="10">
        <f t="shared" si="4"/>
        <v>0</v>
      </c>
    </row>
    <row r="44" spans="1:11" x14ac:dyDescent="0.2">
      <c r="A44" s="254" t="s">
        <v>290</v>
      </c>
      <c r="B44" s="105" t="s">
        <v>704</v>
      </c>
      <c r="C44" s="252" t="s">
        <v>599</v>
      </c>
      <c r="D44" s="255" t="s">
        <v>63</v>
      </c>
      <c r="E44" s="254" t="s">
        <v>56</v>
      </c>
      <c r="F44" s="258">
        <f>MC!J128</f>
        <v>85.109500000000011</v>
      </c>
      <c r="G44" s="74">
        <v>45.92</v>
      </c>
      <c r="H44" s="32">
        <f t="shared" si="1"/>
        <v>60.6</v>
      </c>
      <c r="I44" s="10">
        <f t="shared" si="4"/>
        <v>5157.6400000000003</v>
      </c>
      <c r="K44" s="279"/>
    </row>
    <row r="45" spans="1:11" ht="25.5" x14ac:dyDescent="0.2">
      <c r="A45" s="254" t="s">
        <v>291</v>
      </c>
      <c r="B45" s="105" t="s">
        <v>705</v>
      </c>
      <c r="C45" s="252" t="s">
        <v>599</v>
      </c>
      <c r="D45" s="255" t="s">
        <v>66</v>
      </c>
      <c r="E45" s="254" t="s">
        <v>56</v>
      </c>
      <c r="F45" s="258">
        <f>MC!J133</f>
        <v>175.351</v>
      </c>
      <c r="G45" s="74">
        <v>119.71</v>
      </c>
      <c r="H45" s="32">
        <f t="shared" si="1"/>
        <v>157.97</v>
      </c>
      <c r="I45" s="10">
        <f t="shared" si="4"/>
        <v>27700.2</v>
      </c>
    </row>
    <row r="46" spans="1:11" x14ac:dyDescent="0.2">
      <c r="A46" s="23" t="s">
        <v>292</v>
      </c>
      <c r="B46" s="12" t="s">
        <v>69</v>
      </c>
      <c r="C46" s="252" t="s">
        <v>599</v>
      </c>
      <c r="D46" s="18" t="s">
        <v>68</v>
      </c>
      <c r="E46" s="254"/>
      <c r="F46" s="254"/>
      <c r="G46" s="74"/>
      <c r="H46" s="32">
        <f t="shared" si="1"/>
        <v>0</v>
      </c>
      <c r="I46" s="10">
        <f t="shared" si="4"/>
        <v>0</v>
      </c>
    </row>
    <row r="47" spans="1:11" s="182" customFormat="1" ht="38.25" x14ac:dyDescent="0.2">
      <c r="A47" s="259" t="s">
        <v>293</v>
      </c>
      <c r="B47" s="248" t="s">
        <v>706</v>
      </c>
      <c r="C47" s="252" t="s">
        <v>599</v>
      </c>
      <c r="D47" s="268" t="s">
        <v>67</v>
      </c>
      <c r="E47" s="259" t="s">
        <v>56</v>
      </c>
      <c r="F47" s="249">
        <f>MC!J150</f>
        <v>143.40320500000004</v>
      </c>
      <c r="G47" s="250">
        <v>51.77</v>
      </c>
      <c r="H47" s="32">
        <f t="shared" si="1"/>
        <v>68.319999999999993</v>
      </c>
      <c r="I47" s="10">
        <f t="shared" si="4"/>
        <v>9797.31</v>
      </c>
    </row>
    <row r="48" spans="1:11" x14ac:dyDescent="0.2">
      <c r="A48" s="11"/>
      <c r="B48" s="11"/>
      <c r="C48" s="5"/>
      <c r="D48" s="40" t="s">
        <v>461</v>
      </c>
      <c r="E48" s="5"/>
      <c r="F48" s="5"/>
      <c r="G48" s="75"/>
      <c r="H48" s="75"/>
      <c r="I48" s="95">
        <f>SUM(I41:I47)</f>
        <v>48408.03</v>
      </c>
    </row>
    <row r="49" spans="1:10" x14ac:dyDescent="0.2">
      <c r="A49" s="11">
        <v>4</v>
      </c>
      <c r="B49" s="5" t="s">
        <v>73</v>
      </c>
      <c r="C49" s="5"/>
      <c r="D49" s="7" t="s">
        <v>72</v>
      </c>
      <c r="E49" s="5"/>
      <c r="F49" s="5"/>
      <c r="G49" s="75"/>
      <c r="H49" s="75"/>
      <c r="I49" s="5"/>
    </row>
    <row r="50" spans="1:10" x14ac:dyDescent="0.2">
      <c r="A50" s="23" t="s">
        <v>294</v>
      </c>
      <c r="B50" s="12" t="s">
        <v>71</v>
      </c>
      <c r="C50" s="252" t="s">
        <v>599</v>
      </c>
      <c r="D50" s="18" t="s">
        <v>70</v>
      </c>
      <c r="E50" s="254"/>
      <c r="F50" s="254"/>
      <c r="G50" s="74"/>
      <c r="H50" s="32">
        <f t="shared" si="1"/>
        <v>0</v>
      </c>
      <c r="I50" s="10">
        <f t="shared" ref="I50:I55" si="5">TRUNC(ROUND(F50*H50,2),2)</f>
        <v>0</v>
      </c>
    </row>
    <row r="51" spans="1:10" ht="25.5" x14ac:dyDescent="0.2">
      <c r="A51" s="254" t="s">
        <v>295</v>
      </c>
      <c r="B51" s="105" t="s">
        <v>707</v>
      </c>
      <c r="C51" s="252" t="s">
        <v>599</v>
      </c>
      <c r="D51" s="255" t="s">
        <v>74</v>
      </c>
      <c r="E51" s="254" t="s">
        <v>24</v>
      </c>
      <c r="F51" s="258">
        <f>MC!J158</f>
        <v>305.63</v>
      </c>
      <c r="G51" s="74">
        <v>66.33</v>
      </c>
      <c r="H51" s="32">
        <f t="shared" si="1"/>
        <v>87.53</v>
      </c>
      <c r="I51" s="10">
        <f t="shared" si="5"/>
        <v>26751.79</v>
      </c>
    </row>
    <row r="52" spans="1:10" ht="25.5" x14ac:dyDescent="0.2">
      <c r="A52" s="254" t="s">
        <v>296</v>
      </c>
      <c r="B52" s="105" t="s">
        <v>708</v>
      </c>
      <c r="C52" s="252" t="s">
        <v>599</v>
      </c>
      <c r="D52" s="255" t="s">
        <v>75</v>
      </c>
      <c r="E52" s="254" t="s">
        <v>56</v>
      </c>
      <c r="F52" s="258">
        <f>MC!J173</f>
        <v>3.7676500000000006</v>
      </c>
      <c r="G52" s="74">
        <v>495.54</v>
      </c>
      <c r="H52" s="32">
        <f t="shared" si="1"/>
        <v>653.91</v>
      </c>
      <c r="I52" s="10">
        <f t="shared" si="5"/>
        <v>2463.6999999999998</v>
      </c>
      <c r="J52" s="280"/>
    </row>
    <row r="53" spans="1:10" ht="25.5" x14ac:dyDescent="0.2">
      <c r="A53" s="254" t="s">
        <v>297</v>
      </c>
      <c r="B53" s="105" t="s">
        <v>1082</v>
      </c>
      <c r="C53" s="252" t="s">
        <v>599</v>
      </c>
      <c r="D53" s="255" t="s">
        <v>1083</v>
      </c>
      <c r="E53" s="254" t="s">
        <v>56</v>
      </c>
      <c r="F53" s="258">
        <f>MC!J177</f>
        <v>34.130000000000003</v>
      </c>
      <c r="G53" s="74">
        <v>483.5</v>
      </c>
      <c r="H53" s="32">
        <f t="shared" si="1"/>
        <v>638.03</v>
      </c>
      <c r="I53" s="10">
        <f t="shared" si="5"/>
        <v>21775.96</v>
      </c>
    </row>
    <row r="54" spans="1:10" ht="25.5" x14ac:dyDescent="0.2">
      <c r="A54" s="254" t="s">
        <v>298</v>
      </c>
      <c r="B54" s="105" t="s">
        <v>709</v>
      </c>
      <c r="C54" s="252" t="s">
        <v>599</v>
      </c>
      <c r="D54" s="255" t="s">
        <v>76</v>
      </c>
      <c r="E54" s="254" t="s">
        <v>77</v>
      </c>
      <c r="F54" s="258">
        <f>MC!J181</f>
        <v>812.88000000000011</v>
      </c>
      <c r="G54" s="74">
        <v>13.11</v>
      </c>
      <c r="H54" s="32">
        <f t="shared" si="1"/>
        <v>17.3</v>
      </c>
      <c r="I54" s="10">
        <f t="shared" si="5"/>
        <v>14062.82</v>
      </c>
    </row>
    <row r="55" spans="1:10" ht="25.5" x14ac:dyDescent="0.2">
      <c r="A55" s="254" t="s">
        <v>299</v>
      </c>
      <c r="B55" s="105" t="s">
        <v>710</v>
      </c>
      <c r="C55" s="252" t="s">
        <v>599</v>
      </c>
      <c r="D55" s="255" t="s">
        <v>78</v>
      </c>
      <c r="E55" s="254" t="s">
        <v>79</v>
      </c>
      <c r="F55" s="258">
        <f>MC!J185</f>
        <v>601.02</v>
      </c>
      <c r="G55" s="74">
        <v>13.2</v>
      </c>
      <c r="H55" s="32">
        <f t="shared" si="1"/>
        <v>17.420000000000002</v>
      </c>
      <c r="I55" s="10">
        <f t="shared" si="5"/>
        <v>10469.77</v>
      </c>
    </row>
    <row r="56" spans="1:10" ht="25.5" x14ac:dyDescent="0.2">
      <c r="A56" s="254" t="s">
        <v>300</v>
      </c>
      <c r="B56" s="105" t="s">
        <v>734</v>
      </c>
      <c r="C56" s="252" t="s">
        <v>599</v>
      </c>
      <c r="D56" s="255" t="s">
        <v>613</v>
      </c>
      <c r="E56" s="254" t="s">
        <v>79</v>
      </c>
      <c r="F56" s="258">
        <f>MC!J189</f>
        <v>305.90999999999997</v>
      </c>
      <c r="G56" s="74">
        <v>15.64</v>
      </c>
      <c r="H56" s="32">
        <f t="shared" si="1"/>
        <v>20.64</v>
      </c>
      <c r="I56" s="10">
        <f>TRUNC(ROUND(F56*H56,2),2)</f>
        <v>6313.98</v>
      </c>
    </row>
    <row r="57" spans="1:10" x14ac:dyDescent="0.2">
      <c r="A57" s="23" t="s">
        <v>301</v>
      </c>
      <c r="B57" s="22" t="s">
        <v>607</v>
      </c>
      <c r="C57" s="252" t="s">
        <v>599</v>
      </c>
      <c r="D57" s="18" t="s">
        <v>606</v>
      </c>
      <c r="E57" s="254"/>
      <c r="F57" s="254"/>
      <c r="G57" s="74"/>
      <c r="H57" s="32">
        <f t="shared" si="1"/>
        <v>0</v>
      </c>
      <c r="I57" s="10">
        <f t="shared" ref="I57:I64" si="6">TRUNC(ROUND(F57*H57,2),2)</f>
        <v>0</v>
      </c>
    </row>
    <row r="58" spans="1:10" ht="25.5" x14ac:dyDescent="0.2">
      <c r="A58" s="254" t="s">
        <v>302</v>
      </c>
      <c r="B58" s="105" t="s">
        <v>1080</v>
      </c>
      <c r="C58" s="252" t="s">
        <v>599</v>
      </c>
      <c r="D58" s="255" t="s">
        <v>1081</v>
      </c>
      <c r="E58" s="254" t="s">
        <v>56</v>
      </c>
      <c r="F58" s="258">
        <f>MC!J195</f>
        <v>37.799999999999997</v>
      </c>
      <c r="G58" s="74">
        <v>428.98</v>
      </c>
      <c r="H58" s="32">
        <f t="shared" si="1"/>
        <v>566.08000000000004</v>
      </c>
      <c r="I58" s="10">
        <f t="shared" si="6"/>
        <v>21397.82</v>
      </c>
    </row>
    <row r="59" spans="1:10" ht="25.5" x14ac:dyDescent="0.2">
      <c r="A59" s="254" t="s">
        <v>609</v>
      </c>
      <c r="B59" s="105" t="s">
        <v>711</v>
      </c>
      <c r="C59" s="252" t="s">
        <v>599</v>
      </c>
      <c r="D59" s="255" t="s">
        <v>608</v>
      </c>
      <c r="E59" s="254" t="s">
        <v>614</v>
      </c>
      <c r="F59" s="258">
        <f>MC!J200</f>
        <v>781.2</v>
      </c>
      <c r="G59" s="74">
        <v>13.11</v>
      </c>
      <c r="H59" s="32">
        <f t="shared" si="1"/>
        <v>17.3</v>
      </c>
      <c r="I59" s="10">
        <f t="shared" si="6"/>
        <v>13514.76</v>
      </c>
    </row>
    <row r="60" spans="1:10" s="253" customFormat="1" ht="25.5" x14ac:dyDescent="0.2">
      <c r="A60" s="254" t="s">
        <v>610</v>
      </c>
      <c r="B60" s="105" t="s">
        <v>1393</v>
      </c>
      <c r="C60" s="252" t="s">
        <v>599</v>
      </c>
      <c r="D60" s="255" t="s">
        <v>1394</v>
      </c>
      <c r="E60" s="254" t="s">
        <v>1395</v>
      </c>
      <c r="F60" s="258">
        <f>MC!J205</f>
        <v>877.23</v>
      </c>
      <c r="G60" s="74">
        <v>13.2</v>
      </c>
      <c r="H60" s="32">
        <f t="shared" si="1"/>
        <v>17.420000000000002</v>
      </c>
      <c r="I60" s="10">
        <f>TRUNC(ROUND(F60*H60,2),2)</f>
        <v>15281.35</v>
      </c>
    </row>
    <row r="61" spans="1:10" ht="25.5" x14ac:dyDescent="0.2">
      <c r="A61" s="254" t="s">
        <v>611</v>
      </c>
      <c r="B61" s="105" t="s">
        <v>712</v>
      </c>
      <c r="C61" s="252" t="s">
        <v>599</v>
      </c>
      <c r="D61" s="255" t="s">
        <v>613</v>
      </c>
      <c r="E61" s="254" t="s">
        <v>614</v>
      </c>
      <c r="F61" s="258">
        <f>MC!J210</f>
        <v>451.35</v>
      </c>
      <c r="G61" s="74">
        <v>15.64</v>
      </c>
      <c r="H61" s="32">
        <f t="shared" si="1"/>
        <v>20.64</v>
      </c>
      <c r="I61" s="10">
        <f t="shared" si="6"/>
        <v>9315.86</v>
      </c>
    </row>
    <row r="62" spans="1:10" ht="38.25" x14ac:dyDescent="0.2">
      <c r="A62" s="254" t="s">
        <v>612</v>
      </c>
      <c r="B62" s="105" t="s">
        <v>713</v>
      </c>
      <c r="C62" s="252" t="s">
        <v>599</v>
      </c>
      <c r="D62" s="255" t="s">
        <v>615</v>
      </c>
      <c r="E62" s="254" t="s">
        <v>24</v>
      </c>
      <c r="F62" s="258">
        <f>MC!J215</f>
        <v>427.34000000000003</v>
      </c>
      <c r="G62" s="74">
        <v>87.37</v>
      </c>
      <c r="H62" s="32">
        <f t="shared" si="1"/>
        <v>115.29</v>
      </c>
      <c r="I62" s="10">
        <f t="shared" si="6"/>
        <v>49268.03</v>
      </c>
    </row>
    <row r="63" spans="1:10" x14ac:dyDescent="0.2">
      <c r="A63" s="23" t="s">
        <v>616</v>
      </c>
      <c r="B63" s="12" t="s">
        <v>81</v>
      </c>
      <c r="C63" s="252" t="s">
        <v>599</v>
      </c>
      <c r="D63" s="18" t="s">
        <v>80</v>
      </c>
      <c r="E63" s="254"/>
      <c r="F63" s="254"/>
      <c r="G63" s="74"/>
      <c r="H63" s="32">
        <f t="shared" si="1"/>
        <v>0</v>
      </c>
      <c r="I63" s="10">
        <f t="shared" si="6"/>
        <v>0</v>
      </c>
    </row>
    <row r="64" spans="1:10" ht="25.5" x14ac:dyDescent="0.2">
      <c r="A64" s="254" t="s">
        <v>617</v>
      </c>
      <c r="B64" s="105" t="s">
        <v>731</v>
      </c>
      <c r="C64" s="252" t="s">
        <v>599</v>
      </c>
      <c r="D64" s="255" t="s">
        <v>730</v>
      </c>
      <c r="E64" s="254" t="s">
        <v>48</v>
      </c>
      <c r="F64" s="258">
        <f>MC!J260</f>
        <v>268.72899999999993</v>
      </c>
      <c r="G64" s="74">
        <v>107.36</v>
      </c>
      <c r="H64" s="32">
        <f t="shared" si="1"/>
        <v>141.66999999999999</v>
      </c>
      <c r="I64" s="10">
        <f t="shared" si="6"/>
        <v>38070.839999999997</v>
      </c>
    </row>
    <row r="65" spans="1:10" x14ac:dyDescent="0.2">
      <c r="A65" s="11"/>
      <c r="B65" s="11"/>
      <c r="C65" s="5"/>
      <c r="D65" s="40" t="s">
        <v>462</v>
      </c>
      <c r="E65" s="5"/>
      <c r="F65" s="5"/>
      <c r="G65" s="75"/>
      <c r="H65" s="75"/>
      <c r="I65" s="95">
        <f>SUM(I50:I64)</f>
        <v>228686.68</v>
      </c>
    </row>
    <row r="66" spans="1:10" x14ac:dyDescent="0.2">
      <c r="A66" s="11">
        <v>5</v>
      </c>
      <c r="B66" s="5" t="s">
        <v>83</v>
      </c>
      <c r="C66" s="5"/>
      <c r="D66" s="7" t="s">
        <v>82</v>
      </c>
      <c r="E66" s="5"/>
      <c r="F66" s="5"/>
      <c r="G66" s="75"/>
      <c r="H66" s="75"/>
      <c r="I66" s="5"/>
    </row>
    <row r="67" spans="1:10" x14ac:dyDescent="0.2">
      <c r="A67" s="23" t="s">
        <v>303</v>
      </c>
      <c r="B67" s="12" t="s">
        <v>89</v>
      </c>
      <c r="C67" s="252" t="s">
        <v>599</v>
      </c>
      <c r="D67" s="14" t="s">
        <v>88</v>
      </c>
      <c r="E67" s="254"/>
      <c r="F67" s="254"/>
      <c r="G67" s="74"/>
      <c r="H67" s="32">
        <f t="shared" si="1"/>
        <v>0</v>
      </c>
      <c r="I67" s="10">
        <f>TRUNC(ROUND(F67*H67,2),2)</f>
        <v>0</v>
      </c>
    </row>
    <row r="68" spans="1:10" ht="25.5" x14ac:dyDescent="0.2">
      <c r="A68" s="254" t="s">
        <v>304</v>
      </c>
      <c r="B68" s="105" t="s">
        <v>715</v>
      </c>
      <c r="C68" s="252" t="s">
        <v>599</v>
      </c>
      <c r="D68" s="255" t="s">
        <v>87</v>
      </c>
      <c r="E68" s="254" t="s">
        <v>24</v>
      </c>
      <c r="F68" s="258">
        <f>MC!J268</f>
        <v>3.7800000000000002</v>
      </c>
      <c r="G68" s="74">
        <v>384.22</v>
      </c>
      <c r="H68" s="32">
        <f t="shared" si="1"/>
        <v>507.02</v>
      </c>
      <c r="I68" s="10">
        <f>TRUNC(ROUND(F68*H68,2),2)</f>
        <v>1916.54</v>
      </c>
    </row>
    <row r="69" spans="1:10" x14ac:dyDescent="0.2">
      <c r="A69" s="23" t="s">
        <v>305</v>
      </c>
      <c r="B69" s="12" t="s">
        <v>85</v>
      </c>
      <c r="C69" s="252" t="s">
        <v>599</v>
      </c>
      <c r="D69" s="14" t="s">
        <v>84</v>
      </c>
      <c r="E69" s="254"/>
      <c r="F69" s="254"/>
      <c r="G69" s="74"/>
      <c r="H69" s="32">
        <f t="shared" si="1"/>
        <v>0</v>
      </c>
      <c r="I69" s="10">
        <f t="shared" ref="I69:I74" si="7">TRUNC(ROUND(F69*H69,2),2)</f>
        <v>0</v>
      </c>
    </row>
    <row r="70" spans="1:10" ht="25.5" x14ac:dyDescent="0.2">
      <c r="A70" s="254" t="s">
        <v>306</v>
      </c>
      <c r="B70" s="105" t="s">
        <v>714</v>
      </c>
      <c r="C70" s="252" t="s">
        <v>599</v>
      </c>
      <c r="D70" s="255" t="s">
        <v>86</v>
      </c>
      <c r="E70" s="254" t="s">
        <v>49</v>
      </c>
      <c r="F70" s="258">
        <f>MC!J335</f>
        <v>85.9</v>
      </c>
      <c r="G70" s="74">
        <v>8.83</v>
      </c>
      <c r="H70" s="32">
        <f t="shared" si="1"/>
        <v>11.65</v>
      </c>
      <c r="I70" s="10">
        <f t="shared" si="7"/>
        <v>1000.74</v>
      </c>
    </row>
    <row r="71" spans="1:10" s="241" customFormat="1" x14ac:dyDescent="0.2">
      <c r="A71" s="23" t="s">
        <v>307</v>
      </c>
      <c r="B71" s="354" t="s">
        <v>1225</v>
      </c>
      <c r="C71" s="252" t="s">
        <v>599</v>
      </c>
      <c r="D71" s="18" t="s">
        <v>1224</v>
      </c>
      <c r="E71" s="254"/>
      <c r="F71" s="258"/>
      <c r="G71" s="74"/>
      <c r="H71" s="32">
        <f t="shared" si="1"/>
        <v>0</v>
      </c>
      <c r="I71" s="10">
        <f t="shared" si="7"/>
        <v>0</v>
      </c>
    </row>
    <row r="72" spans="1:10" s="241" customFormat="1" ht="38.25" x14ac:dyDescent="0.2">
      <c r="A72" s="254" t="s">
        <v>308</v>
      </c>
      <c r="B72" s="105" t="s">
        <v>1226</v>
      </c>
      <c r="C72" s="252" t="s">
        <v>599</v>
      </c>
      <c r="D72" s="255" t="s">
        <v>1227</v>
      </c>
      <c r="E72" s="254" t="s">
        <v>24</v>
      </c>
      <c r="F72" s="258">
        <f>MC!J341</f>
        <v>5.5327999999999999</v>
      </c>
      <c r="G72" s="74">
        <v>94.68</v>
      </c>
      <c r="H72" s="32">
        <f t="shared" ref="H72:H135" si="8">TRUNC(ROUND(G72*1.3196,2),2)</f>
        <v>124.94</v>
      </c>
      <c r="I72" s="10">
        <f t="shared" si="7"/>
        <v>691.27</v>
      </c>
    </row>
    <row r="73" spans="1:10" ht="25.5" x14ac:dyDescent="0.2">
      <c r="A73" s="23" t="s">
        <v>309</v>
      </c>
      <c r="B73" s="12" t="s">
        <v>91</v>
      </c>
      <c r="C73" s="252" t="s">
        <v>599</v>
      </c>
      <c r="D73" s="14" t="s">
        <v>90</v>
      </c>
      <c r="E73" s="254"/>
      <c r="F73" s="254"/>
      <c r="G73" s="74"/>
      <c r="H73" s="32">
        <f t="shared" si="8"/>
        <v>0</v>
      </c>
      <c r="I73" s="10">
        <f t="shared" si="7"/>
        <v>0</v>
      </c>
    </row>
    <row r="74" spans="1:10" ht="38.25" x14ac:dyDescent="0.2">
      <c r="A74" s="254" t="s">
        <v>310</v>
      </c>
      <c r="B74" s="105" t="s">
        <v>920</v>
      </c>
      <c r="C74" s="252" t="s">
        <v>599</v>
      </c>
      <c r="D74" s="255" t="s">
        <v>919</v>
      </c>
      <c r="E74" s="254" t="s">
        <v>24</v>
      </c>
      <c r="F74" s="258">
        <f>MC!J405</f>
        <v>641.24820000000011</v>
      </c>
      <c r="G74" s="74">
        <v>60.4</v>
      </c>
      <c r="H74" s="32">
        <f t="shared" si="8"/>
        <v>79.7</v>
      </c>
      <c r="I74" s="10">
        <f t="shared" si="7"/>
        <v>51107.48</v>
      </c>
      <c r="J74" s="182"/>
    </row>
    <row r="75" spans="1:10" x14ac:dyDescent="0.2">
      <c r="A75" s="11"/>
      <c r="B75" s="11"/>
      <c r="C75" s="5"/>
      <c r="D75" s="40" t="s">
        <v>463</v>
      </c>
      <c r="E75" s="5"/>
      <c r="F75" s="5"/>
      <c r="G75" s="75"/>
      <c r="H75" s="75"/>
      <c r="I75" s="95">
        <f>SUM(I67:I74)</f>
        <v>54716.030000000006</v>
      </c>
    </row>
    <row r="76" spans="1:10" x14ac:dyDescent="0.2">
      <c r="A76" s="11">
        <v>6</v>
      </c>
      <c r="B76" s="5" t="s">
        <v>93</v>
      </c>
      <c r="C76" s="5"/>
      <c r="D76" s="7" t="s">
        <v>92</v>
      </c>
      <c r="E76" s="5"/>
      <c r="F76" s="5"/>
      <c r="G76" s="75"/>
      <c r="H76" s="75"/>
      <c r="I76" s="5"/>
    </row>
    <row r="77" spans="1:10" x14ac:dyDescent="0.2">
      <c r="A77" s="12" t="s">
        <v>311</v>
      </c>
      <c r="B77" s="12" t="s">
        <v>95</v>
      </c>
      <c r="C77" s="252" t="s">
        <v>599</v>
      </c>
      <c r="D77" s="14" t="s">
        <v>94</v>
      </c>
      <c r="E77" s="13"/>
      <c r="F77" s="13"/>
      <c r="G77" s="76"/>
      <c r="H77" s="32">
        <f t="shared" si="8"/>
        <v>0</v>
      </c>
      <c r="I77" s="10">
        <f t="shared" ref="I77:I84" si="9">TRUNC(ROUND(F77*H77,2),2)</f>
        <v>0</v>
      </c>
    </row>
    <row r="78" spans="1:10" ht="25.5" x14ac:dyDescent="0.2">
      <c r="A78" s="36" t="s">
        <v>312</v>
      </c>
      <c r="B78" s="105" t="s">
        <v>716</v>
      </c>
      <c r="C78" s="252" t="s">
        <v>599</v>
      </c>
      <c r="D78" s="255" t="s">
        <v>98</v>
      </c>
      <c r="E78" s="254" t="s">
        <v>25</v>
      </c>
      <c r="F78" s="178">
        <f>MC!J411</f>
        <v>4</v>
      </c>
      <c r="G78" s="74">
        <v>304.23</v>
      </c>
      <c r="H78" s="32">
        <f t="shared" si="8"/>
        <v>401.46</v>
      </c>
      <c r="I78" s="10">
        <f t="shared" si="9"/>
        <v>1605.84</v>
      </c>
    </row>
    <row r="79" spans="1:10" ht="25.5" x14ac:dyDescent="0.2">
      <c r="A79" s="36" t="s">
        <v>313</v>
      </c>
      <c r="B79" s="105" t="s">
        <v>717</v>
      </c>
      <c r="C79" s="252" t="s">
        <v>599</v>
      </c>
      <c r="D79" s="255" t="s">
        <v>97</v>
      </c>
      <c r="E79" s="254" t="s">
        <v>96</v>
      </c>
      <c r="F79" s="258">
        <f>MC!J415</f>
        <v>17</v>
      </c>
      <c r="G79" s="74">
        <v>304.23</v>
      </c>
      <c r="H79" s="32">
        <f t="shared" si="8"/>
        <v>401.46</v>
      </c>
      <c r="I79" s="10">
        <f t="shared" si="9"/>
        <v>6824.82</v>
      </c>
    </row>
    <row r="80" spans="1:10" x14ac:dyDescent="0.2">
      <c r="A80" s="36" t="s">
        <v>314</v>
      </c>
      <c r="B80" s="105" t="s">
        <v>744</v>
      </c>
      <c r="C80" s="252"/>
      <c r="D80" s="255" t="s">
        <v>853</v>
      </c>
      <c r="E80" s="254" t="s">
        <v>25</v>
      </c>
      <c r="F80" s="258">
        <f>MC!J419</f>
        <v>2</v>
      </c>
      <c r="G80" s="74">
        <f>'COMP-01'!I30</f>
        <v>1022.2608333333334</v>
      </c>
      <c r="H80" s="32">
        <f t="shared" si="8"/>
        <v>1348.98</v>
      </c>
      <c r="I80" s="10">
        <f>TRUNC(ROUND(F80*H80,2),2)</f>
        <v>2697.96</v>
      </c>
    </row>
    <row r="81" spans="1:9" x14ac:dyDescent="0.2">
      <c r="A81" s="36" t="s">
        <v>315</v>
      </c>
      <c r="B81" s="105" t="s">
        <v>783</v>
      </c>
      <c r="C81" s="252"/>
      <c r="D81" s="255" t="s">
        <v>1166</v>
      </c>
      <c r="E81" s="254" t="s">
        <v>25</v>
      </c>
      <c r="F81" s="258">
        <f>MC!J423</f>
        <v>1</v>
      </c>
      <c r="G81" s="74">
        <f>'COMP-02'!I30</f>
        <v>1687.4875</v>
      </c>
      <c r="H81" s="32">
        <f t="shared" si="8"/>
        <v>2226.81</v>
      </c>
      <c r="I81" s="10">
        <f>TRUNC(ROUND(F81*H81,2),2)</f>
        <v>2226.81</v>
      </c>
    </row>
    <row r="82" spans="1:9" ht="38.25" x14ac:dyDescent="0.2">
      <c r="A82" s="23" t="s">
        <v>316</v>
      </c>
      <c r="B82" s="12" t="s">
        <v>99</v>
      </c>
      <c r="C82" s="252" t="s">
        <v>599</v>
      </c>
      <c r="D82" s="14" t="s">
        <v>100</v>
      </c>
      <c r="E82" s="254"/>
      <c r="F82" s="254"/>
      <c r="G82" s="74"/>
      <c r="H82" s="32">
        <f t="shared" si="8"/>
        <v>0</v>
      </c>
      <c r="I82" s="10"/>
    </row>
    <row r="83" spans="1:9" s="112" customFormat="1" ht="38.25" x14ac:dyDescent="0.2">
      <c r="A83" s="106" t="s">
        <v>317</v>
      </c>
      <c r="B83" s="107" t="s">
        <v>718</v>
      </c>
      <c r="C83" s="108" t="s">
        <v>599</v>
      </c>
      <c r="D83" s="109" t="s">
        <v>111</v>
      </c>
      <c r="E83" s="106" t="s">
        <v>25</v>
      </c>
      <c r="F83" s="179">
        <f>MC!J428</f>
        <v>4</v>
      </c>
      <c r="G83" s="110">
        <v>826.79</v>
      </c>
      <c r="H83" s="32">
        <f t="shared" si="8"/>
        <v>1091.03</v>
      </c>
      <c r="I83" s="111">
        <f t="shared" si="9"/>
        <v>4364.12</v>
      </c>
    </row>
    <row r="84" spans="1:9" ht="38.25" x14ac:dyDescent="0.2">
      <c r="A84" s="254" t="s">
        <v>904</v>
      </c>
      <c r="B84" s="105" t="s">
        <v>719</v>
      </c>
      <c r="C84" s="252" t="s">
        <v>599</v>
      </c>
      <c r="D84" s="255" t="s">
        <v>110</v>
      </c>
      <c r="E84" s="254" t="s">
        <v>25</v>
      </c>
      <c r="F84" s="258">
        <f>MC!J432</f>
        <v>17</v>
      </c>
      <c r="G84" s="74">
        <v>894.05</v>
      </c>
      <c r="H84" s="32">
        <f t="shared" si="8"/>
        <v>1179.79</v>
      </c>
      <c r="I84" s="10">
        <f t="shared" si="9"/>
        <v>20056.43</v>
      </c>
    </row>
    <row r="85" spans="1:9" x14ac:dyDescent="0.2">
      <c r="A85" s="11"/>
      <c r="B85" s="11"/>
      <c r="C85" s="5"/>
      <c r="D85" s="40" t="s">
        <v>464</v>
      </c>
      <c r="E85" s="5"/>
      <c r="F85" s="5"/>
      <c r="G85" s="75"/>
      <c r="H85" s="75"/>
      <c r="I85" s="95">
        <f>SUM(I77:I84)</f>
        <v>37775.979999999996</v>
      </c>
    </row>
    <row r="86" spans="1:9" x14ac:dyDescent="0.2">
      <c r="A86" s="11">
        <v>7</v>
      </c>
      <c r="B86" s="5" t="s">
        <v>101</v>
      </c>
      <c r="C86" s="5"/>
      <c r="D86" s="7" t="s">
        <v>109</v>
      </c>
      <c r="E86" s="5"/>
      <c r="F86" s="5"/>
      <c r="G86" s="75"/>
      <c r="H86" s="75"/>
      <c r="I86" s="5"/>
    </row>
    <row r="87" spans="1:9" x14ac:dyDescent="0.2">
      <c r="A87" s="23" t="s">
        <v>318</v>
      </c>
      <c r="B87" s="22" t="s">
        <v>103</v>
      </c>
      <c r="C87" s="252" t="s">
        <v>599</v>
      </c>
      <c r="D87" s="18" t="s">
        <v>102</v>
      </c>
      <c r="E87" s="254"/>
      <c r="F87" s="254"/>
      <c r="G87" s="74"/>
      <c r="H87" s="32">
        <f t="shared" si="8"/>
        <v>0</v>
      </c>
      <c r="I87" s="10">
        <f t="shared" ref="I87:I93" si="10">TRUNC(ROUND(F87*H87,2),2)</f>
        <v>0</v>
      </c>
    </row>
    <row r="88" spans="1:9" x14ac:dyDescent="0.2">
      <c r="A88" s="254" t="s">
        <v>319</v>
      </c>
      <c r="B88" s="105" t="s">
        <v>720</v>
      </c>
      <c r="C88" s="252" t="s">
        <v>599</v>
      </c>
      <c r="D88" s="255" t="s">
        <v>104</v>
      </c>
      <c r="E88" s="254" t="s">
        <v>39</v>
      </c>
      <c r="F88" s="258">
        <f>MC!J439</f>
        <v>6.6</v>
      </c>
      <c r="G88" s="74">
        <v>485.73</v>
      </c>
      <c r="H88" s="32">
        <f t="shared" si="8"/>
        <v>640.97</v>
      </c>
      <c r="I88" s="10">
        <f t="shared" si="10"/>
        <v>4230.3999999999996</v>
      </c>
    </row>
    <row r="89" spans="1:9" x14ac:dyDescent="0.2">
      <c r="A89" s="254" t="s">
        <v>320</v>
      </c>
      <c r="B89" s="105" t="s">
        <v>721</v>
      </c>
      <c r="C89" s="252" t="s">
        <v>599</v>
      </c>
      <c r="D89" s="255" t="s">
        <v>108</v>
      </c>
      <c r="E89" s="254" t="s">
        <v>39</v>
      </c>
      <c r="F89" s="258">
        <f>MC!J450</f>
        <v>67.76400000000001</v>
      </c>
      <c r="G89" s="74">
        <v>293.83</v>
      </c>
      <c r="H89" s="32">
        <f t="shared" si="8"/>
        <v>387.74</v>
      </c>
      <c r="I89" s="10">
        <f t="shared" si="10"/>
        <v>26274.81</v>
      </c>
    </row>
    <row r="90" spans="1:9" ht="25.5" x14ac:dyDescent="0.2">
      <c r="A90" s="254" t="s">
        <v>321</v>
      </c>
      <c r="B90" s="254" t="s">
        <v>842</v>
      </c>
      <c r="C90" s="252"/>
      <c r="D90" s="225" t="s">
        <v>1099</v>
      </c>
      <c r="E90" s="106" t="s">
        <v>25</v>
      </c>
      <c r="F90" s="258">
        <f>MC!J459</f>
        <v>1</v>
      </c>
      <c r="G90" s="74">
        <f>'COMP-03'!I34</f>
        <v>19547.871784166669</v>
      </c>
      <c r="H90" s="32">
        <f t="shared" si="8"/>
        <v>25795.37</v>
      </c>
      <c r="I90" s="10">
        <f t="shared" si="10"/>
        <v>25795.37</v>
      </c>
    </row>
    <row r="91" spans="1:9" x14ac:dyDescent="0.2">
      <c r="A91" s="23" t="s">
        <v>322</v>
      </c>
      <c r="B91" s="22" t="s">
        <v>106</v>
      </c>
      <c r="C91" s="252" t="s">
        <v>599</v>
      </c>
      <c r="D91" s="18" t="s">
        <v>105</v>
      </c>
      <c r="E91" s="254"/>
      <c r="F91" s="254"/>
      <c r="G91" s="74"/>
      <c r="H91" s="32">
        <f t="shared" si="8"/>
        <v>0</v>
      </c>
      <c r="I91" s="10"/>
    </row>
    <row r="92" spans="1:9" ht="25.5" x14ac:dyDescent="0.2">
      <c r="A92" s="254" t="s">
        <v>323</v>
      </c>
      <c r="B92" s="105" t="s">
        <v>722</v>
      </c>
      <c r="C92" s="252" t="s">
        <v>599</v>
      </c>
      <c r="D92" s="255" t="s">
        <v>107</v>
      </c>
      <c r="E92" s="254" t="s">
        <v>24</v>
      </c>
      <c r="F92" s="258">
        <f>MC!J468</f>
        <v>50.519999999999989</v>
      </c>
      <c r="G92" s="74">
        <v>573.25</v>
      </c>
      <c r="H92" s="32">
        <f t="shared" si="8"/>
        <v>756.46</v>
      </c>
      <c r="I92" s="10">
        <f t="shared" si="10"/>
        <v>38216.36</v>
      </c>
    </row>
    <row r="93" spans="1:9" ht="25.5" x14ac:dyDescent="0.2">
      <c r="A93" s="254" t="s">
        <v>848</v>
      </c>
      <c r="B93" s="105" t="s">
        <v>862</v>
      </c>
      <c r="C93" s="252"/>
      <c r="D93" s="255" t="s">
        <v>938</v>
      </c>
      <c r="E93" s="254" t="s">
        <v>24</v>
      </c>
      <c r="F93" s="258">
        <f>MC!J472</f>
        <v>4.4000000000000004</v>
      </c>
      <c r="G93" s="74">
        <f>'COMP-04'!I32</f>
        <v>417.84577011384812</v>
      </c>
      <c r="H93" s="32">
        <f t="shared" si="8"/>
        <v>551.39</v>
      </c>
      <c r="I93" s="10">
        <f t="shared" si="10"/>
        <v>2426.12</v>
      </c>
    </row>
    <row r="94" spans="1:9" x14ac:dyDescent="0.2">
      <c r="A94" s="11"/>
      <c r="B94" s="11"/>
      <c r="C94" s="5"/>
      <c r="D94" s="40" t="s">
        <v>465</v>
      </c>
      <c r="E94" s="5"/>
      <c r="F94" s="5"/>
      <c r="G94" s="75"/>
      <c r="H94" s="75"/>
      <c r="I94" s="95">
        <f>SUM(I87:I93)</f>
        <v>96943.06</v>
      </c>
    </row>
    <row r="95" spans="1:9" x14ac:dyDescent="0.2">
      <c r="A95" s="11">
        <v>8</v>
      </c>
      <c r="B95" s="5" t="s">
        <v>116</v>
      </c>
      <c r="C95" s="5"/>
      <c r="D95" s="7" t="s">
        <v>115</v>
      </c>
      <c r="E95" s="5"/>
      <c r="F95" s="5"/>
      <c r="G95" s="75"/>
      <c r="H95" s="75"/>
      <c r="I95" s="5"/>
    </row>
    <row r="96" spans="1:9" x14ac:dyDescent="0.2">
      <c r="A96" s="23" t="s">
        <v>324</v>
      </c>
      <c r="B96" s="22" t="s">
        <v>114</v>
      </c>
      <c r="C96" s="252" t="s">
        <v>599</v>
      </c>
      <c r="D96" s="18" t="s">
        <v>1018</v>
      </c>
      <c r="E96" s="254"/>
      <c r="F96" s="254"/>
      <c r="G96" s="74"/>
      <c r="H96" s="32">
        <f t="shared" si="8"/>
        <v>0</v>
      </c>
      <c r="I96" s="10">
        <f>TRUNC(ROUND(F96*H96,2),2)</f>
        <v>0</v>
      </c>
    </row>
    <row r="97" spans="1:9" x14ac:dyDescent="0.2">
      <c r="A97" s="254" t="s">
        <v>325</v>
      </c>
      <c r="B97" s="105" t="s">
        <v>723</v>
      </c>
      <c r="C97" s="252" t="s">
        <v>599</v>
      </c>
      <c r="D97" s="255" t="s">
        <v>112</v>
      </c>
      <c r="E97" s="254" t="s">
        <v>39</v>
      </c>
      <c r="F97" s="258">
        <f>MC!J483</f>
        <v>50.519999999999989</v>
      </c>
      <c r="G97" s="74">
        <v>271.33</v>
      </c>
      <c r="H97" s="32">
        <f t="shared" si="8"/>
        <v>358.05</v>
      </c>
      <c r="I97" s="10">
        <f>TRUNC(ROUND(F97*H97,2),2)</f>
        <v>18088.689999999999</v>
      </c>
    </row>
    <row r="98" spans="1:9" x14ac:dyDescent="0.2">
      <c r="A98" s="23" t="s">
        <v>326</v>
      </c>
      <c r="B98" s="22" t="s">
        <v>118</v>
      </c>
      <c r="C98" s="252" t="s">
        <v>599</v>
      </c>
      <c r="D98" s="18" t="s">
        <v>117</v>
      </c>
      <c r="E98" s="254"/>
      <c r="F98" s="254"/>
      <c r="G98" s="74"/>
      <c r="H98" s="32">
        <f t="shared" si="8"/>
        <v>0</v>
      </c>
      <c r="I98" s="10"/>
    </row>
    <row r="99" spans="1:9" ht="25.5" x14ac:dyDescent="0.2">
      <c r="A99" s="254" t="s">
        <v>327</v>
      </c>
      <c r="B99" s="105" t="s">
        <v>724</v>
      </c>
      <c r="C99" s="252" t="s">
        <v>599</v>
      </c>
      <c r="D99" s="255" t="s">
        <v>119</v>
      </c>
      <c r="E99" s="254" t="s">
        <v>24</v>
      </c>
      <c r="F99" s="258">
        <f>MC!J491</f>
        <v>2.1</v>
      </c>
      <c r="G99" s="74">
        <v>581.11</v>
      </c>
      <c r="H99" s="32">
        <f t="shared" si="8"/>
        <v>766.83</v>
      </c>
      <c r="I99" s="10">
        <f>TRUNC(ROUND(F99*H99,2),2)</f>
        <v>1610.34</v>
      </c>
    </row>
    <row r="100" spans="1:9" x14ac:dyDescent="0.2">
      <c r="A100" s="11"/>
      <c r="B100" s="11"/>
      <c r="C100" s="5"/>
      <c r="D100" s="40" t="s">
        <v>466</v>
      </c>
      <c r="E100" s="5"/>
      <c r="F100" s="5"/>
      <c r="G100" s="75"/>
      <c r="H100" s="75"/>
      <c r="I100" s="95">
        <f>SUM(I96:I99)</f>
        <v>19699.03</v>
      </c>
    </row>
    <row r="101" spans="1:9" x14ac:dyDescent="0.2">
      <c r="A101" s="11">
        <v>9</v>
      </c>
      <c r="B101" s="5" t="s">
        <v>120</v>
      </c>
      <c r="C101" s="5"/>
      <c r="D101" s="7" t="s">
        <v>601</v>
      </c>
      <c r="E101" s="5"/>
      <c r="F101" s="5"/>
      <c r="G101" s="75"/>
      <c r="H101" s="75"/>
      <c r="I101" s="5"/>
    </row>
    <row r="102" spans="1:9" x14ac:dyDescent="0.2">
      <c r="A102" s="23" t="s">
        <v>328</v>
      </c>
      <c r="B102" s="22" t="s">
        <v>121</v>
      </c>
      <c r="C102" s="252" t="s">
        <v>599</v>
      </c>
      <c r="D102" s="18" t="s">
        <v>122</v>
      </c>
      <c r="E102" s="254"/>
      <c r="F102" s="254"/>
      <c r="G102" s="74"/>
      <c r="H102" s="32">
        <f t="shared" si="8"/>
        <v>0</v>
      </c>
      <c r="I102" s="10">
        <f t="shared" ref="I102:I109" si="11">TRUNC(ROUND(F102*H102,2),2)</f>
        <v>0</v>
      </c>
    </row>
    <row r="103" spans="1:9" ht="38.25" x14ac:dyDescent="0.2">
      <c r="A103" s="254" t="s">
        <v>329</v>
      </c>
      <c r="B103" s="105" t="s">
        <v>725</v>
      </c>
      <c r="C103" s="252" t="s">
        <v>599</v>
      </c>
      <c r="D103" s="255" t="s">
        <v>123</v>
      </c>
      <c r="E103" s="254" t="s">
        <v>39</v>
      </c>
      <c r="F103" s="258">
        <f>MC!J499</f>
        <v>136.9</v>
      </c>
      <c r="G103" s="74">
        <v>113.11</v>
      </c>
      <c r="H103" s="32">
        <f t="shared" si="8"/>
        <v>149.26</v>
      </c>
      <c r="I103" s="10">
        <f t="shared" si="11"/>
        <v>20433.689999999999</v>
      </c>
    </row>
    <row r="104" spans="1:9" ht="25.5" x14ac:dyDescent="0.2">
      <c r="A104" s="254" t="s">
        <v>330</v>
      </c>
      <c r="B104" s="105" t="s">
        <v>726</v>
      </c>
      <c r="C104" s="252" t="s">
        <v>599</v>
      </c>
      <c r="D104" s="255" t="s">
        <v>124</v>
      </c>
      <c r="E104" s="254" t="s">
        <v>39</v>
      </c>
      <c r="F104" s="258">
        <f>MC!J505</f>
        <v>136.9</v>
      </c>
      <c r="G104" s="74">
        <v>60.71</v>
      </c>
      <c r="H104" s="32">
        <f t="shared" si="8"/>
        <v>80.11</v>
      </c>
      <c r="I104" s="10">
        <f>TRUNC(ROUND(F104*H104,2),2)</f>
        <v>10967.06</v>
      </c>
    </row>
    <row r="105" spans="1:9" s="112" customFormat="1" x14ac:dyDescent="0.2">
      <c r="A105" s="106" t="s">
        <v>954</v>
      </c>
      <c r="B105" s="107" t="s">
        <v>939</v>
      </c>
      <c r="C105" s="108"/>
      <c r="D105" s="109" t="s">
        <v>955</v>
      </c>
      <c r="E105" s="106" t="s">
        <v>25</v>
      </c>
      <c r="F105" s="179">
        <f>MC!J509</f>
        <v>1</v>
      </c>
      <c r="G105" s="110">
        <f>'COMP-05'!I33</f>
        <v>7873.9417841666673</v>
      </c>
      <c r="H105" s="32">
        <f t="shared" si="8"/>
        <v>10390.450000000001</v>
      </c>
      <c r="I105" s="111">
        <f>TRUNC(ROUND(F105*H105,2),2)</f>
        <v>10390.450000000001</v>
      </c>
    </row>
    <row r="106" spans="1:9" x14ac:dyDescent="0.2">
      <c r="A106" s="23" t="s">
        <v>331</v>
      </c>
      <c r="B106" s="22" t="s">
        <v>126</v>
      </c>
      <c r="C106" s="252" t="s">
        <v>599</v>
      </c>
      <c r="D106" s="18" t="s">
        <v>125</v>
      </c>
      <c r="E106" s="254"/>
      <c r="F106" s="254"/>
      <c r="G106" s="74"/>
      <c r="H106" s="32">
        <f t="shared" si="8"/>
        <v>0</v>
      </c>
      <c r="I106" s="10"/>
    </row>
    <row r="107" spans="1:9" x14ac:dyDescent="0.2">
      <c r="A107" s="254" t="s">
        <v>332</v>
      </c>
      <c r="B107" s="105" t="s">
        <v>727</v>
      </c>
      <c r="C107" s="252" t="s">
        <v>599</v>
      </c>
      <c r="D107" s="255" t="s">
        <v>127</v>
      </c>
      <c r="E107" s="254" t="s">
        <v>128</v>
      </c>
      <c r="F107" s="258">
        <f>MC!J515</f>
        <v>31.35</v>
      </c>
      <c r="G107" s="74">
        <v>130.94999999999999</v>
      </c>
      <c r="H107" s="32">
        <f t="shared" si="8"/>
        <v>172.8</v>
      </c>
      <c r="I107" s="10">
        <f t="shared" si="11"/>
        <v>5417.28</v>
      </c>
    </row>
    <row r="108" spans="1:9" x14ac:dyDescent="0.2">
      <c r="A108" s="23" t="s">
        <v>333</v>
      </c>
      <c r="B108" s="22" t="s">
        <v>130</v>
      </c>
      <c r="C108" s="252" t="s">
        <v>599</v>
      </c>
      <c r="D108" s="18" t="s">
        <v>129</v>
      </c>
      <c r="E108" s="254"/>
      <c r="F108" s="254"/>
      <c r="G108" s="74"/>
      <c r="H108" s="32">
        <f t="shared" si="8"/>
        <v>0</v>
      </c>
      <c r="I108" s="10"/>
    </row>
    <row r="109" spans="1:9" ht="38.25" x14ac:dyDescent="0.2">
      <c r="A109" s="254" t="s">
        <v>334</v>
      </c>
      <c r="B109" s="105" t="s">
        <v>940</v>
      </c>
      <c r="C109" s="252"/>
      <c r="D109" s="255" t="s">
        <v>916</v>
      </c>
      <c r="E109" s="254" t="s">
        <v>24</v>
      </c>
      <c r="F109" s="258">
        <f>MC!J522</f>
        <v>90.777000000000001</v>
      </c>
      <c r="G109" s="74">
        <f>'COMP-06'!I44</f>
        <v>104.52632920000001</v>
      </c>
      <c r="H109" s="32">
        <f t="shared" si="8"/>
        <v>137.93</v>
      </c>
      <c r="I109" s="10">
        <f t="shared" si="11"/>
        <v>12520.87</v>
      </c>
    </row>
    <row r="110" spans="1:9" x14ac:dyDescent="0.2">
      <c r="A110" s="11"/>
      <c r="B110" s="11"/>
      <c r="C110" s="5"/>
      <c r="D110" s="40" t="s">
        <v>467</v>
      </c>
      <c r="E110" s="5"/>
      <c r="F110" s="5"/>
      <c r="G110" s="75"/>
      <c r="H110" s="75"/>
      <c r="I110" s="95">
        <f>SUM(I102:I109)</f>
        <v>59729.35</v>
      </c>
    </row>
    <row r="111" spans="1:9" x14ac:dyDescent="0.2">
      <c r="A111" s="11">
        <v>10</v>
      </c>
      <c r="B111" s="5">
        <v>10</v>
      </c>
      <c r="C111" s="5"/>
      <c r="D111" s="7" t="s">
        <v>131</v>
      </c>
      <c r="E111" s="5"/>
      <c r="F111" s="5"/>
      <c r="G111" s="75"/>
      <c r="H111" s="75"/>
      <c r="I111" s="5"/>
    </row>
    <row r="112" spans="1:9" ht="25.5" x14ac:dyDescent="0.2">
      <c r="A112" s="23" t="s">
        <v>335</v>
      </c>
      <c r="B112" s="22">
        <v>1002</v>
      </c>
      <c r="C112" s="252" t="s">
        <v>599</v>
      </c>
      <c r="D112" s="18" t="s">
        <v>132</v>
      </c>
      <c r="E112" s="254"/>
      <c r="F112" s="254"/>
      <c r="G112" s="74"/>
      <c r="H112" s="32">
        <f t="shared" si="8"/>
        <v>0</v>
      </c>
      <c r="I112" s="10"/>
    </row>
    <row r="113" spans="1:9" ht="38.25" x14ac:dyDescent="0.2">
      <c r="A113" s="254" t="s">
        <v>336</v>
      </c>
      <c r="B113" s="254">
        <v>100105</v>
      </c>
      <c r="C113" s="252" t="s">
        <v>599</v>
      </c>
      <c r="D113" s="255" t="s">
        <v>816</v>
      </c>
      <c r="E113" s="254" t="s">
        <v>39</v>
      </c>
      <c r="F113" s="258">
        <f>MC!J530</f>
        <v>25.700000000000003</v>
      </c>
      <c r="G113" s="74">
        <v>232.33</v>
      </c>
      <c r="H113" s="32">
        <f t="shared" si="8"/>
        <v>306.58</v>
      </c>
      <c r="I113" s="10">
        <f>TRUNC(ROUND(F113*H113,2),2)</f>
        <v>7879.11</v>
      </c>
    </row>
    <row r="114" spans="1:9" s="269" customFormat="1" x14ac:dyDescent="0.2">
      <c r="A114" s="259" t="s">
        <v>815</v>
      </c>
      <c r="B114" s="259">
        <v>100203</v>
      </c>
      <c r="C114" s="252" t="s">
        <v>599</v>
      </c>
      <c r="D114" s="268" t="s">
        <v>133</v>
      </c>
      <c r="E114" s="259" t="s">
        <v>39</v>
      </c>
      <c r="F114" s="249">
        <f>MC!J537</f>
        <v>476.5</v>
      </c>
      <c r="G114" s="250">
        <v>41.04</v>
      </c>
      <c r="H114" s="32">
        <f t="shared" si="8"/>
        <v>54.16</v>
      </c>
      <c r="I114" s="10">
        <f>TRUNC(ROUND(F114*H114,2),2)</f>
        <v>25807.24</v>
      </c>
    </row>
    <row r="115" spans="1:9" x14ac:dyDescent="0.2">
      <c r="A115" s="11"/>
      <c r="B115" s="11"/>
      <c r="C115" s="5"/>
      <c r="D115" s="40" t="s">
        <v>468</v>
      </c>
      <c r="E115" s="5"/>
      <c r="F115" s="5"/>
      <c r="G115" s="75"/>
      <c r="H115" s="75"/>
      <c r="I115" s="95">
        <f>SUM(I112:I114)</f>
        <v>33686.35</v>
      </c>
    </row>
    <row r="116" spans="1:9" x14ac:dyDescent="0.2">
      <c r="A116" s="11">
        <v>11</v>
      </c>
      <c r="B116" s="5">
        <v>11</v>
      </c>
      <c r="C116" s="5"/>
      <c r="D116" s="7" t="s">
        <v>134</v>
      </c>
      <c r="E116" s="5"/>
      <c r="F116" s="5"/>
      <c r="G116" s="75"/>
      <c r="H116" s="75"/>
      <c r="I116" s="5"/>
    </row>
    <row r="117" spans="1:9" x14ac:dyDescent="0.2">
      <c r="A117" s="23" t="s">
        <v>337</v>
      </c>
      <c r="B117" s="22">
        <v>1102</v>
      </c>
      <c r="C117" s="252" t="s">
        <v>599</v>
      </c>
      <c r="D117" s="18" t="s">
        <v>135</v>
      </c>
      <c r="E117" s="254"/>
      <c r="F117" s="254"/>
      <c r="G117" s="74"/>
      <c r="H117" s="32">
        <f t="shared" si="8"/>
        <v>0</v>
      </c>
      <c r="I117" s="10"/>
    </row>
    <row r="118" spans="1:9" x14ac:dyDescent="0.2">
      <c r="A118" s="254" t="s">
        <v>338</v>
      </c>
      <c r="B118" s="254">
        <v>110201</v>
      </c>
      <c r="C118" s="252" t="s">
        <v>599</v>
      </c>
      <c r="D118" s="255" t="s">
        <v>145</v>
      </c>
      <c r="E118" s="254" t="s">
        <v>39</v>
      </c>
      <c r="F118" s="258">
        <f>MC!J567</f>
        <v>271.04000000000002</v>
      </c>
      <c r="G118" s="74">
        <v>34</v>
      </c>
      <c r="H118" s="32">
        <f t="shared" si="8"/>
        <v>44.87</v>
      </c>
      <c r="I118" s="10">
        <f>TRUNC(ROUND(F118*H118,2),2)</f>
        <v>12161.56</v>
      </c>
    </row>
    <row r="119" spans="1:9" x14ac:dyDescent="0.2">
      <c r="A119" s="11"/>
      <c r="B119" s="11"/>
      <c r="C119" s="5"/>
      <c r="D119" s="40" t="s">
        <v>469</v>
      </c>
      <c r="E119" s="5"/>
      <c r="F119" s="5"/>
      <c r="G119" s="75"/>
      <c r="H119" s="75"/>
      <c r="I119" s="95">
        <f>SUM(I117:I118)</f>
        <v>12161.56</v>
      </c>
    </row>
    <row r="120" spans="1:9" x14ac:dyDescent="0.2">
      <c r="A120" s="11">
        <v>12</v>
      </c>
      <c r="B120" s="5">
        <v>12</v>
      </c>
      <c r="C120" s="5"/>
      <c r="D120" s="7" t="s">
        <v>137</v>
      </c>
      <c r="E120" s="5"/>
      <c r="F120" s="5"/>
      <c r="G120" s="75"/>
      <c r="H120" s="75"/>
      <c r="I120" s="5"/>
    </row>
    <row r="121" spans="1:9" x14ac:dyDescent="0.2">
      <c r="A121" s="23" t="s">
        <v>339</v>
      </c>
      <c r="B121" s="22">
        <v>1201</v>
      </c>
      <c r="C121" s="252" t="s">
        <v>599</v>
      </c>
      <c r="D121" s="18" t="s">
        <v>136</v>
      </c>
      <c r="E121" s="254"/>
      <c r="F121" s="254"/>
      <c r="G121" s="74"/>
      <c r="H121" s="32">
        <f t="shared" si="8"/>
        <v>0</v>
      </c>
      <c r="I121" s="10"/>
    </row>
    <row r="122" spans="1:9" ht="25.5" x14ac:dyDescent="0.2">
      <c r="A122" s="254" t="s">
        <v>340</v>
      </c>
      <c r="B122" s="254">
        <v>120101</v>
      </c>
      <c r="C122" s="252" t="s">
        <v>599</v>
      </c>
      <c r="D122" s="255" t="s">
        <v>138</v>
      </c>
      <c r="E122" s="254" t="s">
        <v>39</v>
      </c>
      <c r="F122" s="258">
        <f>MC!J576</f>
        <v>1312.95</v>
      </c>
      <c r="G122" s="74">
        <v>5.39</v>
      </c>
      <c r="H122" s="32">
        <f t="shared" si="8"/>
        <v>7.11</v>
      </c>
      <c r="I122" s="10">
        <f t="shared" ref="I122:I126" si="12">TRUNC(ROUND(F122*H122,2),2)</f>
        <v>9335.07</v>
      </c>
    </row>
    <row r="123" spans="1:9" x14ac:dyDescent="0.2">
      <c r="A123" s="23" t="s">
        <v>341</v>
      </c>
      <c r="B123" s="22">
        <v>1203</v>
      </c>
      <c r="C123" s="252" t="s">
        <v>599</v>
      </c>
      <c r="D123" s="18" t="s">
        <v>252</v>
      </c>
      <c r="E123" s="254"/>
      <c r="F123" s="254"/>
      <c r="G123" s="74"/>
      <c r="H123" s="32">
        <f t="shared" si="8"/>
        <v>0</v>
      </c>
      <c r="I123" s="10"/>
    </row>
    <row r="124" spans="1:9" ht="25.5" x14ac:dyDescent="0.2">
      <c r="A124" s="254" t="s">
        <v>343</v>
      </c>
      <c r="B124" s="254">
        <v>120301</v>
      </c>
      <c r="C124" s="252" t="s">
        <v>599</v>
      </c>
      <c r="D124" s="255" t="s">
        <v>732</v>
      </c>
      <c r="E124" s="254" t="s">
        <v>39</v>
      </c>
      <c r="F124" s="258">
        <f>MC!J598</f>
        <v>204.29099999999997</v>
      </c>
      <c r="G124" s="74">
        <v>26.22</v>
      </c>
      <c r="H124" s="32">
        <f t="shared" si="8"/>
        <v>34.6</v>
      </c>
      <c r="I124" s="10">
        <f>TRUNC(ROUND(F124*H124,2),2)</f>
        <v>7068.47</v>
      </c>
    </row>
    <row r="125" spans="1:9" ht="25.5" x14ac:dyDescent="0.2">
      <c r="A125" s="254" t="s">
        <v>909</v>
      </c>
      <c r="B125" s="254">
        <v>120303</v>
      </c>
      <c r="C125" s="252" t="s">
        <v>599</v>
      </c>
      <c r="D125" s="255" t="s">
        <v>253</v>
      </c>
      <c r="E125" s="254" t="s">
        <v>39</v>
      </c>
      <c r="F125" s="258">
        <f>MC!J606</f>
        <v>1362.9630000000002</v>
      </c>
      <c r="G125" s="74">
        <v>44.75</v>
      </c>
      <c r="H125" s="32">
        <f t="shared" si="8"/>
        <v>59.05</v>
      </c>
      <c r="I125" s="10">
        <f t="shared" si="12"/>
        <v>80482.97</v>
      </c>
    </row>
    <row r="126" spans="1:9" ht="25.5" x14ac:dyDescent="0.2">
      <c r="A126" s="254" t="s">
        <v>910</v>
      </c>
      <c r="B126" s="254">
        <v>120308</v>
      </c>
      <c r="C126" s="252" t="s">
        <v>599</v>
      </c>
      <c r="D126" s="255" t="s">
        <v>140</v>
      </c>
      <c r="E126" s="254" t="s">
        <v>39</v>
      </c>
      <c r="F126" s="258">
        <f>MC!J611</f>
        <v>181.554</v>
      </c>
      <c r="G126" s="74">
        <v>6.07</v>
      </c>
      <c r="H126" s="32">
        <f t="shared" si="8"/>
        <v>8.01</v>
      </c>
      <c r="I126" s="10">
        <f t="shared" si="12"/>
        <v>1454.25</v>
      </c>
    </row>
    <row r="127" spans="1:9" x14ac:dyDescent="0.2">
      <c r="A127" s="11"/>
      <c r="B127" s="11"/>
      <c r="C127" s="5"/>
      <c r="D127" s="40" t="s">
        <v>470</v>
      </c>
      <c r="E127" s="5"/>
      <c r="F127" s="5"/>
      <c r="G127" s="75"/>
      <c r="H127" s="75"/>
      <c r="I127" s="95">
        <f>SUM(I121:I126)</f>
        <v>98340.760000000009</v>
      </c>
    </row>
    <row r="128" spans="1:9" x14ac:dyDescent="0.2">
      <c r="A128" s="11">
        <v>13</v>
      </c>
      <c r="B128" s="5">
        <v>13</v>
      </c>
      <c r="C128" s="5"/>
      <c r="D128" s="7" t="s">
        <v>142</v>
      </c>
      <c r="E128" s="5"/>
      <c r="F128" s="5"/>
      <c r="G128" s="75"/>
      <c r="H128" s="75"/>
      <c r="I128" s="5"/>
    </row>
    <row r="129" spans="1:9" x14ac:dyDescent="0.2">
      <c r="A129" s="23" t="s">
        <v>344</v>
      </c>
      <c r="B129" s="22">
        <v>1301</v>
      </c>
      <c r="C129" s="252" t="s">
        <v>599</v>
      </c>
      <c r="D129" s="18" t="s">
        <v>141</v>
      </c>
      <c r="E129" s="254"/>
      <c r="F129" s="254"/>
      <c r="G129" s="74"/>
      <c r="H129" s="32">
        <f t="shared" si="8"/>
        <v>0</v>
      </c>
      <c r="I129" s="10"/>
    </row>
    <row r="130" spans="1:9" ht="25.5" x14ac:dyDescent="0.2">
      <c r="A130" s="254" t="s">
        <v>345</v>
      </c>
      <c r="B130" s="254">
        <v>130103</v>
      </c>
      <c r="C130" s="252" t="s">
        <v>599</v>
      </c>
      <c r="D130" s="255" t="s">
        <v>733</v>
      </c>
      <c r="E130" s="254" t="s">
        <v>39</v>
      </c>
      <c r="F130" s="258">
        <f>MC!J645</f>
        <v>294.52000000000004</v>
      </c>
      <c r="G130" s="74">
        <v>18.899999999999999</v>
      </c>
      <c r="H130" s="32">
        <f t="shared" si="8"/>
        <v>24.94</v>
      </c>
      <c r="I130" s="10">
        <f t="shared" ref="I130:I141" si="13">TRUNC(ROUND(F130*H130,2),2)</f>
        <v>7345.33</v>
      </c>
    </row>
    <row r="131" spans="1:9" x14ac:dyDescent="0.2">
      <c r="A131" s="254" t="s">
        <v>346</v>
      </c>
      <c r="B131" s="254">
        <v>130113</v>
      </c>
      <c r="C131" s="252" t="s">
        <v>599</v>
      </c>
      <c r="D131" s="255" t="s">
        <v>146</v>
      </c>
      <c r="E131" s="254" t="s">
        <v>39</v>
      </c>
      <c r="F131" s="258">
        <f>MC!J651</f>
        <v>31.74</v>
      </c>
      <c r="G131" s="74">
        <v>60.22</v>
      </c>
      <c r="H131" s="32">
        <f t="shared" si="8"/>
        <v>79.47</v>
      </c>
      <c r="I131" s="10">
        <f t="shared" si="13"/>
        <v>2522.38</v>
      </c>
    </row>
    <row r="132" spans="1:9" x14ac:dyDescent="0.2">
      <c r="A132" s="23" t="s">
        <v>342</v>
      </c>
      <c r="B132" s="22">
        <v>1302</v>
      </c>
      <c r="C132" s="252" t="s">
        <v>599</v>
      </c>
      <c r="D132" s="18" t="s">
        <v>139</v>
      </c>
      <c r="E132" s="254"/>
      <c r="F132" s="254"/>
      <c r="G132" s="74"/>
      <c r="H132" s="32">
        <f t="shared" si="8"/>
        <v>0</v>
      </c>
      <c r="I132" s="10"/>
    </row>
    <row r="133" spans="1:9" ht="38.25" x14ac:dyDescent="0.2">
      <c r="A133" s="254" t="s">
        <v>347</v>
      </c>
      <c r="B133" s="254">
        <v>130230</v>
      </c>
      <c r="C133" s="252" t="s">
        <v>599</v>
      </c>
      <c r="D133" s="255" t="s">
        <v>147</v>
      </c>
      <c r="E133" s="254" t="s">
        <v>39</v>
      </c>
      <c r="F133" s="258">
        <f>MC!J656</f>
        <v>31.74</v>
      </c>
      <c r="G133" s="74">
        <v>102.72</v>
      </c>
      <c r="H133" s="32">
        <f t="shared" si="8"/>
        <v>135.55000000000001</v>
      </c>
      <c r="I133" s="10">
        <f t="shared" si="13"/>
        <v>4302.3599999999997</v>
      </c>
    </row>
    <row r="134" spans="1:9" ht="38.25" x14ac:dyDescent="0.2">
      <c r="A134" s="254" t="s">
        <v>348</v>
      </c>
      <c r="B134" s="254">
        <v>130231</v>
      </c>
      <c r="C134" s="252" t="s">
        <v>599</v>
      </c>
      <c r="D134" s="255" t="s">
        <v>148</v>
      </c>
      <c r="E134" s="254" t="s">
        <v>39</v>
      </c>
      <c r="F134" s="258">
        <f>MC!J683</f>
        <v>262.78000000000003</v>
      </c>
      <c r="G134" s="74">
        <v>113.42</v>
      </c>
      <c r="H134" s="32">
        <f t="shared" si="8"/>
        <v>149.66999999999999</v>
      </c>
      <c r="I134" s="10">
        <f t="shared" si="13"/>
        <v>39330.28</v>
      </c>
    </row>
    <row r="135" spans="1:9" ht="38.25" x14ac:dyDescent="0.2">
      <c r="A135" s="254" t="s">
        <v>349</v>
      </c>
      <c r="B135" s="254">
        <v>130233</v>
      </c>
      <c r="C135" s="252" t="s">
        <v>599</v>
      </c>
      <c r="D135" s="255" t="s">
        <v>149</v>
      </c>
      <c r="E135" s="254" t="s">
        <v>39</v>
      </c>
      <c r="F135" s="258">
        <f>MC!J704</f>
        <v>204.29099999999997</v>
      </c>
      <c r="G135" s="74">
        <v>92.04</v>
      </c>
      <c r="H135" s="32">
        <f t="shared" si="8"/>
        <v>121.46</v>
      </c>
      <c r="I135" s="10">
        <f t="shared" si="13"/>
        <v>24813.18</v>
      </c>
    </row>
    <row r="136" spans="1:9" ht="25.5" x14ac:dyDescent="0.2">
      <c r="A136" s="254" t="s">
        <v>350</v>
      </c>
      <c r="B136" s="254" t="s">
        <v>956</v>
      </c>
      <c r="C136" s="108"/>
      <c r="D136" s="109" t="s">
        <v>1100</v>
      </c>
      <c r="E136" s="254" t="s">
        <v>24</v>
      </c>
      <c r="F136" s="258">
        <f>MC!J710</f>
        <v>12</v>
      </c>
      <c r="G136" s="74">
        <f>'COMP-07'!I33</f>
        <v>338.53380666666669</v>
      </c>
      <c r="H136" s="32">
        <f t="shared" ref="H136:H198" si="14">TRUNC(ROUND(G136*1.3196,2),2)</f>
        <v>446.73</v>
      </c>
      <c r="I136" s="10">
        <f t="shared" si="13"/>
        <v>5360.76</v>
      </c>
    </row>
    <row r="137" spans="1:9" x14ac:dyDescent="0.2">
      <c r="A137" s="23" t="s">
        <v>351</v>
      </c>
      <c r="B137" s="22">
        <v>1303</v>
      </c>
      <c r="C137" s="252" t="s">
        <v>599</v>
      </c>
      <c r="D137" s="18" t="s">
        <v>144</v>
      </c>
      <c r="E137" s="254"/>
      <c r="F137" s="254"/>
      <c r="G137" s="74"/>
      <c r="H137" s="32">
        <f t="shared" si="14"/>
        <v>0</v>
      </c>
      <c r="I137" s="10"/>
    </row>
    <row r="138" spans="1:9" x14ac:dyDescent="0.2">
      <c r="A138" s="254" t="s">
        <v>353</v>
      </c>
      <c r="B138" s="254">
        <v>130308</v>
      </c>
      <c r="C138" s="252" t="s">
        <v>599</v>
      </c>
      <c r="D138" s="255" t="s">
        <v>150</v>
      </c>
      <c r="E138" s="254" t="s">
        <v>16</v>
      </c>
      <c r="F138" s="258">
        <f>MC!J726</f>
        <v>9.75</v>
      </c>
      <c r="G138" s="74">
        <v>38.869999999999997</v>
      </c>
      <c r="H138" s="32">
        <f t="shared" si="14"/>
        <v>51.29</v>
      </c>
      <c r="I138" s="10">
        <f t="shared" si="13"/>
        <v>500.08</v>
      </c>
    </row>
    <row r="139" spans="1:9" x14ac:dyDescent="0.2">
      <c r="A139" s="254" t="s">
        <v>354</v>
      </c>
      <c r="B139" s="254" t="s">
        <v>957</v>
      </c>
      <c r="C139" s="252"/>
      <c r="D139" s="255" t="s">
        <v>922</v>
      </c>
      <c r="E139" s="254" t="s">
        <v>49</v>
      </c>
      <c r="F139" s="258">
        <f>MC!J763</f>
        <v>178.02</v>
      </c>
      <c r="G139" s="74">
        <f>'COMP-08'!I33</f>
        <v>82.042418700000013</v>
      </c>
      <c r="H139" s="32">
        <f t="shared" si="14"/>
        <v>108.26</v>
      </c>
      <c r="I139" s="10">
        <f t="shared" si="13"/>
        <v>19272.45</v>
      </c>
    </row>
    <row r="140" spans="1:9" ht="25.5" x14ac:dyDescent="0.2">
      <c r="A140" s="254" t="s">
        <v>355</v>
      </c>
      <c r="B140" s="254">
        <v>130321</v>
      </c>
      <c r="C140" s="252" t="s">
        <v>599</v>
      </c>
      <c r="D140" s="255" t="s">
        <v>151</v>
      </c>
      <c r="E140" s="254" t="s">
        <v>49</v>
      </c>
      <c r="F140" s="258">
        <f>MC!J785</f>
        <v>242.9</v>
      </c>
      <c r="G140" s="74">
        <v>38.619999999999997</v>
      </c>
      <c r="H140" s="32">
        <f t="shared" si="14"/>
        <v>50.96</v>
      </c>
      <c r="I140" s="10">
        <f t="shared" si="13"/>
        <v>12378.18</v>
      </c>
    </row>
    <row r="141" spans="1:9" ht="38.25" x14ac:dyDescent="0.2">
      <c r="A141" s="254" t="s">
        <v>953</v>
      </c>
      <c r="B141" s="254" t="s">
        <v>958</v>
      </c>
      <c r="C141" s="108"/>
      <c r="D141" s="109" t="s">
        <v>1102</v>
      </c>
      <c r="E141" s="254" t="s">
        <v>24</v>
      </c>
      <c r="F141" s="258">
        <f>MC!J790</f>
        <v>0.84000000000000008</v>
      </c>
      <c r="G141" s="74">
        <f>'COMP-09'!I35</f>
        <v>44.559660866666675</v>
      </c>
      <c r="H141" s="32">
        <f t="shared" si="14"/>
        <v>58.8</v>
      </c>
      <c r="I141" s="10">
        <f t="shared" si="13"/>
        <v>49.39</v>
      </c>
    </row>
    <row r="142" spans="1:9" x14ac:dyDescent="0.2">
      <c r="A142" s="11"/>
      <c r="B142" s="11"/>
      <c r="C142" s="5"/>
      <c r="D142" s="40" t="s">
        <v>471</v>
      </c>
      <c r="E142" s="5"/>
      <c r="F142" s="5"/>
      <c r="G142" s="75"/>
      <c r="H142" s="75"/>
      <c r="I142" s="95">
        <f>SUM(I129:I141)</f>
        <v>115874.39</v>
      </c>
    </row>
    <row r="143" spans="1:9" x14ac:dyDescent="0.2">
      <c r="A143" s="11">
        <v>14</v>
      </c>
      <c r="B143" s="5">
        <v>14</v>
      </c>
      <c r="C143" s="5"/>
      <c r="D143" s="7" t="s">
        <v>143</v>
      </c>
      <c r="E143" s="5"/>
      <c r="F143" s="5"/>
      <c r="G143" s="75"/>
      <c r="H143" s="75"/>
      <c r="I143" s="5"/>
    </row>
    <row r="144" spans="1:9" x14ac:dyDescent="0.2">
      <c r="A144" s="23" t="s">
        <v>356</v>
      </c>
      <c r="B144" s="22">
        <v>1402</v>
      </c>
      <c r="C144" s="252" t="s">
        <v>599</v>
      </c>
      <c r="D144" s="18" t="s">
        <v>153</v>
      </c>
      <c r="E144" s="254"/>
      <c r="F144" s="254"/>
      <c r="G144" s="74"/>
      <c r="H144" s="32">
        <f t="shared" si="14"/>
        <v>0</v>
      </c>
      <c r="I144" s="10"/>
    </row>
    <row r="145" spans="1:9" ht="38.25" x14ac:dyDescent="0.2">
      <c r="A145" s="254" t="s">
        <v>357</v>
      </c>
      <c r="B145" s="254">
        <v>140207</v>
      </c>
      <c r="C145" s="252" t="s">
        <v>599</v>
      </c>
      <c r="D145" s="255" t="s">
        <v>152</v>
      </c>
      <c r="E145" s="254" t="s">
        <v>25</v>
      </c>
      <c r="F145" s="258">
        <f>MC!J796</f>
        <v>1</v>
      </c>
      <c r="G145" s="74">
        <v>435.18</v>
      </c>
      <c r="H145" s="32">
        <f t="shared" si="14"/>
        <v>574.26</v>
      </c>
      <c r="I145" s="10">
        <f t="shared" ref="I145:I168" si="15">TRUNC(ROUND(F145*H145,2),2)</f>
        <v>574.26</v>
      </c>
    </row>
    <row r="146" spans="1:9" x14ac:dyDescent="0.2">
      <c r="A146" s="23" t="s">
        <v>358</v>
      </c>
      <c r="B146" s="23">
        <v>1407</v>
      </c>
      <c r="C146" s="252" t="s">
        <v>599</v>
      </c>
      <c r="D146" s="24" t="s">
        <v>154</v>
      </c>
      <c r="E146" s="254"/>
      <c r="F146" s="254"/>
      <c r="G146" s="74"/>
      <c r="H146" s="32">
        <f t="shared" si="14"/>
        <v>0</v>
      </c>
      <c r="I146" s="10">
        <f t="shared" si="15"/>
        <v>0</v>
      </c>
    </row>
    <row r="147" spans="1:9" x14ac:dyDescent="0.2">
      <c r="A147" s="254" t="s">
        <v>359</v>
      </c>
      <c r="B147" s="254">
        <v>140701</v>
      </c>
      <c r="C147" s="252" t="s">
        <v>599</v>
      </c>
      <c r="D147" s="255" t="s">
        <v>156</v>
      </c>
      <c r="E147" s="254" t="s">
        <v>155</v>
      </c>
      <c r="F147" s="258">
        <f>MC!J813</f>
        <v>29</v>
      </c>
      <c r="G147" s="74">
        <v>82.51</v>
      </c>
      <c r="H147" s="32">
        <f t="shared" si="14"/>
        <v>108.88</v>
      </c>
      <c r="I147" s="10">
        <f t="shared" si="15"/>
        <v>3157.52</v>
      </c>
    </row>
    <row r="148" spans="1:9" x14ac:dyDescent="0.2">
      <c r="A148" s="254" t="s">
        <v>360</v>
      </c>
      <c r="B148" s="254">
        <v>140705</v>
      </c>
      <c r="C148" s="252" t="s">
        <v>599</v>
      </c>
      <c r="D148" s="255" t="s">
        <v>157</v>
      </c>
      <c r="E148" s="254" t="s">
        <v>155</v>
      </c>
      <c r="F148" s="258">
        <f>MC!J824</f>
        <v>5</v>
      </c>
      <c r="G148" s="74">
        <v>99.75</v>
      </c>
      <c r="H148" s="32">
        <f t="shared" si="14"/>
        <v>131.63</v>
      </c>
      <c r="I148" s="10">
        <f t="shared" si="15"/>
        <v>658.15</v>
      </c>
    </row>
    <row r="149" spans="1:9" x14ac:dyDescent="0.2">
      <c r="A149" s="254" t="s">
        <v>361</v>
      </c>
      <c r="B149" s="254">
        <v>140706</v>
      </c>
      <c r="C149" s="252" t="s">
        <v>599</v>
      </c>
      <c r="D149" s="255" t="s">
        <v>159</v>
      </c>
      <c r="E149" s="254" t="s">
        <v>155</v>
      </c>
      <c r="F149" s="258">
        <f>MC!J838</f>
        <v>12</v>
      </c>
      <c r="G149" s="74">
        <v>78.59</v>
      </c>
      <c r="H149" s="32">
        <f t="shared" si="14"/>
        <v>103.71</v>
      </c>
      <c r="I149" s="10">
        <f t="shared" si="15"/>
        <v>1244.52</v>
      </c>
    </row>
    <row r="150" spans="1:9" s="112" customFormat="1" ht="25.5" x14ac:dyDescent="0.2">
      <c r="A150" s="106" t="s">
        <v>362</v>
      </c>
      <c r="B150" s="106">
        <v>140710</v>
      </c>
      <c r="C150" s="108" t="s">
        <v>599</v>
      </c>
      <c r="D150" s="109" t="s">
        <v>161</v>
      </c>
      <c r="E150" s="106" t="s">
        <v>43</v>
      </c>
      <c r="F150" s="179">
        <f>MC!J852</f>
        <v>12</v>
      </c>
      <c r="G150" s="110">
        <v>173.39</v>
      </c>
      <c r="H150" s="32">
        <f t="shared" si="14"/>
        <v>228.81</v>
      </c>
      <c r="I150" s="10">
        <f t="shared" si="15"/>
        <v>2745.72</v>
      </c>
    </row>
    <row r="151" spans="1:9" x14ac:dyDescent="0.2">
      <c r="A151" s="23" t="s">
        <v>352</v>
      </c>
      <c r="B151" s="22">
        <v>1409</v>
      </c>
      <c r="C151" s="252" t="s">
        <v>599</v>
      </c>
      <c r="D151" s="18" t="s">
        <v>162</v>
      </c>
      <c r="E151" s="254"/>
      <c r="F151" s="254"/>
      <c r="G151" s="74"/>
      <c r="H151" s="32">
        <f t="shared" si="14"/>
        <v>0</v>
      </c>
      <c r="I151" s="10">
        <f t="shared" si="15"/>
        <v>0</v>
      </c>
    </row>
    <row r="152" spans="1:9" s="112" customFormat="1" ht="25.5" x14ac:dyDescent="0.2">
      <c r="A152" s="106" t="s">
        <v>363</v>
      </c>
      <c r="B152" s="106">
        <v>140903</v>
      </c>
      <c r="C152" s="108" t="s">
        <v>599</v>
      </c>
      <c r="D152" s="109" t="s">
        <v>163</v>
      </c>
      <c r="E152" s="106" t="s">
        <v>49</v>
      </c>
      <c r="F152" s="179">
        <f>MC!J859</f>
        <v>12.08</v>
      </c>
      <c r="G152" s="110">
        <v>50.49</v>
      </c>
      <c r="H152" s="32">
        <f t="shared" si="14"/>
        <v>66.63</v>
      </c>
      <c r="I152" s="10">
        <f t="shared" si="15"/>
        <v>804.89</v>
      </c>
    </row>
    <row r="153" spans="1:9" x14ac:dyDescent="0.2">
      <c r="A153" s="23" t="s">
        <v>364</v>
      </c>
      <c r="B153" s="22">
        <v>1411</v>
      </c>
      <c r="C153" s="252" t="s">
        <v>599</v>
      </c>
      <c r="D153" s="18" t="s">
        <v>164</v>
      </c>
      <c r="E153" s="254"/>
      <c r="F153" s="254"/>
      <c r="G153" s="74"/>
      <c r="H153" s="32">
        <f t="shared" si="14"/>
        <v>0</v>
      </c>
      <c r="I153" s="10">
        <f t="shared" si="15"/>
        <v>0</v>
      </c>
    </row>
    <row r="154" spans="1:9" ht="38.25" x14ac:dyDescent="0.2">
      <c r="A154" s="254" t="s">
        <v>365</v>
      </c>
      <c r="B154" s="254">
        <v>141101</v>
      </c>
      <c r="C154" s="252" t="s">
        <v>599</v>
      </c>
      <c r="D154" s="255" t="s">
        <v>165</v>
      </c>
      <c r="E154" s="254" t="s">
        <v>43</v>
      </c>
      <c r="F154" s="258">
        <f>MC!J864</f>
        <v>2</v>
      </c>
      <c r="G154" s="74">
        <v>441.6</v>
      </c>
      <c r="H154" s="32">
        <f t="shared" si="14"/>
        <v>582.74</v>
      </c>
      <c r="I154" s="10">
        <f t="shared" si="15"/>
        <v>1165.48</v>
      </c>
    </row>
    <row r="155" spans="1:9" ht="38.25" x14ac:dyDescent="0.2">
      <c r="A155" s="254" t="s">
        <v>366</v>
      </c>
      <c r="B155" s="254">
        <v>141104</v>
      </c>
      <c r="C155" s="252" t="s">
        <v>599</v>
      </c>
      <c r="D155" s="255" t="s">
        <v>166</v>
      </c>
      <c r="E155" s="254" t="s">
        <v>43</v>
      </c>
      <c r="F155" s="258">
        <f>MC!J868</f>
        <v>1</v>
      </c>
      <c r="G155" s="74">
        <v>479.62</v>
      </c>
      <c r="H155" s="32">
        <f t="shared" si="14"/>
        <v>632.91</v>
      </c>
      <c r="I155" s="10">
        <f t="shared" si="15"/>
        <v>632.91</v>
      </c>
    </row>
    <row r="156" spans="1:9" x14ac:dyDescent="0.2">
      <c r="A156" s="23" t="s">
        <v>367</v>
      </c>
      <c r="B156" s="22">
        <v>1414</v>
      </c>
      <c r="C156" s="252" t="s">
        <v>599</v>
      </c>
      <c r="D156" s="18" t="s">
        <v>167</v>
      </c>
      <c r="E156" s="254"/>
      <c r="F156" s="254"/>
      <c r="G156" s="74"/>
      <c r="H156" s="32">
        <f t="shared" si="14"/>
        <v>0</v>
      </c>
      <c r="I156" s="10">
        <f t="shared" si="15"/>
        <v>0</v>
      </c>
    </row>
    <row r="157" spans="1:9" s="112" customFormat="1" x14ac:dyDescent="0.2">
      <c r="A157" s="106" t="s">
        <v>368</v>
      </c>
      <c r="B157" s="106">
        <v>141409</v>
      </c>
      <c r="C157" s="108" t="s">
        <v>599</v>
      </c>
      <c r="D157" s="109" t="s">
        <v>1198</v>
      </c>
      <c r="E157" s="106" t="s">
        <v>37</v>
      </c>
      <c r="F157" s="179">
        <f>MC!J876</f>
        <v>61.179999999999993</v>
      </c>
      <c r="G157" s="110">
        <v>16.739999999999998</v>
      </c>
      <c r="H157" s="32">
        <f t="shared" si="14"/>
        <v>22.09</v>
      </c>
      <c r="I157" s="10">
        <f t="shared" si="15"/>
        <v>1351.47</v>
      </c>
    </row>
    <row r="158" spans="1:9" s="112" customFormat="1" x14ac:dyDescent="0.2">
      <c r="A158" s="106" t="s">
        <v>369</v>
      </c>
      <c r="B158" s="106">
        <v>141410</v>
      </c>
      <c r="C158" s="108" t="s">
        <v>599</v>
      </c>
      <c r="D158" s="109" t="s">
        <v>168</v>
      </c>
      <c r="E158" s="106" t="s">
        <v>37</v>
      </c>
      <c r="F158" s="179">
        <f>MC!J898</f>
        <v>101.63999999999999</v>
      </c>
      <c r="G158" s="110">
        <v>19.829999999999998</v>
      </c>
      <c r="H158" s="32">
        <f t="shared" si="14"/>
        <v>26.17</v>
      </c>
      <c r="I158" s="10">
        <f t="shared" si="15"/>
        <v>2659.92</v>
      </c>
    </row>
    <row r="159" spans="1:9" s="112" customFormat="1" x14ac:dyDescent="0.2">
      <c r="A159" s="106" t="s">
        <v>1199</v>
      </c>
      <c r="B159" s="106">
        <v>141411</v>
      </c>
      <c r="C159" s="108" t="s">
        <v>599</v>
      </c>
      <c r="D159" s="109" t="s">
        <v>169</v>
      </c>
      <c r="E159" s="106" t="s">
        <v>16</v>
      </c>
      <c r="F159" s="179">
        <f>MC!J903</f>
        <v>52.05</v>
      </c>
      <c r="G159" s="110">
        <v>25.91</v>
      </c>
      <c r="H159" s="32">
        <f t="shared" si="14"/>
        <v>34.19</v>
      </c>
      <c r="I159" s="10">
        <f t="shared" si="15"/>
        <v>1779.59</v>
      </c>
    </row>
    <row r="160" spans="1:9" x14ac:dyDescent="0.2">
      <c r="A160" s="23" t="s">
        <v>370</v>
      </c>
      <c r="B160" s="22">
        <v>1419</v>
      </c>
      <c r="C160" s="252" t="s">
        <v>599</v>
      </c>
      <c r="D160" s="18" t="s">
        <v>170</v>
      </c>
      <c r="E160" s="254"/>
      <c r="F160" s="254"/>
      <c r="G160" s="74"/>
      <c r="H160" s="32">
        <f t="shared" si="14"/>
        <v>0</v>
      </c>
      <c r="I160" s="10">
        <f t="shared" si="15"/>
        <v>0</v>
      </c>
    </row>
    <row r="161" spans="1:9" s="112" customFormat="1" ht="25.5" x14ac:dyDescent="0.2">
      <c r="A161" s="106" t="s">
        <v>371</v>
      </c>
      <c r="B161" s="106">
        <v>141906</v>
      </c>
      <c r="C161" s="108" t="s">
        <v>599</v>
      </c>
      <c r="D161" s="109" t="s">
        <v>171</v>
      </c>
      <c r="E161" s="106" t="s">
        <v>49</v>
      </c>
      <c r="F161" s="179">
        <f>MC!J917</f>
        <v>34.67</v>
      </c>
      <c r="G161" s="110">
        <v>29.89</v>
      </c>
      <c r="H161" s="32">
        <f t="shared" si="14"/>
        <v>39.44</v>
      </c>
      <c r="I161" s="10">
        <f t="shared" si="15"/>
        <v>1367.38</v>
      </c>
    </row>
    <row r="162" spans="1:9" s="112" customFormat="1" ht="25.5" x14ac:dyDescent="0.2">
      <c r="A162" s="106" t="s">
        <v>372</v>
      </c>
      <c r="B162" s="106">
        <v>141907</v>
      </c>
      <c r="C162" s="108" t="s">
        <v>599</v>
      </c>
      <c r="D162" s="109" t="s">
        <v>172</v>
      </c>
      <c r="E162" s="106" t="s">
        <v>49</v>
      </c>
      <c r="F162" s="179">
        <f>MC!J928</f>
        <v>30.46</v>
      </c>
      <c r="G162" s="110">
        <v>37.950000000000003</v>
      </c>
      <c r="H162" s="32">
        <f t="shared" si="14"/>
        <v>50.08</v>
      </c>
      <c r="I162" s="10">
        <f t="shared" si="15"/>
        <v>1525.44</v>
      </c>
    </row>
    <row r="163" spans="1:9" s="112" customFormat="1" ht="25.5" x14ac:dyDescent="0.2">
      <c r="A163" s="106" t="s">
        <v>373</v>
      </c>
      <c r="B163" s="106">
        <v>141909</v>
      </c>
      <c r="C163" s="108" t="s">
        <v>599</v>
      </c>
      <c r="D163" s="109" t="s">
        <v>173</v>
      </c>
      <c r="E163" s="106" t="s">
        <v>16</v>
      </c>
      <c r="F163" s="179">
        <f>MC!J940</f>
        <v>16.689999999999998</v>
      </c>
      <c r="G163" s="110">
        <v>63.06</v>
      </c>
      <c r="H163" s="32">
        <f t="shared" si="14"/>
        <v>83.21</v>
      </c>
      <c r="I163" s="10">
        <f t="shared" si="15"/>
        <v>1388.77</v>
      </c>
    </row>
    <row r="164" spans="1:9" s="112" customFormat="1" ht="25.5" x14ac:dyDescent="0.2">
      <c r="A164" s="106" t="s">
        <v>374</v>
      </c>
      <c r="B164" s="106">
        <v>141910</v>
      </c>
      <c r="C164" s="108" t="s">
        <v>599</v>
      </c>
      <c r="D164" s="109" t="s">
        <v>174</v>
      </c>
      <c r="E164" s="106" t="s">
        <v>49</v>
      </c>
      <c r="F164" s="179">
        <f>MC!J946</f>
        <v>21.3</v>
      </c>
      <c r="G164" s="110">
        <v>99</v>
      </c>
      <c r="H164" s="32">
        <f t="shared" si="14"/>
        <v>130.63999999999999</v>
      </c>
      <c r="I164" s="10">
        <f t="shared" si="15"/>
        <v>2782.63</v>
      </c>
    </row>
    <row r="165" spans="1:9" x14ac:dyDescent="0.2">
      <c r="A165" s="23" t="s">
        <v>375</v>
      </c>
      <c r="B165" s="22">
        <v>1421</v>
      </c>
      <c r="C165" s="252" t="s">
        <v>599</v>
      </c>
      <c r="D165" s="18" t="s">
        <v>175</v>
      </c>
      <c r="E165" s="254"/>
      <c r="F165" s="254"/>
      <c r="G165" s="74"/>
      <c r="H165" s="32">
        <f t="shared" si="14"/>
        <v>0</v>
      </c>
      <c r="I165" s="10">
        <f t="shared" si="15"/>
        <v>0</v>
      </c>
    </row>
    <row r="166" spans="1:9" x14ac:dyDescent="0.2">
      <c r="A166" s="254" t="s">
        <v>376</v>
      </c>
      <c r="B166" s="254">
        <v>142120</v>
      </c>
      <c r="C166" s="252" t="s">
        <v>599</v>
      </c>
      <c r="D166" s="255" t="s">
        <v>176</v>
      </c>
      <c r="E166" s="254" t="s">
        <v>43</v>
      </c>
      <c r="F166" s="258">
        <f>MC!J952</f>
        <v>2</v>
      </c>
      <c r="G166" s="74">
        <v>119.39</v>
      </c>
      <c r="H166" s="32">
        <f t="shared" si="14"/>
        <v>157.55000000000001</v>
      </c>
      <c r="I166" s="10">
        <f t="shared" si="15"/>
        <v>315.10000000000002</v>
      </c>
    </row>
    <row r="167" spans="1:9" x14ac:dyDescent="0.2">
      <c r="A167" s="254" t="s">
        <v>377</v>
      </c>
      <c r="B167" s="254">
        <v>142124</v>
      </c>
      <c r="C167" s="252" t="s">
        <v>599</v>
      </c>
      <c r="D167" s="255" t="s">
        <v>177</v>
      </c>
      <c r="E167" s="254" t="s">
        <v>43</v>
      </c>
      <c r="F167" s="258">
        <f>MC!J957</f>
        <v>4</v>
      </c>
      <c r="G167" s="74">
        <v>19.54</v>
      </c>
      <c r="H167" s="32">
        <f t="shared" si="14"/>
        <v>25.78</v>
      </c>
      <c r="I167" s="10">
        <f t="shared" si="15"/>
        <v>103.12</v>
      </c>
    </row>
    <row r="168" spans="1:9" x14ac:dyDescent="0.2">
      <c r="A168" s="254" t="s">
        <v>378</v>
      </c>
      <c r="B168" s="254">
        <v>142125</v>
      </c>
      <c r="C168" s="252" t="s">
        <v>599</v>
      </c>
      <c r="D168" s="255" t="s">
        <v>178</v>
      </c>
      <c r="E168" s="254" t="s">
        <v>43</v>
      </c>
      <c r="F168" s="258">
        <f>MC!J964</f>
        <v>4</v>
      </c>
      <c r="G168" s="74">
        <v>23.64</v>
      </c>
      <c r="H168" s="32">
        <f t="shared" si="14"/>
        <v>31.2</v>
      </c>
      <c r="I168" s="10">
        <f t="shared" si="15"/>
        <v>124.8</v>
      </c>
    </row>
    <row r="169" spans="1:9" x14ac:dyDescent="0.2">
      <c r="A169" s="11"/>
      <c r="B169" s="11"/>
      <c r="C169" s="5"/>
      <c r="D169" s="40" t="s">
        <v>472</v>
      </c>
      <c r="E169" s="5"/>
      <c r="F169" s="5"/>
      <c r="G169" s="75"/>
      <c r="H169" s="75"/>
      <c r="I169" s="95">
        <f>SUM(I144:I168)</f>
        <v>24381.669999999995</v>
      </c>
    </row>
    <row r="170" spans="1:9" x14ac:dyDescent="0.2">
      <c r="A170" s="11">
        <v>15</v>
      </c>
      <c r="B170" s="5">
        <v>15</v>
      </c>
      <c r="C170" s="5"/>
      <c r="D170" s="7" t="s">
        <v>1256</v>
      </c>
      <c r="E170" s="5"/>
      <c r="F170" s="5"/>
      <c r="G170" s="75"/>
      <c r="H170" s="75"/>
      <c r="I170" s="5"/>
    </row>
    <row r="171" spans="1:9" x14ac:dyDescent="0.2">
      <c r="A171" s="23" t="s">
        <v>379</v>
      </c>
      <c r="B171" s="22">
        <v>1503</v>
      </c>
      <c r="C171" s="252" t="s">
        <v>599</v>
      </c>
      <c r="D171" s="18" t="s">
        <v>179</v>
      </c>
      <c r="E171" s="254"/>
      <c r="F171" s="254"/>
      <c r="G171" s="74"/>
      <c r="H171" s="32">
        <f t="shared" si="14"/>
        <v>0</v>
      </c>
      <c r="I171" s="111">
        <f t="shared" ref="I171:I201" si="16">TRUNC(ROUND(F171*H171,2),2)</f>
        <v>0</v>
      </c>
    </row>
    <row r="172" spans="1:9" s="112" customFormat="1" ht="13.5" customHeight="1" x14ac:dyDescent="0.2">
      <c r="A172" s="106" t="s">
        <v>380</v>
      </c>
      <c r="B172" s="106">
        <v>150308</v>
      </c>
      <c r="C172" s="108" t="s">
        <v>599</v>
      </c>
      <c r="D172" s="109" t="s">
        <v>180</v>
      </c>
      <c r="E172" s="106" t="s">
        <v>43</v>
      </c>
      <c r="F172" s="179">
        <f>MC!J970</f>
        <v>2</v>
      </c>
      <c r="G172" s="110">
        <v>598.59</v>
      </c>
      <c r="H172" s="32">
        <f t="shared" si="14"/>
        <v>789.9</v>
      </c>
      <c r="I172" s="111">
        <f t="shared" si="16"/>
        <v>1579.8</v>
      </c>
    </row>
    <row r="173" spans="1:9" s="253" customFormat="1" x14ac:dyDescent="0.2">
      <c r="A173" s="23" t="s">
        <v>381</v>
      </c>
      <c r="B173" s="22">
        <v>1506</v>
      </c>
      <c r="C173" s="252" t="s">
        <v>599</v>
      </c>
      <c r="D173" s="18" t="s">
        <v>181</v>
      </c>
      <c r="E173" s="254"/>
      <c r="F173" s="254"/>
      <c r="G173" s="74"/>
      <c r="H173" s="32">
        <f t="shared" si="14"/>
        <v>0</v>
      </c>
      <c r="I173" s="111">
        <f t="shared" si="16"/>
        <v>0</v>
      </c>
    </row>
    <row r="174" spans="1:9" s="112" customFormat="1" ht="13.5" customHeight="1" x14ac:dyDescent="0.2">
      <c r="A174" s="254" t="s">
        <v>382</v>
      </c>
      <c r="B174" s="106">
        <v>150628</v>
      </c>
      <c r="C174" s="108" t="s">
        <v>599</v>
      </c>
      <c r="D174" s="109" t="s">
        <v>1241</v>
      </c>
      <c r="E174" s="106" t="s">
        <v>43</v>
      </c>
      <c r="F174" s="179">
        <f>MC!J1009</f>
        <v>125</v>
      </c>
      <c r="G174" s="110">
        <v>7.29</v>
      </c>
      <c r="H174" s="32">
        <f t="shared" si="14"/>
        <v>9.6199999999999992</v>
      </c>
      <c r="I174" s="111">
        <f t="shared" si="16"/>
        <v>1202.5</v>
      </c>
    </row>
    <row r="175" spans="1:9" s="112" customFormat="1" ht="13.5" customHeight="1" x14ac:dyDescent="0.2">
      <c r="A175" s="254" t="s">
        <v>383</v>
      </c>
      <c r="B175" s="106">
        <v>150629</v>
      </c>
      <c r="C175" s="108" t="s">
        <v>599</v>
      </c>
      <c r="D175" s="109" t="s">
        <v>1242</v>
      </c>
      <c r="E175" s="106" t="s">
        <v>43</v>
      </c>
      <c r="F175" s="179">
        <f>MC!J1035</f>
        <v>22</v>
      </c>
      <c r="G175" s="110">
        <v>12.29</v>
      </c>
      <c r="H175" s="32">
        <f t="shared" si="14"/>
        <v>16.22</v>
      </c>
      <c r="I175" s="111">
        <f t="shared" si="16"/>
        <v>356.84</v>
      </c>
    </row>
    <row r="176" spans="1:9" s="112" customFormat="1" ht="13.5" customHeight="1" x14ac:dyDescent="0.2">
      <c r="A176" s="254" t="s">
        <v>1484</v>
      </c>
      <c r="B176" s="106">
        <v>150636</v>
      </c>
      <c r="C176" s="108" t="s">
        <v>599</v>
      </c>
      <c r="D176" s="109" t="s">
        <v>1485</v>
      </c>
      <c r="E176" s="106" t="s">
        <v>25</v>
      </c>
      <c r="F176" s="179">
        <f>MC!J1068</f>
        <v>44</v>
      </c>
      <c r="G176" s="110">
        <v>9.16</v>
      </c>
      <c r="H176" s="32">
        <f t="shared" si="14"/>
        <v>12.09</v>
      </c>
      <c r="I176" s="111">
        <f t="shared" si="16"/>
        <v>531.96</v>
      </c>
    </row>
    <row r="177" spans="1:9" x14ac:dyDescent="0.2">
      <c r="A177" s="23" t="s">
        <v>384</v>
      </c>
      <c r="B177" s="22">
        <v>1509</v>
      </c>
      <c r="C177" s="252" t="s">
        <v>599</v>
      </c>
      <c r="D177" s="18" t="s">
        <v>1148</v>
      </c>
      <c r="E177" s="106"/>
      <c r="F177" s="254"/>
      <c r="G177" s="74"/>
      <c r="H177" s="32">
        <f t="shared" si="14"/>
        <v>0</v>
      </c>
      <c r="I177" s="111">
        <f t="shared" si="16"/>
        <v>0</v>
      </c>
    </row>
    <row r="178" spans="1:9" x14ac:dyDescent="0.2">
      <c r="A178" s="254" t="s">
        <v>385</v>
      </c>
      <c r="B178" s="254">
        <v>150918</v>
      </c>
      <c r="C178" s="252" t="s">
        <v>599</v>
      </c>
      <c r="D178" s="255" t="s">
        <v>1149</v>
      </c>
      <c r="E178" s="254" t="s">
        <v>43</v>
      </c>
      <c r="F178" s="258">
        <f>MC!J1073</f>
        <v>1</v>
      </c>
      <c r="G178" s="74">
        <v>25.37</v>
      </c>
      <c r="H178" s="32">
        <f t="shared" si="14"/>
        <v>33.479999999999997</v>
      </c>
      <c r="I178" s="111">
        <f t="shared" si="16"/>
        <v>33.479999999999997</v>
      </c>
    </row>
    <row r="179" spans="1:9" x14ac:dyDescent="0.2">
      <c r="A179" s="23" t="s">
        <v>386</v>
      </c>
      <c r="B179" s="22">
        <v>1511</v>
      </c>
      <c r="C179" s="252" t="s">
        <v>599</v>
      </c>
      <c r="D179" s="18" t="s">
        <v>182</v>
      </c>
      <c r="E179" s="254"/>
      <c r="F179" s="254"/>
      <c r="G179" s="74"/>
      <c r="H179" s="32">
        <f t="shared" si="14"/>
        <v>0</v>
      </c>
      <c r="I179" s="111">
        <f t="shared" si="16"/>
        <v>0</v>
      </c>
    </row>
    <row r="180" spans="1:9" x14ac:dyDescent="0.2">
      <c r="A180" s="254" t="s">
        <v>387</v>
      </c>
      <c r="B180" s="254">
        <v>151132</v>
      </c>
      <c r="C180" s="252" t="s">
        <v>599</v>
      </c>
      <c r="D180" s="255" t="s">
        <v>183</v>
      </c>
      <c r="E180" s="254" t="s">
        <v>49</v>
      </c>
      <c r="F180" s="258">
        <f>MC!J1078</f>
        <v>504.1</v>
      </c>
      <c r="G180" s="74">
        <v>8.5500000000000007</v>
      </c>
      <c r="H180" s="32">
        <f t="shared" si="14"/>
        <v>11.28</v>
      </c>
      <c r="I180" s="111">
        <f t="shared" si="16"/>
        <v>5686.25</v>
      </c>
    </row>
    <row r="181" spans="1:9" x14ac:dyDescent="0.2">
      <c r="A181" s="254" t="s">
        <v>388</v>
      </c>
      <c r="B181" s="254">
        <v>151133</v>
      </c>
      <c r="C181" s="252" t="s">
        <v>599</v>
      </c>
      <c r="D181" s="255" t="s">
        <v>184</v>
      </c>
      <c r="E181" s="254" t="s">
        <v>49</v>
      </c>
      <c r="F181" s="258">
        <f>MC!J1083</f>
        <v>390.3</v>
      </c>
      <c r="G181" s="74">
        <v>9.86</v>
      </c>
      <c r="H181" s="32">
        <f t="shared" si="14"/>
        <v>13.01</v>
      </c>
      <c r="I181" s="111">
        <f t="shared" si="16"/>
        <v>5077.8</v>
      </c>
    </row>
    <row r="182" spans="1:9" x14ac:dyDescent="0.2">
      <c r="A182" s="23" t="s">
        <v>389</v>
      </c>
      <c r="B182" s="22">
        <v>1513</v>
      </c>
      <c r="C182" s="252" t="s">
        <v>599</v>
      </c>
      <c r="D182" s="18" t="s">
        <v>185</v>
      </c>
      <c r="E182" s="254"/>
      <c r="F182" s="254"/>
      <c r="G182" s="74"/>
      <c r="H182" s="32">
        <f t="shared" si="14"/>
        <v>0</v>
      </c>
      <c r="I182" s="111">
        <f t="shared" si="16"/>
        <v>0</v>
      </c>
    </row>
    <row r="183" spans="1:9" ht="25.5" x14ac:dyDescent="0.2">
      <c r="A183" s="254" t="s">
        <v>390</v>
      </c>
      <c r="B183" s="254" t="s">
        <v>960</v>
      </c>
      <c r="C183" s="252"/>
      <c r="D183" s="255" t="s">
        <v>1123</v>
      </c>
      <c r="E183" s="254" t="s">
        <v>43</v>
      </c>
      <c r="F183" s="258">
        <f>MC!J1088</f>
        <v>5</v>
      </c>
      <c r="G183" s="74">
        <f>'COMP-10'!I29</f>
        <v>18.179000000000002</v>
      </c>
      <c r="H183" s="32">
        <f t="shared" si="14"/>
        <v>23.99</v>
      </c>
      <c r="I183" s="111">
        <f t="shared" si="16"/>
        <v>119.95</v>
      </c>
    </row>
    <row r="184" spans="1:9" ht="25.5" x14ac:dyDescent="0.2">
      <c r="A184" s="254" t="s">
        <v>391</v>
      </c>
      <c r="B184" s="254">
        <v>151301</v>
      </c>
      <c r="C184" s="252" t="s">
        <v>599</v>
      </c>
      <c r="D184" s="255" t="s">
        <v>1124</v>
      </c>
      <c r="E184" s="254" t="s">
        <v>43</v>
      </c>
      <c r="F184" s="258">
        <f>MC!J1092</f>
        <v>7</v>
      </c>
      <c r="G184" s="74">
        <v>18.3</v>
      </c>
      <c r="H184" s="32">
        <f t="shared" si="14"/>
        <v>24.15</v>
      </c>
      <c r="I184" s="111">
        <f t="shared" si="16"/>
        <v>169.05</v>
      </c>
    </row>
    <row r="185" spans="1:9" ht="25.5" x14ac:dyDescent="0.2">
      <c r="A185" s="254" t="s">
        <v>392</v>
      </c>
      <c r="B185" s="254">
        <v>151306</v>
      </c>
      <c r="C185" s="252" t="s">
        <v>599</v>
      </c>
      <c r="D185" s="255" t="s">
        <v>186</v>
      </c>
      <c r="E185" s="254" t="s">
        <v>43</v>
      </c>
      <c r="F185" s="258">
        <f>MC!J1096</f>
        <v>12</v>
      </c>
      <c r="G185" s="74">
        <v>51.97</v>
      </c>
      <c r="H185" s="32">
        <f t="shared" si="14"/>
        <v>68.58</v>
      </c>
      <c r="I185" s="111">
        <f t="shared" si="16"/>
        <v>822.96</v>
      </c>
    </row>
    <row r="186" spans="1:9" ht="25.5" x14ac:dyDescent="0.2">
      <c r="A186" s="254" t="s">
        <v>393</v>
      </c>
      <c r="B186" s="254">
        <v>151321</v>
      </c>
      <c r="C186" s="252" t="s">
        <v>599</v>
      </c>
      <c r="D186" s="255" t="s">
        <v>1125</v>
      </c>
      <c r="E186" s="254" t="s">
        <v>43</v>
      </c>
      <c r="F186" s="258">
        <f>MC!J1101</f>
        <v>4</v>
      </c>
      <c r="G186" s="74">
        <v>51.97</v>
      </c>
      <c r="H186" s="32">
        <f t="shared" si="14"/>
        <v>68.58</v>
      </c>
      <c r="I186" s="111">
        <f t="shared" si="16"/>
        <v>274.32</v>
      </c>
    </row>
    <row r="187" spans="1:9" ht="25.5" x14ac:dyDescent="0.2">
      <c r="A187" s="254" t="s">
        <v>1140</v>
      </c>
      <c r="B187" s="254">
        <v>151337</v>
      </c>
      <c r="C187" s="252" t="s">
        <v>599</v>
      </c>
      <c r="D187" s="255" t="s">
        <v>187</v>
      </c>
      <c r="E187" s="254" t="s">
        <v>43</v>
      </c>
      <c r="F187" s="258">
        <f>MC!J1106</f>
        <v>4</v>
      </c>
      <c r="G187" s="74">
        <v>160.27000000000001</v>
      </c>
      <c r="H187" s="32">
        <f t="shared" si="14"/>
        <v>211.49</v>
      </c>
      <c r="I187" s="111">
        <f t="shared" si="16"/>
        <v>845.96</v>
      </c>
    </row>
    <row r="188" spans="1:9" ht="25.5" x14ac:dyDescent="0.2">
      <c r="A188" s="254" t="s">
        <v>1141</v>
      </c>
      <c r="B188" s="254">
        <v>151330</v>
      </c>
      <c r="C188" s="252" t="s">
        <v>599</v>
      </c>
      <c r="D188" s="255" t="s">
        <v>1126</v>
      </c>
      <c r="E188" s="254" t="s">
        <v>43</v>
      </c>
      <c r="F188" s="258">
        <f>MC!J1110</f>
        <v>1</v>
      </c>
      <c r="G188" s="74">
        <v>125.26</v>
      </c>
      <c r="H188" s="32">
        <f t="shared" si="14"/>
        <v>165.29</v>
      </c>
      <c r="I188" s="111">
        <f t="shared" si="16"/>
        <v>165.29</v>
      </c>
    </row>
    <row r="189" spans="1:9" ht="25.5" x14ac:dyDescent="0.2">
      <c r="A189" s="254" t="s">
        <v>1150</v>
      </c>
      <c r="B189" s="254" t="s">
        <v>976</v>
      </c>
      <c r="C189" s="252"/>
      <c r="D189" s="255" t="s">
        <v>1127</v>
      </c>
      <c r="E189" s="254" t="s">
        <v>43</v>
      </c>
      <c r="F189" s="258">
        <f>MC!J1114</f>
        <v>1</v>
      </c>
      <c r="G189" s="74">
        <f>'COMP-11'!I30</f>
        <v>347.59699999999998</v>
      </c>
      <c r="H189" s="32">
        <f t="shared" si="14"/>
        <v>458.69</v>
      </c>
      <c r="I189" s="111">
        <f t="shared" si="16"/>
        <v>458.69</v>
      </c>
    </row>
    <row r="190" spans="1:9" x14ac:dyDescent="0.2">
      <c r="A190" s="23" t="s">
        <v>394</v>
      </c>
      <c r="B190" s="22">
        <v>1514</v>
      </c>
      <c r="C190" s="252" t="s">
        <v>599</v>
      </c>
      <c r="D190" s="18" t="s">
        <v>188</v>
      </c>
      <c r="E190" s="254"/>
      <c r="F190" s="254"/>
      <c r="G190" s="74"/>
      <c r="H190" s="32">
        <f t="shared" si="14"/>
        <v>0</v>
      </c>
      <c r="I190" s="111">
        <f t="shared" si="16"/>
        <v>0</v>
      </c>
    </row>
    <row r="191" spans="1:9" x14ac:dyDescent="0.2">
      <c r="A191" s="254" t="s">
        <v>395</v>
      </c>
      <c r="B191" s="254">
        <v>151401</v>
      </c>
      <c r="C191" s="252" t="s">
        <v>599</v>
      </c>
      <c r="D191" s="255" t="s">
        <v>189</v>
      </c>
      <c r="E191" s="254" t="s">
        <v>49</v>
      </c>
      <c r="F191" s="258">
        <f>MC!J1119</f>
        <v>664.3</v>
      </c>
      <c r="G191" s="74">
        <v>5.09</v>
      </c>
      <c r="H191" s="32">
        <f t="shared" si="14"/>
        <v>6.72</v>
      </c>
      <c r="I191" s="111">
        <f t="shared" si="16"/>
        <v>4464.1000000000004</v>
      </c>
    </row>
    <row r="192" spans="1:9" x14ac:dyDescent="0.2">
      <c r="A192" s="254" t="s">
        <v>396</v>
      </c>
      <c r="B192" s="254">
        <v>151402</v>
      </c>
      <c r="C192" s="252" t="s">
        <v>599</v>
      </c>
      <c r="D192" s="255" t="s">
        <v>190</v>
      </c>
      <c r="E192" s="254" t="s">
        <v>49</v>
      </c>
      <c r="F192" s="258">
        <f>MC!J1124</f>
        <v>1285</v>
      </c>
      <c r="G192" s="74">
        <v>6.41</v>
      </c>
      <c r="H192" s="32">
        <f t="shared" si="14"/>
        <v>8.4600000000000009</v>
      </c>
      <c r="I192" s="111">
        <f t="shared" si="16"/>
        <v>10871.1</v>
      </c>
    </row>
    <row r="193" spans="1:9" x14ac:dyDescent="0.2">
      <c r="A193" s="254" t="s">
        <v>1151</v>
      </c>
      <c r="B193" s="254">
        <v>151403</v>
      </c>
      <c r="C193" s="252" t="s">
        <v>599</v>
      </c>
      <c r="D193" s="255" t="s">
        <v>191</v>
      </c>
      <c r="E193" s="254" t="s">
        <v>16</v>
      </c>
      <c r="F193" s="258">
        <f>MC!J1129</f>
        <v>76.7</v>
      </c>
      <c r="G193" s="74">
        <v>8.6199999999999992</v>
      </c>
      <c r="H193" s="32">
        <f t="shared" si="14"/>
        <v>11.37</v>
      </c>
      <c r="I193" s="111">
        <f t="shared" si="16"/>
        <v>872.08</v>
      </c>
    </row>
    <row r="194" spans="1:9" x14ac:dyDescent="0.2">
      <c r="A194" s="254" t="s">
        <v>1152</v>
      </c>
      <c r="B194" s="254">
        <v>151404</v>
      </c>
      <c r="C194" s="252" t="s">
        <v>599</v>
      </c>
      <c r="D194" s="255" t="s">
        <v>192</v>
      </c>
      <c r="E194" s="254" t="s">
        <v>49</v>
      </c>
      <c r="F194" s="258">
        <f>MC!J1134</f>
        <v>69.3</v>
      </c>
      <c r="G194" s="74">
        <v>10.97</v>
      </c>
      <c r="H194" s="32">
        <f t="shared" si="14"/>
        <v>14.48</v>
      </c>
      <c r="I194" s="111">
        <f t="shared" si="16"/>
        <v>1003.46</v>
      </c>
    </row>
    <row r="195" spans="1:9" x14ac:dyDescent="0.2">
      <c r="A195" s="254" t="s">
        <v>1153</v>
      </c>
      <c r="B195" s="254">
        <v>151406</v>
      </c>
      <c r="C195" s="252" t="s">
        <v>599</v>
      </c>
      <c r="D195" s="255" t="s">
        <v>1129</v>
      </c>
      <c r="E195" s="254" t="s">
        <v>49</v>
      </c>
      <c r="F195" s="258">
        <f>MC!J1138</f>
        <v>34.1</v>
      </c>
      <c r="G195" s="74">
        <v>25.45</v>
      </c>
      <c r="H195" s="32">
        <f t="shared" si="14"/>
        <v>33.58</v>
      </c>
      <c r="I195" s="111">
        <f t="shared" si="16"/>
        <v>1145.08</v>
      </c>
    </row>
    <row r="196" spans="1:9" x14ac:dyDescent="0.2">
      <c r="A196" s="254" t="s">
        <v>1154</v>
      </c>
      <c r="B196" s="254">
        <v>151425</v>
      </c>
      <c r="C196" s="252" t="s">
        <v>599</v>
      </c>
      <c r="D196" s="255" t="s">
        <v>1130</v>
      </c>
      <c r="E196" s="254" t="s">
        <v>49</v>
      </c>
      <c r="F196" s="258">
        <f>MC!J1142</f>
        <v>66.8</v>
      </c>
      <c r="G196" s="74">
        <v>72.930000000000007</v>
      </c>
      <c r="H196" s="32">
        <f t="shared" si="14"/>
        <v>96.24</v>
      </c>
      <c r="I196" s="111">
        <f t="shared" si="16"/>
        <v>6428.83</v>
      </c>
    </row>
    <row r="197" spans="1:9" x14ac:dyDescent="0.2">
      <c r="A197" s="23" t="s">
        <v>397</v>
      </c>
      <c r="B197" s="22">
        <v>1515</v>
      </c>
      <c r="C197" s="252" t="s">
        <v>599</v>
      </c>
      <c r="D197" s="18" t="s">
        <v>1143</v>
      </c>
      <c r="E197" s="254"/>
      <c r="F197" s="254"/>
      <c r="G197" s="74"/>
      <c r="H197" s="32">
        <f t="shared" si="14"/>
        <v>0</v>
      </c>
      <c r="I197" s="111">
        <f t="shared" si="16"/>
        <v>0</v>
      </c>
    </row>
    <row r="198" spans="1:9" x14ac:dyDescent="0.2">
      <c r="A198" s="254" t="s">
        <v>398</v>
      </c>
      <c r="B198" s="254">
        <v>151508</v>
      </c>
      <c r="C198" s="252" t="s">
        <v>599</v>
      </c>
      <c r="D198" s="255" t="s">
        <v>1144</v>
      </c>
      <c r="E198" s="254" t="s">
        <v>43</v>
      </c>
      <c r="F198" s="258">
        <f>MC!J1147</f>
        <v>7</v>
      </c>
      <c r="G198" s="74">
        <v>2.11</v>
      </c>
      <c r="H198" s="32">
        <f t="shared" si="14"/>
        <v>2.78</v>
      </c>
      <c r="I198" s="111">
        <f t="shared" si="16"/>
        <v>19.46</v>
      </c>
    </row>
    <row r="199" spans="1:9" x14ac:dyDescent="0.2">
      <c r="A199" s="254" t="s">
        <v>1146</v>
      </c>
      <c r="B199" s="254">
        <v>151510</v>
      </c>
      <c r="C199" s="252" t="s">
        <v>599</v>
      </c>
      <c r="D199" s="255" t="s">
        <v>1145</v>
      </c>
      <c r="E199" s="254" t="s">
        <v>43</v>
      </c>
      <c r="F199" s="258">
        <f>MC!J1151</f>
        <v>3</v>
      </c>
      <c r="G199" s="74">
        <v>5.95</v>
      </c>
      <c r="H199" s="32">
        <f t="shared" ref="H199:H269" si="17">TRUNC(ROUND(G199*1.3196,2),2)</f>
        <v>7.85</v>
      </c>
      <c r="I199" s="111">
        <f t="shared" si="16"/>
        <v>23.55</v>
      </c>
    </row>
    <row r="200" spans="1:9" x14ac:dyDescent="0.2">
      <c r="A200" s="23" t="s">
        <v>399</v>
      </c>
      <c r="B200" s="22">
        <v>1517</v>
      </c>
      <c r="C200" s="252" t="s">
        <v>599</v>
      </c>
      <c r="D200" s="18" t="s">
        <v>193</v>
      </c>
      <c r="E200" s="254"/>
      <c r="F200" s="254"/>
      <c r="G200" s="74"/>
      <c r="H200" s="32">
        <f t="shared" si="17"/>
        <v>0</v>
      </c>
      <c r="I200" s="111">
        <f t="shared" si="16"/>
        <v>0</v>
      </c>
    </row>
    <row r="201" spans="1:9" ht="25.5" x14ac:dyDescent="0.2">
      <c r="A201" s="254" t="s">
        <v>1147</v>
      </c>
      <c r="B201" s="254">
        <v>151710</v>
      </c>
      <c r="C201" s="252" t="s">
        <v>599</v>
      </c>
      <c r="D201" s="255" t="s">
        <v>1165</v>
      </c>
      <c r="E201" s="254" t="s">
        <v>43</v>
      </c>
      <c r="F201" s="258">
        <f>MC!J1156</f>
        <v>1</v>
      </c>
      <c r="G201" s="74">
        <v>10400.39</v>
      </c>
      <c r="H201" s="32">
        <f t="shared" si="17"/>
        <v>13724.35</v>
      </c>
      <c r="I201" s="111">
        <f t="shared" si="16"/>
        <v>13724.35</v>
      </c>
    </row>
    <row r="202" spans="1:9" x14ac:dyDescent="0.2">
      <c r="A202" s="11"/>
      <c r="B202" s="11"/>
      <c r="C202" s="5"/>
      <c r="D202" s="40" t="s">
        <v>473</v>
      </c>
      <c r="E202" s="5"/>
      <c r="F202" s="5"/>
      <c r="G202" s="75"/>
      <c r="H202" s="75"/>
      <c r="I202" s="95">
        <f>SUM(I171:I201)</f>
        <v>55876.86</v>
      </c>
    </row>
    <row r="203" spans="1:9" x14ac:dyDescent="0.2">
      <c r="A203" s="11">
        <v>16</v>
      </c>
      <c r="B203" s="5">
        <v>16</v>
      </c>
      <c r="C203" s="5"/>
      <c r="D203" s="7" t="s">
        <v>194</v>
      </c>
      <c r="E203" s="5"/>
      <c r="F203" s="5"/>
      <c r="G203" s="75"/>
      <c r="H203" s="75"/>
      <c r="I203" s="5"/>
    </row>
    <row r="204" spans="1:9" x14ac:dyDescent="0.2">
      <c r="A204" s="23" t="s">
        <v>400</v>
      </c>
      <c r="B204" s="22">
        <v>1601</v>
      </c>
      <c r="C204" s="252" t="s">
        <v>599</v>
      </c>
      <c r="D204" s="18" t="s">
        <v>195</v>
      </c>
      <c r="E204" s="254"/>
      <c r="F204" s="254"/>
      <c r="G204" s="74"/>
      <c r="H204" s="32">
        <f t="shared" si="17"/>
        <v>0</v>
      </c>
      <c r="I204" s="10"/>
    </row>
    <row r="205" spans="1:9" s="253" customFormat="1" ht="25.5" x14ac:dyDescent="0.2">
      <c r="A205" s="106" t="s">
        <v>401</v>
      </c>
      <c r="B205" s="180">
        <v>160110</v>
      </c>
      <c r="C205" s="252" t="s">
        <v>599</v>
      </c>
      <c r="D205" s="255" t="s">
        <v>1239</v>
      </c>
      <c r="E205" s="106" t="s">
        <v>43</v>
      </c>
      <c r="F205" s="258">
        <f>MC!J1162</f>
        <v>1</v>
      </c>
      <c r="G205" s="74">
        <v>421.35</v>
      </c>
      <c r="H205" s="32">
        <f t="shared" si="17"/>
        <v>556.01</v>
      </c>
      <c r="I205" s="10">
        <f t="shared" ref="I205:I214" si="18">TRUNC(ROUND(F205*H205,2),2)</f>
        <v>556.01</v>
      </c>
    </row>
    <row r="206" spans="1:9" s="112" customFormat="1" ht="25.5" x14ac:dyDescent="0.2">
      <c r="A206" s="106" t="s">
        <v>402</v>
      </c>
      <c r="B206" s="278">
        <v>160111</v>
      </c>
      <c r="C206" s="108" t="s">
        <v>599</v>
      </c>
      <c r="D206" s="109" t="s">
        <v>1240</v>
      </c>
      <c r="E206" s="106" t="s">
        <v>43</v>
      </c>
      <c r="F206" s="179">
        <f>MC!J1166</f>
        <v>1</v>
      </c>
      <c r="G206" s="74">
        <v>1025.75</v>
      </c>
      <c r="H206" s="32">
        <f t="shared" si="17"/>
        <v>1353.58</v>
      </c>
      <c r="I206" s="10">
        <f t="shared" si="18"/>
        <v>1353.58</v>
      </c>
    </row>
    <row r="207" spans="1:9" s="112" customFormat="1" x14ac:dyDescent="0.2">
      <c r="A207" s="106" t="s">
        <v>1457</v>
      </c>
      <c r="B207" s="278">
        <v>160120</v>
      </c>
      <c r="C207" s="108" t="s">
        <v>599</v>
      </c>
      <c r="D207" s="109" t="s">
        <v>1458</v>
      </c>
      <c r="E207" s="106" t="s">
        <v>43</v>
      </c>
      <c r="F207" s="179">
        <f>MC!J1170</f>
        <v>3</v>
      </c>
      <c r="G207" s="74">
        <v>39.799999999999997</v>
      </c>
      <c r="H207" s="32">
        <f t="shared" si="17"/>
        <v>52.52</v>
      </c>
      <c r="I207" s="10">
        <f t="shared" si="18"/>
        <v>157.56</v>
      </c>
    </row>
    <row r="208" spans="1:9" s="253" customFormat="1" x14ac:dyDescent="0.2">
      <c r="A208" s="369" t="s">
        <v>403</v>
      </c>
      <c r="B208" s="22">
        <v>1606</v>
      </c>
      <c r="C208" s="252" t="s">
        <v>599</v>
      </c>
      <c r="D208" s="18" t="s">
        <v>1460</v>
      </c>
      <c r="E208" s="254"/>
      <c r="F208" s="254"/>
      <c r="G208" s="254"/>
      <c r="H208" s="32">
        <f t="shared" ref="H208:H209" si="19">TRUNC(ROUND(G208*1.3196,2),2)</f>
        <v>0</v>
      </c>
      <c r="I208" s="10">
        <f t="shared" si="18"/>
        <v>0</v>
      </c>
    </row>
    <row r="209" spans="1:9" s="112" customFormat="1" ht="38.25" x14ac:dyDescent="0.2">
      <c r="A209" s="106" t="s">
        <v>1237</v>
      </c>
      <c r="B209" s="278">
        <v>160607</v>
      </c>
      <c r="C209" s="252" t="s">
        <v>599</v>
      </c>
      <c r="D209" s="109" t="s">
        <v>1463</v>
      </c>
      <c r="E209" s="106" t="s">
        <v>43</v>
      </c>
      <c r="F209" s="179">
        <f>MC!J1175</f>
        <v>2</v>
      </c>
      <c r="G209" s="74">
        <v>194.43</v>
      </c>
      <c r="H209" s="32">
        <f t="shared" si="19"/>
        <v>256.57</v>
      </c>
      <c r="I209" s="10">
        <f t="shared" si="18"/>
        <v>513.14</v>
      </c>
    </row>
    <row r="210" spans="1:9" s="112" customFormat="1" ht="25.5" x14ac:dyDescent="0.2">
      <c r="A210" s="106" t="s">
        <v>1238</v>
      </c>
      <c r="B210" s="278">
        <v>160612</v>
      </c>
      <c r="C210" s="252" t="s">
        <v>599</v>
      </c>
      <c r="D210" s="109" t="s">
        <v>1465</v>
      </c>
      <c r="E210" s="106" t="s">
        <v>43</v>
      </c>
      <c r="F210" s="179">
        <f>MC!J1179</f>
        <v>11</v>
      </c>
      <c r="G210" s="74">
        <v>24.4</v>
      </c>
      <c r="H210" s="32">
        <f t="shared" ref="H210" si="20">TRUNC(ROUND(G210*1.3196,2),2)</f>
        <v>32.200000000000003</v>
      </c>
      <c r="I210" s="10">
        <f t="shared" ref="I210" si="21">TRUNC(ROUND(F210*H210,2),2)</f>
        <v>354.2</v>
      </c>
    </row>
    <row r="211" spans="1:9" s="112" customFormat="1" ht="25.5" x14ac:dyDescent="0.2">
      <c r="A211" s="106" t="s">
        <v>1466</v>
      </c>
      <c r="B211" s="278">
        <v>160613</v>
      </c>
      <c r="C211" s="252" t="s">
        <v>599</v>
      </c>
      <c r="D211" s="109" t="s">
        <v>1467</v>
      </c>
      <c r="E211" s="106" t="s">
        <v>43</v>
      </c>
      <c r="F211" s="179">
        <f>MC!J1183</f>
        <v>7</v>
      </c>
      <c r="G211" s="74">
        <v>209.18</v>
      </c>
      <c r="H211" s="32">
        <f t="shared" ref="H211" si="22">TRUNC(ROUND(G211*1.3196,2),2)</f>
        <v>276.02999999999997</v>
      </c>
      <c r="I211" s="10">
        <f t="shared" ref="I211" si="23">TRUNC(ROUND(F211*H211,2),2)</f>
        <v>1932.21</v>
      </c>
    </row>
    <row r="212" spans="1:9" x14ac:dyDescent="0.2">
      <c r="A212" s="23" t="s">
        <v>1459</v>
      </c>
      <c r="B212" s="22">
        <v>1608</v>
      </c>
      <c r="C212" s="252" t="s">
        <v>599</v>
      </c>
      <c r="D212" s="18" t="s">
        <v>196</v>
      </c>
      <c r="E212" s="254"/>
      <c r="F212" s="254"/>
      <c r="G212" s="254"/>
      <c r="H212" s="32">
        <f t="shared" si="17"/>
        <v>0</v>
      </c>
      <c r="I212" s="10"/>
    </row>
    <row r="213" spans="1:9" s="112" customFormat="1" x14ac:dyDescent="0.2">
      <c r="A213" s="106" t="s">
        <v>1461</v>
      </c>
      <c r="B213" s="106" t="s">
        <v>1305</v>
      </c>
      <c r="C213" s="108" t="s">
        <v>599</v>
      </c>
      <c r="D213" s="109" t="s">
        <v>1486</v>
      </c>
      <c r="E213" s="106" t="s">
        <v>43</v>
      </c>
      <c r="F213" s="179">
        <f>MC!J1202</f>
        <v>24</v>
      </c>
      <c r="G213" s="110">
        <f>'COMP-24'!I31</f>
        <v>32.815300000000001</v>
      </c>
      <c r="H213" s="32">
        <f>TRUNC(ROUND(G213*1.3196,2),2)</f>
        <v>43.3</v>
      </c>
      <c r="I213" s="10">
        <f t="shared" si="18"/>
        <v>1039.2</v>
      </c>
    </row>
    <row r="214" spans="1:9" s="112" customFormat="1" x14ac:dyDescent="0.2">
      <c r="A214" s="106" t="s">
        <v>1462</v>
      </c>
      <c r="B214" s="106">
        <v>160807</v>
      </c>
      <c r="C214" s="108" t="s">
        <v>599</v>
      </c>
      <c r="D214" s="109" t="s">
        <v>197</v>
      </c>
      <c r="E214" s="106" t="s">
        <v>43</v>
      </c>
      <c r="F214" s="179">
        <f>MC!J1220</f>
        <v>24</v>
      </c>
      <c r="G214" s="110">
        <v>9.5299999999999994</v>
      </c>
      <c r="H214" s="32">
        <f t="shared" si="17"/>
        <v>12.58</v>
      </c>
      <c r="I214" s="10">
        <f t="shared" si="18"/>
        <v>301.92</v>
      </c>
    </row>
    <row r="215" spans="1:9" x14ac:dyDescent="0.2">
      <c r="A215" s="11"/>
      <c r="B215" s="11"/>
      <c r="C215" s="5"/>
      <c r="D215" s="40" t="s">
        <v>474</v>
      </c>
      <c r="E215" s="5"/>
      <c r="F215" s="5"/>
      <c r="G215" s="75"/>
      <c r="H215" s="75"/>
      <c r="I215" s="95">
        <f>SUM(I204:I214)</f>
        <v>6207.82</v>
      </c>
    </row>
    <row r="216" spans="1:9" x14ac:dyDescent="0.2">
      <c r="A216" s="11">
        <v>17</v>
      </c>
      <c r="B216" s="5">
        <v>17</v>
      </c>
      <c r="C216" s="5"/>
      <c r="D216" s="7" t="s">
        <v>198</v>
      </c>
      <c r="E216" s="5"/>
      <c r="F216" s="5"/>
      <c r="G216" s="75"/>
      <c r="H216" s="75"/>
      <c r="I216" s="5"/>
    </row>
    <row r="217" spans="1:9" x14ac:dyDescent="0.2">
      <c r="A217" s="23" t="s">
        <v>405</v>
      </c>
      <c r="B217" s="22">
        <v>1701</v>
      </c>
      <c r="C217" s="252" t="s">
        <v>599</v>
      </c>
      <c r="D217" s="18" t="s">
        <v>199</v>
      </c>
      <c r="E217" s="254"/>
      <c r="F217" s="254"/>
      <c r="G217" s="74"/>
      <c r="H217" s="32">
        <f t="shared" si="17"/>
        <v>0</v>
      </c>
      <c r="I217" s="10">
        <f t="shared" ref="I217:I238" si="24">TRUNC(ROUND(F217*H217,2),2)</f>
        <v>0</v>
      </c>
    </row>
    <row r="218" spans="1:9" ht="25.5" x14ac:dyDescent="0.2">
      <c r="A218" s="254" t="s">
        <v>406</v>
      </c>
      <c r="B218" s="254">
        <v>170124</v>
      </c>
      <c r="C218" s="252" t="s">
        <v>599</v>
      </c>
      <c r="D218" s="255" t="s">
        <v>200</v>
      </c>
      <c r="E218" s="254" t="s">
        <v>43</v>
      </c>
      <c r="F218" s="258">
        <f>MC!J1227</f>
        <v>2</v>
      </c>
      <c r="G218" s="74">
        <v>513.26</v>
      </c>
      <c r="H218" s="32">
        <f t="shared" si="17"/>
        <v>677.3</v>
      </c>
      <c r="I218" s="10">
        <f t="shared" si="24"/>
        <v>1354.6</v>
      </c>
    </row>
    <row r="219" spans="1:9" ht="38.25" x14ac:dyDescent="0.2">
      <c r="A219" s="254" t="s">
        <v>407</v>
      </c>
      <c r="B219" s="254">
        <v>170126</v>
      </c>
      <c r="C219" s="252" t="s">
        <v>599</v>
      </c>
      <c r="D219" s="255" t="s">
        <v>887</v>
      </c>
      <c r="E219" s="254" t="s">
        <v>43</v>
      </c>
      <c r="F219" s="258">
        <f>MC!J1232</f>
        <v>2</v>
      </c>
      <c r="G219" s="74">
        <v>2000.92</v>
      </c>
      <c r="H219" s="32">
        <f t="shared" si="17"/>
        <v>2640.41</v>
      </c>
      <c r="I219" s="10">
        <f t="shared" si="24"/>
        <v>5280.82</v>
      </c>
    </row>
    <row r="220" spans="1:9" ht="25.5" x14ac:dyDescent="0.2">
      <c r="A220" s="254" t="s">
        <v>408</v>
      </c>
      <c r="B220" s="254">
        <v>170133</v>
      </c>
      <c r="C220" s="252" t="s">
        <v>599</v>
      </c>
      <c r="D220" s="255" t="s">
        <v>201</v>
      </c>
      <c r="E220" s="254" t="s">
        <v>43</v>
      </c>
      <c r="F220" s="258">
        <f>MC!J1238</f>
        <v>3</v>
      </c>
      <c r="G220" s="74">
        <v>343.49</v>
      </c>
      <c r="H220" s="32">
        <f t="shared" si="17"/>
        <v>453.27</v>
      </c>
      <c r="I220" s="10">
        <f t="shared" si="24"/>
        <v>1359.81</v>
      </c>
    </row>
    <row r="221" spans="1:9" ht="25.5" x14ac:dyDescent="0.2">
      <c r="A221" s="254" t="s">
        <v>409</v>
      </c>
      <c r="B221" s="254">
        <v>170136</v>
      </c>
      <c r="C221" s="252" t="s">
        <v>599</v>
      </c>
      <c r="D221" s="255" t="s">
        <v>202</v>
      </c>
      <c r="E221" s="254" t="s">
        <v>43</v>
      </c>
      <c r="F221" s="258">
        <f>MC!J1244</f>
        <v>3</v>
      </c>
      <c r="G221" s="74">
        <v>932.34</v>
      </c>
      <c r="H221" s="32">
        <f t="shared" si="17"/>
        <v>1230.32</v>
      </c>
      <c r="I221" s="10">
        <f t="shared" si="24"/>
        <v>3690.96</v>
      </c>
    </row>
    <row r="222" spans="1:9" x14ac:dyDescent="0.2">
      <c r="A222" s="380" t="s">
        <v>410</v>
      </c>
      <c r="B222" s="22">
        <v>1702</v>
      </c>
      <c r="C222" s="252" t="s">
        <v>599</v>
      </c>
      <c r="D222" s="18" t="s">
        <v>203</v>
      </c>
      <c r="E222" s="254"/>
      <c r="F222" s="254"/>
      <c r="G222" s="74"/>
      <c r="H222" s="32">
        <f t="shared" si="17"/>
        <v>0</v>
      </c>
      <c r="I222" s="10">
        <f t="shared" si="24"/>
        <v>0</v>
      </c>
    </row>
    <row r="223" spans="1:9" x14ac:dyDescent="0.2">
      <c r="A223" s="254" t="s">
        <v>411</v>
      </c>
      <c r="B223" s="254">
        <v>170220</v>
      </c>
      <c r="C223" s="252" t="s">
        <v>599</v>
      </c>
      <c r="D223" s="255" t="s">
        <v>205</v>
      </c>
      <c r="E223" s="254" t="s">
        <v>39</v>
      </c>
      <c r="F223" s="258">
        <f>MC!J1256</f>
        <v>7.34</v>
      </c>
      <c r="G223" s="74">
        <v>306.2</v>
      </c>
      <c r="H223" s="32">
        <f t="shared" si="17"/>
        <v>404.06</v>
      </c>
      <c r="I223" s="10">
        <f t="shared" si="24"/>
        <v>2965.8</v>
      </c>
    </row>
    <row r="224" spans="1:9" x14ac:dyDescent="0.2">
      <c r="A224" s="23" t="s">
        <v>412</v>
      </c>
      <c r="B224" s="22">
        <v>1703</v>
      </c>
      <c r="C224" s="252" t="s">
        <v>599</v>
      </c>
      <c r="D224" s="18" t="s">
        <v>204</v>
      </c>
      <c r="E224" s="254"/>
      <c r="F224" s="254"/>
      <c r="G224" s="74"/>
      <c r="H224" s="32">
        <f t="shared" si="17"/>
        <v>0</v>
      </c>
      <c r="I224" s="10">
        <f t="shared" si="24"/>
        <v>0</v>
      </c>
    </row>
    <row r="225" spans="1:9" ht="25.5" x14ac:dyDescent="0.2">
      <c r="A225" s="254" t="s">
        <v>413</v>
      </c>
      <c r="B225" s="254">
        <v>170304</v>
      </c>
      <c r="C225" s="252" t="s">
        <v>599</v>
      </c>
      <c r="D225" s="255" t="s">
        <v>206</v>
      </c>
      <c r="E225" s="254" t="s">
        <v>25</v>
      </c>
      <c r="F225" s="258">
        <f>MC!J1264</f>
        <v>5</v>
      </c>
      <c r="G225" s="74">
        <v>160.72999999999999</v>
      </c>
      <c r="H225" s="32">
        <f t="shared" si="17"/>
        <v>212.1</v>
      </c>
      <c r="I225" s="10">
        <f t="shared" si="24"/>
        <v>1060.5</v>
      </c>
    </row>
    <row r="226" spans="1:9" x14ac:dyDescent="0.2">
      <c r="A226" s="254" t="s">
        <v>414</v>
      </c>
      <c r="B226" s="254">
        <v>170306</v>
      </c>
      <c r="C226" s="252" t="s">
        <v>599</v>
      </c>
      <c r="D226" s="255" t="s">
        <v>207</v>
      </c>
      <c r="E226" s="254" t="s">
        <v>43</v>
      </c>
      <c r="F226" s="258">
        <f>MC!J1268</f>
        <v>1</v>
      </c>
      <c r="G226" s="74">
        <v>132.44</v>
      </c>
      <c r="H226" s="32">
        <f t="shared" si="17"/>
        <v>174.77</v>
      </c>
      <c r="I226" s="10">
        <f t="shared" si="24"/>
        <v>174.77</v>
      </c>
    </row>
    <row r="227" spans="1:9" x14ac:dyDescent="0.2">
      <c r="A227" s="254" t="s">
        <v>415</v>
      </c>
      <c r="B227" s="254">
        <v>170309</v>
      </c>
      <c r="C227" s="252" t="s">
        <v>599</v>
      </c>
      <c r="D227" s="255" t="s">
        <v>208</v>
      </c>
      <c r="E227" s="254" t="s">
        <v>43</v>
      </c>
      <c r="F227" s="258">
        <f>MC!J1272</f>
        <v>2</v>
      </c>
      <c r="G227" s="74">
        <v>90.66</v>
      </c>
      <c r="H227" s="32">
        <f t="shared" si="17"/>
        <v>119.63</v>
      </c>
      <c r="I227" s="10">
        <f t="shared" si="24"/>
        <v>239.26</v>
      </c>
    </row>
    <row r="228" spans="1:9" ht="25.5" x14ac:dyDescent="0.2">
      <c r="A228" s="254" t="s">
        <v>416</v>
      </c>
      <c r="B228" s="254">
        <v>170315</v>
      </c>
      <c r="C228" s="252" t="s">
        <v>599</v>
      </c>
      <c r="D228" s="255" t="s">
        <v>209</v>
      </c>
      <c r="E228" s="254" t="s">
        <v>43</v>
      </c>
      <c r="F228" s="258">
        <f>MC!J1277</f>
        <v>2</v>
      </c>
      <c r="G228" s="74">
        <v>176.7</v>
      </c>
      <c r="H228" s="32">
        <f t="shared" si="17"/>
        <v>233.17</v>
      </c>
      <c r="I228" s="10">
        <f t="shared" si="24"/>
        <v>466.34</v>
      </c>
    </row>
    <row r="229" spans="1:9" ht="25.5" x14ac:dyDescent="0.2">
      <c r="A229" s="254" t="s">
        <v>417</v>
      </c>
      <c r="B229" s="254">
        <v>170317</v>
      </c>
      <c r="C229" s="252" t="s">
        <v>599</v>
      </c>
      <c r="D229" s="255" t="s">
        <v>210</v>
      </c>
      <c r="E229" s="254" t="s">
        <v>43</v>
      </c>
      <c r="F229" s="258">
        <f>MC!J1283</f>
        <v>3</v>
      </c>
      <c r="G229" s="74">
        <v>109.13</v>
      </c>
      <c r="H229" s="32">
        <f t="shared" si="17"/>
        <v>144.01</v>
      </c>
      <c r="I229" s="10">
        <f t="shared" si="24"/>
        <v>432.03</v>
      </c>
    </row>
    <row r="230" spans="1:9" x14ac:dyDescent="0.2">
      <c r="A230" s="254" t="s">
        <v>418</v>
      </c>
      <c r="B230" s="254">
        <v>170321</v>
      </c>
      <c r="C230" s="252" t="s">
        <v>599</v>
      </c>
      <c r="D230" s="255" t="s">
        <v>211</v>
      </c>
      <c r="E230" s="254" t="s">
        <v>43</v>
      </c>
      <c r="F230" s="258">
        <f>MC!J1288</f>
        <v>3</v>
      </c>
      <c r="G230" s="74">
        <v>63.86</v>
      </c>
      <c r="H230" s="32">
        <f t="shared" si="17"/>
        <v>84.27</v>
      </c>
      <c r="I230" s="10">
        <f t="shared" si="24"/>
        <v>252.81</v>
      </c>
    </row>
    <row r="231" spans="1:9" x14ac:dyDescent="0.2">
      <c r="A231" s="254" t="s">
        <v>419</v>
      </c>
      <c r="B231" s="254">
        <v>170322</v>
      </c>
      <c r="C231" s="252" t="s">
        <v>599</v>
      </c>
      <c r="D231" s="255" t="s">
        <v>212</v>
      </c>
      <c r="E231" s="254" t="s">
        <v>96</v>
      </c>
      <c r="F231" s="258">
        <f>MC!J1295</f>
        <v>4</v>
      </c>
      <c r="G231" s="74">
        <v>92.87</v>
      </c>
      <c r="H231" s="32">
        <f t="shared" si="17"/>
        <v>122.55</v>
      </c>
      <c r="I231" s="10">
        <f t="shared" si="24"/>
        <v>490.2</v>
      </c>
    </row>
    <row r="232" spans="1:9" ht="25.5" x14ac:dyDescent="0.2">
      <c r="A232" s="254" t="s">
        <v>420</v>
      </c>
      <c r="B232" s="254">
        <v>170329</v>
      </c>
      <c r="C232" s="252" t="s">
        <v>599</v>
      </c>
      <c r="D232" s="255" t="s">
        <v>213</v>
      </c>
      <c r="E232" s="254" t="s">
        <v>43</v>
      </c>
      <c r="F232" s="258">
        <f>MC!J1307</f>
        <v>9</v>
      </c>
      <c r="G232" s="74">
        <v>122.81</v>
      </c>
      <c r="H232" s="32">
        <f t="shared" si="17"/>
        <v>162.06</v>
      </c>
      <c r="I232" s="10">
        <f t="shared" si="24"/>
        <v>1458.54</v>
      </c>
    </row>
    <row r="233" spans="1:9" x14ac:dyDescent="0.2">
      <c r="A233" s="23" t="s">
        <v>404</v>
      </c>
      <c r="B233" s="22">
        <v>1705</v>
      </c>
      <c r="C233" s="252" t="s">
        <v>599</v>
      </c>
      <c r="D233" s="18" t="s">
        <v>214</v>
      </c>
      <c r="E233" s="254"/>
      <c r="F233" s="254"/>
      <c r="G233" s="74"/>
      <c r="H233" s="32">
        <f t="shared" si="17"/>
        <v>0</v>
      </c>
      <c r="I233" s="10">
        <f t="shared" si="24"/>
        <v>0</v>
      </c>
    </row>
    <row r="234" spans="1:9" ht="25.5" x14ac:dyDescent="0.2">
      <c r="A234" s="254" t="s">
        <v>421</v>
      </c>
      <c r="B234" s="254">
        <v>170519</v>
      </c>
      <c r="C234" s="252" t="s">
        <v>599</v>
      </c>
      <c r="D234" s="255" t="s">
        <v>215</v>
      </c>
      <c r="E234" s="254" t="s">
        <v>25</v>
      </c>
      <c r="F234" s="258">
        <f>MC!J1316</f>
        <v>5</v>
      </c>
      <c r="G234" s="74">
        <v>263.81</v>
      </c>
      <c r="H234" s="32">
        <f t="shared" si="17"/>
        <v>348.12</v>
      </c>
      <c r="I234" s="10">
        <f t="shared" si="24"/>
        <v>1740.6</v>
      </c>
    </row>
    <row r="235" spans="1:9" ht="25.5" x14ac:dyDescent="0.2">
      <c r="A235" s="254" t="s">
        <v>422</v>
      </c>
      <c r="B235" s="254">
        <v>170530</v>
      </c>
      <c r="C235" s="252" t="s">
        <v>599</v>
      </c>
      <c r="D235" s="255" t="s">
        <v>216</v>
      </c>
      <c r="E235" s="254" t="s">
        <v>43</v>
      </c>
      <c r="F235" s="258">
        <f>MC!J1321</f>
        <v>2</v>
      </c>
      <c r="G235" s="74">
        <v>416.83</v>
      </c>
      <c r="H235" s="32">
        <f t="shared" si="17"/>
        <v>550.04999999999995</v>
      </c>
      <c r="I235" s="10">
        <f t="shared" si="24"/>
        <v>1100.0999999999999</v>
      </c>
    </row>
    <row r="236" spans="1:9" ht="25.5" x14ac:dyDescent="0.2">
      <c r="A236" s="254" t="s">
        <v>423</v>
      </c>
      <c r="B236" s="254">
        <v>170540</v>
      </c>
      <c r="C236" s="252" t="s">
        <v>599</v>
      </c>
      <c r="D236" s="255" t="s">
        <v>217</v>
      </c>
      <c r="E236" s="254" t="s">
        <v>43</v>
      </c>
      <c r="F236" s="258">
        <f>MC!J1326</f>
        <v>1</v>
      </c>
      <c r="G236" s="74">
        <v>952.3</v>
      </c>
      <c r="H236" s="32">
        <f t="shared" si="17"/>
        <v>1256.6600000000001</v>
      </c>
      <c r="I236" s="10">
        <f t="shared" si="24"/>
        <v>1256.6600000000001</v>
      </c>
    </row>
    <row r="237" spans="1:9" ht="25.5" x14ac:dyDescent="0.2">
      <c r="A237" s="254" t="s">
        <v>424</v>
      </c>
      <c r="B237" s="254">
        <v>170548</v>
      </c>
      <c r="C237" s="252" t="s">
        <v>599</v>
      </c>
      <c r="D237" s="255" t="s">
        <v>218</v>
      </c>
      <c r="E237" s="254" t="s">
        <v>43</v>
      </c>
      <c r="F237" s="258">
        <f>MC!J1331</f>
        <v>1</v>
      </c>
      <c r="G237" s="74">
        <v>1370.16</v>
      </c>
      <c r="H237" s="32">
        <f t="shared" si="17"/>
        <v>1808.06</v>
      </c>
      <c r="I237" s="10">
        <f t="shared" si="24"/>
        <v>1808.06</v>
      </c>
    </row>
    <row r="238" spans="1:9" x14ac:dyDescent="0.2">
      <c r="A238" s="254" t="s">
        <v>425</v>
      </c>
      <c r="B238" s="254">
        <v>170555</v>
      </c>
      <c r="C238" s="252" t="s">
        <v>599</v>
      </c>
      <c r="D238" s="255" t="s">
        <v>219</v>
      </c>
      <c r="E238" s="254" t="s">
        <v>43</v>
      </c>
      <c r="F238" s="258">
        <f>MC!J1336</f>
        <v>1</v>
      </c>
      <c r="G238" s="74">
        <v>258.43</v>
      </c>
      <c r="H238" s="32">
        <f t="shared" si="17"/>
        <v>341.02</v>
      </c>
      <c r="I238" s="10">
        <f t="shared" si="24"/>
        <v>341.02</v>
      </c>
    </row>
    <row r="239" spans="1:9" x14ac:dyDescent="0.2">
      <c r="A239" s="11"/>
      <c r="B239" s="11"/>
      <c r="C239" s="5"/>
      <c r="D239" s="40" t="s">
        <v>475</v>
      </c>
      <c r="E239" s="5"/>
      <c r="F239" s="5"/>
      <c r="G239" s="75"/>
      <c r="H239" s="75"/>
      <c r="I239" s="95">
        <f>SUM(I217:I238)</f>
        <v>25472.879999999997</v>
      </c>
    </row>
    <row r="240" spans="1:9" x14ac:dyDescent="0.2">
      <c r="A240" s="11">
        <v>18</v>
      </c>
      <c r="B240" s="5">
        <v>18</v>
      </c>
      <c r="C240" s="5"/>
      <c r="D240" s="7" t="s">
        <v>220</v>
      </c>
      <c r="E240" s="5"/>
      <c r="F240" s="5"/>
      <c r="G240" s="75"/>
      <c r="H240" s="75"/>
      <c r="I240" s="5"/>
    </row>
    <row r="241" spans="1:9" x14ac:dyDescent="0.2">
      <c r="A241" s="23" t="s">
        <v>426</v>
      </c>
      <c r="B241" s="22">
        <v>1802</v>
      </c>
      <c r="C241" s="252" t="s">
        <v>599</v>
      </c>
      <c r="D241" s="18" t="s">
        <v>221</v>
      </c>
      <c r="E241" s="254"/>
      <c r="F241" s="254"/>
      <c r="G241" s="74"/>
      <c r="H241" s="32">
        <f t="shared" si="17"/>
        <v>0</v>
      </c>
      <c r="I241" s="10">
        <f t="shared" ref="I241:I256" si="25">TRUNC(ROUND(F241*H241,2),2)</f>
        <v>0</v>
      </c>
    </row>
    <row r="242" spans="1:9" ht="25.5" x14ac:dyDescent="0.2">
      <c r="A242" s="254" t="s">
        <v>427</v>
      </c>
      <c r="B242" s="254">
        <v>180201</v>
      </c>
      <c r="C242" s="252" t="s">
        <v>599</v>
      </c>
      <c r="D242" s="255" t="s">
        <v>222</v>
      </c>
      <c r="E242" s="254" t="s">
        <v>43</v>
      </c>
      <c r="F242" s="258">
        <f>MC!J1350</f>
        <v>9</v>
      </c>
      <c r="G242" s="74">
        <v>34.18</v>
      </c>
      <c r="H242" s="32">
        <f t="shared" si="17"/>
        <v>45.1</v>
      </c>
      <c r="I242" s="10">
        <f t="shared" si="25"/>
        <v>405.9</v>
      </c>
    </row>
    <row r="243" spans="1:9" ht="25.5" x14ac:dyDescent="0.2">
      <c r="A243" s="254" t="s">
        <v>428</v>
      </c>
      <c r="B243" s="254">
        <v>180202</v>
      </c>
      <c r="C243" s="252" t="s">
        <v>599</v>
      </c>
      <c r="D243" s="255" t="s">
        <v>223</v>
      </c>
      <c r="E243" s="254" t="s">
        <v>25</v>
      </c>
      <c r="F243" s="258">
        <f>MC!J1358</f>
        <v>3</v>
      </c>
      <c r="G243" s="74">
        <v>39.17</v>
      </c>
      <c r="H243" s="32">
        <f t="shared" si="17"/>
        <v>51.69</v>
      </c>
      <c r="I243" s="10">
        <f t="shared" si="25"/>
        <v>155.07</v>
      </c>
    </row>
    <row r="244" spans="1:9" x14ac:dyDescent="0.2">
      <c r="A244" s="254" t="s">
        <v>429</v>
      </c>
      <c r="B244" s="254">
        <v>180204</v>
      </c>
      <c r="C244" s="252" t="s">
        <v>599</v>
      </c>
      <c r="D244" s="255" t="s">
        <v>1142</v>
      </c>
      <c r="E244" s="254" t="s">
        <v>43</v>
      </c>
      <c r="F244" s="258">
        <f>MC!J1379</f>
        <v>16</v>
      </c>
      <c r="G244" s="74">
        <v>32.89</v>
      </c>
      <c r="H244" s="32">
        <f t="shared" si="17"/>
        <v>43.4</v>
      </c>
      <c r="I244" s="10">
        <f t="shared" si="25"/>
        <v>694.4</v>
      </c>
    </row>
    <row r="245" spans="1:9" x14ac:dyDescent="0.2">
      <c r="A245" s="254" t="s">
        <v>430</v>
      </c>
      <c r="B245" s="254">
        <v>180205</v>
      </c>
      <c r="C245" s="252" t="s">
        <v>599</v>
      </c>
      <c r="D245" s="255" t="s">
        <v>225</v>
      </c>
      <c r="E245" s="254" t="s">
        <v>43</v>
      </c>
      <c r="F245" s="258">
        <f>MC!J1384</f>
        <v>1</v>
      </c>
      <c r="G245" s="74">
        <v>56.61</v>
      </c>
      <c r="H245" s="32">
        <f t="shared" si="17"/>
        <v>74.7</v>
      </c>
      <c r="I245" s="10">
        <f t="shared" si="25"/>
        <v>74.7</v>
      </c>
    </row>
    <row r="246" spans="1:9" x14ac:dyDescent="0.2">
      <c r="A246" s="254" t="s">
        <v>431</v>
      </c>
      <c r="B246" s="254">
        <v>180206</v>
      </c>
      <c r="C246" s="252" t="s">
        <v>599</v>
      </c>
      <c r="D246" s="255" t="s">
        <v>1131</v>
      </c>
      <c r="E246" s="254" t="s">
        <v>43</v>
      </c>
      <c r="F246" s="258">
        <f>MC!J1389</f>
        <v>1</v>
      </c>
      <c r="G246" s="74">
        <v>39.619999999999997</v>
      </c>
      <c r="H246" s="32">
        <f t="shared" si="17"/>
        <v>52.28</v>
      </c>
      <c r="I246" s="10">
        <f t="shared" ref="I246" si="26">TRUNC(ROUND(F246*H246,2),2)</f>
        <v>52.28</v>
      </c>
    </row>
    <row r="247" spans="1:9" ht="25.5" x14ac:dyDescent="0.2">
      <c r="A247" s="254" t="s">
        <v>432</v>
      </c>
      <c r="B247" s="254">
        <v>180207</v>
      </c>
      <c r="C247" s="252" t="s">
        <v>599</v>
      </c>
      <c r="D247" s="255" t="s">
        <v>226</v>
      </c>
      <c r="E247" s="254" t="s">
        <v>43</v>
      </c>
      <c r="F247" s="258">
        <f>MC!J1399</f>
        <v>5</v>
      </c>
      <c r="G247" s="74">
        <v>57.9</v>
      </c>
      <c r="H247" s="32">
        <f t="shared" si="17"/>
        <v>76.400000000000006</v>
      </c>
      <c r="I247" s="10">
        <f t="shared" si="25"/>
        <v>382</v>
      </c>
    </row>
    <row r="248" spans="1:9" x14ac:dyDescent="0.2">
      <c r="A248" s="254" t="s">
        <v>433</v>
      </c>
      <c r="B248" s="254">
        <v>180212</v>
      </c>
      <c r="C248" s="252" t="s">
        <v>599</v>
      </c>
      <c r="D248" s="255" t="s">
        <v>1132</v>
      </c>
      <c r="E248" s="254" t="s">
        <v>43</v>
      </c>
      <c r="F248" s="258">
        <f>MC!J1404</f>
        <v>1</v>
      </c>
      <c r="G248" s="74">
        <v>80.33</v>
      </c>
      <c r="H248" s="32">
        <f t="shared" si="17"/>
        <v>106</v>
      </c>
      <c r="I248" s="10">
        <f t="shared" si="25"/>
        <v>106</v>
      </c>
    </row>
    <row r="249" spans="1:9" s="269" customFormat="1" x14ac:dyDescent="0.2">
      <c r="A249" s="259" t="s">
        <v>434</v>
      </c>
      <c r="B249" s="259">
        <v>180217</v>
      </c>
      <c r="C249" s="252" t="s">
        <v>599</v>
      </c>
      <c r="D249" s="268" t="s">
        <v>227</v>
      </c>
      <c r="E249" s="259" t="s">
        <v>43</v>
      </c>
      <c r="F249" s="249">
        <f>MC!J1427</f>
        <v>18</v>
      </c>
      <c r="G249" s="250">
        <v>7.53</v>
      </c>
      <c r="H249" s="32">
        <f t="shared" si="17"/>
        <v>9.94</v>
      </c>
      <c r="I249" s="10">
        <f t="shared" si="25"/>
        <v>178.92</v>
      </c>
    </row>
    <row r="250" spans="1:9" ht="25.5" x14ac:dyDescent="0.2">
      <c r="A250" s="254" t="s">
        <v>1363</v>
      </c>
      <c r="B250" s="254" t="s">
        <v>1062</v>
      </c>
      <c r="C250" s="252"/>
      <c r="D250" s="255" t="s">
        <v>1249</v>
      </c>
      <c r="E250" s="254" t="s">
        <v>43</v>
      </c>
      <c r="F250" s="258">
        <f>MC!J1433</f>
        <v>1</v>
      </c>
      <c r="G250" s="74">
        <f>'COMP-12'!I31</f>
        <v>15.92</v>
      </c>
      <c r="H250" s="32">
        <f t="shared" si="17"/>
        <v>21.01</v>
      </c>
      <c r="I250" s="10">
        <f>TRUNC(ROUND(F250*H250,2),2)</f>
        <v>21.01</v>
      </c>
    </row>
    <row r="251" spans="1:9" s="253" customFormat="1" ht="25.5" x14ac:dyDescent="0.2">
      <c r="A251" s="254" t="s">
        <v>1133</v>
      </c>
      <c r="B251" s="254" t="s">
        <v>1425</v>
      </c>
      <c r="C251" s="252"/>
      <c r="D251" s="255" t="s">
        <v>1435</v>
      </c>
      <c r="E251" s="254" t="s">
        <v>25</v>
      </c>
      <c r="F251" s="258">
        <f>MC!J1451</f>
        <v>33</v>
      </c>
      <c r="G251" s="74">
        <f>'COMP-28'!I33</f>
        <v>46.579614218699795</v>
      </c>
      <c r="H251" s="32">
        <f t="shared" si="17"/>
        <v>61.47</v>
      </c>
      <c r="I251" s="10">
        <f>TRUNC(ROUND(F251*H251,2),2)</f>
        <v>2028.51</v>
      </c>
    </row>
    <row r="252" spans="1:9" s="253" customFormat="1" ht="25.5" x14ac:dyDescent="0.2">
      <c r="A252" s="254" t="s">
        <v>1434</v>
      </c>
      <c r="B252" s="254" t="s">
        <v>1436</v>
      </c>
      <c r="C252" s="252"/>
      <c r="D252" s="255" t="s">
        <v>1439</v>
      </c>
      <c r="E252" s="254" t="s">
        <v>25</v>
      </c>
      <c r="F252" s="258">
        <f>MC!J1456</f>
        <v>1</v>
      </c>
      <c r="G252" s="74">
        <f>'COMP-29'!I33</f>
        <v>54.625329116418555</v>
      </c>
      <c r="H252" s="32">
        <f t="shared" ref="H252:H254" si="27">TRUNC(ROUND(G252*1.3196,2),2)</f>
        <v>72.08</v>
      </c>
      <c r="I252" s="10">
        <f>TRUNC(ROUND(F252*H252,2),2)</f>
        <v>72.08</v>
      </c>
    </row>
    <row r="253" spans="1:9" s="253" customFormat="1" x14ac:dyDescent="0.2">
      <c r="A253" s="254" t="s">
        <v>1448</v>
      </c>
      <c r="B253" s="254">
        <v>180218</v>
      </c>
      <c r="C253" s="252" t="s">
        <v>599</v>
      </c>
      <c r="D253" s="268" t="s">
        <v>1449</v>
      </c>
      <c r="E253" s="254" t="s">
        <v>25</v>
      </c>
      <c r="F253" s="258">
        <f>MC!J1463</f>
        <v>4</v>
      </c>
      <c r="G253" s="74">
        <v>16.23</v>
      </c>
      <c r="H253" s="32">
        <f t="shared" si="27"/>
        <v>21.42</v>
      </c>
      <c r="I253" s="10">
        <f>TRUNC(ROUND(F253*H253,2),2)</f>
        <v>85.68</v>
      </c>
    </row>
    <row r="254" spans="1:9" s="253" customFormat="1" x14ac:dyDescent="0.2">
      <c r="A254" s="254" t="s">
        <v>1455</v>
      </c>
      <c r="B254" s="254">
        <v>180220</v>
      </c>
      <c r="C254" s="252" t="s">
        <v>599</v>
      </c>
      <c r="D254" s="268" t="s">
        <v>1456</v>
      </c>
      <c r="E254" s="254"/>
      <c r="F254" s="258"/>
      <c r="G254" s="74">
        <v>27.93</v>
      </c>
      <c r="H254" s="32">
        <f t="shared" si="27"/>
        <v>36.86</v>
      </c>
      <c r="I254" s="10">
        <f>TRUNC(ROUND(F254*H254,2),2)</f>
        <v>0</v>
      </c>
    </row>
    <row r="255" spans="1:9" x14ac:dyDescent="0.2">
      <c r="A255" s="23" t="s">
        <v>435</v>
      </c>
      <c r="B255" s="22">
        <v>1808</v>
      </c>
      <c r="C255" s="252" t="s">
        <v>599</v>
      </c>
      <c r="D255" s="18" t="s">
        <v>214</v>
      </c>
      <c r="E255" s="254"/>
      <c r="F255" s="254"/>
      <c r="G255" s="74"/>
      <c r="H255" s="32">
        <f t="shared" si="17"/>
        <v>0</v>
      </c>
      <c r="I255" s="10">
        <f t="shared" si="25"/>
        <v>0</v>
      </c>
    </row>
    <row r="256" spans="1:9" x14ac:dyDescent="0.2">
      <c r="A256" s="254" t="s">
        <v>437</v>
      </c>
      <c r="B256" s="254">
        <v>180809</v>
      </c>
      <c r="C256" s="252" t="s">
        <v>599</v>
      </c>
      <c r="D256" s="255" t="s">
        <v>228</v>
      </c>
      <c r="E256" s="254" t="s">
        <v>43</v>
      </c>
      <c r="F256" s="258">
        <f>MC!J1477</f>
        <v>3</v>
      </c>
      <c r="G256" s="74">
        <v>143.07</v>
      </c>
      <c r="H256" s="32">
        <f t="shared" si="17"/>
        <v>188.8</v>
      </c>
      <c r="I256" s="10">
        <f t="shared" si="25"/>
        <v>566.4</v>
      </c>
    </row>
    <row r="257" spans="1:76" x14ac:dyDescent="0.2">
      <c r="A257" s="23" t="s">
        <v>839</v>
      </c>
      <c r="B257" s="22">
        <v>1808</v>
      </c>
      <c r="C257" s="252" t="s">
        <v>599</v>
      </c>
      <c r="D257" s="18" t="s">
        <v>841</v>
      </c>
      <c r="E257" s="254"/>
      <c r="F257" s="254"/>
      <c r="G257" s="74"/>
      <c r="H257" s="32">
        <f t="shared" si="17"/>
        <v>0</v>
      </c>
      <c r="I257" s="10">
        <f>TRUNC(ROUND(F257*H257,2),2)</f>
        <v>0</v>
      </c>
    </row>
    <row r="258" spans="1:76" x14ac:dyDescent="0.2">
      <c r="A258" s="254" t="s">
        <v>840</v>
      </c>
      <c r="B258" s="254" t="s">
        <v>1066</v>
      </c>
      <c r="C258" s="252"/>
      <c r="D258" s="255" t="s">
        <v>843</v>
      </c>
      <c r="E258" s="254" t="s">
        <v>43</v>
      </c>
      <c r="F258" s="258">
        <f>MC!J1482</f>
        <v>40</v>
      </c>
      <c r="G258" s="74">
        <f>'COMP-13'!I30</f>
        <v>85.250500000000002</v>
      </c>
      <c r="H258" s="32">
        <f t="shared" si="17"/>
        <v>112.5</v>
      </c>
      <c r="I258" s="10">
        <f>TRUNC(ROUND(F258*H258,2),2)</f>
        <v>4500</v>
      </c>
    </row>
    <row r="259" spans="1:76" x14ac:dyDescent="0.2">
      <c r="A259" s="11"/>
      <c r="B259" s="11"/>
      <c r="C259" s="5"/>
      <c r="D259" s="40" t="s">
        <v>476</v>
      </c>
      <c r="E259" s="5"/>
      <c r="F259" s="5"/>
      <c r="G259" s="75"/>
      <c r="H259" s="75"/>
      <c r="I259" s="95">
        <f>SUM(I241:I258)</f>
        <v>9322.9500000000007</v>
      </c>
    </row>
    <row r="260" spans="1:76" x14ac:dyDescent="0.2">
      <c r="A260" s="11">
        <v>19</v>
      </c>
      <c r="B260" s="5">
        <v>19</v>
      </c>
      <c r="C260" s="5"/>
      <c r="D260" s="7" t="s">
        <v>229</v>
      </c>
      <c r="E260" s="5"/>
      <c r="F260" s="5"/>
      <c r="G260" s="75"/>
      <c r="H260" s="75"/>
      <c r="I260" s="5"/>
    </row>
    <row r="261" spans="1:76" x14ac:dyDescent="0.2">
      <c r="A261" s="23" t="s">
        <v>438</v>
      </c>
      <c r="B261" s="22">
        <v>1901</v>
      </c>
      <c r="C261" s="252" t="s">
        <v>599</v>
      </c>
      <c r="D261" s="18" t="s">
        <v>230</v>
      </c>
      <c r="E261" s="254"/>
      <c r="F261" s="254"/>
      <c r="G261" s="74"/>
      <c r="H261" s="32">
        <f t="shared" si="17"/>
        <v>0</v>
      </c>
      <c r="I261" s="10">
        <f t="shared" ref="I261:I269" si="28">TRUNC(ROUND(F261*H261,2),2)</f>
        <v>0</v>
      </c>
    </row>
    <row r="262" spans="1:76" ht="25.5" x14ac:dyDescent="0.2">
      <c r="A262" s="254" t="s">
        <v>439</v>
      </c>
      <c r="B262" s="254">
        <v>190103</v>
      </c>
      <c r="C262" s="252" t="s">
        <v>599</v>
      </c>
      <c r="D262" s="255" t="s">
        <v>231</v>
      </c>
      <c r="E262" s="254" t="s">
        <v>39</v>
      </c>
      <c r="F262" s="258">
        <f>MC!J1562</f>
        <v>947.55419999999981</v>
      </c>
      <c r="G262" s="74">
        <v>13.96</v>
      </c>
      <c r="H262" s="32">
        <f t="shared" si="17"/>
        <v>18.420000000000002</v>
      </c>
      <c r="I262" s="10">
        <f t="shared" si="28"/>
        <v>17453.95</v>
      </c>
    </row>
    <row r="263" spans="1:76" ht="25.5" x14ac:dyDescent="0.2">
      <c r="A263" s="254" t="s">
        <v>440</v>
      </c>
      <c r="B263" s="254">
        <v>190106</v>
      </c>
      <c r="C263" s="252" t="s">
        <v>599</v>
      </c>
      <c r="D263" s="255" t="s">
        <v>232</v>
      </c>
      <c r="E263" s="254" t="s">
        <v>39</v>
      </c>
      <c r="F263" s="258">
        <f>MC!J1570</f>
        <v>1788.1730000000002</v>
      </c>
      <c r="G263" s="74">
        <v>19.68</v>
      </c>
      <c r="H263" s="32">
        <f t="shared" si="17"/>
        <v>25.97</v>
      </c>
      <c r="I263" s="10">
        <f t="shared" si="28"/>
        <v>46438.85</v>
      </c>
    </row>
    <row r="264" spans="1:76" x14ac:dyDescent="0.2">
      <c r="A264" s="23" t="s">
        <v>436</v>
      </c>
      <c r="B264" s="22">
        <v>1903</v>
      </c>
      <c r="C264" s="252" t="s">
        <v>599</v>
      </c>
      <c r="D264" s="18" t="s">
        <v>233</v>
      </c>
      <c r="E264" s="254"/>
      <c r="F264" s="254"/>
      <c r="G264" s="74"/>
      <c r="H264" s="32">
        <f t="shared" si="17"/>
        <v>0</v>
      </c>
      <c r="I264" s="10">
        <f t="shared" si="28"/>
        <v>0</v>
      </c>
    </row>
    <row r="265" spans="1:76" ht="25.5" x14ac:dyDescent="0.2">
      <c r="A265" s="254" t="s">
        <v>442</v>
      </c>
      <c r="B265" s="254">
        <v>190306</v>
      </c>
      <c r="C265" s="252" t="s">
        <v>599</v>
      </c>
      <c r="D265" s="255" t="s">
        <v>234</v>
      </c>
      <c r="E265" s="254" t="s">
        <v>39</v>
      </c>
      <c r="F265" s="258">
        <f>MC!J1579</f>
        <v>131.67000000000002</v>
      </c>
      <c r="G265" s="74">
        <v>19.8</v>
      </c>
      <c r="H265" s="32">
        <f t="shared" si="17"/>
        <v>26.13</v>
      </c>
      <c r="I265" s="10">
        <f t="shared" si="28"/>
        <v>3440.54</v>
      </c>
    </row>
    <row r="266" spans="1:76" x14ac:dyDescent="0.2">
      <c r="A266" s="23" t="s">
        <v>443</v>
      </c>
      <c r="B266" s="22">
        <v>1904</v>
      </c>
      <c r="C266" s="252" t="s">
        <v>599</v>
      </c>
      <c r="D266" s="18" t="s">
        <v>235</v>
      </c>
      <c r="E266" s="254"/>
      <c r="F266" s="254"/>
      <c r="G266" s="74"/>
      <c r="H266" s="32">
        <f t="shared" si="17"/>
        <v>0</v>
      </c>
      <c r="I266" s="10">
        <f t="shared" si="28"/>
        <v>0</v>
      </c>
    </row>
    <row r="267" spans="1:76" s="112" customFormat="1" ht="25.5" x14ac:dyDescent="0.2">
      <c r="A267" s="106" t="s">
        <v>444</v>
      </c>
      <c r="B267" s="106">
        <v>190417</v>
      </c>
      <c r="C267" s="108" t="s">
        <v>599</v>
      </c>
      <c r="D267" s="109" t="s">
        <v>236</v>
      </c>
      <c r="E267" s="106" t="s">
        <v>39</v>
      </c>
      <c r="F267" s="179">
        <f>MC!J1594</f>
        <v>148.72800000000004</v>
      </c>
      <c r="G267" s="110">
        <v>18.43</v>
      </c>
      <c r="H267" s="32">
        <f t="shared" si="17"/>
        <v>24.32</v>
      </c>
      <c r="I267" s="111">
        <f t="shared" si="28"/>
        <v>3617.06</v>
      </c>
      <c r="J267" s="15"/>
      <c r="K267" s="15"/>
      <c r="L267" s="15"/>
      <c r="M267" s="15"/>
      <c r="N267" s="15"/>
      <c r="O267" s="15"/>
      <c r="P267" s="15"/>
      <c r="Q267" s="15"/>
      <c r="R267" s="15"/>
      <c r="S267" s="15"/>
      <c r="T267" s="15"/>
      <c r="U267" s="15"/>
      <c r="V267" s="15"/>
      <c r="W267" s="15"/>
      <c r="X267" s="15"/>
      <c r="Y267" s="15"/>
      <c r="Z267" s="15"/>
      <c r="AA267" s="15"/>
      <c r="AB267" s="15"/>
      <c r="AC267" s="15"/>
      <c r="AD267" s="15"/>
      <c r="AE267" s="15"/>
      <c r="AF267" s="15"/>
      <c r="AG267" s="15"/>
      <c r="AH267" s="15"/>
      <c r="AI267" s="15"/>
      <c r="AJ267" s="15"/>
      <c r="AK267" s="15"/>
      <c r="AL267" s="15"/>
      <c r="AM267" s="15"/>
      <c r="AN267" s="15"/>
      <c r="AO267" s="15"/>
      <c r="AP267" s="15"/>
      <c r="AQ267" s="15"/>
      <c r="AR267" s="15"/>
      <c r="AS267" s="15"/>
      <c r="AT267" s="15"/>
      <c r="AU267" s="15"/>
      <c r="AV267" s="15"/>
      <c r="AW267" s="15"/>
      <c r="AX267" s="15"/>
      <c r="AY267" s="15"/>
      <c r="AZ267" s="15"/>
      <c r="BA267" s="15"/>
      <c r="BB267" s="15"/>
      <c r="BC267" s="15"/>
      <c r="BD267" s="15"/>
      <c r="BE267" s="15"/>
      <c r="BF267" s="15"/>
      <c r="BG267" s="15"/>
      <c r="BH267" s="15"/>
      <c r="BI267" s="15"/>
      <c r="BJ267" s="15"/>
      <c r="BK267" s="15"/>
      <c r="BL267" s="15"/>
      <c r="BM267" s="15"/>
      <c r="BN267" s="15"/>
      <c r="BO267" s="15"/>
      <c r="BP267" s="15"/>
      <c r="BQ267" s="15"/>
      <c r="BR267" s="15"/>
      <c r="BS267" s="15"/>
      <c r="BT267" s="15"/>
      <c r="BU267" s="15"/>
      <c r="BV267" s="15"/>
      <c r="BW267" s="15"/>
      <c r="BX267" s="15"/>
    </row>
    <row r="268" spans="1:76" x14ac:dyDescent="0.2">
      <c r="A268" s="23" t="s">
        <v>445</v>
      </c>
      <c r="B268" s="22">
        <v>1906</v>
      </c>
      <c r="C268" s="252" t="s">
        <v>599</v>
      </c>
      <c r="D268" s="18" t="s">
        <v>237</v>
      </c>
      <c r="E268" s="254"/>
      <c r="F268" s="254"/>
      <c r="G268" s="74"/>
      <c r="H268" s="32">
        <f t="shared" si="17"/>
        <v>0</v>
      </c>
      <c r="I268" s="10">
        <f t="shared" si="28"/>
        <v>0</v>
      </c>
    </row>
    <row r="269" spans="1:76" s="112" customFormat="1" ht="25.5" x14ac:dyDescent="0.2">
      <c r="A269" s="106" t="s">
        <v>446</v>
      </c>
      <c r="B269" s="106">
        <v>190603</v>
      </c>
      <c r="C269" s="108" t="s">
        <v>599</v>
      </c>
      <c r="D269" s="109" t="s">
        <v>238</v>
      </c>
      <c r="E269" s="106" t="s">
        <v>39</v>
      </c>
      <c r="F269" s="179">
        <f>MC!J1599</f>
        <v>53.47</v>
      </c>
      <c r="G269" s="110">
        <v>16.93</v>
      </c>
      <c r="H269" s="32">
        <f t="shared" si="17"/>
        <v>22.34</v>
      </c>
      <c r="I269" s="111">
        <f t="shared" si="28"/>
        <v>1194.52</v>
      </c>
      <c r="J269" s="15"/>
      <c r="K269" s="15"/>
      <c r="L269" s="15"/>
      <c r="M269" s="15"/>
      <c r="N269" s="15"/>
      <c r="O269" s="15"/>
      <c r="P269" s="15"/>
      <c r="Q269" s="15"/>
      <c r="R269" s="15"/>
      <c r="S269" s="15"/>
      <c r="T269" s="15"/>
      <c r="U269" s="15"/>
      <c r="V269" s="15"/>
      <c r="W269" s="15"/>
      <c r="X269" s="15"/>
      <c r="Y269" s="15"/>
      <c r="Z269" s="15"/>
      <c r="AA269" s="15"/>
      <c r="AB269" s="15"/>
      <c r="AC269" s="15"/>
      <c r="AD269" s="15"/>
      <c r="AE269" s="15"/>
      <c r="AF269" s="15"/>
      <c r="AG269" s="15"/>
      <c r="AH269" s="15"/>
      <c r="AI269" s="15"/>
      <c r="AJ269" s="15"/>
      <c r="AK269" s="15"/>
      <c r="AL269" s="15"/>
      <c r="AM269" s="15"/>
      <c r="AN269" s="15"/>
      <c r="AO269" s="15"/>
      <c r="AP269" s="15"/>
      <c r="AQ269" s="15"/>
      <c r="AR269" s="15"/>
      <c r="AS269" s="15"/>
      <c r="AT269" s="15"/>
      <c r="AU269" s="15"/>
      <c r="AV269" s="15"/>
      <c r="AW269" s="15"/>
      <c r="AX269" s="15"/>
      <c r="AY269" s="15"/>
      <c r="AZ269" s="15"/>
      <c r="BA269" s="15"/>
      <c r="BB269" s="15"/>
      <c r="BC269" s="15"/>
      <c r="BD269" s="15"/>
      <c r="BE269" s="15"/>
      <c r="BF269" s="15"/>
      <c r="BG269" s="15"/>
      <c r="BH269" s="15"/>
      <c r="BI269" s="15"/>
      <c r="BJ269" s="15"/>
      <c r="BK269" s="15"/>
      <c r="BL269" s="15"/>
      <c r="BM269" s="15"/>
      <c r="BN269" s="15"/>
      <c r="BO269" s="15"/>
      <c r="BP269" s="15"/>
      <c r="BQ269" s="15"/>
      <c r="BR269" s="15"/>
      <c r="BS269" s="15"/>
      <c r="BT269" s="15"/>
      <c r="BU269" s="15"/>
      <c r="BV269" s="15"/>
      <c r="BW269" s="15"/>
      <c r="BX269" s="15"/>
    </row>
    <row r="270" spans="1:76" x14ac:dyDescent="0.2">
      <c r="A270" s="11"/>
      <c r="B270" s="11"/>
      <c r="C270" s="5"/>
      <c r="D270" s="40" t="s">
        <v>477</v>
      </c>
      <c r="E270" s="5"/>
      <c r="F270" s="5"/>
      <c r="G270" s="75"/>
      <c r="H270" s="75"/>
      <c r="I270" s="95">
        <f>SUM(I261:I269)</f>
        <v>72144.92</v>
      </c>
    </row>
    <row r="271" spans="1:76" x14ac:dyDescent="0.2">
      <c r="A271" s="11">
        <v>20</v>
      </c>
      <c r="B271" s="5">
        <v>20</v>
      </c>
      <c r="C271" s="5"/>
      <c r="D271" s="7" t="s">
        <v>254</v>
      </c>
      <c r="E271" s="5"/>
      <c r="F271" s="5"/>
      <c r="G271" s="75"/>
      <c r="H271" s="75"/>
      <c r="I271" s="5"/>
    </row>
    <row r="272" spans="1:76" x14ac:dyDescent="0.2">
      <c r="A272" s="23" t="s">
        <v>447</v>
      </c>
      <c r="B272" s="22">
        <v>2002</v>
      </c>
      <c r="C272" s="252" t="s">
        <v>599</v>
      </c>
      <c r="D272" s="18" t="s">
        <v>239</v>
      </c>
      <c r="E272" s="254"/>
      <c r="F272" s="254"/>
      <c r="G272" s="74"/>
      <c r="H272" s="32">
        <f t="shared" ref="H272:H304" si="29">TRUNC(ROUND(G272*1.3196,2),2)</f>
        <v>0</v>
      </c>
      <c r="I272" s="10">
        <f t="shared" ref="I272:I284" si="30">TRUNC(ROUND(F272*H272,2),2)</f>
        <v>0</v>
      </c>
    </row>
    <row r="273" spans="1:76" ht="25.5" x14ac:dyDescent="0.2">
      <c r="A273" s="254" t="s">
        <v>448</v>
      </c>
      <c r="B273" s="254">
        <v>200202</v>
      </c>
      <c r="C273" s="252" t="s">
        <v>599</v>
      </c>
      <c r="D273" s="255" t="s">
        <v>240</v>
      </c>
      <c r="E273" s="254" t="s">
        <v>49</v>
      </c>
      <c r="F273" s="258">
        <f>MC!J1605</f>
        <v>39.57</v>
      </c>
      <c r="G273" s="74">
        <v>46.49</v>
      </c>
      <c r="H273" s="32">
        <f t="shared" si="29"/>
        <v>61.35</v>
      </c>
      <c r="I273" s="10">
        <f t="shared" si="30"/>
        <v>2427.62</v>
      </c>
    </row>
    <row r="274" spans="1:76" s="112" customFormat="1" ht="25.5" x14ac:dyDescent="0.2">
      <c r="A274" s="106" t="s">
        <v>449</v>
      </c>
      <c r="B274" s="106">
        <v>200209</v>
      </c>
      <c r="C274" s="108" t="s">
        <v>599</v>
      </c>
      <c r="D274" s="109" t="s">
        <v>241</v>
      </c>
      <c r="E274" s="106" t="s">
        <v>39</v>
      </c>
      <c r="F274" s="179">
        <f>MC!J1610</f>
        <v>53.47</v>
      </c>
      <c r="G274" s="110">
        <v>121.58</v>
      </c>
      <c r="H274" s="32">
        <f t="shared" si="29"/>
        <v>160.44</v>
      </c>
      <c r="I274" s="111">
        <f t="shared" si="30"/>
        <v>8578.73</v>
      </c>
      <c r="J274" s="15"/>
      <c r="K274" s="15"/>
      <c r="L274" s="15"/>
      <c r="M274" s="15"/>
      <c r="N274" s="15"/>
      <c r="O274" s="15"/>
      <c r="P274" s="15"/>
      <c r="Q274" s="15"/>
      <c r="R274" s="15"/>
      <c r="S274" s="15"/>
      <c r="T274" s="15"/>
      <c r="U274" s="15"/>
      <c r="V274" s="15"/>
      <c r="W274" s="15"/>
      <c r="X274" s="15"/>
      <c r="Y274" s="15"/>
      <c r="Z274" s="15"/>
      <c r="AA274" s="15"/>
      <c r="AB274" s="15"/>
      <c r="AC274" s="15"/>
      <c r="AD274" s="15"/>
      <c r="AE274" s="15"/>
      <c r="AF274" s="15"/>
      <c r="AG274" s="15"/>
      <c r="AH274" s="15"/>
      <c r="AI274" s="15"/>
      <c r="AJ274" s="15"/>
      <c r="AK274" s="15"/>
      <c r="AL274" s="15"/>
      <c r="AM274" s="15"/>
      <c r="AN274" s="15"/>
      <c r="AO274" s="15"/>
      <c r="AP274" s="15"/>
      <c r="AQ274" s="15"/>
      <c r="AR274" s="15"/>
      <c r="AS274" s="15"/>
      <c r="AT274" s="15"/>
      <c r="AU274" s="15"/>
      <c r="AV274" s="15"/>
      <c r="AW274" s="15"/>
      <c r="AX274" s="15"/>
      <c r="AY274" s="15"/>
      <c r="AZ274" s="15"/>
      <c r="BA274" s="15"/>
      <c r="BB274" s="15"/>
      <c r="BC274" s="15"/>
      <c r="BD274" s="15"/>
      <c r="BE274" s="15"/>
      <c r="BF274" s="15"/>
      <c r="BG274" s="15"/>
      <c r="BH274" s="15"/>
      <c r="BI274" s="15"/>
      <c r="BJ274" s="15"/>
      <c r="BK274" s="15"/>
      <c r="BL274" s="15"/>
      <c r="BM274" s="15"/>
      <c r="BN274" s="15"/>
      <c r="BO274" s="15"/>
      <c r="BP274" s="15"/>
      <c r="BQ274" s="15"/>
      <c r="BR274" s="15"/>
      <c r="BS274" s="15"/>
      <c r="BT274" s="15"/>
      <c r="BU274" s="15"/>
      <c r="BV274" s="15"/>
      <c r="BW274" s="15"/>
      <c r="BX274" s="15"/>
    </row>
    <row r="275" spans="1:76" s="112" customFormat="1" ht="38.25" x14ac:dyDescent="0.2">
      <c r="A275" s="106" t="s">
        <v>450</v>
      </c>
      <c r="B275" s="106">
        <v>200237</v>
      </c>
      <c r="C275" s="108" t="s">
        <v>599</v>
      </c>
      <c r="D275" s="109" t="s">
        <v>1134</v>
      </c>
      <c r="E275" s="106" t="s">
        <v>39</v>
      </c>
      <c r="F275" s="179">
        <f>MC!J1614</f>
        <v>92.03</v>
      </c>
      <c r="G275" s="110">
        <v>58.01</v>
      </c>
      <c r="H275" s="32">
        <f t="shared" si="29"/>
        <v>76.55</v>
      </c>
      <c r="I275" s="111">
        <f t="shared" si="30"/>
        <v>7044.9</v>
      </c>
      <c r="J275" s="15"/>
      <c r="K275" s="15"/>
      <c r="L275" s="15"/>
      <c r="M275" s="15"/>
      <c r="N275" s="15"/>
      <c r="O275" s="15"/>
      <c r="P275" s="15"/>
      <c r="Q275" s="15"/>
      <c r="R275" s="15"/>
      <c r="S275" s="15"/>
      <c r="T275" s="15"/>
      <c r="U275" s="15"/>
      <c r="V275" s="15"/>
      <c r="W275" s="15"/>
      <c r="X275" s="15"/>
      <c r="Y275" s="15"/>
      <c r="Z275" s="15"/>
      <c r="AA275" s="15"/>
      <c r="AB275" s="15"/>
      <c r="AC275" s="15"/>
      <c r="AD275" s="15"/>
      <c r="AE275" s="15"/>
      <c r="AF275" s="15"/>
      <c r="AG275" s="15"/>
      <c r="AH275" s="15"/>
      <c r="AI275" s="15"/>
      <c r="AJ275" s="15"/>
      <c r="AK275" s="15"/>
      <c r="AL275" s="15"/>
      <c r="AM275" s="15"/>
      <c r="AN275" s="15"/>
      <c r="AO275" s="15"/>
      <c r="AP275" s="15"/>
      <c r="AQ275" s="15"/>
      <c r="AR275" s="15"/>
      <c r="AS275" s="15"/>
      <c r="AT275" s="15"/>
      <c r="AU275" s="15"/>
      <c r="AV275" s="15"/>
      <c r="AW275" s="15"/>
      <c r="AX275" s="15"/>
      <c r="AY275" s="15"/>
      <c r="AZ275" s="15"/>
      <c r="BA275" s="15"/>
      <c r="BB275" s="15"/>
      <c r="BC275" s="15"/>
      <c r="BD275" s="15"/>
      <c r="BE275" s="15"/>
      <c r="BF275" s="15"/>
      <c r="BG275" s="15"/>
      <c r="BH275" s="15"/>
      <c r="BI275" s="15"/>
      <c r="BJ275" s="15"/>
      <c r="BK275" s="15"/>
      <c r="BL275" s="15"/>
      <c r="BM275" s="15"/>
      <c r="BN275" s="15"/>
      <c r="BO275" s="15"/>
      <c r="BP275" s="15"/>
      <c r="BQ275" s="15"/>
      <c r="BR275" s="15"/>
      <c r="BS275" s="15"/>
      <c r="BT275" s="15"/>
      <c r="BU275" s="15"/>
      <c r="BV275" s="15"/>
      <c r="BW275" s="15"/>
      <c r="BX275" s="15"/>
    </row>
    <row r="276" spans="1:76" ht="38.25" x14ac:dyDescent="0.2">
      <c r="A276" s="254" t="s">
        <v>451</v>
      </c>
      <c r="B276" s="254">
        <v>200253</v>
      </c>
      <c r="C276" s="252" t="s">
        <v>599</v>
      </c>
      <c r="D276" s="255" t="s">
        <v>242</v>
      </c>
      <c r="E276" s="254" t="s">
        <v>39</v>
      </c>
      <c r="F276" s="258">
        <f>MC!J1618</f>
        <v>8.0800000000000018</v>
      </c>
      <c r="G276" s="74">
        <v>74.36</v>
      </c>
      <c r="H276" s="32">
        <f t="shared" si="29"/>
        <v>98.13</v>
      </c>
      <c r="I276" s="10">
        <f t="shared" si="30"/>
        <v>792.89</v>
      </c>
    </row>
    <row r="277" spans="1:76" ht="38.25" x14ac:dyDescent="0.2">
      <c r="A277" s="254" t="s">
        <v>1135</v>
      </c>
      <c r="B277" s="254">
        <v>200254</v>
      </c>
      <c r="C277" s="252" t="s">
        <v>599</v>
      </c>
      <c r="D277" s="255" t="s">
        <v>243</v>
      </c>
      <c r="E277" s="254" t="s">
        <v>39</v>
      </c>
      <c r="F277" s="258">
        <f>MC!J1623</f>
        <v>1.1800000000000002</v>
      </c>
      <c r="G277" s="74">
        <v>74.36</v>
      </c>
      <c r="H277" s="32">
        <f t="shared" si="29"/>
        <v>98.13</v>
      </c>
      <c r="I277" s="10">
        <f t="shared" si="30"/>
        <v>115.79</v>
      </c>
    </row>
    <row r="278" spans="1:76" x14ac:dyDescent="0.2">
      <c r="A278" s="23" t="s">
        <v>441</v>
      </c>
      <c r="B278" s="22">
        <v>2003</v>
      </c>
      <c r="C278" s="252" t="s">
        <v>599</v>
      </c>
      <c r="D278" s="18" t="s">
        <v>244</v>
      </c>
      <c r="E278" s="254"/>
      <c r="F278" s="254"/>
      <c r="G278" s="74"/>
      <c r="H278" s="32">
        <f t="shared" si="29"/>
        <v>0</v>
      </c>
      <c r="I278" s="10">
        <f t="shared" si="30"/>
        <v>0</v>
      </c>
    </row>
    <row r="279" spans="1:76" ht="25.5" x14ac:dyDescent="0.2">
      <c r="A279" s="254" t="s">
        <v>452</v>
      </c>
      <c r="B279" s="254">
        <v>200326</v>
      </c>
      <c r="C279" s="252" t="s">
        <v>599</v>
      </c>
      <c r="D279" s="255" t="s">
        <v>245</v>
      </c>
      <c r="E279" s="254" t="s">
        <v>39</v>
      </c>
      <c r="F279" s="258">
        <f>MC!J1628</f>
        <v>46.55</v>
      </c>
      <c r="G279" s="74">
        <v>22.19</v>
      </c>
      <c r="H279" s="32">
        <f t="shared" si="29"/>
        <v>29.28</v>
      </c>
      <c r="I279" s="10">
        <f t="shared" si="30"/>
        <v>1362.98</v>
      </c>
    </row>
    <row r="280" spans="1:76" x14ac:dyDescent="0.2">
      <c r="A280" s="23" t="s">
        <v>453</v>
      </c>
      <c r="B280" s="22">
        <v>2004</v>
      </c>
      <c r="C280" s="252" t="s">
        <v>599</v>
      </c>
      <c r="D280" s="18" t="s">
        <v>246</v>
      </c>
      <c r="E280" s="254"/>
      <c r="F280" s="254"/>
      <c r="G280" s="74"/>
      <c r="H280" s="32">
        <f t="shared" si="29"/>
        <v>0</v>
      </c>
      <c r="I280" s="10">
        <f t="shared" si="30"/>
        <v>0</v>
      </c>
    </row>
    <row r="281" spans="1:76" x14ac:dyDescent="0.2">
      <c r="A281" s="254" t="s">
        <v>454</v>
      </c>
      <c r="B281" s="254">
        <v>200401</v>
      </c>
      <c r="C281" s="252" t="s">
        <v>599</v>
      </c>
      <c r="D281" s="255" t="s">
        <v>247</v>
      </c>
      <c r="E281" s="254" t="s">
        <v>39</v>
      </c>
      <c r="F281" s="258">
        <f>MC!J1634</f>
        <v>321.48</v>
      </c>
      <c r="G281" s="74">
        <v>9.18</v>
      </c>
      <c r="H281" s="32">
        <f t="shared" si="29"/>
        <v>12.11</v>
      </c>
      <c r="I281" s="10">
        <f t="shared" si="30"/>
        <v>3893.12</v>
      </c>
    </row>
    <row r="282" spans="1:76" x14ac:dyDescent="0.2">
      <c r="A282" s="254" t="s">
        <v>817</v>
      </c>
      <c r="B282" s="254">
        <v>200402</v>
      </c>
      <c r="C282" s="252" t="s">
        <v>599</v>
      </c>
      <c r="D282" s="255" t="s">
        <v>818</v>
      </c>
      <c r="E282" s="254" t="s">
        <v>39</v>
      </c>
      <c r="F282" s="258">
        <f>MC!J1639</f>
        <v>180.44</v>
      </c>
      <c r="G282" s="74">
        <v>0.92</v>
      </c>
      <c r="H282" s="32">
        <f t="shared" si="29"/>
        <v>1.21</v>
      </c>
      <c r="I282" s="10">
        <f t="shared" si="30"/>
        <v>218.33</v>
      </c>
    </row>
    <row r="283" spans="1:76" x14ac:dyDescent="0.2">
      <c r="A283" s="23" t="s">
        <v>455</v>
      </c>
      <c r="B283" s="22">
        <v>2005</v>
      </c>
      <c r="C283" s="252" t="s">
        <v>599</v>
      </c>
      <c r="D283" s="18" t="s">
        <v>249</v>
      </c>
      <c r="E283" s="254"/>
      <c r="F283" s="254"/>
      <c r="G283" s="74"/>
      <c r="H283" s="32">
        <f t="shared" si="29"/>
        <v>0</v>
      </c>
      <c r="I283" s="10">
        <f t="shared" si="30"/>
        <v>0</v>
      </c>
    </row>
    <row r="284" spans="1:76" ht="25.5" x14ac:dyDescent="0.2">
      <c r="A284" s="254" t="s">
        <v>456</v>
      </c>
      <c r="B284" s="254">
        <v>200576</v>
      </c>
      <c r="C284" s="252" t="s">
        <v>599</v>
      </c>
      <c r="D284" s="255" t="s">
        <v>248</v>
      </c>
      <c r="E284" s="254" t="s">
        <v>43</v>
      </c>
      <c r="F284" s="258">
        <f>MC!J1644</f>
        <v>1</v>
      </c>
      <c r="G284" s="74">
        <v>749.01</v>
      </c>
      <c r="H284" s="32">
        <f t="shared" si="29"/>
        <v>988.39</v>
      </c>
      <c r="I284" s="10">
        <f t="shared" si="30"/>
        <v>988.39</v>
      </c>
    </row>
    <row r="285" spans="1:76" s="253" customFormat="1" x14ac:dyDescent="0.2">
      <c r="A285" s="254" t="s">
        <v>1330</v>
      </c>
      <c r="B285" s="254" t="s">
        <v>1257</v>
      </c>
      <c r="C285" s="252"/>
      <c r="D285" s="255" t="s">
        <v>1271</v>
      </c>
      <c r="E285" s="254" t="s">
        <v>24</v>
      </c>
      <c r="F285" s="258">
        <f>MC!J1648</f>
        <v>22.6</v>
      </c>
      <c r="G285" s="74">
        <f>'COMP-20'!I33</f>
        <v>78.45714000000001</v>
      </c>
      <c r="H285" s="32">
        <f t="shared" si="29"/>
        <v>103.53</v>
      </c>
      <c r="I285" s="10">
        <f>TRUNC(ROUND(F285*H285,2),2)</f>
        <v>2339.7800000000002</v>
      </c>
    </row>
    <row r="286" spans="1:76" s="253" customFormat="1" x14ac:dyDescent="0.2">
      <c r="A286" s="254" t="s">
        <v>1331</v>
      </c>
      <c r="B286" s="254" t="s">
        <v>1327</v>
      </c>
      <c r="C286" s="256"/>
      <c r="D286" s="256" t="s">
        <v>1338</v>
      </c>
      <c r="E286" s="254" t="s">
        <v>43</v>
      </c>
      <c r="F286" s="258">
        <f>MC!J1652</f>
        <v>26</v>
      </c>
      <c r="G286" s="74">
        <f>'COMP-26'!I30</f>
        <v>38.442334178697656</v>
      </c>
      <c r="H286" s="32">
        <f t="shared" si="29"/>
        <v>50.73</v>
      </c>
      <c r="I286" s="10">
        <f t="shared" ref="I286" si="31">TRUNC(ROUND(F286*H286,2),2)</f>
        <v>1318.98</v>
      </c>
    </row>
    <row r="287" spans="1:76" s="253" customFormat="1" x14ac:dyDescent="0.2">
      <c r="A287" s="254" t="s">
        <v>1332</v>
      </c>
      <c r="B287" s="254" t="s">
        <v>1334</v>
      </c>
      <c r="C287" s="252"/>
      <c r="D287" s="255" t="s">
        <v>1329</v>
      </c>
      <c r="E287" s="254" t="s">
        <v>25</v>
      </c>
      <c r="F287" s="258">
        <f>MC!J1656</f>
        <v>3</v>
      </c>
      <c r="G287" s="74">
        <f>'COMP-27'!I30</f>
        <v>297.20514696803048</v>
      </c>
      <c r="H287" s="32">
        <f t="shared" si="29"/>
        <v>392.19</v>
      </c>
      <c r="I287" s="10">
        <f t="shared" ref="I287" si="32">TRUNC(ROUND(F287*H287,2),2)</f>
        <v>1176.57</v>
      </c>
    </row>
    <row r="288" spans="1:76" s="253" customFormat="1" ht="25.5" x14ac:dyDescent="0.2">
      <c r="A288" s="254" t="s">
        <v>1333</v>
      </c>
      <c r="B288" s="254" t="s">
        <v>1358</v>
      </c>
      <c r="C288" s="252"/>
      <c r="D288" s="255" t="s">
        <v>1360</v>
      </c>
      <c r="E288" s="254" t="s">
        <v>25</v>
      </c>
      <c r="F288" s="258">
        <f>MC!J1660</f>
        <v>1</v>
      </c>
      <c r="G288" s="74">
        <f>'COTAÇÕES '!P18</f>
        <v>11709.666666666666</v>
      </c>
      <c r="H288" s="32">
        <f t="shared" si="29"/>
        <v>15452.08</v>
      </c>
      <c r="I288" s="10">
        <f t="shared" ref="I288" si="33">TRUNC(ROUND(F288*H288,2),2)</f>
        <v>15452.08</v>
      </c>
    </row>
    <row r="289" spans="1:9" x14ac:dyDescent="0.2">
      <c r="A289" s="11"/>
      <c r="B289" s="11"/>
      <c r="C289" s="5"/>
      <c r="D289" s="40" t="s">
        <v>478</v>
      </c>
      <c r="E289" s="5"/>
      <c r="F289" s="5"/>
      <c r="G289" s="75"/>
      <c r="H289" s="75"/>
      <c r="I289" s="95">
        <f>SUM(I272:I288)</f>
        <v>45710.159999999996</v>
      </c>
    </row>
    <row r="290" spans="1:9" x14ac:dyDescent="0.2">
      <c r="A290" s="11">
        <v>21</v>
      </c>
      <c r="B290" s="5">
        <v>21</v>
      </c>
      <c r="C290" s="5"/>
      <c r="D290" s="7" t="s">
        <v>255</v>
      </c>
      <c r="E290" s="5"/>
      <c r="F290" s="5"/>
      <c r="G290" s="75"/>
      <c r="H290" s="75"/>
      <c r="I290" s="5"/>
    </row>
    <row r="291" spans="1:9" x14ac:dyDescent="0.2">
      <c r="A291" s="23" t="s">
        <v>457</v>
      </c>
      <c r="B291" s="22">
        <v>2103</v>
      </c>
      <c r="C291" s="252" t="s">
        <v>599</v>
      </c>
      <c r="D291" s="18" t="s">
        <v>250</v>
      </c>
      <c r="E291" s="254"/>
      <c r="F291" s="254"/>
      <c r="G291" s="74"/>
      <c r="H291" s="32">
        <f t="shared" si="29"/>
        <v>0</v>
      </c>
      <c r="I291" s="10">
        <f>TRUNC(ROUND(F291*H291,2),2)</f>
        <v>0</v>
      </c>
    </row>
    <row r="292" spans="1:9" ht="25.5" x14ac:dyDescent="0.2">
      <c r="A292" s="254" t="s">
        <v>458</v>
      </c>
      <c r="B292" s="254">
        <v>210316</v>
      </c>
      <c r="C292" s="252" t="s">
        <v>599</v>
      </c>
      <c r="D292" s="255" t="s">
        <v>251</v>
      </c>
      <c r="E292" s="254" t="s">
        <v>96</v>
      </c>
      <c r="F292" s="258">
        <f>MC!J1666</f>
        <v>1</v>
      </c>
      <c r="G292" s="74">
        <v>646.4</v>
      </c>
      <c r="H292" s="32">
        <f t="shared" si="29"/>
        <v>852.99</v>
      </c>
      <c r="I292" s="10">
        <f>TRUNC(ROUND(F292*H292,2),2)</f>
        <v>852.99</v>
      </c>
    </row>
    <row r="293" spans="1:9" x14ac:dyDescent="0.2">
      <c r="A293" s="254" t="s">
        <v>911</v>
      </c>
      <c r="B293" s="254" t="s">
        <v>1072</v>
      </c>
      <c r="C293" s="252"/>
      <c r="D293" s="255" t="s">
        <v>950</v>
      </c>
      <c r="E293" s="254" t="s">
        <v>43</v>
      </c>
      <c r="F293" s="258">
        <f>MC!J1671</f>
        <v>2</v>
      </c>
      <c r="G293" s="74">
        <f>'COMP-14'!I30</f>
        <v>239.0232862829603</v>
      </c>
      <c r="H293" s="32">
        <f t="shared" si="29"/>
        <v>315.42</v>
      </c>
      <c r="I293" s="10">
        <f>TRUNC(ROUND(F293*H293,2),2)</f>
        <v>630.84</v>
      </c>
    </row>
    <row r="294" spans="1:9" ht="25.5" x14ac:dyDescent="0.2">
      <c r="A294" s="254" t="s">
        <v>959</v>
      </c>
      <c r="B294" s="254" t="s">
        <v>1103</v>
      </c>
      <c r="C294" s="252"/>
      <c r="D294" s="255" t="s">
        <v>1252</v>
      </c>
      <c r="E294" s="254" t="s">
        <v>43</v>
      </c>
      <c r="F294" s="258">
        <f>MC!J1676</f>
        <v>2</v>
      </c>
      <c r="G294" s="74">
        <f>'COMP-15'!I30</f>
        <v>532.2732882348721</v>
      </c>
      <c r="H294" s="32">
        <f t="shared" si="29"/>
        <v>702.39</v>
      </c>
      <c r="I294" s="10">
        <f>TRUNC(ROUND(F294*H294,2),2)</f>
        <v>1404.78</v>
      </c>
    </row>
    <row r="295" spans="1:9" x14ac:dyDescent="0.2">
      <c r="A295" s="254" t="s">
        <v>1155</v>
      </c>
      <c r="B295" s="254" t="s">
        <v>1058</v>
      </c>
      <c r="C295" s="252"/>
      <c r="D295" s="255" t="s">
        <v>1471</v>
      </c>
      <c r="E295" s="254" t="s">
        <v>43</v>
      </c>
      <c r="F295" s="258">
        <v>1</v>
      </c>
      <c r="G295" s="74">
        <f>'COTAÇÕES '!P14</f>
        <v>7900</v>
      </c>
      <c r="H295" s="32">
        <f t="shared" si="29"/>
        <v>10424.84</v>
      </c>
      <c r="I295" s="10">
        <f>TRUNC(ROUND(F295*H295,2),2)</f>
        <v>10424.84</v>
      </c>
    </row>
    <row r="296" spans="1:9" x14ac:dyDescent="0.2">
      <c r="A296" s="254" t="s">
        <v>1157</v>
      </c>
      <c r="B296" s="254" t="s">
        <v>1113</v>
      </c>
      <c r="C296" s="252"/>
      <c r="D296" s="255" t="s">
        <v>1156</v>
      </c>
      <c r="E296" s="254" t="s">
        <v>43</v>
      </c>
      <c r="F296" s="258">
        <f>MC!J1685</f>
        <v>1</v>
      </c>
      <c r="G296" s="74">
        <f>'COMP-16'!I28</f>
        <v>4745.6066666666666</v>
      </c>
      <c r="H296" s="32">
        <f t="shared" si="29"/>
        <v>6262.3</v>
      </c>
      <c r="I296" s="10">
        <f t="shared" ref="I296:I300" si="34">TRUNC(ROUND(F296*H296,2),2)</f>
        <v>6262.3</v>
      </c>
    </row>
    <row r="297" spans="1:9" x14ac:dyDescent="0.2">
      <c r="A297" s="254" t="s">
        <v>1158</v>
      </c>
      <c r="B297" s="254" t="s">
        <v>1118</v>
      </c>
      <c r="C297" s="252"/>
      <c r="D297" s="255" t="s">
        <v>1160</v>
      </c>
      <c r="E297" s="254" t="s">
        <v>43</v>
      </c>
      <c r="F297" s="258">
        <f>MC!J1695</f>
        <v>5</v>
      </c>
      <c r="G297" s="74">
        <f>'COMP-17'!I29</f>
        <v>4968.8666666666668</v>
      </c>
      <c r="H297" s="32">
        <f t="shared" si="29"/>
        <v>6556.92</v>
      </c>
      <c r="I297" s="10">
        <f t="shared" si="34"/>
        <v>32784.6</v>
      </c>
    </row>
    <row r="298" spans="1:9" x14ac:dyDescent="0.2">
      <c r="A298" s="254" t="s">
        <v>1159</v>
      </c>
      <c r="B298" s="254" t="s">
        <v>1171</v>
      </c>
      <c r="C298" s="252"/>
      <c r="D298" s="255" t="s">
        <v>1161</v>
      </c>
      <c r="E298" s="254" t="s">
        <v>43</v>
      </c>
      <c r="F298" s="258">
        <f>MC!J1705</f>
        <v>5</v>
      </c>
      <c r="G298" s="74">
        <f>'COMP-18'!I29</f>
        <v>5997.3333333333339</v>
      </c>
      <c r="H298" s="32">
        <f t="shared" si="29"/>
        <v>7914.08</v>
      </c>
      <c r="I298" s="10">
        <f t="shared" si="34"/>
        <v>39570.400000000001</v>
      </c>
    </row>
    <row r="299" spans="1:9" x14ac:dyDescent="0.2">
      <c r="A299" s="254" t="s">
        <v>1193</v>
      </c>
      <c r="B299" s="254" t="s">
        <v>1188</v>
      </c>
      <c r="C299" s="252"/>
      <c r="D299" s="255" t="s">
        <v>1162</v>
      </c>
      <c r="E299" s="254" t="s">
        <v>43</v>
      </c>
      <c r="F299" s="258">
        <f>MC!J1710</f>
        <v>2</v>
      </c>
      <c r="G299" s="74">
        <f>'COMP-19'!I29</f>
        <v>7181.8233333333337</v>
      </c>
      <c r="H299" s="32">
        <f t="shared" si="29"/>
        <v>9477.1299999999992</v>
      </c>
      <c r="I299" s="10">
        <f t="shared" si="34"/>
        <v>18954.259999999998</v>
      </c>
    </row>
    <row r="300" spans="1:9" s="253" customFormat="1" ht="25.5" x14ac:dyDescent="0.2">
      <c r="A300" s="254" t="s">
        <v>1262</v>
      </c>
      <c r="B300" s="254" t="s">
        <v>1278</v>
      </c>
      <c r="C300" s="252"/>
      <c r="D300" s="255" t="s">
        <v>1275</v>
      </c>
      <c r="E300" s="254" t="s">
        <v>25</v>
      </c>
      <c r="F300" s="258">
        <f>MC!J1718</f>
        <v>5</v>
      </c>
      <c r="G300" s="292">
        <f>'COMP-21'!I33</f>
        <v>71.195292113955233</v>
      </c>
      <c r="H300" s="32">
        <f t="shared" si="29"/>
        <v>93.95</v>
      </c>
      <c r="I300" s="10">
        <f t="shared" si="34"/>
        <v>469.75</v>
      </c>
    </row>
    <row r="301" spans="1:9" s="253" customFormat="1" x14ac:dyDescent="0.2">
      <c r="A301" s="254" t="s">
        <v>1282</v>
      </c>
      <c r="B301" s="254" t="s">
        <v>1284</v>
      </c>
      <c r="C301" s="252"/>
      <c r="D301" s="255" t="s">
        <v>1290</v>
      </c>
      <c r="E301" s="254" t="s">
        <v>25</v>
      </c>
      <c r="F301" s="258">
        <f>MC!J1726</f>
        <v>5</v>
      </c>
      <c r="G301" s="74">
        <f>'COMP-22'!I33</f>
        <v>35.275292113955231</v>
      </c>
      <c r="H301" s="32">
        <f t="shared" si="29"/>
        <v>46.55</v>
      </c>
      <c r="I301" s="10">
        <f t="shared" ref="I301:I302" si="35">TRUNC(ROUND(F301*H301,2),2)</f>
        <v>232.75</v>
      </c>
    </row>
    <row r="302" spans="1:9" s="253" customFormat="1" ht="25.5" x14ac:dyDescent="0.2">
      <c r="A302" s="254" t="s">
        <v>1291</v>
      </c>
      <c r="B302" s="254" t="s">
        <v>1301</v>
      </c>
      <c r="C302" s="252"/>
      <c r="D302" s="255" t="s">
        <v>1302</v>
      </c>
      <c r="E302" s="254" t="s">
        <v>25</v>
      </c>
      <c r="F302" s="258">
        <f>MC!J1734</f>
        <v>5</v>
      </c>
      <c r="G302" s="74">
        <f>'COMP-23'!I31</f>
        <v>60.151958780621896</v>
      </c>
      <c r="H302" s="32">
        <f t="shared" si="29"/>
        <v>79.38</v>
      </c>
      <c r="I302" s="10">
        <f t="shared" si="35"/>
        <v>396.9</v>
      </c>
    </row>
    <row r="303" spans="1:9" s="253" customFormat="1" ht="25.5" x14ac:dyDescent="0.2">
      <c r="A303" s="254" t="s">
        <v>1300</v>
      </c>
      <c r="B303" s="254" t="s">
        <v>1308</v>
      </c>
      <c r="C303" s="252"/>
      <c r="D303" s="255" t="s">
        <v>1315</v>
      </c>
      <c r="E303" s="254" t="s">
        <v>25</v>
      </c>
      <c r="F303" s="258">
        <f>MC!J1739</f>
        <v>13</v>
      </c>
      <c r="G303" s="74">
        <f>'COMP-25'!I31</f>
        <v>94.155255547927609</v>
      </c>
      <c r="H303" s="32">
        <f t="shared" si="29"/>
        <v>124.25</v>
      </c>
      <c r="I303" s="10">
        <f>TRUNC(ROUND(F303*H303,2),2)</f>
        <v>1615.25</v>
      </c>
    </row>
    <row r="304" spans="1:9" s="253" customFormat="1" x14ac:dyDescent="0.2">
      <c r="A304" s="254" t="s">
        <v>1307</v>
      </c>
      <c r="B304" s="254" t="s">
        <v>1420</v>
      </c>
      <c r="C304" s="252"/>
      <c r="D304" s="255" t="s">
        <v>1386</v>
      </c>
      <c r="E304" s="254" t="s">
        <v>25</v>
      </c>
      <c r="F304" s="258">
        <f>MC!J1743</f>
        <v>1</v>
      </c>
      <c r="G304" s="74">
        <f>'COTAÇÕES '!P19</f>
        <v>48185.799999999996</v>
      </c>
      <c r="H304" s="32">
        <f t="shared" si="29"/>
        <v>63585.98</v>
      </c>
      <c r="I304" s="10">
        <f t="shared" ref="I304" si="36">TRUNC(ROUND(F304*H304,2),2)</f>
        <v>63585.98</v>
      </c>
    </row>
    <row r="305" spans="1:11" s="253" customFormat="1" x14ac:dyDescent="0.2">
      <c r="A305" s="254" t="s">
        <v>1419</v>
      </c>
      <c r="B305" s="254" t="s">
        <v>1477</v>
      </c>
      <c r="C305" s="252"/>
      <c r="D305" s="255" t="s">
        <v>1480</v>
      </c>
      <c r="E305" s="254" t="s">
        <v>24</v>
      </c>
      <c r="F305" s="258">
        <f>MC!J1747</f>
        <v>86.37</v>
      </c>
      <c r="G305" s="74">
        <f>'COMP-30'!I31</f>
        <v>1.85566507122202</v>
      </c>
      <c r="H305" s="32">
        <f t="shared" ref="H305" si="37">TRUNC(ROUND(G305*1.3196,2),2)</f>
        <v>2.4500000000000002</v>
      </c>
      <c r="I305" s="10">
        <f>TRUNC(ROUND(F305*H305,2),2)</f>
        <v>211.61</v>
      </c>
    </row>
    <row r="306" spans="1:11" x14ac:dyDescent="0.2">
      <c r="A306" s="11"/>
      <c r="B306" s="11"/>
      <c r="C306" s="5"/>
      <c r="D306" s="40" t="s">
        <v>479</v>
      </c>
      <c r="E306" s="5"/>
      <c r="F306" s="5"/>
      <c r="G306" s="5"/>
      <c r="H306" s="5"/>
      <c r="I306" s="95">
        <f>SUM(I291:I305)</f>
        <v>177397.24999999997</v>
      </c>
    </row>
    <row r="307" spans="1:11" x14ac:dyDescent="0.2">
      <c r="A307" s="11"/>
      <c r="B307" s="11"/>
      <c r="C307" s="5"/>
      <c r="D307" s="40" t="s">
        <v>15</v>
      </c>
      <c r="E307" s="5"/>
      <c r="F307" s="5"/>
      <c r="G307" s="5"/>
      <c r="H307" s="5"/>
      <c r="I307" s="314">
        <f>SUM(I8:I306)/2</f>
        <v>1317004.53</v>
      </c>
    </row>
    <row r="308" spans="1:11" x14ac:dyDescent="0.2">
      <c r="J308" s="253"/>
    </row>
    <row r="309" spans="1:11" x14ac:dyDescent="0.2">
      <c r="J309" s="253"/>
    </row>
    <row r="310" spans="1:11" x14ac:dyDescent="0.2">
      <c r="J310" s="253"/>
    </row>
    <row r="311" spans="1:11" x14ac:dyDescent="0.2">
      <c r="G311" s="25">
        <v>9.16</v>
      </c>
      <c r="H311" s="32">
        <f t="shared" ref="H311" si="38">TRUNC(ROUND(G311*1.3196,2),2)</f>
        <v>12.09</v>
      </c>
    </row>
    <row r="312" spans="1:11" x14ac:dyDescent="0.2">
      <c r="K312" s="207"/>
    </row>
    <row r="313" spans="1:11" x14ac:dyDescent="0.2">
      <c r="I313" s="282"/>
    </row>
    <row r="314" spans="1:11" x14ac:dyDescent="0.2">
      <c r="I314" s="282"/>
    </row>
  </sheetData>
  <mergeCells count="13">
    <mergeCell ref="G3:I3"/>
    <mergeCell ref="B1:I1"/>
    <mergeCell ref="A6:A7"/>
    <mergeCell ref="G6:I6"/>
    <mergeCell ref="F6:F7"/>
    <mergeCell ref="E6:E7"/>
    <mergeCell ref="D6:D7"/>
    <mergeCell ref="C6:C7"/>
    <mergeCell ref="B6:B7"/>
    <mergeCell ref="B2:D2"/>
    <mergeCell ref="B3:D3"/>
    <mergeCell ref="B4:D4"/>
    <mergeCell ref="B5:D5"/>
  </mergeCells>
  <pageMargins left="0.51181102362204722" right="0.51181102362204722" top="0.78740157480314965" bottom="0.78740157480314965" header="0.31496062992125984" footer="0.31496062992125984"/>
  <pageSetup paperSize="9" scale="49" fitToHeight="0" orientation="portrait" r:id="rId1"/>
  <rowBreaks count="2" manualBreakCount="2">
    <brk id="72" max="8" man="1"/>
    <brk id="142"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748"/>
  <sheetViews>
    <sheetView view="pageBreakPreview" zoomScaleNormal="100" zoomScaleSheetLayoutView="100" workbookViewId="0">
      <pane ySplit="5" topLeftCell="A1725" activePane="bottomLeft" state="frozenSplit"/>
      <selection pane="bottomLeft" activeCell="I127" sqref="I127"/>
    </sheetView>
  </sheetViews>
  <sheetFormatPr defaultRowHeight="12.75" x14ac:dyDescent="0.2"/>
  <cols>
    <col min="1" max="1" width="12.42578125" style="15" customWidth="1"/>
    <col min="2" max="2" width="64.7109375" style="15" customWidth="1"/>
    <col min="3" max="3" width="17" style="15" customWidth="1"/>
    <col min="4" max="4" width="17" style="239" customWidth="1"/>
    <col min="5" max="8" width="17" style="15" customWidth="1"/>
    <col min="9" max="9" width="15.140625" style="15" customWidth="1"/>
    <col min="10" max="10" width="13.28515625" style="15" customWidth="1"/>
    <col min="11" max="16384" width="9.140625" style="15"/>
  </cols>
  <sheetData>
    <row r="1" spans="1:10" ht="15" customHeight="1" x14ac:dyDescent="0.2">
      <c r="A1" s="1"/>
      <c r="B1" s="412" t="s">
        <v>0</v>
      </c>
      <c r="C1" s="412"/>
      <c r="D1" s="412"/>
      <c r="E1" s="412"/>
      <c r="F1" s="412"/>
      <c r="G1" s="412"/>
      <c r="H1" s="412"/>
      <c r="I1" s="412"/>
      <c r="J1" s="413"/>
    </row>
    <row r="2" spans="1:10" x14ac:dyDescent="0.2">
      <c r="A2" s="2"/>
      <c r="B2" s="420" t="s">
        <v>256</v>
      </c>
      <c r="C2" s="420"/>
      <c r="D2" s="420"/>
      <c r="E2" s="3"/>
      <c r="F2" s="3"/>
      <c r="G2" s="3"/>
      <c r="H2" s="3"/>
      <c r="I2" s="409" t="s">
        <v>4</v>
      </c>
      <c r="J2" s="410"/>
    </row>
    <row r="3" spans="1:10" ht="15" customHeight="1" x14ac:dyDescent="0.2">
      <c r="A3" s="2"/>
      <c r="B3" s="420" t="s">
        <v>19</v>
      </c>
      <c r="C3" s="420"/>
      <c r="D3" s="420"/>
      <c r="E3" s="420"/>
      <c r="F3" s="420"/>
      <c r="G3" s="160" t="s">
        <v>3</v>
      </c>
      <c r="H3" s="26">
        <v>1.5727</v>
      </c>
      <c r="I3" s="409"/>
      <c r="J3" s="410"/>
    </row>
    <row r="4" spans="1:10" x14ac:dyDescent="0.2">
      <c r="A4" s="2"/>
      <c r="B4" s="434" t="s">
        <v>2</v>
      </c>
      <c r="C4" s="434"/>
      <c r="D4" s="434"/>
      <c r="E4" s="33"/>
      <c r="F4" s="33"/>
      <c r="G4" s="27" t="s">
        <v>5</v>
      </c>
      <c r="H4" s="28">
        <v>0.23319999999999999</v>
      </c>
      <c r="I4" s="29" t="s">
        <v>6</v>
      </c>
      <c r="J4" s="16" t="s">
        <v>1369</v>
      </c>
    </row>
    <row r="5" spans="1:10" ht="25.5" x14ac:dyDescent="0.2">
      <c r="A5" s="23" t="s">
        <v>7</v>
      </c>
      <c r="B5" s="23" t="s">
        <v>10</v>
      </c>
      <c r="C5" s="23" t="s">
        <v>11</v>
      </c>
      <c r="D5" s="38" t="s">
        <v>257</v>
      </c>
      <c r="E5" s="38" t="s">
        <v>258</v>
      </c>
      <c r="F5" s="38" t="s">
        <v>259</v>
      </c>
      <c r="G5" s="38" t="s">
        <v>260</v>
      </c>
      <c r="H5" s="38" t="s">
        <v>261</v>
      </c>
      <c r="I5" s="38" t="s">
        <v>262</v>
      </c>
      <c r="J5" s="39" t="s">
        <v>263</v>
      </c>
    </row>
    <row r="6" spans="1:10" x14ac:dyDescent="0.2">
      <c r="A6" s="11">
        <v>1</v>
      </c>
      <c r="B6" s="7" t="s">
        <v>18</v>
      </c>
      <c r="C6" s="5"/>
      <c r="D6" s="5"/>
      <c r="E6" s="5"/>
      <c r="F6" s="6"/>
      <c r="G6" s="30"/>
      <c r="H6" s="8"/>
      <c r="I6" s="77"/>
      <c r="J6" s="77"/>
    </row>
    <row r="7" spans="1:10" x14ac:dyDescent="0.2">
      <c r="A7" s="23" t="s">
        <v>265</v>
      </c>
      <c r="B7" s="203" t="s">
        <v>986</v>
      </c>
      <c r="C7" s="13"/>
      <c r="D7" s="254"/>
      <c r="E7" s="9"/>
      <c r="F7" s="31"/>
      <c r="G7" s="32"/>
      <c r="H7" s="81"/>
      <c r="I7" s="19"/>
      <c r="J7" s="19"/>
    </row>
    <row r="8" spans="1:10" ht="25.5" x14ac:dyDescent="0.2">
      <c r="A8" s="19" t="s">
        <v>266</v>
      </c>
      <c r="B8" s="21" t="s">
        <v>988</v>
      </c>
      <c r="C8" s="19" t="s">
        <v>600</v>
      </c>
      <c r="D8" s="263" t="s">
        <v>257</v>
      </c>
      <c r="E8" s="93" t="s">
        <v>258</v>
      </c>
      <c r="F8" s="93" t="s">
        <v>259</v>
      </c>
      <c r="G8" s="93" t="s">
        <v>260</v>
      </c>
      <c r="H8" s="93" t="s">
        <v>261</v>
      </c>
      <c r="I8" s="93" t="s">
        <v>262</v>
      </c>
      <c r="J8" s="94" t="s">
        <v>263</v>
      </c>
    </row>
    <row r="9" spans="1:10" x14ac:dyDescent="0.2">
      <c r="A9" s="23"/>
      <c r="B9" s="184" t="s">
        <v>999</v>
      </c>
      <c r="C9" s="13"/>
      <c r="D9" s="254"/>
      <c r="E9" s="206">
        <f>14.05-2.6</f>
        <v>11.450000000000001</v>
      </c>
      <c r="F9" s="31">
        <v>0.15</v>
      </c>
      <c r="G9" s="205">
        <v>2.1</v>
      </c>
      <c r="H9" s="205"/>
      <c r="I9" s="82">
        <f>E9*F9*G9</f>
        <v>3.6067500000000003</v>
      </c>
      <c r="J9" s="82">
        <f>I9</f>
        <v>3.6067500000000003</v>
      </c>
    </row>
    <row r="10" spans="1:10" x14ac:dyDescent="0.2">
      <c r="A10" s="23"/>
      <c r="B10" s="184" t="s">
        <v>1000</v>
      </c>
      <c r="C10" s="13"/>
      <c r="D10" s="254"/>
      <c r="E10" s="206">
        <f>10.15+3.66</f>
        <v>13.81</v>
      </c>
      <c r="F10" s="31">
        <v>0.15</v>
      </c>
      <c r="G10" s="205">
        <v>2.2000000000000002</v>
      </c>
      <c r="H10" s="205"/>
      <c r="I10" s="82">
        <f>E10*F10*G10</f>
        <v>4.5573000000000006</v>
      </c>
      <c r="J10" s="82">
        <f>I10</f>
        <v>4.5573000000000006</v>
      </c>
    </row>
    <row r="11" spans="1:10" x14ac:dyDescent="0.2">
      <c r="A11" s="23"/>
      <c r="C11" s="13"/>
      <c r="D11" s="254"/>
      <c r="E11" s="206"/>
      <c r="F11" s="31"/>
      <c r="G11" s="205"/>
      <c r="H11" s="205"/>
      <c r="I11" s="89" t="s">
        <v>604</v>
      </c>
      <c r="J11" s="90">
        <f>SUM(J9:J10)</f>
        <v>8.1640500000000014</v>
      </c>
    </row>
    <row r="12" spans="1:10" x14ac:dyDescent="0.2">
      <c r="A12" s="23"/>
      <c r="B12" s="21"/>
      <c r="C12" s="13"/>
      <c r="D12" s="254"/>
      <c r="E12" s="206"/>
      <c r="F12" s="31"/>
      <c r="G12" s="205"/>
      <c r="H12" s="205"/>
      <c r="I12" s="19"/>
      <c r="J12" s="82"/>
    </row>
    <row r="13" spans="1:10" ht="25.5" x14ac:dyDescent="0.2">
      <c r="A13" s="19" t="s">
        <v>268</v>
      </c>
      <c r="B13" s="202" t="s">
        <v>989</v>
      </c>
      <c r="C13" s="9" t="s">
        <v>56</v>
      </c>
      <c r="D13" s="263" t="s">
        <v>257</v>
      </c>
      <c r="E13" s="93" t="s">
        <v>258</v>
      </c>
      <c r="F13" s="93" t="s">
        <v>259</v>
      </c>
      <c r="G13" s="93" t="s">
        <v>260</v>
      </c>
      <c r="H13" s="93" t="s">
        <v>261</v>
      </c>
      <c r="I13" s="93" t="s">
        <v>262</v>
      </c>
      <c r="J13" s="94" t="s">
        <v>263</v>
      </c>
    </row>
    <row r="14" spans="1:10" x14ac:dyDescent="0.2">
      <c r="A14" s="23"/>
      <c r="B14" s="204" t="s">
        <v>1002</v>
      </c>
      <c r="C14" s="9"/>
      <c r="D14" s="254"/>
      <c r="E14" s="9">
        <v>16.850000000000001</v>
      </c>
      <c r="F14" s="31">
        <v>1.53</v>
      </c>
      <c r="G14" s="205">
        <v>0.15</v>
      </c>
      <c r="H14" s="205"/>
      <c r="I14" s="82">
        <f>E14*F14*G14</f>
        <v>3.8670750000000003</v>
      </c>
      <c r="J14" s="82">
        <f>I14</f>
        <v>3.8670750000000003</v>
      </c>
    </row>
    <row r="15" spans="1:10" x14ac:dyDescent="0.2">
      <c r="A15" s="23"/>
      <c r="B15" s="204" t="s">
        <v>1003</v>
      </c>
      <c r="C15" s="9"/>
      <c r="D15" s="254"/>
      <c r="E15" s="9">
        <v>21.77</v>
      </c>
      <c r="F15" s="31">
        <v>0.12</v>
      </c>
      <c r="G15" s="205">
        <v>0.15</v>
      </c>
      <c r="H15" s="205"/>
      <c r="I15" s="82">
        <f>E15*F15*G15</f>
        <v>0.39185999999999999</v>
      </c>
      <c r="J15" s="82">
        <f>I15</f>
        <v>0.39185999999999999</v>
      </c>
    </row>
    <row r="16" spans="1:10" x14ac:dyDescent="0.2">
      <c r="A16" s="23"/>
      <c r="B16" s="204" t="s">
        <v>1001</v>
      </c>
      <c r="C16" s="9"/>
      <c r="D16" s="254"/>
      <c r="E16" s="9">
        <v>10.15</v>
      </c>
      <c r="F16" s="31">
        <v>3.66</v>
      </c>
      <c r="G16" s="205">
        <v>0.15</v>
      </c>
      <c r="H16" s="205"/>
      <c r="I16" s="82">
        <f>E16*F16*G16</f>
        <v>5.5723500000000001</v>
      </c>
      <c r="J16" s="82">
        <f>I16</f>
        <v>5.5723500000000001</v>
      </c>
    </row>
    <row r="17" spans="1:10" x14ac:dyDescent="0.2">
      <c r="A17" s="23"/>
      <c r="B17" s="204"/>
      <c r="C17" s="9"/>
      <c r="D17" s="254"/>
      <c r="E17" s="9"/>
      <c r="F17" s="31"/>
      <c r="G17" s="205"/>
      <c r="H17" s="205"/>
      <c r="I17" s="89" t="s">
        <v>604</v>
      </c>
      <c r="J17" s="90">
        <f>SUM(J14:J16)</f>
        <v>9.8312850000000012</v>
      </c>
    </row>
    <row r="18" spans="1:10" x14ac:dyDescent="0.2">
      <c r="A18" s="23"/>
      <c r="B18" s="202"/>
      <c r="C18" s="9"/>
      <c r="D18" s="254"/>
      <c r="E18" s="9"/>
      <c r="F18" s="31"/>
      <c r="G18" s="32"/>
      <c r="H18" s="81"/>
      <c r="I18" s="19"/>
      <c r="J18" s="19"/>
    </row>
    <row r="19" spans="1:10" ht="25.5" x14ac:dyDescent="0.2">
      <c r="A19" s="19" t="s">
        <v>269</v>
      </c>
      <c r="B19" s="202" t="s">
        <v>990</v>
      </c>
      <c r="C19" s="9" t="s">
        <v>24</v>
      </c>
      <c r="D19" s="263" t="s">
        <v>257</v>
      </c>
      <c r="E19" s="93" t="s">
        <v>258</v>
      </c>
      <c r="F19" s="93" t="s">
        <v>259</v>
      </c>
      <c r="G19" s="93" t="s">
        <v>260</v>
      </c>
      <c r="H19" s="93" t="s">
        <v>261</v>
      </c>
      <c r="I19" s="93" t="s">
        <v>262</v>
      </c>
      <c r="J19" s="94" t="s">
        <v>263</v>
      </c>
    </row>
    <row r="20" spans="1:10" x14ac:dyDescent="0.2">
      <c r="A20" s="23"/>
      <c r="B20" s="204" t="s">
        <v>1004</v>
      </c>
      <c r="C20" s="9"/>
      <c r="D20" s="254"/>
      <c r="E20" s="206">
        <f>4.6+3.2+3.8+5.85+3.5</f>
        <v>20.95</v>
      </c>
      <c r="F20" s="31"/>
      <c r="G20" s="205">
        <v>2.1</v>
      </c>
      <c r="H20" s="205">
        <f>E20*G20</f>
        <v>43.994999999999997</v>
      </c>
      <c r="I20" s="19"/>
      <c r="J20" s="82">
        <f>H20</f>
        <v>43.994999999999997</v>
      </c>
    </row>
    <row r="21" spans="1:10" x14ac:dyDescent="0.2">
      <c r="A21" s="23"/>
      <c r="B21" s="204" t="s">
        <v>1005</v>
      </c>
      <c r="C21" s="9"/>
      <c r="D21" s="254"/>
      <c r="E21" s="206">
        <v>2.6</v>
      </c>
      <c r="F21" s="31"/>
      <c r="G21" s="205">
        <v>2.1</v>
      </c>
      <c r="H21" s="205">
        <f>E21*G21</f>
        <v>5.4600000000000009</v>
      </c>
      <c r="I21" s="19"/>
      <c r="J21" s="82">
        <f>H21</f>
        <v>5.4600000000000009</v>
      </c>
    </row>
    <row r="22" spans="1:10" x14ac:dyDescent="0.2">
      <c r="A22" s="23"/>
      <c r="B22" s="204" t="s">
        <v>1006</v>
      </c>
      <c r="C22" s="9"/>
      <c r="D22" s="254"/>
      <c r="E22" s="206">
        <v>0.8</v>
      </c>
      <c r="F22" s="31"/>
      <c r="G22" s="205">
        <v>2.1</v>
      </c>
      <c r="H22" s="205">
        <f>E22*G22</f>
        <v>1.6800000000000002</v>
      </c>
      <c r="I22" s="19"/>
      <c r="J22" s="82">
        <f>H22</f>
        <v>1.6800000000000002</v>
      </c>
    </row>
    <row r="23" spans="1:10" x14ac:dyDescent="0.2">
      <c r="A23" s="23"/>
      <c r="B23" s="204"/>
      <c r="C23" s="9"/>
      <c r="D23" s="254"/>
      <c r="E23" s="206"/>
      <c r="F23" s="31"/>
      <c r="G23" s="205"/>
      <c r="H23" s="205"/>
      <c r="I23" s="89" t="s">
        <v>604</v>
      </c>
      <c r="J23" s="90">
        <f>SUM(J20:J22)</f>
        <v>51.134999999999998</v>
      </c>
    </row>
    <row r="24" spans="1:10" x14ac:dyDescent="0.2">
      <c r="A24" s="23"/>
      <c r="B24" s="202"/>
      <c r="C24" s="9"/>
      <c r="D24" s="254"/>
      <c r="E24" s="9"/>
      <c r="F24" s="31"/>
      <c r="G24" s="32"/>
      <c r="H24" s="81"/>
      <c r="I24" s="19"/>
      <c r="J24" s="19"/>
    </row>
    <row r="25" spans="1:10" ht="25.5" x14ac:dyDescent="0.2">
      <c r="A25" s="19" t="s">
        <v>270</v>
      </c>
      <c r="B25" s="202" t="s">
        <v>991</v>
      </c>
      <c r="C25" s="9" t="s">
        <v>24</v>
      </c>
      <c r="D25" s="263" t="s">
        <v>257</v>
      </c>
      <c r="E25" s="93" t="s">
        <v>258</v>
      </c>
      <c r="F25" s="93" t="s">
        <v>259</v>
      </c>
      <c r="G25" s="93" t="s">
        <v>260</v>
      </c>
      <c r="H25" s="93" t="s">
        <v>261</v>
      </c>
      <c r="I25" s="93" t="s">
        <v>262</v>
      </c>
      <c r="J25" s="94" t="s">
        <v>263</v>
      </c>
    </row>
    <row r="26" spans="1:10" x14ac:dyDescent="0.2">
      <c r="A26" s="23"/>
      <c r="B26" s="204" t="s">
        <v>1007</v>
      </c>
      <c r="C26" s="9"/>
      <c r="D26" s="254"/>
      <c r="E26" s="9">
        <v>10.55</v>
      </c>
      <c r="F26" s="31">
        <v>4.0600000000000005</v>
      </c>
      <c r="G26" s="32"/>
      <c r="H26" s="96">
        <f>E26*F26</f>
        <v>42.833000000000006</v>
      </c>
      <c r="I26" s="19"/>
      <c r="J26" s="82">
        <f>H26</f>
        <v>42.833000000000006</v>
      </c>
    </row>
    <row r="27" spans="1:10" x14ac:dyDescent="0.2">
      <c r="A27" s="23"/>
      <c r="B27" s="202"/>
      <c r="C27" s="9"/>
      <c r="D27" s="254"/>
      <c r="E27" s="9"/>
      <c r="F27" s="31"/>
      <c r="G27" s="32"/>
      <c r="H27" s="81"/>
      <c r="I27" s="89" t="s">
        <v>604</v>
      </c>
      <c r="J27" s="90">
        <f>SUM(J26)</f>
        <v>42.833000000000006</v>
      </c>
    </row>
    <row r="28" spans="1:10" x14ac:dyDescent="0.2">
      <c r="A28" s="23"/>
      <c r="B28" s="202"/>
      <c r="C28" s="9"/>
      <c r="D28" s="254"/>
      <c r="E28" s="9"/>
      <c r="F28" s="31"/>
      <c r="G28" s="32"/>
      <c r="H28" s="81"/>
      <c r="I28" s="19"/>
      <c r="J28" s="19"/>
    </row>
    <row r="29" spans="1:10" ht="25.5" x14ac:dyDescent="0.2">
      <c r="A29" s="19" t="s">
        <v>992</v>
      </c>
      <c r="B29" s="202" t="s">
        <v>993</v>
      </c>
      <c r="C29" s="9" t="s">
        <v>24</v>
      </c>
      <c r="D29" s="263" t="s">
        <v>257</v>
      </c>
      <c r="E29" s="93" t="s">
        <v>258</v>
      </c>
      <c r="F29" s="93" t="s">
        <v>259</v>
      </c>
      <c r="G29" s="93" t="s">
        <v>260</v>
      </c>
      <c r="H29" s="93" t="s">
        <v>261</v>
      </c>
      <c r="I29" s="93" t="s">
        <v>262</v>
      </c>
      <c r="J29" s="94" t="s">
        <v>263</v>
      </c>
    </row>
    <row r="30" spans="1:10" x14ac:dyDescent="0.2">
      <c r="A30" s="23"/>
      <c r="B30" s="184" t="s">
        <v>1007</v>
      </c>
      <c r="C30" s="13"/>
      <c r="D30" s="254"/>
      <c r="E30" s="9">
        <v>10.55</v>
      </c>
      <c r="F30" s="31">
        <v>4.0600000000000005</v>
      </c>
      <c r="G30" s="32"/>
      <c r="H30" s="96">
        <f>E30*F30</f>
        <v>42.833000000000006</v>
      </c>
      <c r="I30" s="19"/>
      <c r="J30" s="82">
        <f>H30</f>
        <v>42.833000000000006</v>
      </c>
    </row>
    <row r="31" spans="1:10" x14ac:dyDescent="0.2">
      <c r="A31" s="23"/>
      <c r="B31" s="21"/>
      <c r="C31" s="13"/>
      <c r="D31" s="254"/>
      <c r="E31" s="9"/>
      <c r="F31" s="31"/>
      <c r="G31" s="32"/>
      <c r="H31" s="81"/>
      <c r="I31" s="89" t="s">
        <v>604</v>
      </c>
      <c r="J31" s="90">
        <f>SUM(J30)</f>
        <v>42.833000000000006</v>
      </c>
    </row>
    <row r="32" spans="1:10" x14ac:dyDescent="0.2">
      <c r="A32" s="23"/>
      <c r="B32" s="21"/>
      <c r="C32" s="13"/>
      <c r="D32" s="254"/>
      <c r="E32" s="9"/>
      <c r="F32" s="31"/>
      <c r="G32" s="32"/>
      <c r="H32" s="81"/>
      <c r="I32" s="19"/>
      <c r="J32" s="19"/>
    </row>
    <row r="33" spans="1:10" x14ac:dyDescent="0.2">
      <c r="A33" s="23" t="s">
        <v>271</v>
      </c>
      <c r="B33" s="18" t="s">
        <v>20</v>
      </c>
      <c r="C33" s="13"/>
      <c r="D33" s="254"/>
      <c r="E33" s="9"/>
      <c r="F33" s="31"/>
      <c r="G33" s="32"/>
      <c r="H33" s="81"/>
      <c r="I33" s="19"/>
      <c r="J33" s="19"/>
    </row>
    <row r="34" spans="1:10" ht="25.5" x14ac:dyDescent="0.2">
      <c r="A34" s="36" t="s">
        <v>272</v>
      </c>
      <c r="B34" s="21" t="s">
        <v>26</v>
      </c>
      <c r="C34" s="19" t="s">
        <v>24</v>
      </c>
      <c r="D34" s="263" t="s">
        <v>257</v>
      </c>
      <c r="E34" s="93" t="s">
        <v>258</v>
      </c>
      <c r="F34" s="93" t="s">
        <v>259</v>
      </c>
      <c r="G34" s="93" t="s">
        <v>260</v>
      </c>
      <c r="H34" s="93" t="s">
        <v>261</v>
      </c>
      <c r="I34" s="93" t="s">
        <v>262</v>
      </c>
      <c r="J34" s="94" t="s">
        <v>263</v>
      </c>
    </row>
    <row r="35" spans="1:10" x14ac:dyDescent="0.2">
      <c r="A35" s="36"/>
      <c r="B35" s="171" t="s">
        <v>650</v>
      </c>
      <c r="C35" s="19"/>
      <c r="D35" s="254"/>
      <c r="E35" s="19"/>
      <c r="F35" s="19"/>
      <c r="G35" s="19"/>
      <c r="H35" s="96">
        <v>336.27</v>
      </c>
      <c r="I35" s="19"/>
      <c r="J35" s="82">
        <f>H35</f>
        <v>336.27</v>
      </c>
    </row>
    <row r="36" spans="1:10" x14ac:dyDescent="0.2">
      <c r="A36" s="36"/>
      <c r="B36" s="21"/>
      <c r="C36" s="19"/>
      <c r="D36" s="254"/>
      <c r="E36" s="19"/>
      <c r="F36" s="19"/>
      <c r="G36" s="19"/>
      <c r="H36" s="81"/>
      <c r="I36" s="89" t="s">
        <v>604</v>
      </c>
      <c r="J36" s="90">
        <f>SUM(J35)</f>
        <v>336.27</v>
      </c>
    </row>
    <row r="37" spans="1:10" x14ac:dyDescent="0.2">
      <c r="A37" s="41"/>
      <c r="B37" s="41"/>
      <c r="C37" s="41"/>
      <c r="D37" s="254"/>
      <c r="E37" s="19"/>
      <c r="F37" s="19"/>
      <c r="G37" s="19"/>
      <c r="H37" s="19"/>
      <c r="I37" s="19"/>
      <c r="J37" s="19"/>
    </row>
    <row r="38" spans="1:10" ht="25.5" x14ac:dyDescent="0.2">
      <c r="A38" s="36" t="s">
        <v>994</v>
      </c>
      <c r="B38" s="21" t="s">
        <v>27</v>
      </c>
      <c r="C38" s="19" t="s">
        <v>24</v>
      </c>
      <c r="D38" s="263" t="s">
        <v>257</v>
      </c>
      <c r="E38" s="93" t="s">
        <v>258</v>
      </c>
      <c r="F38" s="93" t="s">
        <v>259</v>
      </c>
      <c r="G38" s="93" t="s">
        <v>260</v>
      </c>
      <c r="H38" s="93" t="s">
        <v>261</v>
      </c>
      <c r="I38" s="93" t="s">
        <v>262</v>
      </c>
      <c r="J38" s="94" t="s">
        <v>263</v>
      </c>
    </row>
    <row r="39" spans="1:10" x14ac:dyDescent="0.2">
      <c r="A39" s="36"/>
      <c r="B39" s="171" t="s">
        <v>650</v>
      </c>
      <c r="C39" s="19"/>
      <c r="D39" s="254"/>
      <c r="E39" s="19"/>
      <c r="F39" s="19"/>
      <c r="G39" s="19"/>
      <c r="H39" s="82">
        <v>336.27</v>
      </c>
      <c r="I39" s="19"/>
      <c r="J39" s="82">
        <f>H39</f>
        <v>336.27</v>
      </c>
    </row>
    <row r="40" spans="1:10" x14ac:dyDescent="0.2">
      <c r="A40" s="36"/>
      <c r="B40" s="21"/>
      <c r="C40" s="19"/>
      <c r="D40" s="254"/>
      <c r="E40" s="19"/>
      <c r="F40" s="19"/>
      <c r="G40" s="19"/>
      <c r="H40" s="19"/>
      <c r="I40" s="89" t="s">
        <v>604</v>
      </c>
      <c r="J40" s="90">
        <f>SUM(J39)</f>
        <v>336.27</v>
      </c>
    </row>
    <row r="41" spans="1:10" x14ac:dyDescent="0.2">
      <c r="A41" s="36"/>
      <c r="B41" s="21"/>
      <c r="C41" s="19"/>
      <c r="D41" s="254"/>
      <c r="E41" s="19"/>
      <c r="F41" s="19"/>
      <c r="G41" s="19"/>
      <c r="H41" s="19"/>
      <c r="I41" s="175"/>
      <c r="J41" s="104"/>
    </row>
    <row r="42" spans="1:10" ht="25.5" x14ac:dyDescent="0.2">
      <c r="A42" s="36" t="s">
        <v>995</v>
      </c>
      <c r="B42" s="21" t="s">
        <v>28</v>
      </c>
      <c r="C42" s="19" t="s">
        <v>25</v>
      </c>
      <c r="D42" s="263" t="s">
        <v>257</v>
      </c>
      <c r="E42" s="93" t="s">
        <v>258</v>
      </c>
      <c r="F42" s="93" t="s">
        <v>259</v>
      </c>
      <c r="G42" s="93" t="s">
        <v>260</v>
      </c>
      <c r="H42" s="93" t="s">
        <v>261</v>
      </c>
      <c r="I42" s="93" t="s">
        <v>262</v>
      </c>
      <c r="J42" s="94" t="s">
        <v>263</v>
      </c>
    </row>
    <row r="43" spans="1:10" x14ac:dyDescent="0.2">
      <c r="A43" s="36"/>
      <c r="B43" s="21"/>
      <c r="C43" s="82"/>
      <c r="D43" s="258">
        <v>7</v>
      </c>
      <c r="E43" s="19"/>
      <c r="F43" s="19"/>
      <c r="G43" s="19"/>
      <c r="H43" s="19"/>
      <c r="I43" s="19"/>
      <c r="J43" s="82">
        <f>D43</f>
        <v>7</v>
      </c>
    </row>
    <row r="44" spans="1:10" x14ac:dyDescent="0.2">
      <c r="A44" s="36"/>
      <c r="B44" s="21"/>
      <c r="C44" s="19"/>
      <c r="D44" s="254"/>
      <c r="E44" s="19"/>
      <c r="F44" s="19"/>
      <c r="G44" s="19"/>
      <c r="H44" s="19"/>
      <c r="I44" s="89" t="s">
        <v>604</v>
      </c>
      <c r="J44" s="90">
        <f>SUM(J43)</f>
        <v>7</v>
      </c>
    </row>
    <row r="45" spans="1:10" x14ac:dyDescent="0.2">
      <c r="A45" s="36"/>
      <c r="B45" s="21"/>
      <c r="C45" s="19"/>
      <c r="D45" s="254"/>
      <c r="E45" s="19"/>
      <c r="F45" s="19"/>
      <c r="G45" s="19"/>
      <c r="H45" s="19"/>
      <c r="I45" s="175"/>
      <c r="J45" s="104"/>
    </row>
    <row r="46" spans="1:10" ht="25.5" x14ac:dyDescent="0.2">
      <c r="A46" s="36" t="s">
        <v>996</v>
      </c>
      <c r="B46" s="21" t="s">
        <v>29</v>
      </c>
      <c r="C46" s="19" t="s">
        <v>25</v>
      </c>
      <c r="D46" s="263" t="s">
        <v>257</v>
      </c>
      <c r="E46" s="93" t="s">
        <v>258</v>
      </c>
      <c r="F46" s="93" t="s">
        <v>259</v>
      </c>
      <c r="G46" s="93" t="s">
        <v>260</v>
      </c>
      <c r="H46" s="93" t="s">
        <v>261</v>
      </c>
      <c r="I46" s="93" t="s">
        <v>262</v>
      </c>
      <c r="J46" s="94" t="s">
        <v>263</v>
      </c>
    </row>
    <row r="47" spans="1:10" x14ac:dyDescent="0.2">
      <c r="A47" s="36"/>
      <c r="B47" s="21"/>
      <c r="C47" s="82"/>
      <c r="D47" s="258">
        <v>22</v>
      </c>
      <c r="E47" s="19"/>
      <c r="F47" s="19"/>
      <c r="G47" s="19"/>
      <c r="H47" s="19"/>
      <c r="I47" s="19"/>
      <c r="J47" s="82">
        <f>D47</f>
        <v>22</v>
      </c>
    </row>
    <row r="48" spans="1:10" x14ac:dyDescent="0.2">
      <c r="A48" s="36"/>
      <c r="B48" s="21"/>
      <c r="C48" s="19"/>
      <c r="D48" s="254"/>
      <c r="E48" s="19"/>
      <c r="F48" s="19"/>
      <c r="G48" s="19"/>
      <c r="H48" s="19"/>
      <c r="I48" s="89" t="s">
        <v>604</v>
      </c>
      <c r="J48" s="90">
        <f>SUM(J47)</f>
        <v>22</v>
      </c>
    </row>
    <row r="49" spans="1:10" x14ac:dyDescent="0.2">
      <c r="A49" s="23" t="s">
        <v>997</v>
      </c>
      <c r="B49" s="18" t="s">
        <v>31</v>
      </c>
      <c r="C49" s="19"/>
      <c r="D49" s="254"/>
      <c r="E49" s="19"/>
      <c r="F49" s="19"/>
      <c r="G49" s="19"/>
      <c r="H49" s="19"/>
      <c r="I49" s="175"/>
      <c r="J49" s="104"/>
    </row>
    <row r="50" spans="1:10" ht="25.5" x14ac:dyDescent="0.2">
      <c r="A50" s="19" t="s">
        <v>998</v>
      </c>
      <c r="B50" s="21" t="s">
        <v>47</v>
      </c>
      <c r="C50" s="19" t="s">
        <v>48</v>
      </c>
      <c r="D50" s="263" t="s">
        <v>257</v>
      </c>
      <c r="E50" s="93" t="s">
        <v>258</v>
      </c>
      <c r="F50" s="93" t="s">
        <v>259</v>
      </c>
      <c r="G50" s="93" t="s">
        <v>260</v>
      </c>
      <c r="H50" s="93" t="s">
        <v>261</v>
      </c>
      <c r="I50" s="93" t="s">
        <v>262</v>
      </c>
      <c r="J50" s="94" t="s">
        <v>263</v>
      </c>
    </row>
    <row r="51" spans="1:10" x14ac:dyDescent="0.2">
      <c r="A51" s="19"/>
      <c r="B51" s="80" t="s">
        <v>480</v>
      </c>
      <c r="C51" s="19"/>
      <c r="D51" s="254"/>
      <c r="E51" s="19"/>
      <c r="F51" s="19"/>
      <c r="G51" s="19"/>
      <c r="H51" s="82">
        <v>160.74</v>
      </c>
      <c r="I51" s="82"/>
      <c r="J51" s="82">
        <f>H51</f>
        <v>160.74</v>
      </c>
    </row>
    <row r="52" spans="1:10" x14ac:dyDescent="0.2">
      <c r="A52" s="41"/>
      <c r="B52" s="41"/>
      <c r="C52" s="41"/>
      <c r="D52" s="254"/>
      <c r="E52" s="19"/>
      <c r="F52" s="19"/>
      <c r="G52" s="19"/>
      <c r="H52" s="19"/>
      <c r="I52" s="89" t="s">
        <v>604</v>
      </c>
      <c r="J52" s="90">
        <f>SUM(J51)</f>
        <v>160.74</v>
      </c>
    </row>
    <row r="53" spans="1:10" x14ac:dyDescent="0.2">
      <c r="A53" s="41"/>
      <c r="B53" s="41"/>
      <c r="C53" s="41"/>
      <c r="D53" s="254"/>
      <c r="E53" s="19"/>
      <c r="F53" s="19"/>
      <c r="G53" s="19"/>
      <c r="H53" s="19"/>
      <c r="I53" s="175"/>
      <c r="J53" s="104"/>
    </row>
    <row r="54" spans="1:10" x14ac:dyDescent="0.2">
      <c r="A54" s="11">
        <v>2</v>
      </c>
      <c r="B54" s="7" t="s">
        <v>23</v>
      </c>
      <c r="C54" s="5"/>
      <c r="D54" s="277"/>
      <c r="E54" s="77"/>
      <c r="F54" s="77"/>
      <c r="G54" s="77"/>
      <c r="H54" s="77"/>
      <c r="I54" s="77"/>
      <c r="J54" s="77"/>
    </row>
    <row r="55" spans="1:10" x14ac:dyDescent="0.2">
      <c r="A55" s="37" t="s">
        <v>273</v>
      </c>
      <c r="B55" s="18" t="s">
        <v>32</v>
      </c>
      <c r="C55" s="19"/>
      <c r="D55" s="254"/>
      <c r="E55" s="19"/>
      <c r="F55" s="19"/>
      <c r="G55" s="19"/>
      <c r="H55" s="19"/>
      <c r="I55" s="19"/>
      <c r="J55" s="19"/>
    </row>
    <row r="56" spans="1:10" ht="25.5" x14ac:dyDescent="0.2">
      <c r="A56" s="19" t="s">
        <v>274</v>
      </c>
      <c r="B56" s="21" t="s">
        <v>34</v>
      </c>
      <c r="C56" s="19" t="s">
        <v>24</v>
      </c>
      <c r="D56" s="263" t="s">
        <v>257</v>
      </c>
      <c r="E56" s="93" t="s">
        <v>258</v>
      </c>
      <c r="F56" s="93" t="s">
        <v>259</v>
      </c>
      <c r="G56" s="93" t="s">
        <v>260</v>
      </c>
      <c r="H56" s="93" t="s">
        <v>261</v>
      </c>
      <c r="I56" s="93" t="s">
        <v>262</v>
      </c>
      <c r="J56" s="94" t="s">
        <v>263</v>
      </c>
    </row>
    <row r="57" spans="1:10" x14ac:dyDescent="0.2">
      <c r="A57" s="19"/>
      <c r="B57" s="80" t="s">
        <v>649</v>
      </c>
      <c r="C57" s="19"/>
      <c r="D57" s="254"/>
      <c r="E57" s="19"/>
      <c r="F57" s="82">
        <v>4</v>
      </c>
      <c r="G57" s="82">
        <v>2</v>
      </c>
      <c r="H57" s="82">
        <f>F57*G57</f>
        <v>8</v>
      </c>
      <c r="I57" s="82"/>
      <c r="J57" s="82">
        <f>H57</f>
        <v>8</v>
      </c>
    </row>
    <row r="58" spans="1:10" x14ac:dyDescent="0.2">
      <c r="A58" s="19"/>
      <c r="B58" s="21"/>
      <c r="C58" s="19"/>
      <c r="D58" s="254"/>
      <c r="E58" s="19"/>
      <c r="F58" s="19"/>
      <c r="G58" s="19"/>
      <c r="H58" s="19"/>
      <c r="I58" s="89" t="s">
        <v>604</v>
      </c>
      <c r="J58" s="90">
        <f>SUM(J57)</f>
        <v>8</v>
      </c>
    </row>
    <row r="59" spans="1:10" x14ac:dyDescent="0.2">
      <c r="A59" s="19"/>
      <c r="B59" s="21"/>
      <c r="C59" s="19"/>
      <c r="D59" s="254"/>
      <c r="E59" s="19"/>
      <c r="F59" s="19"/>
      <c r="G59" s="19"/>
      <c r="H59" s="19"/>
      <c r="I59" s="175"/>
      <c r="J59" s="104"/>
    </row>
    <row r="60" spans="1:10" ht="51" x14ac:dyDescent="0.2">
      <c r="A60" s="19" t="s">
        <v>275</v>
      </c>
      <c r="B60" s="21" t="s">
        <v>35</v>
      </c>
      <c r="C60" s="19" t="s">
        <v>16</v>
      </c>
      <c r="D60" s="263" t="s">
        <v>257</v>
      </c>
      <c r="E60" s="93" t="s">
        <v>258</v>
      </c>
      <c r="F60" s="93" t="s">
        <v>259</v>
      </c>
      <c r="G60" s="93" t="s">
        <v>260</v>
      </c>
      <c r="H60" s="93" t="s">
        <v>261</v>
      </c>
      <c r="I60" s="93" t="s">
        <v>262</v>
      </c>
      <c r="J60" s="94" t="s">
        <v>263</v>
      </c>
    </row>
    <row r="61" spans="1:10" x14ac:dyDescent="0.2">
      <c r="A61" s="19"/>
      <c r="B61" s="80" t="s">
        <v>603</v>
      </c>
      <c r="C61" s="19"/>
      <c r="D61" s="254"/>
      <c r="E61" s="82">
        <v>23.8</v>
      </c>
      <c r="F61" s="19"/>
      <c r="G61" s="19"/>
      <c r="H61" s="19"/>
      <c r="I61" s="19"/>
      <c r="J61" s="19">
        <f>E61</f>
        <v>23.8</v>
      </c>
    </row>
    <row r="62" spans="1:10" x14ac:dyDescent="0.2">
      <c r="A62" s="19"/>
      <c r="B62" s="80" t="s">
        <v>657</v>
      </c>
      <c r="C62" s="19"/>
      <c r="D62" s="254"/>
      <c r="E62" s="19">
        <v>16.809999999999999</v>
      </c>
      <c r="F62" s="19"/>
      <c r="G62" s="19"/>
      <c r="H62" s="19"/>
      <c r="I62" s="19"/>
      <c r="J62" s="19">
        <f>E62</f>
        <v>16.809999999999999</v>
      </c>
    </row>
    <row r="63" spans="1:10" x14ac:dyDescent="0.2">
      <c r="A63" s="85"/>
      <c r="B63" s="86"/>
      <c r="C63" s="85"/>
      <c r="D63" s="259"/>
      <c r="E63" s="85"/>
      <c r="F63" s="85"/>
      <c r="G63" s="85"/>
      <c r="H63" s="85"/>
      <c r="I63" s="89" t="s">
        <v>604</v>
      </c>
      <c r="J63" s="90">
        <f>SUM(J61:J62)</f>
        <v>40.61</v>
      </c>
    </row>
    <row r="64" spans="1:10" x14ac:dyDescent="0.2">
      <c r="A64" s="19"/>
      <c r="B64" s="21"/>
      <c r="C64" s="19"/>
      <c r="D64" s="254"/>
      <c r="E64" s="19"/>
      <c r="F64" s="19"/>
      <c r="G64" s="19"/>
      <c r="H64" s="19"/>
      <c r="I64" s="19"/>
      <c r="J64" s="19"/>
    </row>
    <row r="65" spans="1:10" ht="25.5" x14ac:dyDescent="0.2">
      <c r="A65" s="19" t="s">
        <v>276</v>
      </c>
      <c r="B65" s="21" t="s">
        <v>36</v>
      </c>
      <c r="C65" s="19" t="s">
        <v>37</v>
      </c>
      <c r="D65" s="263" t="s">
        <v>257</v>
      </c>
      <c r="E65" s="93" t="s">
        <v>258</v>
      </c>
      <c r="F65" s="93" t="s">
        <v>259</v>
      </c>
      <c r="G65" s="93" t="s">
        <v>260</v>
      </c>
      <c r="H65" s="93" t="s">
        <v>261</v>
      </c>
      <c r="I65" s="93" t="s">
        <v>262</v>
      </c>
      <c r="J65" s="94" t="s">
        <v>263</v>
      </c>
    </row>
    <row r="66" spans="1:10" x14ac:dyDescent="0.2">
      <c r="A66" s="19"/>
      <c r="B66" s="231" t="s">
        <v>1215</v>
      </c>
      <c r="C66" s="19"/>
      <c r="D66" s="263">
        <v>6</v>
      </c>
      <c r="E66" s="93"/>
      <c r="F66" s="93"/>
      <c r="G66" s="93">
        <v>9</v>
      </c>
      <c r="H66" s="93"/>
      <c r="I66" s="93"/>
      <c r="J66" s="94">
        <f>D66*G66</f>
        <v>54</v>
      </c>
    </row>
    <row r="67" spans="1:10" x14ac:dyDescent="0.2">
      <c r="A67" s="19"/>
      <c r="B67" s="21"/>
      <c r="C67" s="19"/>
      <c r="D67" s="263"/>
      <c r="E67" s="93"/>
      <c r="F67" s="93"/>
      <c r="G67" s="93"/>
      <c r="H67" s="93"/>
      <c r="I67" s="89" t="s">
        <v>604</v>
      </c>
      <c r="J67" s="90">
        <f>SUM(J66)</f>
        <v>54</v>
      </c>
    </row>
    <row r="68" spans="1:10" x14ac:dyDescent="0.2">
      <c r="A68" s="19"/>
      <c r="B68" s="21"/>
      <c r="C68" s="19"/>
      <c r="D68" s="254"/>
      <c r="E68" s="19"/>
      <c r="F68" s="19"/>
      <c r="G68" s="19"/>
      <c r="H68" s="19"/>
      <c r="I68" s="19"/>
      <c r="J68" s="19"/>
    </row>
    <row r="69" spans="1:10" ht="38.25" x14ac:dyDescent="0.2">
      <c r="A69" s="23" t="s">
        <v>277</v>
      </c>
      <c r="B69" s="18" t="s">
        <v>55</v>
      </c>
      <c r="C69" s="19"/>
      <c r="D69" s="254"/>
      <c r="E69" s="19"/>
      <c r="F69" s="19"/>
      <c r="G69" s="19"/>
      <c r="H69" s="19"/>
      <c r="I69" s="19"/>
      <c r="J69" s="19"/>
    </row>
    <row r="70" spans="1:10" ht="38.25" x14ac:dyDescent="0.2">
      <c r="A70" s="19" t="s">
        <v>278</v>
      </c>
      <c r="B70" s="21" t="s">
        <v>52</v>
      </c>
      <c r="C70" s="19" t="s">
        <v>16</v>
      </c>
      <c r="D70" s="263" t="s">
        <v>257</v>
      </c>
      <c r="E70" s="93" t="s">
        <v>258</v>
      </c>
      <c r="F70" s="93" t="s">
        <v>259</v>
      </c>
      <c r="G70" s="93" t="s">
        <v>260</v>
      </c>
      <c r="H70" s="93" t="s">
        <v>261</v>
      </c>
      <c r="I70" s="93" t="s">
        <v>262</v>
      </c>
      <c r="J70" s="94" t="s">
        <v>263</v>
      </c>
    </row>
    <row r="71" spans="1:10" x14ac:dyDescent="0.2">
      <c r="A71" s="19"/>
      <c r="B71" s="238" t="s">
        <v>602</v>
      </c>
      <c r="C71" s="19"/>
      <c r="D71" s="254"/>
      <c r="E71" s="82">
        <v>20</v>
      </c>
      <c r="F71" s="82"/>
      <c r="G71" s="82"/>
      <c r="H71" s="82"/>
      <c r="I71" s="82"/>
      <c r="J71" s="82">
        <f>E71</f>
        <v>20</v>
      </c>
    </row>
    <row r="72" spans="1:10" x14ac:dyDescent="0.2">
      <c r="A72" s="19"/>
      <c r="B72" s="21"/>
      <c r="C72" s="19"/>
      <c r="D72" s="254"/>
      <c r="E72" s="82"/>
      <c r="F72" s="82"/>
      <c r="G72" s="82"/>
      <c r="H72" s="82"/>
      <c r="I72" s="89" t="s">
        <v>604</v>
      </c>
      <c r="J72" s="90">
        <f>SUM(J71)</f>
        <v>20</v>
      </c>
    </row>
    <row r="73" spans="1:10" x14ac:dyDescent="0.2">
      <c r="A73" s="19"/>
      <c r="B73" s="21"/>
      <c r="C73" s="19"/>
      <c r="D73" s="254"/>
      <c r="E73" s="19"/>
      <c r="F73" s="19"/>
      <c r="G73" s="19"/>
      <c r="H73" s="19"/>
      <c r="I73" s="19"/>
      <c r="J73" s="19"/>
    </row>
    <row r="74" spans="1:10" ht="38.25" x14ac:dyDescent="0.2">
      <c r="A74" s="19" t="s">
        <v>267</v>
      </c>
      <c r="B74" s="21" t="s">
        <v>53</v>
      </c>
      <c r="C74" s="19" t="s">
        <v>49</v>
      </c>
      <c r="D74" s="263" t="s">
        <v>257</v>
      </c>
      <c r="E74" s="93" t="s">
        <v>258</v>
      </c>
      <c r="F74" s="93" t="s">
        <v>259</v>
      </c>
      <c r="G74" s="93" t="s">
        <v>260</v>
      </c>
      <c r="H74" s="93" t="s">
        <v>261</v>
      </c>
      <c r="I74" s="93" t="s">
        <v>262</v>
      </c>
      <c r="J74" s="94" t="s">
        <v>263</v>
      </c>
    </row>
    <row r="75" spans="1:10" x14ac:dyDescent="0.2">
      <c r="A75" s="19"/>
      <c r="B75" s="238" t="s">
        <v>602</v>
      </c>
      <c r="C75" s="19"/>
      <c r="D75" s="254"/>
      <c r="E75" s="82">
        <v>25</v>
      </c>
      <c r="F75" s="82"/>
      <c r="G75" s="82"/>
      <c r="H75" s="82"/>
      <c r="I75" s="82"/>
      <c r="J75" s="82">
        <f>E75</f>
        <v>25</v>
      </c>
    </row>
    <row r="76" spans="1:10" x14ac:dyDescent="0.2">
      <c r="A76" s="19"/>
      <c r="B76" s="21"/>
      <c r="C76" s="19"/>
      <c r="D76" s="254"/>
      <c r="E76" s="82"/>
      <c r="F76" s="82"/>
      <c r="G76" s="82"/>
      <c r="H76" s="82"/>
      <c r="I76" s="89" t="s">
        <v>604</v>
      </c>
      <c r="J76" s="90">
        <f>SUM(J75)</f>
        <v>25</v>
      </c>
    </row>
    <row r="77" spans="1:10" ht="38.25" x14ac:dyDescent="0.2">
      <c r="A77" s="23" t="s">
        <v>279</v>
      </c>
      <c r="B77" s="18" t="s">
        <v>41</v>
      </c>
      <c r="C77" s="19"/>
      <c r="D77" s="254"/>
      <c r="E77" s="19"/>
      <c r="F77" s="19"/>
      <c r="G77" s="19"/>
      <c r="H77" s="19"/>
      <c r="I77" s="19"/>
      <c r="J77" s="19"/>
    </row>
    <row r="78" spans="1:10" ht="51" x14ac:dyDescent="0.2">
      <c r="A78" s="19" t="s">
        <v>280</v>
      </c>
      <c r="B78" s="21" t="s">
        <v>38</v>
      </c>
      <c r="C78" s="19" t="s">
        <v>39</v>
      </c>
      <c r="D78" s="263" t="s">
        <v>257</v>
      </c>
      <c r="E78" s="93" t="s">
        <v>258</v>
      </c>
      <c r="F78" s="93" t="s">
        <v>259</v>
      </c>
      <c r="G78" s="93" t="s">
        <v>260</v>
      </c>
      <c r="H78" s="93" t="s">
        <v>261</v>
      </c>
      <c r="I78" s="93" t="s">
        <v>262</v>
      </c>
      <c r="J78" s="94" t="s">
        <v>263</v>
      </c>
    </row>
    <row r="79" spans="1:10" x14ac:dyDescent="0.2">
      <c r="A79" s="19"/>
      <c r="B79" s="238" t="s">
        <v>602</v>
      </c>
      <c r="C79" s="19"/>
      <c r="D79" s="254"/>
      <c r="E79" s="19"/>
      <c r="F79" s="19"/>
      <c r="G79" s="19"/>
      <c r="H79" s="82">
        <v>14.5</v>
      </c>
      <c r="I79" s="19"/>
      <c r="J79" s="82">
        <f>H79</f>
        <v>14.5</v>
      </c>
    </row>
    <row r="80" spans="1:10" x14ac:dyDescent="0.2">
      <c r="A80" s="19"/>
      <c r="B80" s="21"/>
      <c r="C80" s="19"/>
      <c r="D80" s="254"/>
      <c r="E80" s="19"/>
      <c r="F80" s="19"/>
      <c r="G80" s="19"/>
      <c r="H80" s="82"/>
      <c r="I80" s="89" t="s">
        <v>604</v>
      </c>
      <c r="J80" s="90">
        <f>SUM(J79)</f>
        <v>14.5</v>
      </c>
    </row>
    <row r="81" spans="1:10" x14ac:dyDescent="0.2">
      <c r="A81" s="19"/>
      <c r="B81" s="21"/>
      <c r="C81" s="19"/>
      <c r="D81" s="254"/>
      <c r="E81" s="19"/>
      <c r="F81" s="19"/>
      <c r="G81" s="19"/>
      <c r="H81" s="19"/>
      <c r="I81" s="19"/>
      <c r="J81" s="19"/>
    </row>
    <row r="82" spans="1:10" ht="38.25" x14ac:dyDescent="0.2">
      <c r="A82" s="19" t="s">
        <v>281</v>
      </c>
      <c r="B82" s="21" t="s">
        <v>42</v>
      </c>
      <c r="C82" s="19" t="s">
        <v>39</v>
      </c>
      <c r="D82" s="263" t="s">
        <v>257</v>
      </c>
      <c r="E82" s="93" t="s">
        <v>258</v>
      </c>
      <c r="F82" s="93" t="s">
        <v>259</v>
      </c>
      <c r="G82" s="93" t="s">
        <v>260</v>
      </c>
      <c r="H82" s="93" t="s">
        <v>261</v>
      </c>
      <c r="I82" s="93" t="s">
        <v>262</v>
      </c>
      <c r="J82" s="94" t="s">
        <v>263</v>
      </c>
    </row>
    <row r="83" spans="1:10" x14ac:dyDescent="0.2">
      <c r="A83" s="19"/>
      <c r="B83" s="238" t="s">
        <v>602</v>
      </c>
      <c r="C83" s="19"/>
      <c r="D83" s="254"/>
      <c r="E83" s="19"/>
      <c r="F83" s="19"/>
      <c r="G83" s="19"/>
      <c r="H83" s="82">
        <v>10.9</v>
      </c>
      <c r="I83" s="19"/>
      <c r="J83" s="82">
        <f>H83</f>
        <v>10.9</v>
      </c>
    </row>
    <row r="84" spans="1:10" x14ac:dyDescent="0.2">
      <c r="A84" s="19"/>
      <c r="B84" s="21"/>
      <c r="C84" s="19"/>
      <c r="D84" s="254"/>
      <c r="E84" s="19"/>
      <c r="F84" s="19"/>
      <c r="G84" s="19"/>
      <c r="H84" s="82"/>
      <c r="I84" s="89" t="s">
        <v>604</v>
      </c>
      <c r="J84" s="90">
        <f>SUM(J83)</f>
        <v>10.9</v>
      </c>
    </row>
    <row r="85" spans="1:10" x14ac:dyDescent="0.2">
      <c r="A85" s="19"/>
      <c r="B85" s="21"/>
      <c r="C85" s="19"/>
      <c r="D85" s="254"/>
      <c r="E85" s="19"/>
      <c r="F85" s="19"/>
      <c r="G85" s="19"/>
      <c r="H85" s="19"/>
      <c r="I85" s="19"/>
      <c r="J85" s="19"/>
    </row>
    <row r="86" spans="1:10" ht="38.25" x14ac:dyDescent="0.2">
      <c r="A86" s="19" t="s">
        <v>283</v>
      </c>
      <c r="B86" s="21" t="s">
        <v>44</v>
      </c>
      <c r="C86" s="19" t="s">
        <v>39</v>
      </c>
      <c r="D86" s="263" t="s">
        <v>257</v>
      </c>
      <c r="E86" s="93" t="s">
        <v>258</v>
      </c>
      <c r="F86" s="93" t="s">
        <v>259</v>
      </c>
      <c r="G86" s="93" t="s">
        <v>260</v>
      </c>
      <c r="H86" s="93" t="s">
        <v>261</v>
      </c>
      <c r="I86" s="93" t="s">
        <v>262</v>
      </c>
      <c r="J86" s="94" t="s">
        <v>263</v>
      </c>
    </row>
    <row r="87" spans="1:10" x14ac:dyDescent="0.2">
      <c r="A87" s="19"/>
      <c r="B87" s="171" t="s">
        <v>729</v>
      </c>
      <c r="C87" s="19"/>
      <c r="D87" s="254"/>
      <c r="E87" s="19"/>
      <c r="F87" s="19"/>
      <c r="G87" s="19"/>
      <c r="H87" s="82">
        <v>20</v>
      </c>
      <c r="I87" s="19"/>
      <c r="J87" s="82">
        <f>H87</f>
        <v>20</v>
      </c>
    </row>
    <row r="88" spans="1:10" x14ac:dyDescent="0.2">
      <c r="A88" s="19"/>
      <c r="B88" s="21"/>
      <c r="C88" s="19"/>
      <c r="D88" s="254"/>
      <c r="E88" s="19"/>
      <c r="F88" s="19"/>
      <c r="G88" s="19"/>
      <c r="H88" s="19"/>
      <c r="I88" s="89" t="s">
        <v>604</v>
      </c>
      <c r="J88" s="90">
        <f>SUM(J87)</f>
        <v>20</v>
      </c>
    </row>
    <row r="89" spans="1:10" x14ac:dyDescent="0.2">
      <c r="A89" s="19"/>
      <c r="B89" s="21"/>
      <c r="C89" s="19"/>
      <c r="D89" s="254"/>
      <c r="E89" s="19"/>
      <c r="F89" s="19"/>
      <c r="G89" s="19"/>
      <c r="H89" s="19"/>
      <c r="I89" s="175"/>
      <c r="J89" s="104"/>
    </row>
    <row r="90" spans="1:10" ht="51" x14ac:dyDescent="0.2">
      <c r="A90" s="19" t="s">
        <v>284</v>
      </c>
      <c r="B90" s="21" t="s">
        <v>45</v>
      </c>
      <c r="C90" s="19" t="s">
        <v>43</v>
      </c>
      <c r="D90" s="263" t="s">
        <v>257</v>
      </c>
      <c r="E90" s="93" t="s">
        <v>258</v>
      </c>
      <c r="F90" s="93" t="s">
        <v>259</v>
      </c>
      <c r="G90" s="93" t="s">
        <v>260</v>
      </c>
      <c r="H90" s="93" t="s">
        <v>261</v>
      </c>
      <c r="I90" s="93" t="s">
        <v>262</v>
      </c>
      <c r="J90" s="94" t="s">
        <v>263</v>
      </c>
    </row>
    <row r="91" spans="1:10" x14ac:dyDescent="0.2">
      <c r="A91" s="19"/>
      <c r="B91" s="171" t="s">
        <v>602</v>
      </c>
      <c r="C91" s="19"/>
      <c r="D91" s="258">
        <v>1</v>
      </c>
      <c r="E91" s="82"/>
      <c r="F91" s="82"/>
      <c r="G91" s="82"/>
      <c r="H91" s="82"/>
      <c r="I91" s="82"/>
      <c r="J91" s="82">
        <f>D91</f>
        <v>1</v>
      </c>
    </row>
    <row r="92" spans="1:10" x14ac:dyDescent="0.2">
      <c r="A92" s="19"/>
      <c r="B92" s="21"/>
      <c r="C92" s="19"/>
      <c r="D92" s="254"/>
      <c r="E92" s="19"/>
      <c r="F92" s="19"/>
      <c r="G92" s="19"/>
      <c r="H92" s="19"/>
      <c r="I92" s="89" t="s">
        <v>604</v>
      </c>
      <c r="J92" s="90">
        <f>SUM(J91)</f>
        <v>1</v>
      </c>
    </row>
    <row r="93" spans="1:10" x14ac:dyDescent="0.2">
      <c r="A93" s="19"/>
      <c r="B93" s="21"/>
      <c r="C93" s="19"/>
      <c r="D93" s="254"/>
      <c r="E93" s="19"/>
      <c r="F93" s="19"/>
      <c r="G93" s="19"/>
      <c r="H93" s="19"/>
      <c r="I93" s="175"/>
      <c r="J93" s="104"/>
    </row>
    <row r="94" spans="1:10" ht="51" x14ac:dyDescent="0.2">
      <c r="A94" s="19" t="s">
        <v>282</v>
      </c>
      <c r="B94" s="21" t="s">
        <v>605</v>
      </c>
      <c r="C94" s="19" t="s">
        <v>39</v>
      </c>
      <c r="D94" s="263" t="s">
        <v>257</v>
      </c>
      <c r="E94" s="93" t="s">
        <v>258</v>
      </c>
      <c r="F94" s="93" t="s">
        <v>259</v>
      </c>
      <c r="G94" s="93" t="s">
        <v>260</v>
      </c>
      <c r="H94" s="93" t="s">
        <v>261</v>
      </c>
      <c r="I94" s="93" t="s">
        <v>262</v>
      </c>
      <c r="J94" s="94" t="s">
        <v>263</v>
      </c>
    </row>
    <row r="95" spans="1:10" x14ac:dyDescent="0.2">
      <c r="A95" s="19"/>
      <c r="B95" s="238" t="s">
        <v>602</v>
      </c>
      <c r="C95" s="82"/>
      <c r="D95" s="258"/>
      <c r="E95" s="82"/>
      <c r="F95" s="82"/>
      <c r="G95" s="82"/>
      <c r="H95" s="82">
        <v>6</v>
      </c>
      <c r="I95" s="82"/>
      <c r="J95" s="82">
        <f>H95</f>
        <v>6</v>
      </c>
    </row>
    <row r="96" spans="1:10" x14ac:dyDescent="0.2">
      <c r="A96" s="19"/>
      <c r="B96" s="21"/>
      <c r="C96" s="82"/>
      <c r="D96" s="258"/>
      <c r="E96" s="82"/>
      <c r="F96" s="82"/>
      <c r="G96" s="82"/>
      <c r="H96" s="82"/>
      <c r="I96" s="89" t="s">
        <v>604</v>
      </c>
      <c r="J96" s="90">
        <f>SUM(J95)</f>
        <v>6</v>
      </c>
    </row>
    <row r="97" spans="1:10" x14ac:dyDescent="0.2">
      <c r="A97" s="19"/>
      <c r="B97" s="21"/>
      <c r="C97" s="82"/>
      <c r="D97" s="258"/>
      <c r="E97" s="82"/>
      <c r="F97" s="82"/>
      <c r="G97" s="82"/>
      <c r="H97" s="82"/>
      <c r="I97" s="82"/>
      <c r="J97" s="82"/>
    </row>
    <row r="98" spans="1:10" ht="25.5" x14ac:dyDescent="0.2">
      <c r="A98" s="19" t="s">
        <v>285</v>
      </c>
      <c r="B98" s="21" t="s">
        <v>50</v>
      </c>
      <c r="C98" s="19" t="s">
        <v>25</v>
      </c>
      <c r="D98" s="263" t="s">
        <v>257</v>
      </c>
      <c r="E98" s="93" t="s">
        <v>258</v>
      </c>
      <c r="F98" s="93" t="s">
        <v>259</v>
      </c>
      <c r="G98" s="93" t="s">
        <v>260</v>
      </c>
      <c r="H98" s="93" t="s">
        <v>261</v>
      </c>
      <c r="I98" s="93" t="s">
        <v>262</v>
      </c>
      <c r="J98" s="94" t="s">
        <v>263</v>
      </c>
    </row>
    <row r="99" spans="1:10" x14ac:dyDescent="0.2">
      <c r="A99" s="19"/>
      <c r="B99" s="80" t="s">
        <v>602</v>
      </c>
      <c r="C99" s="19"/>
      <c r="D99" s="258">
        <v>1</v>
      </c>
      <c r="E99" s="82"/>
      <c r="F99" s="82"/>
      <c r="G99" s="82"/>
      <c r="H99" s="82"/>
      <c r="I99" s="82"/>
      <c r="J99" s="82">
        <f>D99</f>
        <v>1</v>
      </c>
    </row>
    <row r="100" spans="1:10" x14ac:dyDescent="0.2">
      <c r="A100" s="19"/>
      <c r="B100" s="171"/>
      <c r="C100" s="19"/>
      <c r="D100" s="258"/>
      <c r="E100" s="82"/>
      <c r="F100" s="82"/>
      <c r="G100" s="82"/>
      <c r="H100" s="82"/>
      <c r="I100" s="89" t="s">
        <v>604</v>
      </c>
      <c r="J100" s="90">
        <f>SUM(J99)</f>
        <v>1</v>
      </c>
    </row>
    <row r="101" spans="1:10" x14ac:dyDescent="0.2">
      <c r="A101" s="19"/>
      <c r="B101" s="21"/>
      <c r="C101" s="19"/>
      <c r="D101" s="254"/>
      <c r="E101" s="19"/>
      <c r="F101" s="19"/>
      <c r="G101" s="19"/>
      <c r="H101" s="19"/>
      <c r="I101" s="19"/>
      <c r="J101" s="19"/>
    </row>
    <row r="102" spans="1:10" ht="38.25" x14ac:dyDescent="0.2">
      <c r="A102" s="19" t="s">
        <v>286</v>
      </c>
      <c r="B102" s="21" t="s">
        <v>51</v>
      </c>
      <c r="C102" s="19" t="s">
        <v>49</v>
      </c>
      <c r="D102" s="263" t="s">
        <v>257</v>
      </c>
      <c r="E102" s="93" t="s">
        <v>258</v>
      </c>
      <c r="F102" s="93" t="s">
        <v>259</v>
      </c>
      <c r="G102" s="93" t="s">
        <v>260</v>
      </c>
      <c r="H102" s="93" t="s">
        <v>261</v>
      </c>
      <c r="I102" s="93" t="s">
        <v>262</v>
      </c>
      <c r="J102" s="94" t="s">
        <v>263</v>
      </c>
    </row>
    <row r="103" spans="1:10" x14ac:dyDescent="0.2">
      <c r="A103" s="19"/>
      <c r="B103" s="238" t="s">
        <v>602</v>
      </c>
      <c r="C103" s="19"/>
      <c r="D103" s="254"/>
      <c r="E103" s="82">
        <v>25</v>
      </c>
      <c r="F103" s="82"/>
      <c r="G103" s="82"/>
      <c r="H103" s="82"/>
      <c r="I103" s="82"/>
      <c r="J103" s="82">
        <f>E103</f>
        <v>25</v>
      </c>
    </row>
    <row r="104" spans="1:10" x14ac:dyDescent="0.2">
      <c r="A104" s="19"/>
      <c r="B104" s="21"/>
      <c r="C104" s="19"/>
      <c r="D104" s="254"/>
      <c r="E104" s="82"/>
      <c r="F104" s="82"/>
      <c r="G104" s="82"/>
      <c r="H104" s="82"/>
      <c r="I104" s="89" t="s">
        <v>604</v>
      </c>
      <c r="J104" s="90">
        <f>SUM(J103)</f>
        <v>25</v>
      </c>
    </row>
    <row r="105" spans="1:10" x14ac:dyDescent="0.2">
      <c r="A105" s="19"/>
      <c r="B105" s="21"/>
      <c r="C105" s="19"/>
      <c r="D105" s="254"/>
      <c r="E105" s="82"/>
      <c r="F105" s="82"/>
      <c r="G105" s="82"/>
      <c r="H105" s="82"/>
      <c r="I105" s="82"/>
      <c r="J105" s="82"/>
    </row>
    <row r="106" spans="1:10" x14ac:dyDescent="0.2">
      <c r="A106" s="11">
        <v>3</v>
      </c>
      <c r="B106" s="7" t="s">
        <v>60</v>
      </c>
      <c r="C106" s="79"/>
      <c r="D106" s="277"/>
      <c r="E106" s="77"/>
      <c r="F106" s="77"/>
      <c r="G106" s="77"/>
      <c r="H106" s="77"/>
      <c r="I106" s="77"/>
      <c r="J106" s="77"/>
    </row>
    <row r="107" spans="1:10" x14ac:dyDescent="0.2">
      <c r="A107" s="37" t="s">
        <v>287</v>
      </c>
      <c r="B107" s="18" t="s">
        <v>59</v>
      </c>
      <c r="C107" s="19"/>
      <c r="D107" s="99"/>
      <c r="E107" s="41"/>
      <c r="F107" s="41"/>
      <c r="G107" s="41"/>
      <c r="H107" s="41"/>
      <c r="I107" s="41"/>
      <c r="J107" s="41"/>
    </row>
    <row r="108" spans="1:10" ht="25.5" x14ac:dyDescent="0.2">
      <c r="A108" s="19" t="s">
        <v>288</v>
      </c>
      <c r="B108" s="21" t="s">
        <v>58</v>
      </c>
      <c r="C108" s="19" t="s">
        <v>57</v>
      </c>
      <c r="D108" s="263" t="s">
        <v>257</v>
      </c>
      <c r="E108" s="93" t="s">
        <v>258</v>
      </c>
      <c r="F108" s="93" t="s">
        <v>259</v>
      </c>
      <c r="G108" s="93" t="s">
        <v>260</v>
      </c>
      <c r="H108" s="93" t="s">
        <v>261</v>
      </c>
      <c r="I108" s="93" t="s">
        <v>262</v>
      </c>
      <c r="J108" s="94" t="s">
        <v>263</v>
      </c>
    </row>
    <row r="109" spans="1:10" x14ac:dyDescent="0.2">
      <c r="A109" s="19"/>
      <c r="B109" s="208" t="s">
        <v>1017</v>
      </c>
      <c r="C109" s="19"/>
      <c r="D109" s="263"/>
      <c r="E109" s="93"/>
      <c r="F109" s="93"/>
      <c r="G109" s="93"/>
      <c r="H109" s="93"/>
      <c r="I109" s="93"/>
      <c r="J109" s="94"/>
    </row>
    <row r="110" spans="1:10" x14ac:dyDescent="0.2">
      <c r="A110" s="19"/>
      <c r="B110" s="247" t="s">
        <v>1396</v>
      </c>
      <c r="C110" s="258"/>
      <c r="D110" s="258">
        <v>2</v>
      </c>
      <c r="E110" s="258">
        <f>1.05+0.4</f>
        <v>1.4500000000000002</v>
      </c>
      <c r="F110" s="258">
        <f>1.2+0.4</f>
        <v>1.6</v>
      </c>
      <c r="G110" s="258">
        <v>1.55</v>
      </c>
      <c r="H110" s="258"/>
      <c r="I110" s="258">
        <f>D110*E110*F110*G110</f>
        <v>7.1920000000000011</v>
      </c>
      <c r="J110" s="258">
        <f>I110</f>
        <v>7.1920000000000011</v>
      </c>
    </row>
    <row r="111" spans="1:10" x14ac:dyDescent="0.2">
      <c r="A111" s="19"/>
      <c r="B111" s="247" t="s">
        <v>1397</v>
      </c>
      <c r="C111" s="258"/>
      <c r="D111" s="258">
        <v>3</v>
      </c>
      <c r="E111" s="258">
        <f>1.45+0.4</f>
        <v>1.85</v>
      </c>
      <c r="F111" s="258">
        <f>1.6+0.4</f>
        <v>2</v>
      </c>
      <c r="G111" s="258">
        <v>1.55</v>
      </c>
      <c r="H111" s="258"/>
      <c r="I111" s="258">
        <f t="shared" ref="I111:I118" si="0">D111*E111*F111*G111</f>
        <v>17.205000000000002</v>
      </c>
      <c r="J111" s="258">
        <f t="shared" ref="J111:J118" si="1">I111</f>
        <v>17.205000000000002</v>
      </c>
    </row>
    <row r="112" spans="1:10" x14ac:dyDescent="0.2">
      <c r="A112" s="19"/>
      <c r="B112" s="247" t="s">
        <v>1398</v>
      </c>
      <c r="C112" s="258"/>
      <c r="D112" s="258">
        <v>5</v>
      </c>
      <c r="E112" s="258">
        <f>1.3+0.4</f>
        <v>1.7000000000000002</v>
      </c>
      <c r="F112" s="258">
        <f>1.45+0.4</f>
        <v>1.85</v>
      </c>
      <c r="G112" s="258">
        <v>1.55</v>
      </c>
      <c r="H112" s="258"/>
      <c r="I112" s="258">
        <f t="shared" si="0"/>
        <v>24.373750000000001</v>
      </c>
      <c r="J112" s="258">
        <f t="shared" si="1"/>
        <v>24.373750000000001</v>
      </c>
    </row>
    <row r="113" spans="1:10" x14ac:dyDescent="0.2">
      <c r="A113" s="19"/>
      <c r="B113" s="247" t="s">
        <v>1399</v>
      </c>
      <c r="C113" s="258"/>
      <c r="D113" s="258">
        <v>3</v>
      </c>
      <c r="E113" s="258">
        <f>1.2+0.4</f>
        <v>1.6</v>
      </c>
      <c r="F113" s="258">
        <f>1.35+0.4</f>
        <v>1.75</v>
      </c>
      <c r="G113" s="258">
        <v>1.55</v>
      </c>
      <c r="H113" s="258"/>
      <c r="I113" s="258">
        <f t="shared" si="0"/>
        <v>13.020000000000003</v>
      </c>
      <c r="J113" s="258">
        <f t="shared" si="1"/>
        <v>13.020000000000003</v>
      </c>
    </row>
    <row r="114" spans="1:10" x14ac:dyDescent="0.2">
      <c r="A114" s="19"/>
      <c r="B114" s="247" t="s">
        <v>1401</v>
      </c>
      <c r="C114" s="258"/>
      <c r="D114" s="258">
        <v>2</v>
      </c>
      <c r="E114" s="258">
        <f>1.6+0.4</f>
        <v>2</v>
      </c>
      <c r="F114" s="258">
        <f>1.75+0.4</f>
        <v>2.15</v>
      </c>
      <c r="G114" s="258">
        <v>1.55</v>
      </c>
      <c r="H114" s="258"/>
      <c r="I114" s="258">
        <f t="shared" si="0"/>
        <v>13.33</v>
      </c>
      <c r="J114" s="258">
        <f t="shared" si="1"/>
        <v>13.33</v>
      </c>
    </row>
    <row r="115" spans="1:10" x14ac:dyDescent="0.2">
      <c r="A115" s="19"/>
      <c r="B115" s="247" t="s">
        <v>1402</v>
      </c>
      <c r="C115" s="258"/>
      <c r="D115" s="258">
        <v>1</v>
      </c>
      <c r="E115" s="258">
        <f>1.7+0.4</f>
        <v>2.1</v>
      </c>
      <c r="F115" s="258">
        <f>1.85+0.4</f>
        <v>2.25</v>
      </c>
      <c r="G115" s="258">
        <v>1.55</v>
      </c>
      <c r="H115" s="258"/>
      <c r="I115" s="258">
        <f t="shared" si="0"/>
        <v>7.3237500000000013</v>
      </c>
      <c r="J115" s="258">
        <f t="shared" si="1"/>
        <v>7.3237500000000013</v>
      </c>
    </row>
    <row r="116" spans="1:10" x14ac:dyDescent="0.2">
      <c r="A116" s="19"/>
      <c r="B116" s="247" t="s">
        <v>1403</v>
      </c>
      <c r="C116" s="258"/>
      <c r="D116" s="258">
        <v>2</v>
      </c>
      <c r="E116" s="258">
        <f>1.2+0.4</f>
        <v>1.6</v>
      </c>
      <c r="F116" s="258">
        <f>1.4+0.4</f>
        <v>1.7999999999999998</v>
      </c>
      <c r="G116" s="258">
        <v>1.55</v>
      </c>
      <c r="H116" s="258"/>
      <c r="I116" s="258">
        <f t="shared" si="0"/>
        <v>8.927999999999999</v>
      </c>
      <c r="J116" s="258">
        <f t="shared" si="1"/>
        <v>8.927999999999999</v>
      </c>
    </row>
    <row r="117" spans="1:10" x14ac:dyDescent="0.2">
      <c r="A117" s="19"/>
      <c r="B117" s="247" t="s">
        <v>1400</v>
      </c>
      <c r="C117" s="258"/>
      <c r="D117" s="258">
        <v>1</v>
      </c>
      <c r="E117" s="258">
        <f>1.35+0.4</f>
        <v>1.75</v>
      </c>
      <c r="F117" s="258">
        <f>1.5+0.4</f>
        <v>1.9</v>
      </c>
      <c r="G117" s="258">
        <v>1.55</v>
      </c>
      <c r="H117" s="258"/>
      <c r="I117" s="258">
        <f t="shared" si="0"/>
        <v>5.1537499999999996</v>
      </c>
      <c r="J117" s="258">
        <f t="shared" si="1"/>
        <v>5.1537499999999996</v>
      </c>
    </row>
    <row r="118" spans="1:10" x14ac:dyDescent="0.2">
      <c r="A118" s="19"/>
      <c r="B118" s="247" t="s">
        <v>1404</v>
      </c>
      <c r="C118" s="258"/>
      <c r="D118" s="258">
        <v>1</v>
      </c>
      <c r="E118" s="258">
        <f>0.7+0.4</f>
        <v>1.1000000000000001</v>
      </c>
      <c r="F118" s="258">
        <f>0.9+0.4</f>
        <v>1.3</v>
      </c>
      <c r="G118" s="258">
        <v>1.55</v>
      </c>
      <c r="H118" s="258"/>
      <c r="I118" s="258">
        <f t="shared" si="0"/>
        <v>2.2165000000000004</v>
      </c>
      <c r="J118" s="258">
        <f t="shared" si="1"/>
        <v>2.2165000000000004</v>
      </c>
    </row>
    <row r="119" spans="1:10" x14ac:dyDescent="0.2">
      <c r="A119" s="19"/>
      <c r="B119" s="176"/>
      <c r="C119" s="82"/>
      <c r="D119" s="258"/>
      <c r="E119" s="82"/>
      <c r="F119" s="82"/>
      <c r="G119" s="82"/>
      <c r="H119" s="82"/>
      <c r="I119" s="82"/>
      <c r="J119" s="82"/>
    </row>
    <row r="120" spans="1:10" x14ac:dyDescent="0.2">
      <c r="A120" s="19"/>
      <c r="B120" s="176" t="s">
        <v>1218</v>
      </c>
      <c r="C120" s="82"/>
      <c r="D120" s="258"/>
      <c r="E120" s="258">
        <v>29.12</v>
      </c>
      <c r="F120" s="82">
        <v>0.4</v>
      </c>
      <c r="G120" s="82">
        <v>0.3</v>
      </c>
      <c r="H120" s="82"/>
      <c r="I120" s="82">
        <f>E120*F120*G120</f>
        <v>3.4944000000000002</v>
      </c>
      <c r="J120" s="82">
        <f>I120</f>
        <v>3.4944000000000002</v>
      </c>
    </row>
    <row r="121" spans="1:10" x14ac:dyDescent="0.2">
      <c r="A121" s="19"/>
      <c r="B121" s="176"/>
      <c r="C121" s="82"/>
      <c r="D121" s="258"/>
      <c r="E121" s="82"/>
      <c r="F121" s="82"/>
      <c r="G121" s="82"/>
      <c r="H121" s="82"/>
      <c r="I121" s="89" t="s">
        <v>604</v>
      </c>
      <c r="J121" s="90">
        <f>SUM(J110:J120)</f>
        <v>102.23715000000001</v>
      </c>
    </row>
    <row r="122" spans="1:10" x14ac:dyDescent="0.2">
      <c r="A122" s="19"/>
      <c r="B122" s="176"/>
      <c r="C122" s="82"/>
      <c r="D122" s="258"/>
      <c r="E122" s="82"/>
      <c r="F122" s="82"/>
      <c r="G122" s="82"/>
      <c r="H122" s="82"/>
      <c r="I122" s="82"/>
      <c r="J122" s="82"/>
    </row>
    <row r="123" spans="1:10" x14ac:dyDescent="0.2">
      <c r="A123" s="23" t="s">
        <v>289</v>
      </c>
      <c r="B123" s="18" t="s">
        <v>64</v>
      </c>
      <c r="C123" s="41"/>
      <c r="D123" s="99"/>
      <c r="E123" s="41"/>
      <c r="F123" s="41"/>
      <c r="G123" s="41"/>
      <c r="H123" s="41"/>
      <c r="I123" s="41"/>
      <c r="J123" s="41"/>
    </row>
    <row r="124" spans="1:10" ht="25.5" x14ac:dyDescent="0.2">
      <c r="A124" s="19" t="s">
        <v>290</v>
      </c>
      <c r="B124" s="21" t="s">
        <v>63</v>
      </c>
      <c r="C124" s="19" t="s">
        <v>56</v>
      </c>
      <c r="D124" s="263" t="s">
        <v>257</v>
      </c>
      <c r="E124" s="93" t="s">
        <v>258</v>
      </c>
      <c r="F124" s="93" t="s">
        <v>259</v>
      </c>
      <c r="G124" s="93" t="s">
        <v>260</v>
      </c>
      <c r="H124" s="93" t="s">
        <v>261</v>
      </c>
      <c r="I124" s="93" t="s">
        <v>262</v>
      </c>
      <c r="J124" s="94" t="s">
        <v>263</v>
      </c>
    </row>
    <row r="125" spans="1:10" ht="25.5" x14ac:dyDescent="0.2">
      <c r="A125" s="19"/>
      <c r="B125" s="84" t="s">
        <v>1021</v>
      </c>
      <c r="C125" s="19"/>
      <c r="D125" s="263"/>
      <c r="E125" s="93"/>
      <c r="F125" s="93"/>
      <c r="G125" s="93"/>
      <c r="H125" s="93"/>
      <c r="I125" s="93"/>
      <c r="J125" s="94"/>
    </row>
    <row r="126" spans="1:10" x14ac:dyDescent="0.2">
      <c r="A126" s="19"/>
      <c r="B126" s="210" t="s">
        <v>1019</v>
      </c>
      <c r="C126" s="19"/>
      <c r="D126" s="263"/>
      <c r="E126" s="93"/>
      <c r="F126" s="93"/>
      <c r="G126" s="93"/>
      <c r="H126" s="93"/>
      <c r="I126" s="93">
        <f>J121</f>
        <v>102.23715000000001</v>
      </c>
      <c r="J126" s="94">
        <f>I126</f>
        <v>102.23715000000001</v>
      </c>
    </row>
    <row r="127" spans="1:10" x14ac:dyDescent="0.2">
      <c r="A127" s="19"/>
      <c r="B127" s="240" t="s">
        <v>1020</v>
      </c>
      <c r="C127" s="19"/>
      <c r="D127" s="263"/>
      <c r="E127" s="93"/>
      <c r="F127" s="93"/>
      <c r="G127" s="93"/>
      <c r="H127" s="93"/>
      <c r="I127" s="93">
        <f>J173+13.36</f>
        <v>17.127649999999999</v>
      </c>
      <c r="J127" s="94">
        <f>I127</f>
        <v>17.127649999999999</v>
      </c>
    </row>
    <row r="128" spans="1:10" x14ac:dyDescent="0.2">
      <c r="A128" s="19"/>
      <c r="B128" s="21"/>
      <c r="C128" s="19"/>
      <c r="D128" s="263"/>
      <c r="E128" s="93"/>
      <c r="F128" s="93"/>
      <c r="G128" s="93"/>
      <c r="H128" s="93"/>
      <c r="I128" s="89" t="s">
        <v>604</v>
      </c>
      <c r="J128" s="90">
        <f>J126-J127</f>
        <v>85.109500000000011</v>
      </c>
    </row>
    <row r="129" spans="1:10" x14ac:dyDescent="0.2">
      <c r="A129" s="19"/>
      <c r="B129" s="21"/>
      <c r="C129" s="41"/>
      <c r="D129" s="99"/>
      <c r="E129" s="41"/>
      <c r="F129" s="41"/>
      <c r="G129" s="41"/>
      <c r="H129" s="41"/>
      <c r="I129" s="41"/>
      <c r="J129" s="41"/>
    </row>
    <row r="130" spans="1:10" ht="25.5" x14ac:dyDescent="0.2">
      <c r="A130" s="19" t="s">
        <v>291</v>
      </c>
      <c r="B130" s="21" t="s">
        <v>66</v>
      </c>
      <c r="C130" s="19" t="s">
        <v>56</v>
      </c>
      <c r="D130" s="263" t="s">
        <v>257</v>
      </c>
      <c r="E130" s="93" t="s">
        <v>258</v>
      </c>
      <c r="F130" s="93" t="s">
        <v>259</v>
      </c>
      <c r="G130" s="93" t="s">
        <v>260</v>
      </c>
      <c r="H130" s="93" t="s">
        <v>261</v>
      </c>
      <c r="I130" s="93" t="s">
        <v>262</v>
      </c>
      <c r="J130" s="94" t="s">
        <v>263</v>
      </c>
    </row>
    <row r="131" spans="1:10" x14ac:dyDescent="0.2">
      <c r="A131" s="19"/>
      <c r="B131" s="231" t="s">
        <v>1022</v>
      </c>
      <c r="C131" s="19"/>
      <c r="D131" s="99"/>
      <c r="E131" s="41"/>
      <c r="F131" s="41"/>
      <c r="G131" s="102">
        <v>0.5</v>
      </c>
      <c r="H131" s="102">
        <v>341.18</v>
      </c>
      <c r="I131" s="102">
        <f>G131*H131</f>
        <v>170.59</v>
      </c>
      <c r="J131" s="102">
        <f>I131</f>
        <v>170.59</v>
      </c>
    </row>
    <row r="132" spans="1:10" x14ac:dyDescent="0.2">
      <c r="A132" s="19"/>
      <c r="B132" s="240" t="s">
        <v>1216</v>
      </c>
      <c r="C132" s="19"/>
      <c r="D132" s="99"/>
      <c r="E132" s="41"/>
      <c r="F132" s="41"/>
      <c r="G132" s="239">
        <v>0.15</v>
      </c>
      <c r="H132" s="366">
        <f>27.24+4.5</f>
        <v>31.74</v>
      </c>
      <c r="I132" s="102">
        <f>G132*H132</f>
        <v>4.7609999999999992</v>
      </c>
      <c r="J132" s="102">
        <f>I132</f>
        <v>4.7609999999999992</v>
      </c>
    </row>
    <row r="133" spans="1:10" x14ac:dyDescent="0.2">
      <c r="A133" s="19"/>
      <c r="B133" s="21"/>
      <c r="C133" s="41"/>
      <c r="D133" s="99"/>
      <c r="E133" s="41"/>
      <c r="F133" s="41"/>
      <c r="G133" s="102"/>
      <c r="H133" s="41"/>
      <c r="I133" s="89" t="s">
        <v>604</v>
      </c>
      <c r="J133" s="90">
        <f>SUM(J131:J132)</f>
        <v>175.351</v>
      </c>
    </row>
    <row r="134" spans="1:10" x14ac:dyDescent="0.2">
      <c r="A134" s="19"/>
      <c r="B134" s="21"/>
      <c r="C134" s="41"/>
      <c r="D134" s="99"/>
      <c r="E134" s="41"/>
      <c r="F134" s="41"/>
      <c r="G134" s="102"/>
      <c r="H134" s="41"/>
      <c r="I134" s="181"/>
      <c r="J134" s="165"/>
    </row>
    <row r="135" spans="1:10" x14ac:dyDescent="0.2">
      <c r="A135" s="23" t="s">
        <v>292</v>
      </c>
      <c r="B135" s="18" t="s">
        <v>68</v>
      </c>
      <c r="C135" s="19"/>
      <c r="D135" s="99"/>
      <c r="E135" s="41"/>
      <c r="F135" s="41"/>
      <c r="G135" s="41"/>
      <c r="H135" s="41"/>
      <c r="I135" s="41"/>
      <c r="J135" s="41"/>
    </row>
    <row r="136" spans="1:10" ht="45.75" customHeight="1" x14ac:dyDescent="0.2">
      <c r="A136" s="19" t="s">
        <v>293</v>
      </c>
      <c r="B136" s="21" t="s">
        <v>67</v>
      </c>
      <c r="C136" s="19" t="s">
        <v>56</v>
      </c>
      <c r="D136" s="263" t="s">
        <v>257</v>
      </c>
      <c r="E136" s="93" t="s">
        <v>258</v>
      </c>
      <c r="F136" s="93" t="s">
        <v>259</v>
      </c>
      <c r="G136" s="93" t="s">
        <v>260</v>
      </c>
      <c r="H136" s="93" t="s">
        <v>261</v>
      </c>
      <c r="I136" s="93" t="s">
        <v>262</v>
      </c>
      <c r="J136" s="94" t="s">
        <v>263</v>
      </c>
    </row>
    <row r="137" spans="1:10" x14ac:dyDescent="0.2">
      <c r="A137" s="19"/>
      <c r="B137" s="243" t="s">
        <v>988</v>
      </c>
      <c r="C137" s="242"/>
      <c r="D137" s="263"/>
      <c r="E137" s="245"/>
      <c r="F137" s="245"/>
      <c r="G137" s="245"/>
      <c r="H137" s="93"/>
      <c r="I137" s="93">
        <f>J11</f>
        <v>8.1640500000000014</v>
      </c>
      <c r="J137" s="94">
        <f>I137</f>
        <v>8.1640500000000014</v>
      </c>
    </row>
    <row r="138" spans="1:10" x14ac:dyDescent="0.2">
      <c r="A138" s="19"/>
      <c r="B138" s="243" t="s">
        <v>1219</v>
      </c>
      <c r="C138" s="242"/>
      <c r="D138" s="263"/>
      <c r="E138" s="245"/>
      <c r="F138" s="245"/>
      <c r="G138" s="245"/>
      <c r="H138" s="93"/>
      <c r="I138" s="93">
        <f>J17</f>
        <v>9.8312850000000012</v>
      </c>
      <c r="J138" s="94">
        <f>I138</f>
        <v>9.8312850000000012</v>
      </c>
    </row>
    <row r="139" spans="1:10" x14ac:dyDescent="0.2">
      <c r="A139" s="19"/>
      <c r="B139" s="243" t="s">
        <v>1220</v>
      </c>
      <c r="C139" s="242"/>
      <c r="D139" s="263"/>
      <c r="E139" s="245"/>
      <c r="F139" s="245"/>
      <c r="G139" s="245">
        <v>0.05</v>
      </c>
      <c r="H139" s="93">
        <f>J23</f>
        <v>51.134999999999998</v>
      </c>
      <c r="I139" s="93"/>
      <c r="J139" s="94">
        <f>G139*H139</f>
        <v>2.5567500000000001</v>
      </c>
    </row>
    <row r="140" spans="1:10" x14ac:dyDescent="0.2">
      <c r="A140" s="19"/>
      <c r="B140" s="243" t="s">
        <v>991</v>
      </c>
      <c r="C140" s="242"/>
      <c r="D140" s="263"/>
      <c r="E140" s="245"/>
      <c r="F140" s="245"/>
      <c r="G140" s="245">
        <v>0.05</v>
      </c>
      <c r="H140" s="93">
        <f>J27</f>
        <v>42.833000000000006</v>
      </c>
      <c r="I140" s="93"/>
      <c r="J140" s="246">
        <f t="shared" ref="J140:J142" si="2">G140*H140</f>
        <v>2.1416500000000003</v>
      </c>
    </row>
    <row r="141" spans="1:10" x14ac:dyDescent="0.2">
      <c r="A141" s="19"/>
      <c r="B141" s="243" t="s">
        <v>993</v>
      </c>
      <c r="C141" s="242"/>
      <c r="D141" s="263"/>
      <c r="E141" s="245"/>
      <c r="F141" s="245"/>
      <c r="G141" s="245">
        <v>0.05</v>
      </c>
      <c r="H141" s="93">
        <f>J31</f>
        <v>42.833000000000006</v>
      </c>
      <c r="I141" s="93"/>
      <c r="J141" s="246">
        <f t="shared" si="2"/>
        <v>2.1416500000000003</v>
      </c>
    </row>
    <row r="142" spans="1:10" x14ac:dyDescent="0.2">
      <c r="A142" s="19"/>
      <c r="B142" s="243" t="s">
        <v>26</v>
      </c>
      <c r="C142" s="242"/>
      <c r="D142" s="263"/>
      <c r="E142" s="245"/>
      <c r="F142" s="245"/>
      <c r="G142" s="245">
        <v>0.05</v>
      </c>
      <c r="H142" s="93">
        <f>J36</f>
        <v>336.27</v>
      </c>
      <c r="I142" s="93"/>
      <c r="J142" s="246">
        <f t="shared" si="2"/>
        <v>16.813500000000001</v>
      </c>
    </row>
    <row r="143" spans="1:10" x14ac:dyDescent="0.2">
      <c r="A143" s="19"/>
      <c r="B143" s="243" t="s">
        <v>27</v>
      </c>
      <c r="C143" s="242"/>
      <c r="D143" s="263"/>
      <c r="E143" s="245"/>
      <c r="F143" s="245"/>
      <c r="G143" s="245">
        <v>0.2</v>
      </c>
      <c r="H143" s="93">
        <f>J40</f>
        <v>336.27</v>
      </c>
      <c r="I143" s="93"/>
      <c r="J143" s="246">
        <f>G143*H143</f>
        <v>67.254000000000005</v>
      </c>
    </row>
    <row r="144" spans="1:10" s="241" customFormat="1" x14ac:dyDescent="0.2">
      <c r="A144" s="242"/>
      <c r="B144" s="243"/>
      <c r="C144" s="242"/>
      <c r="D144" s="263"/>
      <c r="E144" s="245"/>
      <c r="F144" s="245"/>
      <c r="G144" s="245"/>
      <c r="H144" s="245"/>
      <c r="I144" s="245"/>
      <c r="J144" s="246"/>
    </row>
    <row r="145" spans="1:10" x14ac:dyDescent="0.2">
      <c r="A145" s="19"/>
      <c r="B145" s="243" t="s">
        <v>28</v>
      </c>
      <c r="C145" s="242"/>
      <c r="D145" s="263">
        <f>J44</f>
        <v>7</v>
      </c>
      <c r="E145" s="245">
        <v>0.15</v>
      </c>
      <c r="F145" s="245">
        <v>4</v>
      </c>
      <c r="G145" s="245"/>
      <c r="H145" s="93"/>
      <c r="I145" s="93">
        <f>((E145*0.75)^2)*F145</f>
        <v>5.0624999999999989E-2</v>
      </c>
      <c r="J145" s="94">
        <f>D145*I145</f>
        <v>0.35437499999999994</v>
      </c>
    </row>
    <row r="146" spans="1:10" x14ac:dyDescent="0.2">
      <c r="A146" s="19"/>
      <c r="B146" s="243" t="s">
        <v>29</v>
      </c>
      <c r="C146" s="242"/>
      <c r="D146" s="263">
        <f>J48</f>
        <v>22</v>
      </c>
      <c r="E146" s="245">
        <v>0.4</v>
      </c>
      <c r="F146" s="245">
        <v>6</v>
      </c>
      <c r="G146" s="245"/>
      <c r="H146" s="93"/>
      <c r="I146" s="263">
        <f>((E146*0.75)^2)*F146</f>
        <v>0.54000000000000015</v>
      </c>
      <c r="J146" s="264">
        <f>D146*I146</f>
        <v>11.880000000000003</v>
      </c>
    </row>
    <row r="147" spans="1:10" s="241" customFormat="1" x14ac:dyDescent="0.2">
      <c r="A147" s="242"/>
      <c r="B147" s="243"/>
      <c r="C147" s="242"/>
      <c r="D147" s="263"/>
      <c r="E147" s="245"/>
      <c r="F147" s="245"/>
      <c r="G147" s="245"/>
      <c r="H147" s="245"/>
      <c r="I147" s="256"/>
      <c r="J147" s="256"/>
    </row>
    <row r="148" spans="1:10" s="253" customFormat="1" ht="31.5" customHeight="1" x14ac:dyDescent="0.2">
      <c r="A148" s="254"/>
      <c r="B148" s="271" t="s">
        <v>1408</v>
      </c>
      <c r="C148" s="254"/>
      <c r="D148" s="263"/>
      <c r="E148" s="263"/>
      <c r="F148" s="263"/>
      <c r="G148" s="263"/>
      <c r="H148" s="263"/>
      <c r="I148" s="93">
        <f>J121-J128</f>
        <v>17.127650000000003</v>
      </c>
      <c r="J148" s="94">
        <f>I148*1.3</f>
        <v>22.265945000000006</v>
      </c>
    </row>
    <row r="149" spans="1:10" ht="38.25" customHeight="1" x14ac:dyDescent="0.2">
      <c r="A149" s="19"/>
      <c r="B149" s="243" t="s">
        <v>1223</v>
      </c>
      <c r="C149" s="19"/>
      <c r="D149" s="263"/>
      <c r="E149" s="93"/>
      <c r="F149" s="93"/>
      <c r="G149" s="93"/>
      <c r="H149" s="93"/>
      <c r="I149" s="256"/>
      <c r="J149" s="367" t="s">
        <v>1409</v>
      </c>
    </row>
    <row r="150" spans="1:10" x14ac:dyDescent="0.2">
      <c r="A150" s="19"/>
      <c r="B150" s="243" t="s">
        <v>1221</v>
      </c>
      <c r="C150" s="19"/>
      <c r="D150" s="263"/>
      <c r="E150" s="93"/>
      <c r="F150" s="93"/>
      <c r="G150" s="93"/>
      <c r="H150" s="93"/>
      <c r="I150" s="89" t="s">
        <v>604</v>
      </c>
      <c r="J150" s="90">
        <f>SUM(J137:J148)</f>
        <v>143.40320500000004</v>
      </c>
    </row>
    <row r="151" spans="1:10" x14ac:dyDescent="0.2">
      <c r="A151" s="19"/>
      <c r="B151" s="243" t="s">
        <v>1222</v>
      </c>
      <c r="C151" s="19"/>
      <c r="D151" s="263"/>
      <c r="E151" s="93"/>
      <c r="F151" s="93"/>
      <c r="G151" s="93"/>
      <c r="H151" s="93"/>
      <c r="I151" s="93"/>
      <c r="J151" s="94"/>
    </row>
    <row r="152" spans="1:10" x14ac:dyDescent="0.2">
      <c r="A152" s="19"/>
      <c r="B152" s="21"/>
      <c r="C152" s="19"/>
      <c r="D152" s="263"/>
      <c r="E152" s="93"/>
      <c r="F152" s="93"/>
      <c r="G152" s="93"/>
      <c r="H152" s="93"/>
      <c r="I152" s="93"/>
      <c r="J152" s="94"/>
    </row>
    <row r="153" spans="1:10" x14ac:dyDescent="0.2">
      <c r="A153" s="19"/>
      <c r="B153" s="21"/>
      <c r="C153" s="19"/>
      <c r="D153" s="99"/>
      <c r="E153" s="41"/>
      <c r="F153" s="41"/>
      <c r="G153" s="41"/>
      <c r="H153" s="41"/>
      <c r="I153" s="41"/>
      <c r="J153" s="41"/>
    </row>
    <row r="154" spans="1:10" x14ac:dyDescent="0.2">
      <c r="A154" s="78">
        <v>4</v>
      </c>
      <c r="B154" s="7" t="s">
        <v>72</v>
      </c>
      <c r="C154" s="77"/>
      <c r="D154" s="277"/>
      <c r="E154" s="77"/>
      <c r="F154" s="77"/>
      <c r="G154" s="77"/>
      <c r="H154" s="77"/>
      <c r="I154" s="77"/>
      <c r="J154" s="77"/>
    </row>
    <row r="155" spans="1:10" x14ac:dyDescent="0.2">
      <c r="A155" s="23" t="s">
        <v>294</v>
      </c>
      <c r="B155" s="18" t="s">
        <v>70</v>
      </c>
      <c r="C155" s="41"/>
      <c r="D155" s="99"/>
      <c r="E155" s="41"/>
      <c r="F155" s="41"/>
      <c r="G155" s="41"/>
      <c r="H155" s="41"/>
      <c r="I155" s="41"/>
      <c r="J155" s="41"/>
    </row>
    <row r="156" spans="1:10" ht="38.25" x14ac:dyDescent="0.2">
      <c r="A156" s="19" t="s">
        <v>295</v>
      </c>
      <c r="B156" s="21" t="s">
        <v>74</v>
      </c>
      <c r="C156" s="19" t="s">
        <v>24</v>
      </c>
      <c r="D156" s="263" t="s">
        <v>257</v>
      </c>
      <c r="E156" s="93" t="s">
        <v>258</v>
      </c>
      <c r="F156" s="93" t="s">
        <v>259</v>
      </c>
      <c r="G156" s="93" t="s">
        <v>260</v>
      </c>
      <c r="H156" s="93" t="s">
        <v>261</v>
      </c>
      <c r="I156" s="93" t="s">
        <v>262</v>
      </c>
      <c r="J156" s="94" t="s">
        <v>263</v>
      </c>
    </row>
    <row r="157" spans="1:10" x14ac:dyDescent="0.2">
      <c r="A157" s="19"/>
      <c r="B157" s="176" t="s">
        <v>1387</v>
      </c>
      <c r="C157" s="82"/>
      <c r="D157" s="258"/>
      <c r="E157" s="82"/>
      <c r="F157" s="82"/>
      <c r="G157" s="82"/>
      <c r="H157" s="82">
        <v>305.63</v>
      </c>
      <c r="I157" s="82"/>
      <c r="J157" s="82">
        <f>H157</f>
        <v>305.63</v>
      </c>
    </row>
    <row r="158" spans="1:10" x14ac:dyDescent="0.2">
      <c r="A158" s="19"/>
      <c r="B158" s="21"/>
      <c r="C158" s="19"/>
      <c r="D158" s="263"/>
      <c r="E158" s="93"/>
      <c r="F158" s="93"/>
      <c r="G158" s="93"/>
      <c r="H158" s="93"/>
      <c r="I158" s="89" t="s">
        <v>604</v>
      </c>
      <c r="J158" s="90">
        <f>SUM(J157:J157)</f>
        <v>305.63</v>
      </c>
    </row>
    <row r="159" spans="1:10" x14ac:dyDescent="0.2">
      <c r="A159" s="41"/>
      <c r="B159" s="21"/>
      <c r="C159" s="41"/>
      <c r="D159" s="99"/>
      <c r="E159" s="41"/>
      <c r="F159" s="41"/>
      <c r="G159" s="41"/>
      <c r="H159" s="41"/>
      <c r="I159" s="41"/>
      <c r="J159" s="41"/>
    </row>
    <row r="160" spans="1:10" ht="38.25" x14ac:dyDescent="0.2">
      <c r="A160" s="19" t="s">
        <v>296</v>
      </c>
      <c r="B160" s="268" t="s">
        <v>75</v>
      </c>
      <c r="C160" s="19" t="s">
        <v>56</v>
      </c>
      <c r="D160" s="263" t="s">
        <v>257</v>
      </c>
      <c r="E160" s="93" t="s">
        <v>258</v>
      </c>
      <c r="F160" s="93" t="s">
        <v>259</v>
      </c>
      <c r="G160" s="93" t="s">
        <v>260</v>
      </c>
      <c r="H160" s="93" t="s">
        <v>261</v>
      </c>
      <c r="I160" s="93" t="s">
        <v>262</v>
      </c>
      <c r="J160" s="94" t="s">
        <v>263</v>
      </c>
    </row>
    <row r="161" spans="1:10" x14ac:dyDescent="0.2">
      <c r="A161" s="19"/>
      <c r="B161" s="208" t="s">
        <v>1017</v>
      </c>
      <c r="C161" s="19"/>
      <c r="D161" s="263"/>
      <c r="E161" s="93"/>
      <c r="F161" s="93"/>
      <c r="G161" s="93"/>
      <c r="H161" s="93"/>
      <c r="I161" s="93"/>
      <c r="J161" s="94"/>
    </row>
    <row r="162" spans="1:10" x14ac:dyDescent="0.2">
      <c r="A162" s="19"/>
      <c r="B162" s="176" t="s">
        <v>1396</v>
      </c>
      <c r="C162" s="82"/>
      <c r="D162" s="258">
        <v>2</v>
      </c>
      <c r="E162" s="82">
        <f>1.05+0.4</f>
        <v>1.4500000000000002</v>
      </c>
      <c r="F162" s="82">
        <f>1.2+0.4</f>
        <v>1.6</v>
      </c>
      <c r="G162" s="82">
        <v>0.05</v>
      </c>
      <c r="H162" s="82"/>
      <c r="I162" s="82">
        <f>D162*E162*F162*G162</f>
        <v>0.23200000000000004</v>
      </c>
      <c r="J162" s="82">
        <f>I162</f>
        <v>0.23200000000000004</v>
      </c>
    </row>
    <row r="163" spans="1:10" x14ac:dyDescent="0.2">
      <c r="A163" s="19"/>
      <c r="B163" s="176" t="s">
        <v>1397</v>
      </c>
      <c r="C163" s="82"/>
      <c r="D163" s="258">
        <v>3</v>
      </c>
      <c r="E163" s="82">
        <f>1.45+0.4</f>
        <v>1.85</v>
      </c>
      <c r="F163" s="82">
        <f>1.6+0.4</f>
        <v>2</v>
      </c>
      <c r="G163" s="82">
        <v>0.05</v>
      </c>
      <c r="H163" s="82"/>
      <c r="I163" s="82">
        <f t="shared" ref="I163:I169" si="3">D163*E163*F163*G163</f>
        <v>0.55500000000000005</v>
      </c>
      <c r="J163" s="82">
        <f t="shared" ref="J163:J169" si="4">I163</f>
        <v>0.55500000000000005</v>
      </c>
    </row>
    <row r="164" spans="1:10" x14ac:dyDescent="0.2">
      <c r="A164" s="19"/>
      <c r="B164" s="176" t="s">
        <v>1398</v>
      </c>
      <c r="C164" s="82"/>
      <c r="D164" s="258">
        <v>5</v>
      </c>
      <c r="E164" s="82">
        <f>1.3+0.4</f>
        <v>1.7000000000000002</v>
      </c>
      <c r="F164" s="82">
        <f>1.45+0.4</f>
        <v>1.85</v>
      </c>
      <c r="G164" s="82">
        <v>0.05</v>
      </c>
      <c r="H164" s="82"/>
      <c r="I164" s="82">
        <f t="shared" si="3"/>
        <v>0.78625000000000012</v>
      </c>
      <c r="J164" s="82">
        <f t="shared" si="4"/>
        <v>0.78625000000000012</v>
      </c>
    </row>
    <row r="165" spans="1:10" x14ac:dyDescent="0.2">
      <c r="A165" s="19"/>
      <c r="B165" s="176" t="s">
        <v>1399</v>
      </c>
      <c r="C165" s="82"/>
      <c r="D165" s="258">
        <v>3</v>
      </c>
      <c r="E165" s="82">
        <f>1.2+0.4</f>
        <v>1.6</v>
      </c>
      <c r="F165" s="82">
        <f>1.35+0.4</f>
        <v>1.75</v>
      </c>
      <c r="G165" s="82">
        <v>0.05</v>
      </c>
      <c r="H165" s="82"/>
      <c r="I165" s="82">
        <f t="shared" si="3"/>
        <v>0.42000000000000015</v>
      </c>
      <c r="J165" s="82">
        <f t="shared" si="4"/>
        <v>0.42000000000000015</v>
      </c>
    </row>
    <row r="166" spans="1:10" x14ac:dyDescent="0.2">
      <c r="A166" s="19"/>
      <c r="B166" s="176" t="s">
        <v>1401</v>
      </c>
      <c r="C166" s="82"/>
      <c r="D166" s="258">
        <v>2</v>
      </c>
      <c r="E166" s="82">
        <f>1.6+0.4</f>
        <v>2</v>
      </c>
      <c r="F166" s="82">
        <f>1.75+0.4</f>
        <v>2.15</v>
      </c>
      <c r="G166" s="82">
        <v>0.05</v>
      </c>
      <c r="H166" s="82"/>
      <c r="I166" s="82">
        <f t="shared" si="3"/>
        <v>0.43</v>
      </c>
      <c r="J166" s="82">
        <f t="shared" si="4"/>
        <v>0.43</v>
      </c>
    </row>
    <row r="167" spans="1:10" x14ac:dyDescent="0.2">
      <c r="A167" s="19"/>
      <c r="B167" s="176" t="s">
        <v>1402</v>
      </c>
      <c r="C167" s="82"/>
      <c r="D167" s="258">
        <v>1</v>
      </c>
      <c r="E167" s="82">
        <f>1.7+0.4</f>
        <v>2.1</v>
      </c>
      <c r="F167" s="82">
        <f>1.85+0.4</f>
        <v>2.25</v>
      </c>
      <c r="G167" s="82">
        <v>0.05</v>
      </c>
      <c r="H167" s="82"/>
      <c r="I167" s="82">
        <f t="shared" si="3"/>
        <v>0.23625000000000004</v>
      </c>
      <c r="J167" s="82">
        <f t="shared" si="4"/>
        <v>0.23625000000000004</v>
      </c>
    </row>
    <row r="168" spans="1:10" x14ac:dyDescent="0.2">
      <c r="A168" s="19"/>
      <c r="B168" s="176" t="s">
        <v>1403</v>
      </c>
      <c r="C168" s="82"/>
      <c r="D168" s="258">
        <v>2</v>
      </c>
      <c r="E168" s="82">
        <f>1.2+0.4</f>
        <v>1.6</v>
      </c>
      <c r="F168" s="82">
        <f>1.4+0.4</f>
        <v>1.7999999999999998</v>
      </c>
      <c r="G168" s="82">
        <v>0.05</v>
      </c>
      <c r="H168" s="82"/>
      <c r="I168" s="82">
        <f t="shared" si="3"/>
        <v>0.28799999999999998</v>
      </c>
      <c r="J168" s="82">
        <f t="shared" si="4"/>
        <v>0.28799999999999998</v>
      </c>
    </row>
    <row r="169" spans="1:10" x14ac:dyDescent="0.2">
      <c r="A169" s="19"/>
      <c r="B169" s="176" t="s">
        <v>1400</v>
      </c>
      <c r="C169" s="82"/>
      <c r="D169" s="258">
        <v>1</v>
      </c>
      <c r="E169" s="82">
        <f>1.35+0.4</f>
        <v>1.75</v>
      </c>
      <c r="F169" s="258">
        <f>1.5+0.4</f>
        <v>1.9</v>
      </c>
      <c r="G169" s="82">
        <v>0.05</v>
      </c>
      <c r="H169" s="82"/>
      <c r="I169" s="82">
        <f t="shared" si="3"/>
        <v>0.16625000000000001</v>
      </c>
      <c r="J169" s="82">
        <f t="shared" si="4"/>
        <v>0.16625000000000001</v>
      </c>
    </row>
    <row r="170" spans="1:10" s="241" customFormat="1" x14ac:dyDescent="0.2">
      <c r="A170" s="242"/>
      <c r="B170" s="247" t="s">
        <v>1404</v>
      </c>
      <c r="C170" s="244"/>
      <c r="D170" s="258">
        <v>1</v>
      </c>
      <c r="E170" s="258">
        <f>0.7+0.4</f>
        <v>1.1000000000000001</v>
      </c>
      <c r="F170" s="258">
        <f>0.9+0.4</f>
        <v>1.3</v>
      </c>
      <c r="G170" s="258">
        <v>0.05</v>
      </c>
      <c r="H170" s="258"/>
      <c r="I170" s="258">
        <f t="shared" ref="I170" si="5">D170*E170*F170*G170</f>
        <v>7.1500000000000008E-2</v>
      </c>
      <c r="J170" s="258">
        <f t="shared" ref="J170" si="6">I170</f>
        <v>7.1500000000000008E-2</v>
      </c>
    </row>
    <row r="171" spans="1:10" s="253" customFormat="1" x14ac:dyDescent="0.2">
      <c r="A171" s="254"/>
      <c r="B171" s="247"/>
      <c r="C171" s="258"/>
      <c r="D171" s="258"/>
      <c r="E171" s="258"/>
      <c r="F171" s="258"/>
      <c r="G171" s="258"/>
      <c r="H171" s="258"/>
      <c r="I171" s="258"/>
      <c r="J171" s="258"/>
    </row>
    <row r="172" spans="1:10" s="241" customFormat="1" x14ac:dyDescent="0.2">
      <c r="A172" s="242"/>
      <c r="B172" s="247" t="s">
        <v>1218</v>
      </c>
      <c r="C172" s="244"/>
      <c r="D172" s="258"/>
      <c r="E172" s="258">
        <v>29.12</v>
      </c>
      <c r="F172" s="244">
        <v>0.4</v>
      </c>
      <c r="G172" s="244">
        <v>0.05</v>
      </c>
      <c r="H172" s="244"/>
      <c r="I172" s="244">
        <f>E172*F172*G172</f>
        <v>0.58240000000000014</v>
      </c>
      <c r="J172" s="244">
        <f>I172</f>
        <v>0.58240000000000014</v>
      </c>
    </row>
    <row r="173" spans="1:10" x14ac:dyDescent="0.2">
      <c r="A173" s="19"/>
      <c r="B173" s="176"/>
      <c r="C173" s="82"/>
      <c r="D173" s="258"/>
      <c r="E173" s="82"/>
      <c r="F173" s="82"/>
      <c r="G173" s="82"/>
      <c r="H173" s="82"/>
      <c r="I173" s="89" t="s">
        <v>604</v>
      </c>
      <c r="J173" s="90">
        <f>SUM(J162:J172)</f>
        <v>3.7676500000000006</v>
      </c>
    </row>
    <row r="174" spans="1:10" x14ac:dyDescent="0.2">
      <c r="A174" s="41"/>
      <c r="B174" s="21"/>
      <c r="C174" s="41"/>
      <c r="D174" s="99"/>
      <c r="E174" s="41"/>
      <c r="F174" s="41"/>
      <c r="G174" s="41"/>
      <c r="H174" s="41"/>
      <c r="I174" s="41"/>
      <c r="J174" s="41"/>
    </row>
    <row r="175" spans="1:10" ht="38.25" x14ac:dyDescent="0.2">
      <c r="A175" s="19" t="s">
        <v>297</v>
      </c>
      <c r="B175" s="21" t="s">
        <v>1083</v>
      </c>
      <c r="C175" s="19" t="s">
        <v>56</v>
      </c>
      <c r="D175" s="263" t="s">
        <v>257</v>
      </c>
      <c r="E175" s="93" t="s">
        <v>258</v>
      </c>
      <c r="F175" s="93" t="s">
        <v>259</v>
      </c>
      <c r="G175" s="93" t="s">
        <v>260</v>
      </c>
      <c r="H175" s="93" t="s">
        <v>261</v>
      </c>
      <c r="I175" s="93" t="s">
        <v>262</v>
      </c>
      <c r="J175" s="94" t="s">
        <v>263</v>
      </c>
    </row>
    <row r="176" spans="1:10" x14ac:dyDescent="0.2">
      <c r="A176" s="19"/>
      <c r="B176" s="176" t="s">
        <v>1387</v>
      </c>
      <c r="C176" s="82"/>
      <c r="D176" s="263"/>
      <c r="E176" s="93"/>
      <c r="F176" s="93"/>
      <c r="G176" s="93"/>
      <c r="H176" s="93"/>
      <c r="I176" s="82">
        <v>34.130000000000003</v>
      </c>
      <c r="J176" s="94">
        <f>I176</f>
        <v>34.130000000000003</v>
      </c>
    </row>
    <row r="177" spans="1:10" x14ac:dyDescent="0.2">
      <c r="A177" s="19"/>
      <c r="B177" s="357"/>
      <c r="C177" s="19"/>
      <c r="D177" s="263"/>
      <c r="E177" s="93"/>
      <c r="F177" s="93"/>
      <c r="G177" s="93"/>
      <c r="H177" s="93"/>
      <c r="I177" s="89" t="s">
        <v>604</v>
      </c>
      <c r="J177" s="90">
        <f>SUM(J176:J176)</f>
        <v>34.130000000000003</v>
      </c>
    </row>
    <row r="178" spans="1:10" x14ac:dyDescent="0.2">
      <c r="A178" s="19"/>
      <c r="B178" s="21"/>
      <c r="C178" s="19"/>
      <c r="D178" s="263"/>
      <c r="E178" s="93"/>
      <c r="F178" s="93"/>
      <c r="G178" s="93"/>
      <c r="H178" s="93"/>
      <c r="I178" s="93"/>
      <c r="J178" s="94"/>
    </row>
    <row r="179" spans="1:10" ht="25.5" x14ac:dyDescent="0.2">
      <c r="A179" s="19" t="s">
        <v>298</v>
      </c>
      <c r="B179" s="21" t="s">
        <v>76</v>
      </c>
      <c r="C179" s="19" t="s">
        <v>77</v>
      </c>
      <c r="D179" s="263" t="s">
        <v>257</v>
      </c>
      <c r="E179" s="93" t="s">
        <v>258</v>
      </c>
      <c r="F179" s="93" t="s">
        <v>259</v>
      </c>
      <c r="G179" s="93" t="s">
        <v>260</v>
      </c>
      <c r="H179" s="93" t="s">
        <v>261</v>
      </c>
      <c r="I179" s="93" t="s">
        <v>262</v>
      </c>
      <c r="J179" s="94" t="s">
        <v>263</v>
      </c>
    </row>
    <row r="180" spans="1:10" x14ac:dyDescent="0.2">
      <c r="A180" s="19"/>
      <c r="B180" s="176" t="s">
        <v>1387</v>
      </c>
      <c r="C180" s="82">
        <v>812.88000000000011</v>
      </c>
      <c r="D180" s="258"/>
      <c r="E180" s="93"/>
      <c r="F180" s="93"/>
      <c r="G180" s="93"/>
      <c r="H180" s="93"/>
      <c r="I180" s="93"/>
      <c r="J180" s="94">
        <f>C180</f>
        <v>812.88000000000011</v>
      </c>
    </row>
    <row r="181" spans="1:10" x14ac:dyDescent="0.2">
      <c r="A181" s="19"/>
      <c r="B181" s="357" t="s">
        <v>1392</v>
      </c>
      <c r="C181" s="258"/>
      <c r="D181" s="263"/>
      <c r="E181" s="93"/>
      <c r="F181" s="93"/>
      <c r="G181" s="93"/>
      <c r="H181" s="93"/>
      <c r="I181" s="89" t="s">
        <v>604</v>
      </c>
      <c r="J181" s="90">
        <f>SUM(J180:J180)</f>
        <v>812.88000000000011</v>
      </c>
    </row>
    <row r="182" spans="1:10" x14ac:dyDescent="0.2">
      <c r="A182" s="19"/>
      <c r="B182" s="21"/>
      <c r="C182" s="258"/>
      <c r="D182" s="263"/>
      <c r="E182" s="93"/>
      <c r="F182" s="93"/>
      <c r="G182" s="93"/>
      <c r="H182" s="93"/>
      <c r="I182" s="93"/>
      <c r="J182" s="94"/>
    </row>
    <row r="183" spans="1:10" ht="25.5" x14ac:dyDescent="0.2">
      <c r="A183" s="19" t="s">
        <v>299</v>
      </c>
      <c r="B183" s="21" t="s">
        <v>78</v>
      </c>
      <c r="C183" s="19" t="s">
        <v>79</v>
      </c>
      <c r="D183" s="263" t="s">
        <v>257</v>
      </c>
      <c r="E183" s="93" t="s">
        <v>258</v>
      </c>
      <c r="F183" s="93" t="s">
        <v>259</v>
      </c>
      <c r="G183" s="93" t="s">
        <v>260</v>
      </c>
      <c r="H183" s="93" t="s">
        <v>261</v>
      </c>
      <c r="I183" s="93" t="s">
        <v>262</v>
      </c>
      <c r="J183" s="94" t="s">
        <v>263</v>
      </c>
    </row>
    <row r="184" spans="1:10" x14ac:dyDescent="0.2">
      <c r="A184" s="19"/>
      <c r="B184" s="176" t="s">
        <v>1387</v>
      </c>
      <c r="C184" s="82">
        <v>601.02</v>
      </c>
      <c r="D184" s="263"/>
      <c r="E184" s="93"/>
      <c r="F184" s="93"/>
      <c r="G184" s="93"/>
      <c r="H184" s="93"/>
      <c r="I184" s="93"/>
      <c r="J184" s="94">
        <f>C184</f>
        <v>601.02</v>
      </c>
    </row>
    <row r="185" spans="1:10" x14ac:dyDescent="0.2">
      <c r="A185" s="19"/>
      <c r="B185" s="357" t="s">
        <v>1392</v>
      </c>
      <c r="C185" s="19"/>
      <c r="D185" s="263"/>
      <c r="E185" s="93"/>
      <c r="F185" s="93"/>
      <c r="G185" s="93"/>
      <c r="H185" s="93"/>
      <c r="I185" s="89" t="s">
        <v>604</v>
      </c>
      <c r="J185" s="90">
        <f>SUM(J184:J184)</f>
        <v>601.02</v>
      </c>
    </row>
    <row r="186" spans="1:10" x14ac:dyDescent="0.2">
      <c r="A186" s="19"/>
      <c r="B186" s="21"/>
      <c r="C186" s="19"/>
      <c r="D186" s="263"/>
      <c r="E186" s="93"/>
      <c r="F186" s="93"/>
      <c r="G186" s="93"/>
      <c r="H186" s="93"/>
      <c r="I186" s="93"/>
      <c r="J186" s="94"/>
    </row>
    <row r="187" spans="1:10" ht="25.5" x14ac:dyDescent="0.2">
      <c r="A187" s="19" t="s">
        <v>300</v>
      </c>
      <c r="B187" s="21" t="s">
        <v>613</v>
      </c>
      <c r="C187" s="19" t="s">
        <v>79</v>
      </c>
      <c r="D187" s="263" t="s">
        <v>257</v>
      </c>
      <c r="E187" s="93" t="s">
        <v>258</v>
      </c>
      <c r="F187" s="93" t="s">
        <v>259</v>
      </c>
      <c r="G187" s="93" t="s">
        <v>260</v>
      </c>
      <c r="H187" s="93" t="s">
        <v>261</v>
      </c>
      <c r="I187" s="93" t="s">
        <v>262</v>
      </c>
      <c r="J187" s="94" t="s">
        <v>263</v>
      </c>
    </row>
    <row r="188" spans="1:10" x14ac:dyDescent="0.2">
      <c r="A188" s="19"/>
      <c r="B188" s="176" t="s">
        <v>1387</v>
      </c>
      <c r="C188" s="82">
        <v>305.90999999999997</v>
      </c>
      <c r="D188" s="263"/>
      <c r="E188" s="93"/>
      <c r="F188" s="93"/>
      <c r="G188" s="93"/>
      <c r="H188" s="93"/>
      <c r="I188" s="93"/>
      <c r="J188" s="94">
        <f>C188</f>
        <v>305.90999999999997</v>
      </c>
    </row>
    <row r="189" spans="1:10" x14ac:dyDescent="0.2">
      <c r="A189" s="19"/>
      <c r="B189" s="357" t="s">
        <v>1392</v>
      </c>
      <c r="C189" s="19"/>
      <c r="D189" s="263"/>
      <c r="E189" s="93"/>
      <c r="F189" s="93"/>
      <c r="G189" s="93"/>
      <c r="H189" s="93"/>
      <c r="I189" s="89" t="s">
        <v>604</v>
      </c>
      <c r="J189" s="90">
        <f>SUM(J188:J188)</f>
        <v>305.90999999999997</v>
      </c>
    </row>
    <row r="190" spans="1:10" x14ac:dyDescent="0.2">
      <c r="A190" s="19"/>
      <c r="B190" s="21"/>
      <c r="C190" s="19"/>
      <c r="D190" s="99"/>
      <c r="E190" s="41"/>
      <c r="F190" s="41"/>
      <c r="G190" s="41"/>
      <c r="H190" s="41"/>
      <c r="I190" s="41"/>
      <c r="J190" s="41"/>
    </row>
    <row r="191" spans="1:10" x14ac:dyDescent="0.2">
      <c r="A191" s="23" t="s">
        <v>301</v>
      </c>
      <c r="B191" s="18" t="s">
        <v>606</v>
      </c>
      <c r="C191" s="19"/>
      <c r="D191" s="99"/>
      <c r="E191" s="41"/>
      <c r="F191" s="41"/>
      <c r="G191" s="41"/>
      <c r="H191" s="41"/>
      <c r="I191" s="41"/>
      <c r="J191" s="41"/>
    </row>
    <row r="192" spans="1:10" ht="38.25" x14ac:dyDescent="0.2">
      <c r="A192" s="19" t="s">
        <v>302</v>
      </c>
      <c r="B192" s="21" t="s">
        <v>1081</v>
      </c>
      <c r="C192" s="19" t="s">
        <v>56</v>
      </c>
      <c r="D192" s="263" t="s">
        <v>257</v>
      </c>
      <c r="E192" s="93" t="s">
        <v>258</v>
      </c>
      <c r="F192" s="93" t="s">
        <v>259</v>
      </c>
      <c r="G192" s="93" t="s">
        <v>260</v>
      </c>
      <c r="H192" s="93" t="s">
        <v>261</v>
      </c>
      <c r="I192" s="93" t="s">
        <v>262</v>
      </c>
      <c r="J192" s="94" t="s">
        <v>263</v>
      </c>
    </row>
    <row r="193" spans="1:10" x14ac:dyDescent="0.2">
      <c r="A193" s="19"/>
      <c r="B193" s="209" t="s">
        <v>1388</v>
      </c>
      <c r="C193" s="19"/>
      <c r="D193" s="99"/>
      <c r="E193" s="41"/>
      <c r="F193" s="41"/>
      <c r="G193" s="41"/>
      <c r="H193" s="41"/>
      <c r="I193" s="99">
        <v>19.57</v>
      </c>
      <c r="J193" s="99">
        <f>I193</f>
        <v>19.57</v>
      </c>
    </row>
    <row r="194" spans="1:10" x14ac:dyDescent="0.2">
      <c r="A194" s="19"/>
      <c r="B194" s="209" t="s">
        <v>1389</v>
      </c>
      <c r="C194" s="19"/>
      <c r="D194" s="99"/>
      <c r="E194" s="41"/>
      <c r="F194" s="41"/>
      <c r="G194" s="41"/>
      <c r="H194" s="41"/>
      <c r="I194" s="102">
        <v>18.23</v>
      </c>
      <c r="J194" s="102">
        <f>I194</f>
        <v>18.23</v>
      </c>
    </row>
    <row r="195" spans="1:10" x14ac:dyDescent="0.2">
      <c r="A195" s="19"/>
      <c r="B195" s="357"/>
      <c r="C195" s="19"/>
      <c r="D195" s="99"/>
      <c r="E195" s="41"/>
      <c r="F195" s="41"/>
      <c r="G195" s="41"/>
      <c r="H195" s="41"/>
      <c r="I195" s="89" t="s">
        <v>604</v>
      </c>
      <c r="J195" s="90">
        <f>SUM(J193:J194)</f>
        <v>37.799999999999997</v>
      </c>
    </row>
    <row r="196" spans="1:10" x14ac:dyDescent="0.2">
      <c r="A196" s="23"/>
      <c r="B196" s="18"/>
      <c r="C196" s="19"/>
      <c r="D196" s="99"/>
      <c r="E196" s="41"/>
      <c r="F196" s="41"/>
      <c r="G196" s="41"/>
      <c r="H196" s="41"/>
      <c r="I196" s="41"/>
      <c r="J196" s="41"/>
    </row>
    <row r="197" spans="1:10" ht="25.5" x14ac:dyDescent="0.2">
      <c r="A197" s="19" t="s">
        <v>609</v>
      </c>
      <c r="B197" s="21" t="s">
        <v>608</v>
      </c>
      <c r="C197" s="19" t="s">
        <v>614</v>
      </c>
      <c r="D197" s="263" t="s">
        <v>257</v>
      </c>
      <c r="E197" s="93" t="s">
        <v>258</v>
      </c>
      <c r="F197" s="93" t="s">
        <v>259</v>
      </c>
      <c r="G197" s="93" t="s">
        <v>260</v>
      </c>
      <c r="H197" s="93" t="s">
        <v>261</v>
      </c>
      <c r="I197" s="93" t="s">
        <v>262</v>
      </c>
      <c r="J197" s="94" t="s">
        <v>263</v>
      </c>
    </row>
    <row r="198" spans="1:10" x14ac:dyDescent="0.2">
      <c r="A198" s="19"/>
      <c r="B198" s="209" t="s">
        <v>1390</v>
      </c>
      <c r="C198" s="93">
        <v>382.05</v>
      </c>
      <c r="D198" s="263"/>
      <c r="E198" s="93"/>
      <c r="F198" s="93"/>
      <c r="G198" s="93"/>
      <c r="H198" s="93"/>
      <c r="I198" s="41"/>
      <c r="J198" s="94">
        <f t="shared" ref="J198:J199" si="7">C198</f>
        <v>382.05</v>
      </c>
    </row>
    <row r="199" spans="1:10" x14ac:dyDescent="0.2">
      <c r="A199" s="19"/>
      <c r="B199" s="209" t="s">
        <v>1391</v>
      </c>
      <c r="C199" s="93">
        <v>399.15000000000003</v>
      </c>
      <c r="D199" s="263"/>
      <c r="E199" s="93"/>
      <c r="F199" s="93"/>
      <c r="G199" s="93"/>
      <c r="H199" s="93"/>
      <c r="I199" s="41"/>
      <c r="J199" s="94">
        <f t="shared" si="7"/>
        <v>399.15000000000003</v>
      </c>
    </row>
    <row r="200" spans="1:10" x14ac:dyDescent="0.2">
      <c r="A200" s="19"/>
      <c r="B200" s="357" t="s">
        <v>1392</v>
      </c>
      <c r="C200" s="19"/>
      <c r="D200" s="99"/>
      <c r="E200" s="41"/>
      <c r="F200" s="41"/>
      <c r="G200" s="41"/>
      <c r="H200" s="41"/>
      <c r="I200" s="89" t="s">
        <v>604</v>
      </c>
      <c r="J200" s="90">
        <f>SUM(J198:J199)</f>
        <v>781.2</v>
      </c>
    </row>
    <row r="201" spans="1:10" x14ac:dyDescent="0.2">
      <c r="A201" s="19"/>
      <c r="B201" s="21"/>
      <c r="C201" s="19"/>
      <c r="D201" s="99"/>
      <c r="E201" s="41"/>
      <c r="F201" s="41"/>
      <c r="G201" s="41"/>
      <c r="H201" s="41"/>
      <c r="I201" s="41"/>
      <c r="J201" s="41"/>
    </row>
    <row r="202" spans="1:10" s="253" customFormat="1" ht="25.5" x14ac:dyDescent="0.2">
      <c r="A202" s="254" t="s">
        <v>610</v>
      </c>
      <c r="B202" s="255" t="s">
        <v>1500</v>
      </c>
      <c r="C202" s="254" t="s">
        <v>614</v>
      </c>
      <c r="D202" s="263" t="s">
        <v>257</v>
      </c>
      <c r="E202" s="263" t="s">
        <v>258</v>
      </c>
      <c r="F202" s="263" t="s">
        <v>259</v>
      </c>
      <c r="G202" s="263" t="s">
        <v>260</v>
      </c>
      <c r="H202" s="263" t="s">
        <v>261</v>
      </c>
      <c r="I202" s="263" t="s">
        <v>262</v>
      </c>
      <c r="J202" s="264" t="s">
        <v>263</v>
      </c>
    </row>
    <row r="203" spans="1:10" s="253" customFormat="1" x14ac:dyDescent="0.2">
      <c r="A203" s="254"/>
      <c r="B203" s="355" t="s">
        <v>1390</v>
      </c>
      <c r="C203" s="263">
        <v>523.35</v>
      </c>
      <c r="D203" s="263"/>
      <c r="E203" s="263"/>
      <c r="F203" s="263"/>
      <c r="G203" s="263"/>
      <c r="H203" s="263"/>
      <c r="I203" s="256"/>
      <c r="J203" s="264">
        <f t="shared" ref="J203:J204" si="8">C203</f>
        <v>523.35</v>
      </c>
    </row>
    <row r="204" spans="1:10" s="253" customFormat="1" x14ac:dyDescent="0.2">
      <c r="A204" s="254"/>
      <c r="B204" s="355" t="s">
        <v>1391</v>
      </c>
      <c r="C204" s="263">
        <v>353.88000000000005</v>
      </c>
      <c r="D204" s="263"/>
      <c r="E204" s="263"/>
      <c r="F204" s="263"/>
      <c r="G204" s="263"/>
      <c r="H204" s="263"/>
      <c r="I204" s="256"/>
      <c r="J204" s="264">
        <f t="shared" si="8"/>
        <v>353.88000000000005</v>
      </c>
    </row>
    <row r="205" spans="1:10" s="253" customFormat="1" x14ac:dyDescent="0.2">
      <c r="A205" s="254"/>
      <c r="B205" s="357" t="s">
        <v>1392</v>
      </c>
      <c r="C205" s="254"/>
      <c r="D205" s="99"/>
      <c r="E205" s="256"/>
      <c r="F205" s="256"/>
      <c r="G205" s="256"/>
      <c r="H205" s="256"/>
      <c r="I205" s="89" t="s">
        <v>604</v>
      </c>
      <c r="J205" s="260">
        <f>SUM(J203:J204)</f>
        <v>877.23</v>
      </c>
    </row>
    <row r="206" spans="1:10" s="253" customFormat="1" x14ac:dyDescent="0.2">
      <c r="A206" s="254"/>
      <c r="B206" s="255"/>
      <c r="C206" s="254"/>
      <c r="D206" s="99"/>
      <c r="E206" s="256"/>
      <c r="F206" s="256"/>
      <c r="G206" s="256"/>
      <c r="H206" s="256"/>
      <c r="I206" s="256"/>
      <c r="J206" s="256"/>
    </row>
    <row r="207" spans="1:10" ht="25.5" x14ac:dyDescent="0.2">
      <c r="A207" s="19" t="s">
        <v>611</v>
      </c>
      <c r="B207" s="21" t="s">
        <v>613</v>
      </c>
      <c r="C207" s="19" t="s">
        <v>614</v>
      </c>
      <c r="D207" s="263" t="s">
        <v>257</v>
      </c>
      <c r="E207" s="93" t="s">
        <v>258</v>
      </c>
      <c r="F207" s="93" t="s">
        <v>259</v>
      </c>
      <c r="G207" s="93" t="s">
        <v>260</v>
      </c>
      <c r="H207" s="93" t="s">
        <v>261</v>
      </c>
      <c r="I207" s="93" t="s">
        <v>262</v>
      </c>
      <c r="J207" s="94" t="s">
        <v>263</v>
      </c>
    </row>
    <row r="208" spans="1:10" x14ac:dyDescent="0.2">
      <c r="A208" s="19"/>
      <c r="B208" s="209" t="s">
        <v>1390</v>
      </c>
      <c r="C208" s="93">
        <v>235.35</v>
      </c>
      <c r="D208" s="263"/>
      <c r="E208" s="93"/>
      <c r="F208" s="93"/>
      <c r="G208" s="93"/>
      <c r="H208" s="93"/>
      <c r="I208" s="41"/>
      <c r="J208" s="94">
        <f t="shared" ref="J208:J209" si="9">C208</f>
        <v>235.35</v>
      </c>
    </row>
    <row r="209" spans="1:10" x14ac:dyDescent="0.2">
      <c r="A209" s="19"/>
      <c r="B209" s="209" t="s">
        <v>1391</v>
      </c>
      <c r="C209" s="93">
        <v>216</v>
      </c>
      <c r="D209" s="263"/>
      <c r="E209" s="93"/>
      <c r="F209" s="93"/>
      <c r="G209" s="93"/>
      <c r="H209" s="93"/>
      <c r="I209" s="41"/>
      <c r="J209" s="94">
        <f t="shared" si="9"/>
        <v>216</v>
      </c>
    </row>
    <row r="210" spans="1:10" x14ac:dyDescent="0.2">
      <c r="A210" s="19"/>
      <c r="B210" s="357" t="s">
        <v>1392</v>
      </c>
      <c r="C210" s="19"/>
      <c r="D210" s="263"/>
      <c r="E210" s="93"/>
      <c r="F210" s="93"/>
      <c r="G210" s="93"/>
      <c r="H210" s="93"/>
      <c r="I210" s="89" t="s">
        <v>604</v>
      </c>
      <c r="J210" s="90">
        <f>SUM(J208:J209)</f>
        <v>451.35</v>
      </c>
    </row>
    <row r="211" spans="1:10" x14ac:dyDescent="0.2">
      <c r="A211" s="41"/>
      <c r="B211" s="41"/>
      <c r="C211" s="41"/>
      <c r="D211" s="99"/>
      <c r="E211" s="41"/>
      <c r="F211" s="41"/>
      <c r="G211" s="41"/>
      <c r="H211" s="41"/>
      <c r="I211" s="41"/>
      <c r="J211" s="41"/>
    </row>
    <row r="212" spans="1:10" ht="51" x14ac:dyDescent="0.2">
      <c r="A212" s="19" t="s">
        <v>612</v>
      </c>
      <c r="B212" s="21" t="s">
        <v>615</v>
      </c>
      <c r="C212" s="19" t="s">
        <v>24</v>
      </c>
      <c r="D212" s="263" t="s">
        <v>257</v>
      </c>
      <c r="E212" s="93" t="s">
        <v>258</v>
      </c>
      <c r="F212" s="93" t="s">
        <v>259</v>
      </c>
      <c r="G212" s="93" t="s">
        <v>260</v>
      </c>
      <c r="H212" s="93" t="s">
        <v>261</v>
      </c>
      <c r="I212" s="93" t="s">
        <v>262</v>
      </c>
      <c r="J212" s="94" t="s">
        <v>263</v>
      </c>
    </row>
    <row r="213" spans="1:10" x14ac:dyDescent="0.2">
      <c r="A213" s="19"/>
      <c r="B213" s="209" t="s">
        <v>1390</v>
      </c>
      <c r="C213" s="19"/>
      <c r="D213" s="263"/>
      <c r="E213" s="93"/>
      <c r="F213" s="93"/>
      <c r="G213" s="93"/>
      <c r="H213" s="94">
        <v>222.6</v>
      </c>
      <c r="I213" s="93"/>
      <c r="J213" s="94">
        <f>H213</f>
        <v>222.6</v>
      </c>
    </row>
    <row r="214" spans="1:10" x14ac:dyDescent="0.2">
      <c r="A214" s="19"/>
      <c r="B214" s="209" t="s">
        <v>1391</v>
      </c>
      <c r="C214" s="19"/>
      <c r="D214" s="263"/>
      <c r="E214" s="93"/>
      <c r="F214" s="93"/>
      <c r="G214" s="93"/>
      <c r="H214" s="94">
        <v>204.74</v>
      </c>
      <c r="I214" s="93"/>
      <c r="J214" s="94">
        <f t="shared" ref="J214" si="10">H214</f>
        <v>204.74</v>
      </c>
    </row>
    <row r="215" spans="1:10" x14ac:dyDescent="0.2">
      <c r="A215" s="41"/>
      <c r="B215" s="209"/>
      <c r="C215" s="41"/>
      <c r="D215" s="99"/>
      <c r="E215" s="41"/>
      <c r="F215" s="41"/>
      <c r="G215" s="41"/>
      <c r="H215" s="41"/>
      <c r="I215" s="89" t="s">
        <v>604</v>
      </c>
      <c r="J215" s="90">
        <f>SUM(J213:J214)</f>
        <v>427.34000000000003</v>
      </c>
    </row>
    <row r="216" spans="1:10" x14ac:dyDescent="0.2">
      <c r="A216" s="41"/>
      <c r="B216" s="21"/>
      <c r="C216" s="41"/>
      <c r="D216" s="99"/>
      <c r="E216" s="41"/>
      <c r="F216" s="41"/>
      <c r="G216" s="41"/>
      <c r="H216" s="41"/>
      <c r="I216" s="41"/>
      <c r="J216" s="41"/>
    </row>
    <row r="217" spans="1:10" x14ac:dyDescent="0.2">
      <c r="A217" s="23" t="s">
        <v>616</v>
      </c>
      <c r="B217" s="18" t="s">
        <v>80</v>
      </c>
      <c r="C217" s="41"/>
      <c r="D217" s="99"/>
      <c r="E217" s="41"/>
      <c r="F217" s="41"/>
      <c r="G217" s="41"/>
      <c r="H217" s="41"/>
      <c r="I217" s="41"/>
      <c r="J217" s="41"/>
    </row>
    <row r="218" spans="1:10" ht="25.5" x14ac:dyDescent="0.2">
      <c r="A218" s="19" t="s">
        <v>617</v>
      </c>
      <c r="B218" s="21" t="s">
        <v>730</v>
      </c>
      <c r="C218" s="19" t="s">
        <v>48</v>
      </c>
      <c r="D218" s="263" t="s">
        <v>257</v>
      </c>
      <c r="E218" s="93" t="s">
        <v>258</v>
      </c>
      <c r="F218" s="93" t="s">
        <v>259</v>
      </c>
      <c r="G218" s="93" t="s">
        <v>260</v>
      </c>
      <c r="H218" s="93" t="s">
        <v>261</v>
      </c>
      <c r="I218" s="93" t="s">
        <v>262</v>
      </c>
      <c r="J218" s="94" t="s">
        <v>263</v>
      </c>
    </row>
    <row r="219" spans="1:10" x14ac:dyDescent="0.2">
      <c r="A219" s="19"/>
      <c r="B219" s="97" t="s">
        <v>677</v>
      </c>
      <c r="C219" s="19"/>
      <c r="D219" s="263"/>
      <c r="E219" s="93"/>
      <c r="F219" s="93"/>
      <c r="G219" s="93"/>
      <c r="H219" s="93"/>
      <c r="I219" s="93"/>
      <c r="J219" s="94"/>
    </row>
    <row r="220" spans="1:10" x14ac:dyDescent="0.2">
      <c r="A220" s="19"/>
      <c r="B220" s="217" t="s">
        <v>1077</v>
      </c>
      <c r="C220" s="19"/>
      <c r="D220" s="263"/>
      <c r="E220" s="93">
        <v>2.85</v>
      </c>
      <c r="F220" s="93">
        <v>3.15</v>
      </c>
      <c r="G220" s="93"/>
      <c r="H220" s="93">
        <f>E220*F220</f>
        <v>8.9774999999999991</v>
      </c>
      <c r="I220" s="93"/>
      <c r="J220" s="94">
        <f t="shared" ref="J220:J237" si="11">H220</f>
        <v>8.9774999999999991</v>
      </c>
    </row>
    <row r="221" spans="1:10" x14ac:dyDescent="0.2">
      <c r="A221" s="19"/>
      <c r="B221" s="217" t="s">
        <v>1078</v>
      </c>
      <c r="C221" s="19"/>
      <c r="D221" s="263"/>
      <c r="E221" s="93">
        <v>1.6</v>
      </c>
      <c r="F221" s="93">
        <v>1.2</v>
      </c>
      <c r="G221" s="93"/>
      <c r="H221" s="263">
        <f t="shared" ref="H221:H237" si="12">E221*F221</f>
        <v>1.92</v>
      </c>
      <c r="I221" s="93"/>
      <c r="J221" s="94">
        <f t="shared" si="11"/>
        <v>1.92</v>
      </c>
    </row>
    <row r="222" spans="1:10" x14ac:dyDescent="0.2">
      <c r="A222" s="19"/>
      <c r="B222" s="217" t="s">
        <v>1079</v>
      </c>
      <c r="C222" s="19"/>
      <c r="D222" s="263"/>
      <c r="E222" s="93">
        <v>5.9</v>
      </c>
      <c r="F222" s="93">
        <v>2.85</v>
      </c>
      <c r="G222" s="93"/>
      <c r="H222" s="263">
        <f t="shared" si="12"/>
        <v>16.815000000000001</v>
      </c>
      <c r="I222" s="93"/>
      <c r="J222" s="94">
        <f t="shared" si="11"/>
        <v>16.815000000000001</v>
      </c>
    </row>
    <row r="223" spans="1:10" x14ac:dyDescent="0.2">
      <c r="A223" s="19"/>
      <c r="B223" s="355" t="s">
        <v>1085</v>
      </c>
      <c r="C223" s="19"/>
      <c r="D223" s="263"/>
      <c r="E223" s="93">
        <v>1.2</v>
      </c>
      <c r="F223" s="93">
        <v>1.1000000000000001</v>
      </c>
      <c r="G223" s="93"/>
      <c r="H223" s="263">
        <f t="shared" si="12"/>
        <v>1.32</v>
      </c>
      <c r="I223" s="93"/>
      <c r="J223" s="94">
        <f t="shared" si="11"/>
        <v>1.32</v>
      </c>
    </row>
    <row r="224" spans="1:10" x14ac:dyDescent="0.2">
      <c r="A224" s="19"/>
      <c r="B224" s="355" t="s">
        <v>1086</v>
      </c>
      <c r="C224" s="19"/>
      <c r="D224" s="263"/>
      <c r="E224" s="93">
        <v>2.9</v>
      </c>
      <c r="F224" s="93">
        <v>3.15</v>
      </c>
      <c r="G224" s="93"/>
      <c r="H224" s="263">
        <f t="shared" si="12"/>
        <v>9.1349999999999998</v>
      </c>
      <c r="I224" s="93"/>
      <c r="J224" s="94">
        <f t="shared" si="11"/>
        <v>9.1349999999999998</v>
      </c>
    </row>
    <row r="225" spans="1:10" x14ac:dyDescent="0.2">
      <c r="A225" s="19"/>
      <c r="B225" s="355" t="s">
        <v>1087</v>
      </c>
      <c r="C225" s="19"/>
      <c r="D225" s="263"/>
      <c r="E225" s="93">
        <v>1.2</v>
      </c>
      <c r="F225" s="93">
        <v>2.9</v>
      </c>
      <c r="G225" s="93"/>
      <c r="H225" s="263">
        <f t="shared" si="12"/>
        <v>3.48</v>
      </c>
      <c r="I225" s="93"/>
      <c r="J225" s="94">
        <f t="shared" si="11"/>
        <v>3.48</v>
      </c>
    </row>
    <row r="226" spans="1:10" x14ac:dyDescent="0.2">
      <c r="A226" s="19"/>
      <c r="B226" s="355" t="s">
        <v>1088</v>
      </c>
      <c r="C226" s="19"/>
      <c r="D226" s="263"/>
      <c r="E226" s="93">
        <v>5.9</v>
      </c>
      <c r="F226" s="93">
        <v>2.9</v>
      </c>
      <c r="G226" s="93"/>
      <c r="H226" s="263">
        <f t="shared" si="12"/>
        <v>17.11</v>
      </c>
      <c r="I226" s="93"/>
      <c r="J226" s="94">
        <f t="shared" si="11"/>
        <v>17.11</v>
      </c>
    </row>
    <row r="227" spans="1:10" x14ac:dyDescent="0.2">
      <c r="A227" s="19"/>
      <c r="B227" s="217" t="s">
        <v>1089</v>
      </c>
      <c r="C227" s="19"/>
      <c r="D227" s="263"/>
      <c r="E227" s="93">
        <v>3.15</v>
      </c>
      <c r="F227" s="93">
        <v>3</v>
      </c>
      <c r="G227" s="93"/>
      <c r="H227" s="263">
        <f t="shared" si="12"/>
        <v>9.4499999999999993</v>
      </c>
      <c r="I227" s="93"/>
      <c r="J227" s="94">
        <f t="shared" si="11"/>
        <v>9.4499999999999993</v>
      </c>
    </row>
    <row r="228" spans="1:10" x14ac:dyDescent="0.2">
      <c r="A228" s="19"/>
      <c r="B228" s="217" t="s">
        <v>1090</v>
      </c>
      <c r="C228" s="19"/>
      <c r="D228" s="263"/>
      <c r="E228" s="93">
        <v>1.2</v>
      </c>
      <c r="F228" s="93">
        <v>4.3499999999999996</v>
      </c>
      <c r="G228" s="93"/>
      <c r="H228" s="263">
        <f t="shared" si="12"/>
        <v>5.22</v>
      </c>
      <c r="I228" s="93"/>
      <c r="J228" s="94">
        <f t="shared" si="11"/>
        <v>5.22</v>
      </c>
    </row>
    <row r="229" spans="1:10" x14ac:dyDescent="0.2">
      <c r="A229" s="19"/>
      <c r="B229" s="217" t="s">
        <v>1092</v>
      </c>
      <c r="C229" s="19"/>
      <c r="D229" s="263"/>
      <c r="E229" s="93">
        <v>2.15</v>
      </c>
      <c r="F229" s="93">
        <v>2.25</v>
      </c>
      <c r="G229" s="93"/>
      <c r="H229" s="263">
        <f t="shared" si="12"/>
        <v>4.8374999999999995</v>
      </c>
      <c r="I229" s="93"/>
      <c r="J229" s="94">
        <f t="shared" si="11"/>
        <v>4.8374999999999995</v>
      </c>
    </row>
    <row r="230" spans="1:10" x14ac:dyDescent="0.2">
      <c r="A230" s="19"/>
      <c r="B230" s="358" t="s">
        <v>1094</v>
      </c>
      <c r="C230" s="19"/>
      <c r="D230" s="263"/>
      <c r="E230" s="93">
        <v>1.3</v>
      </c>
      <c r="F230" s="93">
        <v>1.95</v>
      </c>
      <c r="G230" s="93"/>
      <c r="H230" s="263">
        <f t="shared" si="12"/>
        <v>2.5350000000000001</v>
      </c>
      <c r="I230" s="93"/>
      <c r="J230" s="94">
        <f t="shared" si="11"/>
        <v>2.5350000000000001</v>
      </c>
    </row>
    <row r="231" spans="1:10" x14ac:dyDescent="0.2">
      <c r="A231" s="19"/>
      <c r="B231" s="217" t="s">
        <v>1095</v>
      </c>
      <c r="C231" s="19"/>
      <c r="D231" s="263"/>
      <c r="E231" s="93">
        <v>2.15</v>
      </c>
      <c r="F231" s="93">
        <v>1.95</v>
      </c>
      <c r="G231" s="93"/>
      <c r="H231" s="263">
        <f t="shared" si="12"/>
        <v>4.1924999999999999</v>
      </c>
      <c r="I231" s="93"/>
      <c r="J231" s="94">
        <f t="shared" si="11"/>
        <v>4.1924999999999999</v>
      </c>
    </row>
    <row r="232" spans="1:10" x14ac:dyDescent="0.2">
      <c r="A232" s="19"/>
      <c r="B232" s="217" t="s">
        <v>1096</v>
      </c>
      <c r="C232" s="19"/>
      <c r="D232" s="263"/>
      <c r="E232" s="93">
        <v>3.65</v>
      </c>
      <c r="F232" s="93">
        <v>1.8</v>
      </c>
      <c r="G232" s="93"/>
      <c r="H232" s="263">
        <f t="shared" si="12"/>
        <v>6.57</v>
      </c>
      <c r="I232" s="93"/>
      <c r="J232" s="94">
        <f t="shared" si="11"/>
        <v>6.57</v>
      </c>
    </row>
    <row r="233" spans="1:10" x14ac:dyDescent="0.2">
      <c r="A233" s="19"/>
      <c r="B233" s="217" t="s">
        <v>1097</v>
      </c>
      <c r="C233" s="19"/>
      <c r="D233" s="263"/>
      <c r="E233" s="93">
        <v>3.15</v>
      </c>
      <c r="F233" s="93">
        <v>4.25</v>
      </c>
      <c r="G233" s="93"/>
      <c r="H233" s="263">
        <f t="shared" si="12"/>
        <v>13.387499999999999</v>
      </c>
      <c r="I233" s="93"/>
      <c r="J233" s="94">
        <f t="shared" si="11"/>
        <v>13.387499999999999</v>
      </c>
    </row>
    <row r="234" spans="1:10" x14ac:dyDescent="0.2">
      <c r="A234" s="19"/>
      <c r="B234" s="217" t="s">
        <v>1098</v>
      </c>
      <c r="C234" s="19"/>
      <c r="D234" s="263"/>
      <c r="E234" s="93">
        <v>1.7</v>
      </c>
      <c r="F234" s="93">
        <v>2.9</v>
      </c>
      <c r="G234" s="93"/>
      <c r="H234" s="263">
        <f t="shared" si="12"/>
        <v>4.93</v>
      </c>
      <c r="I234" s="93"/>
      <c r="J234" s="94">
        <f t="shared" si="11"/>
        <v>4.93</v>
      </c>
    </row>
    <row r="235" spans="1:10" x14ac:dyDescent="0.2">
      <c r="A235" s="19"/>
      <c r="B235" s="217" t="s">
        <v>1405</v>
      </c>
      <c r="C235" s="19"/>
      <c r="D235" s="263"/>
      <c r="E235" s="93">
        <v>3.15</v>
      </c>
      <c r="F235" s="93">
        <v>2.9</v>
      </c>
      <c r="G235" s="93"/>
      <c r="H235" s="263">
        <f t="shared" si="12"/>
        <v>9.1349999999999998</v>
      </c>
      <c r="I235" s="93"/>
      <c r="J235" s="94">
        <f t="shared" si="11"/>
        <v>9.1349999999999998</v>
      </c>
    </row>
    <row r="236" spans="1:10" x14ac:dyDescent="0.2">
      <c r="A236" s="19"/>
      <c r="B236" s="217" t="s">
        <v>1406</v>
      </c>
      <c r="C236" s="19"/>
      <c r="D236" s="263"/>
      <c r="E236" s="93">
        <v>1.3</v>
      </c>
      <c r="F236" s="93">
        <v>2.9</v>
      </c>
      <c r="G236" s="93"/>
      <c r="H236" s="263">
        <f t="shared" si="12"/>
        <v>3.77</v>
      </c>
      <c r="I236" s="93"/>
      <c r="J236" s="94">
        <f t="shared" si="11"/>
        <v>3.77</v>
      </c>
    </row>
    <row r="237" spans="1:10" x14ac:dyDescent="0.2">
      <c r="A237" s="19"/>
      <c r="B237" s="217" t="s">
        <v>1407</v>
      </c>
      <c r="C237" s="19"/>
      <c r="D237" s="263"/>
      <c r="E237" s="93">
        <v>2.15</v>
      </c>
      <c r="F237" s="93">
        <v>2.9</v>
      </c>
      <c r="G237" s="93"/>
      <c r="H237" s="263">
        <f t="shared" si="12"/>
        <v>6.2349999999999994</v>
      </c>
      <c r="I237" s="93"/>
      <c r="J237" s="94">
        <f t="shared" si="11"/>
        <v>6.2349999999999994</v>
      </c>
    </row>
    <row r="238" spans="1:10" x14ac:dyDescent="0.2">
      <c r="A238" s="19"/>
      <c r="B238" s="217"/>
      <c r="C238" s="19"/>
      <c r="D238" s="263"/>
      <c r="E238" s="93"/>
      <c r="F238" s="93"/>
      <c r="G238" s="93"/>
      <c r="H238" s="93"/>
      <c r="I238" s="93"/>
      <c r="J238" s="94"/>
    </row>
    <row r="239" spans="1:10" x14ac:dyDescent="0.2">
      <c r="A239" s="19"/>
      <c r="B239" s="97" t="s">
        <v>1084</v>
      </c>
      <c r="C239" s="19"/>
      <c r="D239" s="263"/>
      <c r="E239" s="93"/>
      <c r="F239" s="93"/>
      <c r="G239" s="93"/>
      <c r="H239" s="93"/>
      <c r="I239" s="93"/>
      <c r="J239" s="94"/>
    </row>
    <row r="240" spans="1:10" x14ac:dyDescent="0.2">
      <c r="A240" s="19"/>
      <c r="B240" s="217" t="s">
        <v>1077</v>
      </c>
      <c r="C240" s="19"/>
      <c r="D240" s="263"/>
      <c r="E240" s="263">
        <v>2.85</v>
      </c>
      <c r="F240" s="263">
        <v>3.15</v>
      </c>
      <c r="G240" s="93"/>
      <c r="H240" s="263">
        <f>E240*F240</f>
        <v>8.9774999999999991</v>
      </c>
      <c r="I240" s="263"/>
      <c r="J240" s="264">
        <f t="shared" ref="J240:J257" si="13">H240</f>
        <v>8.9774999999999991</v>
      </c>
    </row>
    <row r="241" spans="1:10" x14ac:dyDescent="0.2">
      <c r="A241" s="19"/>
      <c r="B241" s="217" t="s">
        <v>1078</v>
      </c>
      <c r="C241" s="19"/>
      <c r="D241" s="263"/>
      <c r="E241" s="263">
        <v>1.6</v>
      </c>
      <c r="F241" s="263">
        <v>1.2</v>
      </c>
      <c r="G241" s="93"/>
      <c r="H241" s="263">
        <f t="shared" ref="H241:H257" si="14">E241*F241</f>
        <v>1.92</v>
      </c>
      <c r="I241" s="263"/>
      <c r="J241" s="264">
        <f t="shared" si="13"/>
        <v>1.92</v>
      </c>
    </row>
    <row r="242" spans="1:10" x14ac:dyDescent="0.2">
      <c r="A242" s="19"/>
      <c r="B242" s="217" t="s">
        <v>1079</v>
      </c>
      <c r="C242" s="19"/>
      <c r="D242" s="263"/>
      <c r="E242" s="263">
        <v>5.9</v>
      </c>
      <c r="F242" s="263">
        <v>2.85</v>
      </c>
      <c r="G242" s="93"/>
      <c r="H242" s="263">
        <f t="shared" si="14"/>
        <v>16.815000000000001</v>
      </c>
      <c r="I242" s="263"/>
      <c r="J242" s="264">
        <f t="shared" si="13"/>
        <v>16.815000000000001</v>
      </c>
    </row>
    <row r="243" spans="1:10" x14ac:dyDescent="0.2">
      <c r="A243" s="19"/>
      <c r="B243" s="217" t="s">
        <v>1085</v>
      </c>
      <c r="C243" s="19"/>
      <c r="D243" s="263"/>
      <c r="E243" s="263">
        <v>1.2</v>
      </c>
      <c r="F243" s="263">
        <v>1.1000000000000001</v>
      </c>
      <c r="G243" s="93"/>
      <c r="H243" s="263">
        <f t="shared" si="14"/>
        <v>1.32</v>
      </c>
      <c r="I243" s="263"/>
      <c r="J243" s="264">
        <f t="shared" si="13"/>
        <v>1.32</v>
      </c>
    </row>
    <row r="244" spans="1:10" x14ac:dyDescent="0.2">
      <c r="A244" s="19"/>
      <c r="B244" s="217" t="s">
        <v>1086</v>
      </c>
      <c r="C244" s="19"/>
      <c r="D244" s="263"/>
      <c r="E244" s="263">
        <v>2.9</v>
      </c>
      <c r="F244" s="263">
        <v>3.15</v>
      </c>
      <c r="G244" s="93"/>
      <c r="H244" s="263">
        <f t="shared" si="14"/>
        <v>9.1349999999999998</v>
      </c>
      <c r="I244" s="263"/>
      <c r="J244" s="264">
        <f t="shared" si="13"/>
        <v>9.1349999999999998</v>
      </c>
    </row>
    <row r="245" spans="1:10" x14ac:dyDescent="0.2">
      <c r="A245" s="19"/>
      <c r="B245" s="217" t="s">
        <v>1087</v>
      </c>
      <c r="C245" s="19"/>
      <c r="D245" s="263"/>
      <c r="E245" s="263">
        <v>1.2</v>
      </c>
      <c r="F245" s="263">
        <v>2.9</v>
      </c>
      <c r="G245" s="93"/>
      <c r="H245" s="263">
        <f t="shared" si="14"/>
        <v>3.48</v>
      </c>
      <c r="I245" s="263"/>
      <c r="J245" s="264">
        <f t="shared" si="13"/>
        <v>3.48</v>
      </c>
    </row>
    <row r="246" spans="1:10" x14ac:dyDescent="0.2">
      <c r="A246" s="19"/>
      <c r="B246" s="217" t="s">
        <v>1088</v>
      </c>
      <c r="C246" s="19"/>
      <c r="D246" s="263"/>
      <c r="E246" s="263">
        <v>5.9</v>
      </c>
      <c r="F246" s="263">
        <v>2.9</v>
      </c>
      <c r="G246" s="93"/>
      <c r="H246" s="263">
        <f t="shared" si="14"/>
        <v>17.11</v>
      </c>
      <c r="I246" s="263"/>
      <c r="J246" s="264">
        <f t="shared" si="13"/>
        <v>17.11</v>
      </c>
    </row>
    <row r="247" spans="1:10" x14ac:dyDescent="0.2">
      <c r="A247" s="19"/>
      <c r="B247" s="217" t="s">
        <v>1089</v>
      </c>
      <c r="C247" s="19"/>
      <c r="D247" s="263"/>
      <c r="E247" s="263">
        <v>3.15</v>
      </c>
      <c r="F247" s="263">
        <v>3</v>
      </c>
      <c r="G247" s="93"/>
      <c r="H247" s="263">
        <f t="shared" si="14"/>
        <v>9.4499999999999993</v>
      </c>
      <c r="I247" s="263"/>
      <c r="J247" s="264">
        <f t="shared" si="13"/>
        <v>9.4499999999999993</v>
      </c>
    </row>
    <row r="248" spans="1:10" x14ac:dyDescent="0.2">
      <c r="A248" s="19"/>
      <c r="B248" s="217" t="s">
        <v>1090</v>
      </c>
      <c r="C248" s="19"/>
      <c r="D248" s="263"/>
      <c r="E248" s="263">
        <v>1.2</v>
      </c>
      <c r="F248" s="263">
        <v>4.3499999999999996</v>
      </c>
      <c r="G248" s="93"/>
      <c r="H248" s="263">
        <f t="shared" si="14"/>
        <v>5.22</v>
      </c>
      <c r="I248" s="263"/>
      <c r="J248" s="264">
        <f t="shared" si="13"/>
        <v>5.22</v>
      </c>
    </row>
    <row r="249" spans="1:10" x14ac:dyDescent="0.2">
      <c r="A249" s="19"/>
      <c r="B249" s="217" t="s">
        <v>1091</v>
      </c>
      <c r="C249" s="19"/>
      <c r="D249" s="263"/>
      <c r="E249" s="93">
        <v>3.29</v>
      </c>
      <c r="F249" s="93">
        <v>2.25</v>
      </c>
      <c r="G249" s="93"/>
      <c r="H249" s="263">
        <f t="shared" si="14"/>
        <v>7.4024999999999999</v>
      </c>
      <c r="I249" s="263"/>
      <c r="J249" s="264">
        <f t="shared" si="13"/>
        <v>7.4024999999999999</v>
      </c>
    </row>
    <row r="250" spans="1:10" x14ac:dyDescent="0.2">
      <c r="A250" s="19"/>
      <c r="B250" s="217" t="s">
        <v>1092</v>
      </c>
      <c r="C250" s="19"/>
      <c r="D250" s="263"/>
      <c r="E250" s="93">
        <v>2.15</v>
      </c>
      <c r="F250" s="93">
        <v>2.25</v>
      </c>
      <c r="G250" s="93"/>
      <c r="H250" s="263">
        <f t="shared" si="14"/>
        <v>4.8374999999999995</v>
      </c>
      <c r="I250" s="263"/>
      <c r="J250" s="264">
        <f t="shared" si="13"/>
        <v>4.8374999999999995</v>
      </c>
    </row>
    <row r="251" spans="1:10" x14ac:dyDescent="0.2">
      <c r="A251" s="19"/>
      <c r="B251" s="217" t="s">
        <v>1093</v>
      </c>
      <c r="C251" s="19"/>
      <c r="D251" s="263"/>
      <c r="E251" s="93">
        <v>1.66</v>
      </c>
      <c r="F251" s="93">
        <v>1.65</v>
      </c>
      <c r="G251" s="93"/>
      <c r="H251" s="263">
        <f t="shared" si="14"/>
        <v>2.7389999999999999</v>
      </c>
      <c r="I251" s="263"/>
      <c r="J251" s="264">
        <f t="shared" si="13"/>
        <v>2.7389999999999999</v>
      </c>
    </row>
    <row r="252" spans="1:10" x14ac:dyDescent="0.2">
      <c r="A252" s="19"/>
      <c r="B252" s="217" t="s">
        <v>1094</v>
      </c>
      <c r="C252" s="19"/>
      <c r="D252" s="263"/>
      <c r="E252" s="93">
        <v>3.65</v>
      </c>
      <c r="F252" s="93">
        <v>1.95</v>
      </c>
      <c r="G252" s="93"/>
      <c r="H252" s="263">
        <f t="shared" si="14"/>
        <v>7.1174999999999997</v>
      </c>
      <c r="I252" s="263"/>
      <c r="J252" s="264">
        <f t="shared" si="13"/>
        <v>7.1174999999999997</v>
      </c>
    </row>
    <row r="253" spans="1:10" x14ac:dyDescent="0.2">
      <c r="A253" s="19"/>
      <c r="B253" s="217" t="s">
        <v>1095</v>
      </c>
      <c r="C253" s="19"/>
      <c r="D253" s="263"/>
      <c r="E253" s="93">
        <v>1.3</v>
      </c>
      <c r="F253" s="93">
        <v>1.95</v>
      </c>
      <c r="G253" s="93"/>
      <c r="H253" s="263">
        <f t="shared" si="14"/>
        <v>2.5350000000000001</v>
      </c>
      <c r="I253" s="263"/>
      <c r="J253" s="264">
        <f t="shared" si="13"/>
        <v>2.5350000000000001</v>
      </c>
    </row>
    <row r="254" spans="1:10" s="253" customFormat="1" x14ac:dyDescent="0.2">
      <c r="A254" s="254"/>
      <c r="B254" s="355" t="s">
        <v>1096</v>
      </c>
      <c r="C254" s="254"/>
      <c r="D254" s="263"/>
      <c r="E254" s="263">
        <v>2.15</v>
      </c>
      <c r="F254" s="263">
        <v>1.95</v>
      </c>
      <c r="G254" s="263"/>
      <c r="H254" s="263">
        <f t="shared" si="14"/>
        <v>4.1924999999999999</v>
      </c>
      <c r="I254" s="263"/>
      <c r="J254" s="264">
        <f t="shared" si="13"/>
        <v>4.1924999999999999</v>
      </c>
    </row>
    <row r="255" spans="1:10" s="253" customFormat="1" x14ac:dyDescent="0.2">
      <c r="A255" s="254"/>
      <c r="B255" s="355" t="s">
        <v>1097</v>
      </c>
      <c r="C255" s="254"/>
      <c r="D255" s="263"/>
      <c r="E255" s="263">
        <v>3.15</v>
      </c>
      <c r="F255" s="263">
        <v>4.25</v>
      </c>
      <c r="G255" s="263"/>
      <c r="H255" s="263">
        <f t="shared" si="14"/>
        <v>13.387499999999999</v>
      </c>
      <c r="I255" s="263"/>
      <c r="J255" s="264">
        <f t="shared" si="13"/>
        <v>13.387499999999999</v>
      </c>
    </row>
    <row r="256" spans="1:10" s="253" customFormat="1" x14ac:dyDescent="0.2">
      <c r="A256" s="254"/>
      <c r="B256" s="355" t="s">
        <v>1098</v>
      </c>
      <c r="C256" s="254"/>
      <c r="D256" s="263"/>
      <c r="E256" s="263">
        <v>2.9</v>
      </c>
      <c r="F256" s="263">
        <v>1.7</v>
      </c>
      <c r="G256" s="263"/>
      <c r="H256" s="263">
        <f t="shared" si="14"/>
        <v>4.93</v>
      </c>
      <c r="I256" s="263"/>
      <c r="J256" s="264">
        <f t="shared" si="13"/>
        <v>4.93</v>
      </c>
    </row>
    <row r="257" spans="1:10" s="253" customFormat="1" x14ac:dyDescent="0.2">
      <c r="A257" s="254"/>
      <c r="B257" s="355" t="s">
        <v>1405</v>
      </c>
      <c r="C257" s="254"/>
      <c r="D257" s="263"/>
      <c r="E257" s="263">
        <v>3.15</v>
      </c>
      <c r="F257" s="263">
        <v>2.9</v>
      </c>
      <c r="G257" s="263"/>
      <c r="H257" s="263">
        <f t="shared" si="14"/>
        <v>9.1349999999999998</v>
      </c>
      <c r="I257" s="263"/>
      <c r="J257" s="264">
        <f t="shared" si="13"/>
        <v>9.1349999999999998</v>
      </c>
    </row>
    <row r="258" spans="1:10" s="253" customFormat="1" x14ac:dyDescent="0.2">
      <c r="A258" s="254"/>
      <c r="B258" s="355" t="s">
        <v>1406</v>
      </c>
      <c r="C258" s="254"/>
      <c r="D258" s="263"/>
      <c r="E258" s="263">
        <v>1.3</v>
      </c>
      <c r="F258" s="263">
        <v>2.9</v>
      </c>
      <c r="G258" s="263"/>
      <c r="H258" s="263">
        <f t="shared" ref="H258:H259" si="15">E258*F258</f>
        <v>3.77</v>
      </c>
      <c r="I258" s="263"/>
      <c r="J258" s="264">
        <f t="shared" ref="J258:J259" si="16">H258</f>
        <v>3.77</v>
      </c>
    </row>
    <row r="259" spans="1:10" s="253" customFormat="1" x14ac:dyDescent="0.2">
      <c r="A259" s="254"/>
      <c r="B259" s="355" t="s">
        <v>1407</v>
      </c>
      <c r="C259" s="254"/>
      <c r="D259" s="263"/>
      <c r="E259" s="263">
        <v>2.15</v>
      </c>
      <c r="F259" s="263">
        <v>2.9</v>
      </c>
      <c r="G259" s="263"/>
      <c r="H259" s="263">
        <f t="shared" si="15"/>
        <v>6.2349999999999994</v>
      </c>
      <c r="I259" s="263"/>
      <c r="J259" s="264">
        <f t="shared" si="16"/>
        <v>6.2349999999999994</v>
      </c>
    </row>
    <row r="260" spans="1:10" x14ac:dyDescent="0.2">
      <c r="A260" s="19"/>
      <c r="B260" s="217"/>
      <c r="C260" s="19"/>
      <c r="D260" s="263"/>
      <c r="E260" s="93"/>
      <c r="F260" s="93"/>
      <c r="G260" s="38"/>
      <c r="H260" s="93"/>
      <c r="I260" s="89" t="s">
        <v>604</v>
      </c>
      <c r="J260" s="90">
        <f>SUM(J220:J259)</f>
        <v>268.72899999999993</v>
      </c>
    </row>
    <row r="261" spans="1:10" x14ac:dyDescent="0.2">
      <c r="A261" s="41"/>
      <c r="B261" s="41"/>
      <c r="C261" s="41"/>
      <c r="D261" s="99"/>
      <c r="E261" s="41"/>
      <c r="F261" s="41"/>
      <c r="G261" s="41"/>
      <c r="H261" s="41"/>
      <c r="I261" s="41"/>
      <c r="J261" s="41"/>
    </row>
    <row r="262" spans="1:10" x14ac:dyDescent="0.2">
      <c r="A262" s="11">
        <v>5</v>
      </c>
      <c r="B262" s="7" t="s">
        <v>82</v>
      </c>
      <c r="C262" s="5"/>
      <c r="D262" s="277"/>
      <c r="E262" s="77"/>
      <c r="F262" s="77"/>
      <c r="G262" s="77"/>
      <c r="H262" s="77"/>
      <c r="I262" s="77"/>
      <c r="J262" s="77"/>
    </row>
    <row r="263" spans="1:10" x14ac:dyDescent="0.2">
      <c r="A263" s="23" t="s">
        <v>303</v>
      </c>
      <c r="B263" s="14" t="s">
        <v>88</v>
      </c>
      <c r="C263" s="19"/>
      <c r="D263" s="258"/>
      <c r="E263" s="82"/>
      <c r="F263" s="82"/>
      <c r="G263" s="82"/>
      <c r="H263" s="82"/>
      <c r="I263" s="41"/>
      <c r="J263" s="41"/>
    </row>
    <row r="264" spans="1:10" ht="25.5" x14ac:dyDescent="0.2">
      <c r="A264" s="19" t="s">
        <v>304</v>
      </c>
      <c r="B264" s="21" t="s">
        <v>87</v>
      </c>
      <c r="C264" s="19" t="s">
        <v>24</v>
      </c>
      <c r="D264" s="263" t="s">
        <v>257</v>
      </c>
      <c r="E264" s="93" t="s">
        <v>258</v>
      </c>
      <c r="F264" s="93" t="s">
        <v>259</v>
      </c>
      <c r="G264" s="93" t="s">
        <v>260</v>
      </c>
      <c r="H264" s="93" t="s">
        <v>261</v>
      </c>
      <c r="I264" s="93" t="s">
        <v>262</v>
      </c>
      <c r="J264" s="94" t="s">
        <v>263</v>
      </c>
    </row>
    <row r="265" spans="1:10" x14ac:dyDescent="0.2">
      <c r="A265" s="19"/>
      <c r="B265" s="80" t="s">
        <v>651</v>
      </c>
      <c r="C265" s="19"/>
      <c r="D265" s="258">
        <v>1</v>
      </c>
      <c r="E265" s="82">
        <v>0.7</v>
      </c>
      <c r="F265" s="82"/>
      <c r="G265" s="82">
        <v>1.8</v>
      </c>
      <c r="H265" s="82">
        <f>E265*G265</f>
        <v>1.26</v>
      </c>
      <c r="I265" s="82"/>
      <c r="J265" s="82">
        <f>D265*H265</f>
        <v>1.26</v>
      </c>
    </row>
    <row r="266" spans="1:10" x14ac:dyDescent="0.2">
      <c r="A266" s="19"/>
      <c r="B266" s="80" t="s">
        <v>652</v>
      </c>
      <c r="C266" s="19"/>
      <c r="D266" s="258">
        <v>1</v>
      </c>
      <c r="E266" s="82">
        <v>0.7</v>
      </c>
      <c r="F266" s="82"/>
      <c r="G266" s="82">
        <v>1.8</v>
      </c>
      <c r="H266" s="82">
        <f>E266*G266</f>
        <v>1.26</v>
      </c>
      <c r="I266" s="82"/>
      <c r="J266" s="82">
        <f>D266*H266</f>
        <v>1.26</v>
      </c>
    </row>
    <row r="267" spans="1:10" x14ac:dyDescent="0.2">
      <c r="A267" s="19"/>
      <c r="B267" s="80" t="s">
        <v>653</v>
      </c>
      <c r="C267" s="19"/>
      <c r="D267" s="258">
        <v>1</v>
      </c>
      <c r="E267" s="82">
        <v>0.7</v>
      </c>
      <c r="F267" s="82"/>
      <c r="G267" s="82">
        <v>1.8</v>
      </c>
      <c r="H267" s="82">
        <f>E267*G267</f>
        <v>1.26</v>
      </c>
      <c r="I267" s="82"/>
      <c r="J267" s="82">
        <f>D267*H267</f>
        <v>1.26</v>
      </c>
    </row>
    <row r="268" spans="1:10" x14ac:dyDescent="0.2">
      <c r="A268" s="19"/>
      <c r="B268" s="21"/>
      <c r="C268" s="19"/>
      <c r="D268" s="258"/>
      <c r="E268" s="82"/>
      <c r="F268" s="82"/>
      <c r="G268" s="82"/>
      <c r="H268" s="82"/>
      <c r="I268" s="91" t="s">
        <v>604</v>
      </c>
      <c r="J268" s="90">
        <f>SUM(J265:J267)</f>
        <v>3.7800000000000002</v>
      </c>
    </row>
    <row r="269" spans="1:10" x14ac:dyDescent="0.2">
      <c r="A269" s="19"/>
      <c r="B269" s="21"/>
      <c r="C269" s="19"/>
      <c r="D269" s="258"/>
      <c r="E269" s="82"/>
      <c r="F269" s="82"/>
      <c r="G269" s="82"/>
      <c r="H269" s="82"/>
      <c r="I269" s="103"/>
      <c r="J269" s="104"/>
    </row>
    <row r="270" spans="1:10" x14ac:dyDescent="0.2">
      <c r="A270" s="23" t="s">
        <v>305</v>
      </c>
      <c r="B270" s="14" t="s">
        <v>84</v>
      </c>
      <c r="C270" s="19"/>
      <c r="D270" s="99"/>
      <c r="E270" s="41"/>
      <c r="F270" s="41"/>
      <c r="G270" s="41"/>
      <c r="H270" s="41"/>
      <c r="I270" s="41"/>
      <c r="J270" s="41"/>
    </row>
    <row r="271" spans="1:10" ht="25.5" x14ac:dyDescent="0.2">
      <c r="A271" s="19" t="s">
        <v>306</v>
      </c>
      <c r="B271" s="21" t="s">
        <v>86</v>
      </c>
      <c r="C271" s="19" t="s">
        <v>49</v>
      </c>
      <c r="D271" s="263" t="s">
        <v>257</v>
      </c>
      <c r="E271" s="93" t="s">
        <v>258</v>
      </c>
      <c r="F271" s="93" t="s">
        <v>259</v>
      </c>
      <c r="G271" s="93" t="s">
        <v>260</v>
      </c>
      <c r="H271" s="93" t="s">
        <v>261</v>
      </c>
      <c r="I271" s="93" t="s">
        <v>262</v>
      </c>
      <c r="J271" s="94" t="s">
        <v>263</v>
      </c>
    </row>
    <row r="272" spans="1:10" x14ac:dyDescent="0.2">
      <c r="A272" s="19"/>
      <c r="B272" s="84" t="s">
        <v>646</v>
      </c>
      <c r="C272" s="19"/>
      <c r="D272" s="99"/>
      <c r="E272" s="41"/>
      <c r="F272" s="41"/>
      <c r="G272" s="41"/>
      <c r="H272" s="41"/>
      <c r="I272" s="41"/>
      <c r="J272" s="41"/>
    </row>
    <row r="273" spans="1:10" x14ac:dyDescent="0.2">
      <c r="A273" s="19"/>
      <c r="B273" s="80" t="s">
        <v>633</v>
      </c>
      <c r="C273" s="19"/>
      <c r="D273" s="258"/>
      <c r="E273" s="82"/>
      <c r="F273" s="41"/>
      <c r="G273" s="41"/>
      <c r="H273" s="41"/>
      <c r="I273" s="41"/>
      <c r="J273" s="41"/>
    </row>
    <row r="274" spans="1:10" x14ac:dyDescent="0.2">
      <c r="A274" s="19"/>
      <c r="B274" s="80" t="s">
        <v>634</v>
      </c>
      <c r="C274" s="19"/>
      <c r="D274" s="258">
        <v>1</v>
      </c>
      <c r="E274" s="41"/>
      <c r="F274" s="82">
        <v>2.2999999999999998</v>
      </c>
      <c r="G274" s="82"/>
      <c r="H274" s="82"/>
      <c r="I274" s="82"/>
      <c r="J274" s="82">
        <f>D274*F274</f>
        <v>2.2999999999999998</v>
      </c>
    </row>
    <row r="275" spans="1:10" x14ac:dyDescent="0.2">
      <c r="A275" s="19"/>
      <c r="B275" s="80"/>
      <c r="C275" s="19"/>
      <c r="D275" s="258"/>
      <c r="E275" s="41"/>
      <c r="F275" s="82"/>
      <c r="G275" s="82"/>
      <c r="H275" s="82"/>
      <c r="I275" s="82"/>
      <c r="J275" s="82"/>
    </row>
    <row r="276" spans="1:10" x14ac:dyDescent="0.2">
      <c r="A276" s="19"/>
      <c r="B276" s="80" t="s">
        <v>635</v>
      </c>
      <c r="C276" s="19"/>
      <c r="D276" s="258"/>
      <c r="E276" s="41"/>
      <c r="F276" s="82"/>
      <c r="G276" s="82"/>
      <c r="H276" s="82"/>
      <c r="I276" s="82"/>
      <c r="J276" s="82"/>
    </row>
    <row r="277" spans="1:10" x14ac:dyDescent="0.2">
      <c r="A277" s="19"/>
      <c r="B277" s="80" t="s">
        <v>634</v>
      </c>
      <c r="C277" s="19"/>
      <c r="D277" s="258">
        <v>1</v>
      </c>
      <c r="E277" s="41"/>
      <c r="F277" s="82">
        <v>1.3</v>
      </c>
      <c r="G277" s="82"/>
      <c r="H277" s="82"/>
      <c r="I277" s="82"/>
      <c r="J277" s="82">
        <f t="shared" ref="J277:J301" si="17">D277*F277</f>
        <v>1.3</v>
      </c>
    </row>
    <row r="278" spans="1:10" x14ac:dyDescent="0.2">
      <c r="A278" s="19"/>
      <c r="B278" s="80"/>
      <c r="C278" s="19"/>
      <c r="D278" s="258"/>
      <c r="E278" s="41"/>
      <c r="F278" s="82"/>
      <c r="G278" s="82"/>
      <c r="H278" s="82"/>
      <c r="I278" s="82"/>
      <c r="J278" s="82"/>
    </row>
    <row r="279" spans="1:10" x14ac:dyDescent="0.2">
      <c r="A279" s="19"/>
      <c r="B279" s="80" t="s">
        <v>636</v>
      </c>
      <c r="C279" s="19"/>
      <c r="D279" s="258"/>
      <c r="E279" s="41"/>
      <c r="F279" s="82"/>
      <c r="G279" s="82"/>
      <c r="H279" s="82"/>
      <c r="I279" s="82"/>
      <c r="J279" s="82"/>
    </row>
    <row r="280" spans="1:10" x14ac:dyDescent="0.2">
      <c r="A280" s="19"/>
      <c r="B280" s="80" t="s">
        <v>1375</v>
      </c>
      <c r="C280" s="19"/>
      <c r="D280" s="258">
        <v>2</v>
      </c>
      <c r="E280" s="41"/>
      <c r="F280" s="82">
        <v>1.2</v>
      </c>
      <c r="G280" s="82"/>
      <c r="H280" s="82"/>
      <c r="I280" s="82"/>
      <c r="J280" s="82">
        <f t="shared" si="17"/>
        <v>2.4</v>
      </c>
    </row>
    <row r="281" spans="1:10" x14ac:dyDescent="0.2">
      <c r="A281" s="19"/>
      <c r="B281" s="80"/>
      <c r="C281" s="19"/>
      <c r="D281" s="258"/>
      <c r="E281" s="41"/>
      <c r="F281" s="82"/>
      <c r="G281" s="82"/>
      <c r="H281" s="82"/>
      <c r="I281" s="82"/>
      <c r="J281" s="82"/>
    </row>
    <row r="282" spans="1:10" x14ac:dyDescent="0.2">
      <c r="A282" s="19"/>
      <c r="B282" s="80" t="s">
        <v>1377</v>
      </c>
      <c r="C282" s="19"/>
      <c r="D282" s="258"/>
      <c r="E282" s="41"/>
      <c r="F282" s="82"/>
      <c r="G282" s="82"/>
      <c r="H282" s="82"/>
      <c r="I282" s="82"/>
      <c r="J282" s="82"/>
    </row>
    <row r="283" spans="1:10" x14ac:dyDescent="0.2">
      <c r="A283" s="19"/>
      <c r="B283" s="80" t="s">
        <v>618</v>
      </c>
      <c r="C283" s="19"/>
      <c r="D283" s="258">
        <v>2</v>
      </c>
      <c r="E283" s="41"/>
      <c r="F283" s="82">
        <v>1.2</v>
      </c>
      <c r="G283" s="82"/>
      <c r="H283" s="82"/>
      <c r="I283" s="82"/>
      <c r="J283" s="82">
        <f t="shared" si="17"/>
        <v>2.4</v>
      </c>
    </row>
    <row r="284" spans="1:10" x14ac:dyDescent="0.2">
      <c r="A284" s="19"/>
      <c r="B284" s="80" t="s">
        <v>620</v>
      </c>
      <c r="C284" s="19"/>
      <c r="D284" s="258">
        <v>1</v>
      </c>
      <c r="E284" s="41"/>
      <c r="F284" s="82">
        <v>1.2</v>
      </c>
      <c r="G284" s="82"/>
      <c r="H284" s="82"/>
      <c r="I284" s="82"/>
      <c r="J284" s="82">
        <f t="shared" si="17"/>
        <v>1.2</v>
      </c>
    </row>
    <row r="285" spans="1:10" x14ac:dyDescent="0.2">
      <c r="A285" s="19"/>
      <c r="B285" s="80" t="s">
        <v>621</v>
      </c>
      <c r="C285" s="19"/>
      <c r="D285" s="258">
        <v>1</v>
      </c>
      <c r="E285" s="41"/>
      <c r="F285" s="82">
        <v>1.25</v>
      </c>
      <c r="G285" s="82"/>
      <c r="H285" s="82"/>
      <c r="I285" s="82"/>
      <c r="J285" s="82">
        <f t="shared" si="17"/>
        <v>1.25</v>
      </c>
    </row>
    <row r="286" spans="1:10" x14ac:dyDescent="0.2">
      <c r="A286" s="19"/>
      <c r="B286" s="80" t="s">
        <v>622</v>
      </c>
      <c r="C286" s="19"/>
      <c r="D286" s="258">
        <v>1</v>
      </c>
      <c r="E286" s="41"/>
      <c r="F286" s="82">
        <v>1.25</v>
      </c>
      <c r="G286" s="82"/>
      <c r="H286" s="82"/>
      <c r="I286" s="82"/>
      <c r="J286" s="82">
        <f t="shared" si="17"/>
        <v>1.25</v>
      </c>
    </row>
    <row r="287" spans="1:10" x14ac:dyDescent="0.2">
      <c r="A287" s="19"/>
      <c r="B287" s="80" t="s">
        <v>632</v>
      </c>
      <c r="C287" s="19"/>
      <c r="D287" s="258">
        <v>1</v>
      </c>
      <c r="E287" s="41"/>
      <c r="F287" s="82">
        <v>1.2</v>
      </c>
      <c r="G287" s="82"/>
      <c r="H287" s="82"/>
      <c r="I287" s="82"/>
      <c r="J287" s="82">
        <f t="shared" si="17"/>
        <v>1.2</v>
      </c>
    </row>
    <row r="288" spans="1:10" x14ac:dyDescent="0.2">
      <c r="A288" s="19"/>
      <c r="B288" s="80" t="s">
        <v>637</v>
      </c>
      <c r="C288" s="19"/>
      <c r="D288" s="258">
        <v>1</v>
      </c>
      <c r="E288" s="41"/>
      <c r="F288" s="82">
        <v>1.2</v>
      </c>
      <c r="G288" s="82"/>
      <c r="H288" s="82"/>
      <c r="I288" s="82"/>
      <c r="J288" s="82">
        <f t="shared" si="17"/>
        <v>1.2</v>
      </c>
    </row>
    <row r="289" spans="1:10" x14ac:dyDescent="0.2">
      <c r="A289" s="19"/>
      <c r="B289" s="80" t="s">
        <v>638</v>
      </c>
      <c r="C289" s="19"/>
      <c r="D289" s="258">
        <v>1</v>
      </c>
      <c r="E289" s="41"/>
      <c r="F289" s="82">
        <v>1.2</v>
      </c>
      <c r="G289" s="82"/>
      <c r="H289" s="82"/>
      <c r="I289" s="82"/>
      <c r="J289" s="82">
        <f t="shared" si="17"/>
        <v>1.2</v>
      </c>
    </row>
    <row r="290" spans="1:10" x14ac:dyDescent="0.2">
      <c r="A290" s="19"/>
      <c r="B290" s="80" t="s">
        <v>623</v>
      </c>
      <c r="C290" s="19"/>
      <c r="D290" s="258">
        <v>1</v>
      </c>
      <c r="E290" s="41"/>
      <c r="F290" s="82">
        <v>1.2</v>
      </c>
      <c r="G290" s="82"/>
      <c r="H290" s="82"/>
      <c r="I290" s="82"/>
      <c r="J290" s="82">
        <f t="shared" si="17"/>
        <v>1.2</v>
      </c>
    </row>
    <row r="291" spans="1:10" x14ac:dyDescent="0.2">
      <c r="A291" s="19"/>
      <c r="B291" s="80" t="s">
        <v>624</v>
      </c>
      <c r="C291" s="19"/>
      <c r="D291" s="258">
        <v>1</v>
      </c>
      <c r="E291" s="41"/>
      <c r="F291" s="82">
        <v>1.2</v>
      </c>
      <c r="G291" s="82"/>
      <c r="H291" s="82"/>
      <c r="I291" s="82"/>
      <c r="J291" s="82">
        <f t="shared" si="17"/>
        <v>1.2</v>
      </c>
    </row>
    <row r="292" spans="1:10" x14ac:dyDescent="0.2">
      <c r="A292" s="19"/>
      <c r="B292" s="80" t="s">
        <v>625</v>
      </c>
      <c r="C292" s="19"/>
      <c r="D292" s="258">
        <v>1</v>
      </c>
      <c r="E292" s="41"/>
      <c r="F292" s="82">
        <v>1.2</v>
      </c>
      <c r="G292" s="82"/>
      <c r="H292" s="82"/>
      <c r="I292" s="82"/>
      <c r="J292" s="82">
        <f t="shared" si="17"/>
        <v>1.2</v>
      </c>
    </row>
    <row r="293" spans="1:10" x14ac:dyDescent="0.2">
      <c r="A293" s="19"/>
      <c r="B293" s="80" t="s">
        <v>639</v>
      </c>
      <c r="C293" s="19"/>
      <c r="D293" s="258">
        <v>1</v>
      </c>
      <c r="E293" s="41"/>
      <c r="F293" s="82">
        <v>1.25</v>
      </c>
      <c r="G293" s="82"/>
      <c r="H293" s="82"/>
      <c r="I293" s="82"/>
      <c r="J293" s="82">
        <f t="shared" si="17"/>
        <v>1.25</v>
      </c>
    </row>
    <row r="294" spans="1:10" x14ac:dyDescent="0.2">
      <c r="A294" s="19"/>
      <c r="B294" s="80" t="s">
        <v>627</v>
      </c>
      <c r="C294" s="19"/>
      <c r="D294" s="258">
        <v>1</v>
      </c>
      <c r="E294" s="41"/>
      <c r="F294" s="82">
        <v>1.2</v>
      </c>
      <c r="G294" s="82"/>
      <c r="H294" s="82"/>
      <c r="I294" s="82"/>
      <c r="J294" s="82">
        <f t="shared" si="17"/>
        <v>1.2</v>
      </c>
    </row>
    <row r="295" spans="1:10" x14ac:dyDescent="0.2">
      <c r="A295" s="19"/>
      <c r="B295" s="80" t="s">
        <v>628</v>
      </c>
      <c r="C295" s="19"/>
      <c r="D295" s="258">
        <v>1</v>
      </c>
      <c r="E295" s="41"/>
      <c r="F295" s="82">
        <v>1.2</v>
      </c>
      <c r="G295" s="82"/>
      <c r="H295" s="82"/>
      <c r="I295" s="82"/>
      <c r="J295" s="82">
        <f t="shared" si="17"/>
        <v>1.2</v>
      </c>
    </row>
    <row r="296" spans="1:10" x14ac:dyDescent="0.2">
      <c r="A296" s="19"/>
      <c r="B296" s="80"/>
      <c r="C296" s="19"/>
      <c r="D296" s="258"/>
      <c r="E296" s="41"/>
      <c r="F296" s="82"/>
      <c r="G296" s="82"/>
      <c r="H296" s="82"/>
      <c r="I296" s="82"/>
      <c r="J296" s="82"/>
    </row>
    <row r="297" spans="1:10" x14ac:dyDescent="0.2">
      <c r="A297" s="19"/>
      <c r="B297" s="80" t="s">
        <v>640</v>
      </c>
      <c r="C297" s="19"/>
      <c r="D297" s="258"/>
      <c r="E297" s="41"/>
      <c r="F297" s="82"/>
      <c r="G297" s="82"/>
      <c r="H297" s="82"/>
      <c r="I297" s="82"/>
      <c r="J297" s="82"/>
    </row>
    <row r="298" spans="1:10" x14ac:dyDescent="0.2">
      <c r="A298" s="19"/>
      <c r="B298" s="80" t="s">
        <v>641</v>
      </c>
      <c r="C298" s="19"/>
      <c r="D298" s="258">
        <v>1</v>
      </c>
      <c r="E298" s="41"/>
      <c r="F298" s="82">
        <v>1</v>
      </c>
      <c r="G298" s="82"/>
      <c r="H298" s="82"/>
      <c r="I298" s="82"/>
      <c r="J298" s="82">
        <f t="shared" si="17"/>
        <v>1</v>
      </c>
    </row>
    <row r="299" spans="1:10" x14ac:dyDescent="0.2">
      <c r="A299" s="19"/>
      <c r="B299" s="80" t="s">
        <v>642</v>
      </c>
      <c r="C299" s="19"/>
      <c r="D299" s="258">
        <v>1</v>
      </c>
      <c r="E299" s="41"/>
      <c r="F299" s="82">
        <v>1</v>
      </c>
      <c r="G299" s="82"/>
      <c r="H299" s="82"/>
      <c r="I299" s="82"/>
      <c r="J299" s="82">
        <f t="shared" si="17"/>
        <v>1</v>
      </c>
    </row>
    <row r="300" spans="1:10" x14ac:dyDescent="0.2">
      <c r="A300" s="19"/>
      <c r="B300" s="80" t="s">
        <v>643</v>
      </c>
      <c r="C300" s="19"/>
      <c r="D300" s="258">
        <v>1</v>
      </c>
      <c r="E300" s="41"/>
      <c r="F300" s="82">
        <v>1</v>
      </c>
      <c r="G300" s="82"/>
      <c r="H300" s="82"/>
      <c r="I300" s="82"/>
      <c r="J300" s="82">
        <f t="shared" si="17"/>
        <v>1</v>
      </c>
    </row>
    <row r="301" spans="1:10" x14ac:dyDescent="0.2">
      <c r="A301" s="19"/>
      <c r="B301" s="80" t="s">
        <v>644</v>
      </c>
      <c r="C301" s="19"/>
      <c r="D301" s="258">
        <v>1</v>
      </c>
      <c r="E301" s="41"/>
      <c r="F301" s="82">
        <v>1</v>
      </c>
      <c r="G301" s="82"/>
      <c r="H301" s="82"/>
      <c r="I301" s="82"/>
      <c r="J301" s="82">
        <f t="shared" si="17"/>
        <v>1</v>
      </c>
    </row>
    <row r="302" spans="1:10" s="253" customFormat="1" x14ac:dyDescent="0.2">
      <c r="A302" s="254"/>
      <c r="B302" s="352"/>
      <c r="C302" s="254"/>
      <c r="D302" s="258"/>
      <c r="E302" s="256"/>
      <c r="F302" s="258"/>
      <c r="G302" s="258"/>
      <c r="H302" s="258"/>
      <c r="I302" s="258"/>
      <c r="J302" s="258"/>
    </row>
    <row r="303" spans="1:10" x14ac:dyDescent="0.2">
      <c r="A303" s="19"/>
      <c r="B303" s="352" t="s">
        <v>1373</v>
      </c>
      <c r="C303" s="254"/>
      <c r="D303" s="258">
        <v>2</v>
      </c>
      <c r="E303" s="256"/>
      <c r="F303" s="258">
        <v>1.2</v>
      </c>
      <c r="G303" s="258"/>
      <c r="H303" s="258"/>
      <c r="I303" s="258"/>
      <c r="J303" s="258">
        <f>D303*F303</f>
        <v>2.4</v>
      </c>
    </row>
    <row r="304" spans="1:10" s="253" customFormat="1" x14ac:dyDescent="0.2">
      <c r="A304" s="254"/>
      <c r="B304" s="352"/>
      <c r="C304" s="254"/>
      <c r="D304" s="258"/>
      <c r="E304" s="256"/>
      <c r="F304" s="258"/>
      <c r="G304" s="258"/>
      <c r="H304" s="258"/>
      <c r="I304" s="258"/>
      <c r="J304" s="258"/>
    </row>
    <row r="305" spans="1:10" x14ac:dyDescent="0.2">
      <c r="A305" s="19"/>
      <c r="B305" s="84" t="s">
        <v>647</v>
      </c>
      <c r="C305" s="19"/>
      <c r="D305" s="258"/>
      <c r="E305" s="41"/>
      <c r="F305" s="82"/>
      <c r="G305" s="82"/>
      <c r="H305" s="82"/>
      <c r="I305" s="82"/>
      <c r="J305" s="82"/>
    </row>
    <row r="306" spans="1:10" x14ac:dyDescent="0.2">
      <c r="A306" s="19"/>
      <c r="B306" s="80" t="s">
        <v>619</v>
      </c>
      <c r="C306" s="87"/>
      <c r="D306" s="87" t="s">
        <v>648</v>
      </c>
      <c r="E306" s="41"/>
      <c r="F306" s="41"/>
      <c r="G306" s="82"/>
      <c r="H306" s="82"/>
      <c r="I306" s="82"/>
      <c r="J306" s="82"/>
    </row>
    <row r="307" spans="1:10" x14ac:dyDescent="0.2">
      <c r="A307" s="19"/>
      <c r="B307" s="80" t="s">
        <v>618</v>
      </c>
      <c r="C307" s="19"/>
      <c r="D307" s="258">
        <v>2</v>
      </c>
      <c r="E307" s="41"/>
      <c r="F307" s="82">
        <v>2.4</v>
      </c>
      <c r="G307" s="82"/>
      <c r="H307" s="82"/>
      <c r="I307" s="82"/>
      <c r="J307" s="82">
        <f>D307*F307</f>
        <v>4.8</v>
      </c>
    </row>
    <row r="308" spans="1:10" x14ac:dyDescent="0.2">
      <c r="A308" s="19"/>
      <c r="B308" s="80" t="s">
        <v>620</v>
      </c>
      <c r="C308" s="19"/>
      <c r="D308" s="258">
        <v>1</v>
      </c>
      <c r="E308" s="41"/>
      <c r="F308" s="82">
        <v>2.4</v>
      </c>
      <c r="G308" s="82"/>
      <c r="H308" s="82"/>
      <c r="I308" s="82"/>
      <c r="J308" s="82">
        <f t="shared" ref="J308:J331" si="18">D308*F308</f>
        <v>2.4</v>
      </c>
    </row>
    <row r="309" spans="1:10" x14ac:dyDescent="0.2">
      <c r="A309" s="19"/>
      <c r="B309" s="80" t="s">
        <v>621</v>
      </c>
      <c r="C309" s="19"/>
      <c r="D309" s="258">
        <v>1</v>
      </c>
      <c r="E309" s="41"/>
      <c r="F309" s="82">
        <v>2.4</v>
      </c>
      <c r="G309" s="82"/>
      <c r="H309" s="82"/>
      <c r="I309" s="82"/>
      <c r="J309" s="82">
        <f t="shared" si="18"/>
        <v>2.4</v>
      </c>
    </row>
    <row r="310" spans="1:10" x14ac:dyDescent="0.2">
      <c r="A310" s="19"/>
      <c r="B310" s="80" t="s">
        <v>622</v>
      </c>
      <c r="C310" s="19"/>
      <c r="D310" s="258">
        <v>2</v>
      </c>
      <c r="E310" s="41"/>
      <c r="F310" s="82">
        <v>2.4</v>
      </c>
      <c r="G310" s="82"/>
      <c r="H310" s="82"/>
      <c r="I310" s="82"/>
      <c r="J310" s="82">
        <f t="shared" si="18"/>
        <v>4.8</v>
      </c>
    </row>
    <row r="311" spans="1:10" x14ac:dyDescent="0.2">
      <c r="A311" s="19"/>
      <c r="B311" s="80" t="s">
        <v>629</v>
      </c>
      <c r="C311" s="19"/>
      <c r="D311" s="258">
        <v>1</v>
      </c>
      <c r="E311" s="41"/>
      <c r="F311" s="82">
        <v>2.15</v>
      </c>
      <c r="G311" s="82"/>
      <c r="H311" s="82"/>
      <c r="I311" s="82"/>
      <c r="J311" s="82">
        <f t="shared" si="18"/>
        <v>2.15</v>
      </c>
    </row>
    <row r="312" spans="1:10" x14ac:dyDescent="0.2">
      <c r="A312" s="19"/>
      <c r="B312" s="80" t="s">
        <v>623</v>
      </c>
      <c r="C312" s="19"/>
      <c r="D312" s="258">
        <v>2</v>
      </c>
      <c r="E312" s="41"/>
      <c r="F312" s="82">
        <v>2.4</v>
      </c>
      <c r="G312" s="82"/>
      <c r="H312" s="82"/>
      <c r="I312" s="82"/>
      <c r="J312" s="82">
        <f t="shared" si="18"/>
        <v>4.8</v>
      </c>
    </row>
    <row r="313" spans="1:10" x14ac:dyDescent="0.2">
      <c r="A313" s="19"/>
      <c r="B313" s="80" t="s">
        <v>624</v>
      </c>
      <c r="C313" s="19"/>
      <c r="D313" s="258">
        <v>1</v>
      </c>
      <c r="E313" s="41"/>
      <c r="F313" s="82">
        <v>2.2999999999999998</v>
      </c>
      <c r="G313" s="82"/>
      <c r="H313" s="82"/>
      <c r="I313" s="82"/>
      <c r="J313" s="82">
        <f t="shared" si="18"/>
        <v>2.2999999999999998</v>
      </c>
    </row>
    <row r="314" spans="1:10" x14ac:dyDescent="0.2">
      <c r="A314" s="19"/>
      <c r="B314" s="80" t="s">
        <v>625</v>
      </c>
      <c r="C314" s="19"/>
      <c r="D314" s="258">
        <v>1</v>
      </c>
      <c r="E314" s="41"/>
      <c r="F314" s="82">
        <v>2.4</v>
      </c>
      <c r="G314" s="82"/>
      <c r="H314" s="82"/>
      <c r="I314" s="82"/>
      <c r="J314" s="82">
        <f t="shared" si="18"/>
        <v>2.4</v>
      </c>
    </row>
    <row r="315" spans="1:10" x14ac:dyDescent="0.2">
      <c r="A315" s="19"/>
      <c r="B315" s="80" t="s">
        <v>626</v>
      </c>
      <c r="C315" s="19"/>
      <c r="D315" s="258">
        <v>1</v>
      </c>
      <c r="E315" s="41"/>
      <c r="F315" s="82">
        <v>2.4</v>
      </c>
      <c r="G315" s="82"/>
      <c r="H315" s="82"/>
      <c r="I315" s="82"/>
      <c r="J315" s="82">
        <f t="shared" si="18"/>
        <v>2.4</v>
      </c>
    </row>
    <row r="316" spans="1:10" x14ac:dyDescent="0.2">
      <c r="A316" s="19"/>
      <c r="B316" s="80" t="s">
        <v>627</v>
      </c>
      <c r="C316" s="19"/>
      <c r="D316" s="258">
        <v>4</v>
      </c>
      <c r="E316" s="41"/>
      <c r="F316" s="82">
        <v>2.4</v>
      </c>
      <c r="G316" s="82"/>
      <c r="H316" s="82"/>
      <c r="I316" s="82"/>
      <c r="J316" s="82">
        <f t="shared" si="18"/>
        <v>9.6</v>
      </c>
    </row>
    <row r="317" spans="1:10" x14ac:dyDescent="0.2">
      <c r="A317" s="19"/>
      <c r="B317" s="80" t="s">
        <v>628</v>
      </c>
      <c r="C317" s="19"/>
      <c r="D317" s="258">
        <v>1</v>
      </c>
      <c r="E317" s="41"/>
      <c r="F317" s="82">
        <v>2.4</v>
      </c>
      <c r="G317" s="82"/>
      <c r="H317" s="82"/>
      <c r="I317" s="82"/>
      <c r="J317" s="82">
        <f t="shared" si="18"/>
        <v>2.4</v>
      </c>
    </row>
    <row r="318" spans="1:10" x14ac:dyDescent="0.2">
      <c r="A318" s="19"/>
      <c r="B318" s="80" t="s">
        <v>630</v>
      </c>
      <c r="C318" s="19"/>
      <c r="D318" s="258">
        <v>1</v>
      </c>
      <c r="E318" s="41"/>
      <c r="F318" s="82">
        <v>2.15</v>
      </c>
      <c r="G318" s="82"/>
      <c r="H318" s="82"/>
      <c r="I318" s="82"/>
      <c r="J318" s="82">
        <f t="shared" si="18"/>
        <v>2.15</v>
      </c>
    </row>
    <row r="319" spans="1:10" x14ac:dyDescent="0.2">
      <c r="A319" s="19"/>
      <c r="B319" s="80"/>
      <c r="C319" s="19"/>
      <c r="D319" s="258"/>
      <c r="E319" s="41"/>
      <c r="F319" s="82"/>
      <c r="G319" s="82"/>
      <c r="H319" s="82"/>
      <c r="I319" s="82"/>
      <c r="J319" s="82"/>
    </row>
    <row r="320" spans="1:10" x14ac:dyDescent="0.2">
      <c r="A320" s="19"/>
      <c r="B320" s="80" t="s">
        <v>631</v>
      </c>
      <c r="C320" s="19"/>
      <c r="D320" s="258"/>
      <c r="E320" s="41"/>
      <c r="F320" s="82"/>
      <c r="G320" s="82"/>
      <c r="H320" s="82"/>
      <c r="I320" s="82"/>
      <c r="J320" s="82"/>
    </row>
    <row r="321" spans="1:10" x14ac:dyDescent="0.2">
      <c r="A321" s="19"/>
      <c r="B321" s="80" t="s">
        <v>632</v>
      </c>
      <c r="C321" s="19"/>
      <c r="D321" s="258">
        <v>1</v>
      </c>
      <c r="E321" s="41"/>
      <c r="F321" s="82">
        <v>2.9</v>
      </c>
      <c r="G321" s="82"/>
      <c r="H321" s="82"/>
      <c r="I321" s="82"/>
      <c r="J321" s="82">
        <f t="shared" si="18"/>
        <v>2.9</v>
      </c>
    </row>
    <row r="322" spans="1:10" x14ac:dyDescent="0.2">
      <c r="A322" s="19"/>
      <c r="B322" s="80"/>
      <c r="C322" s="19"/>
      <c r="D322" s="258"/>
      <c r="E322" s="41"/>
      <c r="F322" s="82"/>
      <c r="G322" s="82"/>
      <c r="H322" s="82"/>
      <c r="I322" s="82"/>
      <c r="J322" s="82"/>
    </row>
    <row r="323" spans="1:10" x14ac:dyDescent="0.2">
      <c r="A323" s="19"/>
      <c r="B323" s="80" t="s">
        <v>1376</v>
      </c>
      <c r="C323" s="19"/>
      <c r="D323" s="258"/>
      <c r="E323" s="41"/>
      <c r="F323" s="82"/>
      <c r="G323" s="82"/>
      <c r="H323" s="82"/>
      <c r="I323" s="82"/>
      <c r="J323" s="82"/>
    </row>
    <row r="324" spans="1:10" x14ac:dyDescent="0.2">
      <c r="A324" s="19"/>
      <c r="B324" s="80" t="s">
        <v>630</v>
      </c>
      <c r="C324" s="19"/>
      <c r="D324" s="258">
        <v>1</v>
      </c>
      <c r="E324" s="41"/>
      <c r="F324" s="82">
        <v>1.35</v>
      </c>
      <c r="G324" s="82"/>
      <c r="H324" s="82"/>
      <c r="I324" s="82"/>
      <c r="J324" s="82">
        <f t="shared" si="18"/>
        <v>1.35</v>
      </c>
    </row>
    <row r="325" spans="1:10" x14ac:dyDescent="0.2">
      <c r="A325" s="19"/>
      <c r="B325" s="41"/>
      <c r="C325" s="41"/>
      <c r="D325" s="258"/>
      <c r="E325" s="41"/>
      <c r="F325" s="82"/>
      <c r="G325" s="82"/>
      <c r="H325" s="82"/>
      <c r="I325" s="82"/>
      <c r="J325" s="82"/>
    </row>
    <row r="326" spans="1:10" x14ac:dyDescent="0.2">
      <c r="A326" s="19"/>
      <c r="B326" s="80" t="s">
        <v>645</v>
      </c>
      <c r="C326" s="41"/>
      <c r="D326" s="258"/>
      <c r="E326" s="41"/>
      <c r="F326" s="82"/>
      <c r="G326" s="82"/>
      <c r="H326" s="82"/>
      <c r="I326" s="82"/>
      <c r="J326" s="82"/>
    </row>
    <row r="327" spans="1:10" x14ac:dyDescent="0.2">
      <c r="A327" s="19"/>
      <c r="B327" s="80" t="s">
        <v>637</v>
      </c>
      <c r="C327" s="41"/>
      <c r="D327" s="258">
        <v>1</v>
      </c>
      <c r="E327" s="41"/>
      <c r="F327" s="82">
        <v>1.2</v>
      </c>
      <c r="G327" s="82"/>
      <c r="H327" s="82"/>
      <c r="I327" s="82"/>
      <c r="J327" s="82">
        <f t="shared" si="18"/>
        <v>1.2</v>
      </c>
    </row>
    <row r="328" spans="1:10" x14ac:dyDescent="0.2">
      <c r="A328" s="19"/>
      <c r="B328" s="80" t="s">
        <v>638</v>
      </c>
      <c r="C328" s="41"/>
      <c r="D328" s="258">
        <v>1</v>
      </c>
      <c r="E328" s="41"/>
      <c r="F328" s="82">
        <v>1.2</v>
      </c>
      <c r="G328" s="82"/>
      <c r="H328" s="82"/>
      <c r="I328" s="82"/>
      <c r="J328" s="82">
        <f t="shared" si="18"/>
        <v>1.2</v>
      </c>
    </row>
    <row r="329" spans="1:10" x14ac:dyDescent="0.2">
      <c r="A329" s="19"/>
      <c r="B329" s="80" t="s">
        <v>641</v>
      </c>
      <c r="C329" s="41"/>
      <c r="D329" s="258">
        <v>1</v>
      </c>
      <c r="E329" s="41"/>
      <c r="F329" s="82">
        <v>1.2</v>
      </c>
      <c r="G329" s="82"/>
      <c r="H329" s="82"/>
      <c r="I329" s="82"/>
      <c r="J329" s="82">
        <f t="shared" si="18"/>
        <v>1.2</v>
      </c>
    </row>
    <row r="330" spans="1:10" x14ac:dyDescent="0.2">
      <c r="A330" s="19"/>
      <c r="B330" s="80" t="s">
        <v>642</v>
      </c>
      <c r="C330" s="41"/>
      <c r="D330" s="258">
        <v>1</v>
      </c>
      <c r="E330" s="41"/>
      <c r="F330" s="82">
        <v>1.2</v>
      </c>
      <c r="G330" s="82"/>
      <c r="H330" s="82"/>
      <c r="I330" s="82"/>
      <c r="J330" s="82">
        <f t="shared" si="18"/>
        <v>1.2</v>
      </c>
    </row>
    <row r="331" spans="1:10" x14ac:dyDescent="0.2">
      <c r="A331" s="19"/>
      <c r="B331" s="80" t="s">
        <v>644</v>
      </c>
      <c r="C331" s="41"/>
      <c r="D331" s="258">
        <v>1</v>
      </c>
      <c r="E331" s="41"/>
      <c r="F331" s="82">
        <v>1.2</v>
      </c>
      <c r="G331" s="82"/>
      <c r="H331" s="82"/>
      <c r="I331" s="82"/>
      <c r="J331" s="82">
        <f t="shared" si="18"/>
        <v>1.2</v>
      </c>
    </row>
    <row r="332" spans="1:10" x14ac:dyDescent="0.2">
      <c r="A332" s="19"/>
      <c r="B332" s="80"/>
      <c r="C332" s="41"/>
      <c r="D332" s="258"/>
      <c r="E332" s="41"/>
      <c r="F332" s="82"/>
      <c r="G332" s="82"/>
      <c r="H332" s="82"/>
      <c r="I332" s="82"/>
      <c r="J332" s="82"/>
    </row>
    <row r="333" spans="1:10" s="253" customFormat="1" x14ac:dyDescent="0.2">
      <c r="A333" s="254"/>
      <c r="B333" s="257" t="s">
        <v>1245</v>
      </c>
      <c r="C333" s="256"/>
      <c r="D333" s="258"/>
      <c r="E333" s="256"/>
      <c r="F333" s="258">
        <f>3.3+0.4</f>
        <v>3.6999999999999997</v>
      </c>
      <c r="G333" s="258"/>
      <c r="H333" s="258"/>
      <c r="I333" s="258"/>
      <c r="J333" s="258">
        <f>F333</f>
        <v>3.6999999999999997</v>
      </c>
    </row>
    <row r="334" spans="1:10" s="253" customFormat="1" x14ac:dyDescent="0.2">
      <c r="A334" s="254"/>
      <c r="B334" s="257"/>
      <c r="C334" s="256"/>
      <c r="D334" s="258"/>
      <c r="E334" s="256"/>
      <c r="F334" s="258"/>
      <c r="G334" s="258"/>
      <c r="H334" s="258"/>
      <c r="I334" s="258"/>
      <c r="J334" s="258"/>
    </row>
    <row r="335" spans="1:10" x14ac:dyDescent="0.2">
      <c r="A335" s="19"/>
      <c r="B335" s="80"/>
      <c r="C335" s="41"/>
      <c r="D335" s="258"/>
      <c r="E335" s="82"/>
      <c r="F335" s="82"/>
      <c r="G335" s="82"/>
      <c r="H335" s="82"/>
      <c r="I335" s="89" t="s">
        <v>604</v>
      </c>
      <c r="J335" s="90">
        <f>SUM(J272:J333)</f>
        <v>85.9</v>
      </c>
    </row>
    <row r="336" spans="1:10" x14ac:dyDescent="0.2">
      <c r="A336" s="19"/>
      <c r="B336" s="80"/>
      <c r="C336" s="41"/>
      <c r="D336" s="258"/>
      <c r="E336" s="82"/>
      <c r="F336" s="82"/>
      <c r="G336" s="82"/>
      <c r="H336" s="82"/>
      <c r="I336" s="88"/>
      <c r="J336" s="83"/>
    </row>
    <row r="337" spans="1:10" s="241" customFormat="1" x14ac:dyDescent="0.2">
      <c r="A337" s="242"/>
      <c r="B337" s="243"/>
      <c r="C337" s="41"/>
      <c r="D337" s="258"/>
      <c r="E337" s="244"/>
      <c r="F337" s="244"/>
      <c r="G337" s="244"/>
      <c r="H337" s="244"/>
      <c r="I337" s="88"/>
      <c r="J337" s="83"/>
    </row>
    <row r="338" spans="1:10" s="241" customFormat="1" x14ac:dyDescent="0.2">
      <c r="A338" s="23" t="s">
        <v>307</v>
      </c>
      <c r="B338" s="18" t="s">
        <v>1224</v>
      </c>
      <c r="C338" s="41"/>
      <c r="D338" s="258"/>
      <c r="E338" s="244"/>
      <c r="F338" s="244"/>
      <c r="G338" s="244"/>
      <c r="H338" s="244"/>
      <c r="I338" s="88"/>
      <c r="J338" s="83"/>
    </row>
    <row r="339" spans="1:10" s="241" customFormat="1" ht="38.25" x14ac:dyDescent="0.2">
      <c r="A339" s="242" t="s">
        <v>308</v>
      </c>
      <c r="B339" s="251" t="s">
        <v>1227</v>
      </c>
      <c r="C339" s="242" t="s">
        <v>24</v>
      </c>
      <c r="D339" s="263" t="s">
        <v>257</v>
      </c>
      <c r="E339" s="245" t="s">
        <v>258</v>
      </c>
      <c r="F339" s="245" t="s">
        <v>259</v>
      </c>
      <c r="G339" s="245" t="s">
        <v>260</v>
      </c>
      <c r="H339" s="245" t="s">
        <v>261</v>
      </c>
      <c r="I339" s="245" t="s">
        <v>262</v>
      </c>
      <c r="J339" s="246" t="s">
        <v>263</v>
      </c>
    </row>
    <row r="340" spans="1:10" s="241" customFormat="1" x14ac:dyDescent="0.2">
      <c r="A340" s="242"/>
      <c r="B340" s="247" t="s">
        <v>1228</v>
      </c>
      <c r="C340" s="244"/>
      <c r="D340" s="258"/>
      <c r="E340" s="244">
        <v>29.12</v>
      </c>
      <c r="F340" s="244"/>
      <c r="G340" s="244">
        <v>0.19</v>
      </c>
      <c r="H340" s="244">
        <f>E340*G340</f>
        <v>5.5327999999999999</v>
      </c>
      <c r="I340" s="244"/>
      <c r="J340" s="244">
        <f>H340</f>
        <v>5.5327999999999999</v>
      </c>
    </row>
    <row r="341" spans="1:10" s="241" customFormat="1" x14ac:dyDescent="0.2">
      <c r="A341" s="242"/>
      <c r="B341" s="243"/>
      <c r="C341" s="41"/>
      <c r="D341" s="258"/>
      <c r="E341" s="244"/>
      <c r="F341" s="244"/>
      <c r="G341" s="244"/>
      <c r="H341" s="244"/>
      <c r="I341" s="89" t="s">
        <v>604</v>
      </c>
      <c r="J341" s="90">
        <f>SUM(J340)</f>
        <v>5.5327999999999999</v>
      </c>
    </row>
    <row r="342" spans="1:10" s="241" customFormat="1" x14ac:dyDescent="0.2">
      <c r="A342" s="242"/>
      <c r="B342" s="243"/>
      <c r="C342" s="41"/>
      <c r="D342" s="258"/>
      <c r="E342" s="244"/>
      <c r="F342" s="244"/>
      <c r="G342" s="244"/>
      <c r="H342" s="244"/>
      <c r="I342" s="88"/>
      <c r="J342" s="83"/>
    </row>
    <row r="343" spans="1:10" ht="25.5" x14ac:dyDescent="0.2">
      <c r="A343" s="23" t="s">
        <v>309</v>
      </c>
      <c r="B343" s="14" t="s">
        <v>90</v>
      </c>
      <c r="C343" s="19"/>
      <c r="D343" s="99"/>
      <c r="E343" s="41"/>
      <c r="F343" s="41"/>
      <c r="G343" s="41"/>
      <c r="H343" s="41"/>
      <c r="I343" s="41"/>
      <c r="J343" s="41"/>
    </row>
    <row r="344" spans="1:10" ht="57.75" customHeight="1" x14ac:dyDescent="0.2">
      <c r="A344" s="19" t="s">
        <v>310</v>
      </c>
      <c r="B344" s="21" t="s">
        <v>919</v>
      </c>
      <c r="C344" s="19" t="s">
        <v>24</v>
      </c>
      <c r="D344" s="263" t="s">
        <v>257</v>
      </c>
      <c r="E344" s="93" t="s">
        <v>258</v>
      </c>
      <c r="F344" s="93" t="s">
        <v>259</v>
      </c>
      <c r="G344" s="93" t="s">
        <v>260</v>
      </c>
      <c r="H344" s="93" t="s">
        <v>261</v>
      </c>
      <c r="I344" s="93" t="s">
        <v>262</v>
      </c>
      <c r="J344" s="94" t="s">
        <v>263</v>
      </c>
    </row>
    <row r="345" spans="1:10" x14ac:dyDescent="0.2">
      <c r="A345" s="19"/>
      <c r="B345" s="101" t="s">
        <v>686</v>
      </c>
      <c r="C345" s="19"/>
      <c r="D345" s="263"/>
      <c r="E345" s="93"/>
      <c r="F345" s="93"/>
      <c r="G345" s="93"/>
      <c r="H345" s="93"/>
      <c r="I345" s="93"/>
      <c r="J345" s="94"/>
    </row>
    <row r="346" spans="1:10" x14ac:dyDescent="0.2">
      <c r="A346" s="19"/>
      <c r="B346" s="80" t="s">
        <v>863</v>
      </c>
      <c r="C346" s="19"/>
      <c r="D346" s="263"/>
      <c r="E346" s="102">
        <v>29.12</v>
      </c>
      <c r="F346" s="93"/>
      <c r="G346" s="93">
        <v>0.5</v>
      </c>
      <c r="H346" s="93">
        <f>E346*G346</f>
        <v>14.56</v>
      </c>
      <c r="I346" s="93"/>
      <c r="J346" s="93">
        <f>H346</f>
        <v>14.56</v>
      </c>
    </row>
    <row r="347" spans="1:10" x14ac:dyDescent="0.2">
      <c r="A347" s="19"/>
      <c r="B347" s="21"/>
      <c r="C347" s="19"/>
      <c r="D347" s="263"/>
      <c r="E347" s="93"/>
      <c r="F347" s="93"/>
      <c r="G347" s="93"/>
      <c r="H347" s="93"/>
      <c r="I347" s="93"/>
      <c r="J347" s="94"/>
    </row>
    <row r="348" spans="1:10" ht="25.5" x14ac:dyDescent="0.2">
      <c r="A348" s="19"/>
      <c r="B348" s="101" t="s">
        <v>676</v>
      </c>
      <c r="C348" s="19"/>
      <c r="D348" s="99"/>
      <c r="E348" s="41"/>
      <c r="F348" s="41"/>
      <c r="G348" s="41"/>
      <c r="H348" s="41"/>
      <c r="I348" s="167" t="s">
        <v>864</v>
      </c>
      <c r="J348" s="41"/>
    </row>
    <row r="349" spans="1:10" x14ac:dyDescent="0.2">
      <c r="A349" s="19"/>
      <c r="B349" s="421" t="s">
        <v>634</v>
      </c>
      <c r="C349" s="82"/>
      <c r="D349" s="258">
        <v>2</v>
      </c>
      <c r="E349" s="82">
        <v>3.15</v>
      </c>
      <c r="F349" s="82"/>
      <c r="G349" s="82">
        <v>2.94</v>
      </c>
      <c r="H349" s="82">
        <f t="shared" ref="H349:H402" si="19">D349*E349*G349</f>
        <v>18.521999999999998</v>
      </c>
      <c r="I349" s="82"/>
      <c r="J349" s="82">
        <f>H349-I349</f>
        <v>18.521999999999998</v>
      </c>
    </row>
    <row r="350" spans="1:10" x14ac:dyDescent="0.2">
      <c r="A350" s="19"/>
      <c r="B350" s="422"/>
      <c r="C350" s="82"/>
      <c r="D350" s="258">
        <v>2</v>
      </c>
      <c r="E350" s="82">
        <v>3</v>
      </c>
      <c r="F350" s="82"/>
      <c r="G350" s="82">
        <v>2.94</v>
      </c>
      <c r="H350" s="82">
        <f t="shared" si="19"/>
        <v>17.64</v>
      </c>
      <c r="I350" s="82">
        <f>4.4+2.1</f>
        <v>6.5</v>
      </c>
      <c r="J350" s="82">
        <f>H350-I350</f>
        <v>11.14</v>
      </c>
    </row>
    <row r="351" spans="1:10" x14ac:dyDescent="0.2">
      <c r="A351" s="19"/>
      <c r="B351" s="421" t="s">
        <v>618</v>
      </c>
      <c r="C351" s="82"/>
      <c r="D351" s="258">
        <v>2</v>
      </c>
      <c r="E351" s="82">
        <v>4.25</v>
      </c>
      <c r="F351" s="82"/>
      <c r="G351" s="82">
        <v>2.94</v>
      </c>
      <c r="H351" s="82">
        <f t="shared" si="19"/>
        <v>24.99</v>
      </c>
      <c r="I351" s="82">
        <v>2.4</v>
      </c>
      <c r="J351" s="82">
        <f t="shared" ref="J351:J376" si="20">H351-I351</f>
        <v>22.59</v>
      </c>
    </row>
    <row r="352" spans="1:10" x14ac:dyDescent="0.2">
      <c r="A352" s="19"/>
      <c r="B352" s="426"/>
      <c r="C352" s="82"/>
      <c r="D352" s="258">
        <v>1</v>
      </c>
      <c r="E352" s="82">
        <v>3.15</v>
      </c>
      <c r="F352" s="82"/>
      <c r="G352" s="82">
        <v>2.94</v>
      </c>
      <c r="H352" s="82">
        <f t="shared" si="19"/>
        <v>9.2609999999999992</v>
      </c>
      <c r="I352" s="82">
        <v>2.4</v>
      </c>
      <c r="J352" s="82">
        <f t="shared" si="20"/>
        <v>6.8609999999999989</v>
      </c>
    </row>
    <row r="353" spans="1:10" x14ac:dyDescent="0.2">
      <c r="A353" s="19"/>
      <c r="B353" s="422"/>
      <c r="C353" s="82"/>
      <c r="D353" s="258">
        <v>2</v>
      </c>
      <c r="E353" s="82">
        <v>0.3</v>
      </c>
      <c r="F353" s="82"/>
      <c r="G353" s="82">
        <v>2.94</v>
      </c>
      <c r="H353" s="82">
        <f t="shared" si="19"/>
        <v>1.764</v>
      </c>
      <c r="I353" s="82"/>
      <c r="J353" s="82">
        <f t="shared" si="20"/>
        <v>1.764</v>
      </c>
    </row>
    <row r="354" spans="1:10" x14ac:dyDescent="0.2">
      <c r="A354" s="19"/>
      <c r="B354" s="421" t="s">
        <v>620</v>
      </c>
      <c r="C354" s="82"/>
      <c r="D354" s="258">
        <v>1</v>
      </c>
      <c r="E354" s="82">
        <v>3.15</v>
      </c>
      <c r="F354" s="82"/>
      <c r="G354" s="82">
        <v>2.94</v>
      </c>
      <c r="H354" s="82">
        <f t="shared" si="19"/>
        <v>9.2609999999999992</v>
      </c>
      <c r="I354" s="82"/>
      <c r="J354" s="82">
        <f t="shared" si="20"/>
        <v>9.2609999999999992</v>
      </c>
    </row>
    <row r="355" spans="1:10" x14ac:dyDescent="0.2">
      <c r="A355" s="19"/>
      <c r="B355" s="426"/>
      <c r="C355" s="82"/>
      <c r="D355" s="258">
        <v>2</v>
      </c>
      <c r="E355" s="82">
        <v>2.9</v>
      </c>
      <c r="F355" s="82"/>
      <c r="G355" s="82">
        <v>2.94</v>
      </c>
      <c r="H355" s="82">
        <f t="shared" si="19"/>
        <v>17.052</v>
      </c>
      <c r="I355" s="82">
        <v>2.4</v>
      </c>
      <c r="J355" s="82">
        <f t="shared" si="20"/>
        <v>14.651999999999999</v>
      </c>
    </row>
    <row r="356" spans="1:10" x14ac:dyDescent="0.2">
      <c r="A356" s="19"/>
      <c r="B356" s="422"/>
      <c r="C356" s="82"/>
      <c r="D356" s="258">
        <v>2</v>
      </c>
      <c r="E356" s="82">
        <v>0.3</v>
      </c>
      <c r="F356" s="82"/>
      <c r="G356" s="82">
        <v>2.94</v>
      </c>
      <c r="H356" s="82">
        <f t="shared" si="19"/>
        <v>1.764</v>
      </c>
      <c r="I356" s="82"/>
      <c r="J356" s="82">
        <f t="shared" si="20"/>
        <v>1.764</v>
      </c>
    </row>
    <row r="357" spans="1:10" x14ac:dyDescent="0.2">
      <c r="A357" s="19"/>
      <c r="B357" s="421" t="s">
        <v>621</v>
      </c>
      <c r="C357" s="82"/>
      <c r="D357" s="258">
        <v>1</v>
      </c>
      <c r="E357" s="82">
        <v>3.83</v>
      </c>
      <c r="F357" s="82"/>
      <c r="G357" s="82">
        <v>2.94</v>
      </c>
      <c r="H357" s="82">
        <f t="shared" si="19"/>
        <v>11.260199999999999</v>
      </c>
      <c r="I357" s="82"/>
      <c r="J357" s="82">
        <f t="shared" si="20"/>
        <v>11.260199999999999</v>
      </c>
    </row>
    <row r="358" spans="1:10" x14ac:dyDescent="0.2">
      <c r="A358" s="19"/>
      <c r="B358" s="426"/>
      <c r="C358" s="82"/>
      <c r="D358" s="258">
        <v>2</v>
      </c>
      <c r="E358" s="82">
        <v>2.85</v>
      </c>
      <c r="F358" s="82"/>
      <c r="G358" s="82">
        <v>2.94</v>
      </c>
      <c r="H358" s="82">
        <f t="shared" si="19"/>
        <v>16.757999999999999</v>
      </c>
      <c r="I358" s="82">
        <v>2.4</v>
      </c>
      <c r="J358" s="82">
        <f t="shared" si="20"/>
        <v>14.357999999999999</v>
      </c>
    </row>
    <row r="359" spans="1:10" x14ac:dyDescent="0.2">
      <c r="A359" s="19"/>
      <c r="B359" s="422"/>
      <c r="C359" s="82"/>
      <c r="D359" s="258">
        <v>1</v>
      </c>
      <c r="E359" s="82">
        <v>0.53</v>
      </c>
      <c r="F359" s="82"/>
      <c r="G359" s="82">
        <v>2.94</v>
      </c>
      <c r="H359" s="82">
        <f t="shared" si="19"/>
        <v>1.5582</v>
      </c>
      <c r="I359" s="82"/>
      <c r="J359" s="82">
        <f t="shared" si="20"/>
        <v>1.5582</v>
      </c>
    </row>
    <row r="360" spans="1:10" x14ac:dyDescent="0.2">
      <c r="A360" s="19"/>
      <c r="B360" s="421" t="s">
        <v>622</v>
      </c>
      <c r="C360" s="82"/>
      <c r="D360" s="258">
        <v>1</v>
      </c>
      <c r="E360" s="82">
        <v>2.85</v>
      </c>
      <c r="F360" s="82"/>
      <c r="G360" s="82">
        <v>2.94</v>
      </c>
      <c r="H360" s="82">
        <f t="shared" si="19"/>
        <v>8.3789999999999996</v>
      </c>
      <c r="I360" s="82"/>
      <c r="J360" s="82">
        <f t="shared" si="20"/>
        <v>8.3789999999999996</v>
      </c>
    </row>
    <row r="361" spans="1:10" s="253" customFormat="1" x14ac:dyDescent="0.2">
      <c r="A361" s="254"/>
      <c r="B361" s="426"/>
      <c r="C361" s="258"/>
      <c r="D361" s="258">
        <v>2</v>
      </c>
      <c r="E361" s="82">
        <v>6.58</v>
      </c>
      <c r="F361" s="82"/>
      <c r="G361" s="82">
        <v>2.94</v>
      </c>
      <c r="H361" s="82">
        <f>D361*E361*G361</f>
        <v>38.690399999999997</v>
      </c>
      <c r="I361" s="82">
        <f>2.4+2.4</f>
        <v>4.8</v>
      </c>
      <c r="J361" s="82">
        <f>H361-I361</f>
        <v>33.8904</v>
      </c>
    </row>
    <row r="362" spans="1:10" x14ac:dyDescent="0.2">
      <c r="A362" s="19"/>
      <c r="B362" s="422"/>
      <c r="C362" s="82"/>
      <c r="D362" s="258">
        <v>1</v>
      </c>
      <c r="E362" s="258">
        <v>1.1000000000000001</v>
      </c>
      <c r="F362" s="258"/>
      <c r="G362" s="258">
        <v>2.94</v>
      </c>
      <c r="H362" s="258">
        <f>D362*E362*G362</f>
        <v>3.234</v>
      </c>
      <c r="I362" s="258"/>
      <c r="J362" s="258">
        <f>H362-I362</f>
        <v>3.234</v>
      </c>
    </row>
    <row r="363" spans="1:10" x14ac:dyDescent="0.2">
      <c r="A363" s="19"/>
      <c r="B363" s="421" t="s">
        <v>632</v>
      </c>
      <c r="C363" s="82"/>
      <c r="D363" s="258">
        <v>2</v>
      </c>
      <c r="E363" s="82">
        <v>2.9</v>
      </c>
      <c r="F363" s="82"/>
      <c r="G363" s="82">
        <v>2.94</v>
      </c>
      <c r="H363" s="82">
        <f t="shared" si="19"/>
        <v>17.052</v>
      </c>
      <c r="I363" s="82">
        <v>3.48</v>
      </c>
      <c r="J363" s="82">
        <f t="shared" si="20"/>
        <v>13.571999999999999</v>
      </c>
    </row>
    <row r="364" spans="1:10" x14ac:dyDescent="0.2">
      <c r="A364" s="19"/>
      <c r="B364" s="422"/>
      <c r="C364" s="82"/>
      <c r="D364" s="258">
        <v>1</v>
      </c>
      <c r="E364" s="82">
        <v>5.9</v>
      </c>
      <c r="F364" s="82"/>
      <c r="G364" s="82">
        <v>2.94</v>
      </c>
      <c r="H364" s="82">
        <f t="shared" si="19"/>
        <v>17.346</v>
      </c>
      <c r="I364" s="82"/>
      <c r="J364" s="82">
        <f t="shared" si="20"/>
        <v>17.346</v>
      </c>
    </row>
    <row r="365" spans="1:10" s="253" customFormat="1" x14ac:dyDescent="0.2">
      <c r="A365" s="254"/>
      <c r="B365" s="350" t="s">
        <v>1374</v>
      </c>
      <c r="C365" s="258"/>
      <c r="D365" s="258">
        <v>1</v>
      </c>
      <c r="E365" s="258">
        <v>0.45</v>
      </c>
      <c r="F365" s="258"/>
      <c r="G365" s="258">
        <v>2.94</v>
      </c>
      <c r="H365" s="258">
        <f t="shared" si="19"/>
        <v>1.323</v>
      </c>
      <c r="I365" s="258"/>
      <c r="J365" s="258">
        <f t="shared" si="20"/>
        <v>1.323</v>
      </c>
    </row>
    <row r="366" spans="1:10" x14ac:dyDescent="0.2">
      <c r="A366" s="19"/>
      <c r="B366" s="421" t="s">
        <v>1372</v>
      </c>
      <c r="C366" s="82"/>
      <c r="D366" s="258">
        <v>1</v>
      </c>
      <c r="E366" s="82">
        <v>1.65</v>
      </c>
      <c r="F366" s="82"/>
      <c r="G366" s="82">
        <v>2.94</v>
      </c>
      <c r="H366" s="82">
        <f t="shared" si="19"/>
        <v>4.851</v>
      </c>
      <c r="I366" s="82"/>
      <c r="J366" s="82">
        <f t="shared" si="20"/>
        <v>4.851</v>
      </c>
    </row>
    <row r="367" spans="1:10" x14ac:dyDescent="0.2">
      <c r="A367" s="19"/>
      <c r="B367" s="422"/>
      <c r="C367" s="82"/>
      <c r="D367" s="258">
        <v>2</v>
      </c>
      <c r="E367" s="82">
        <v>1.66</v>
      </c>
      <c r="F367" s="82"/>
      <c r="G367" s="82">
        <v>2.94</v>
      </c>
      <c r="H367" s="82">
        <f t="shared" si="19"/>
        <v>9.7607999999999997</v>
      </c>
      <c r="I367" s="82"/>
      <c r="J367" s="82">
        <f t="shared" si="20"/>
        <v>9.7607999999999997</v>
      </c>
    </row>
    <row r="368" spans="1:10" x14ac:dyDescent="0.2">
      <c r="A368" s="19"/>
      <c r="B368" s="427" t="s">
        <v>629</v>
      </c>
      <c r="C368" s="82"/>
      <c r="D368" s="258">
        <v>2</v>
      </c>
      <c r="E368" s="82">
        <v>2.15</v>
      </c>
      <c r="F368" s="82"/>
      <c r="G368" s="82">
        <v>2.94</v>
      </c>
      <c r="H368" s="82">
        <f t="shared" si="19"/>
        <v>12.641999999999999</v>
      </c>
      <c r="I368" s="82">
        <v>2.4</v>
      </c>
      <c r="J368" s="82">
        <f t="shared" si="20"/>
        <v>10.241999999999999</v>
      </c>
    </row>
    <row r="369" spans="1:10" x14ac:dyDescent="0.2">
      <c r="A369" s="19"/>
      <c r="B369" s="427"/>
      <c r="C369" s="82"/>
      <c r="D369" s="258">
        <v>2</v>
      </c>
      <c r="E369" s="82">
        <v>5</v>
      </c>
      <c r="F369" s="82"/>
      <c r="G369" s="82">
        <v>2.94</v>
      </c>
      <c r="H369" s="82">
        <f t="shared" si="19"/>
        <v>29.4</v>
      </c>
      <c r="I369" s="82"/>
      <c r="J369" s="82">
        <f t="shared" si="20"/>
        <v>29.4</v>
      </c>
    </row>
    <row r="370" spans="1:10" x14ac:dyDescent="0.2">
      <c r="A370" s="19"/>
      <c r="B370" s="161" t="s">
        <v>643</v>
      </c>
      <c r="C370" s="82"/>
      <c r="D370" s="258">
        <v>2</v>
      </c>
      <c r="E370" s="82">
        <v>2.4</v>
      </c>
      <c r="F370" s="82"/>
      <c r="G370" s="82">
        <v>2.94</v>
      </c>
      <c r="H370" s="82">
        <f t="shared" si="19"/>
        <v>14.112</v>
      </c>
      <c r="I370" s="82"/>
      <c r="J370" s="82">
        <f t="shared" si="20"/>
        <v>14.112</v>
      </c>
    </row>
    <row r="371" spans="1:10" x14ac:dyDescent="0.2">
      <c r="A371" s="19"/>
      <c r="B371" s="421" t="s">
        <v>642</v>
      </c>
      <c r="C371" s="82"/>
      <c r="D371" s="258">
        <v>1</v>
      </c>
      <c r="E371" s="82">
        <v>2.9</v>
      </c>
      <c r="F371" s="82"/>
      <c r="G371" s="82">
        <v>2.94</v>
      </c>
      <c r="H371" s="82">
        <f t="shared" si="19"/>
        <v>8.5259999999999998</v>
      </c>
      <c r="I371" s="82"/>
      <c r="J371" s="82">
        <f t="shared" si="20"/>
        <v>8.5259999999999998</v>
      </c>
    </row>
    <row r="372" spans="1:10" x14ac:dyDescent="0.2">
      <c r="A372" s="19"/>
      <c r="B372" s="422"/>
      <c r="C372" s="82"/>
      <c r="D372" s="258">
        <v>2</v>
      </c>
      <c r="E372" s="82">
        <v>1.3</v>
      </c>
      <c r="F372" s="82"/>
      <c r="G372" s="82">
        <v>2.94</v>
      </c>
      <c r="H372" s="82">
        <f t="shared" si="19"/>
        <v>7.6440000000000001</v>
      </c>
      <c r="I372" s="82"/>
      <c r="J372" s="82">
        <f t="shared" si="20"/>
        <v>7.6440000000000001</v>
      </c>
    </row>
    <row r="373" spans="1:10" x14ac:dyDescent="0.2">
      <c r="A373" s="19"/>
      <c r="B373" s="421" t="s">
        <v>641</v>
      </c>
      <c r="C373" s="82"/>
      <c r="D373" s="258">
        <v>1</v>
      </c>
      <c r="E373" s="82">
        <v>2.9</v>
      </c>
      <c r="F373" s="82"/>
      <c r="G373" s="82">
        <v>2.94</v>
      </c>
      <c r="H373" s="82">
        <f t="shared" si="19"/>
        <v>8.5259999999999998</v>
      </c>
      <c r="I373" s="82"/>
      <c r="J373" s="82">
        <f t="shared" si="20"/>
        <v>8.5259999999999998</v>
      </c>
    </row>
    <row r="374" spans="1:10" x14ac:dyDescent="0.2">
      <c r="A374" s="19"/>
      <c r="B374" s="422"/>
      <c r="C374" s="82"/>
      <c r="D374" s="258">
        <v>2</v>
      </c>
      <c r="E374" s="82">
        <v>1.3</v>
      </c>
      <c r="F374" s="82"/>
      <c r="G374" s="82">
        <v>2.94</v>
      </c>
      <c r="H374" s="82">
        <f t="shared" si="19"/>
        <v>7.6440000000000001</v>
      </c>
      <c r="I374" s="82"/>
      <c r="J374" s="82">
        <f t="shared" si="20"/>
        <v>7.6440000000000001</v>
      </c>
    </row>
    <row r="375" spans="1:10" x14ac:dyDescent="0.2">
      <c r="A375" s="19"/>
      <c r="B375" s="428" t="s">
        <v>638</v>
      </c>
      <c r="C375" s="82"/>
      <c r="D375" s="258">
        <v>1</v>
      </c>
      <c r="E375" s="82">
        <v>2</v>
      </c>
      <c r="F375" s="82"/>
      <c r="G375" s="82">
        <v>2.94</v>
      </c>
      <c r="H375" s="82">
        <f t="shared" si="19"/>
        <v>5.88</v>
      </c>
      <c r="I375" s="82"/>
      <c r="J375" s="82">
        <f t="shared" si="20"/>
        <v>5.88</v>
      </c>
    </row>
    <row r="376" spans="1:10" x14ac:dyDescent="0.2">
      <c r="A376" s="19"/>
      <c r="B376" s="430"/>
      <c r="C376" s="82"/>
      <c r="D376" s="258">
        <v>2</v>
      </c>
      <c r="E376" s="82">
        <v>1.7</v>
      </c>
      <c r="F376" s="82"/>
      <c r="G376" s="82">
        <v>2.94</v>
      </c>
      <c r="H376" s="82">
        <f t="shared" si="19"/>
        <v>9.9960000000000004</v>
      </c>
      <c r="I376" s="82"/>
      <c r="J376" s="82">
        <f t="shared" si="20"/>
        <v>9.9960000000000004</v>
      </c>
    </row>
    <row r="377" spans="1:10" x14ac:dyDescent="0.2">
      <c r="A377" s="19"/>
      <c r="B377" s="351" t="s">
        <v>637</v>
      </c>
      <c r="C377" s="82"/>
      <c r="D377" s="258">
        <v>2</v>
      </c>
      <c r="E377" s="82">
        <v>1.7</v>
      </c>
      <c r="F377" s="82"/>
      <c r="G377" s="82">
        <v>2.94</v>
      </c>
      <c r="H377" s="82">
        <f t="shared" si="19"/>
        <v>9.9960000000000004</v>
      </c>
      <c r="I377" s="82"/>
      <c r="J377" s="82">
        <f>H377-I377</f>
        <v>9.9960000000000004</v>
      </c>
    </row>
    <row r="378" spans="1:10" x14ac:dyDescent="0.2">
      <c r="A378" s="19"/>
      <c r="B378" s="80" t="s">
        <v>654</v>
      </c>
      <c r="C378" s="82"/>
      <c r="D378" s="258">
        <v>1</v>
      </c>
      <c r="E378" s="82"/>
      <c r="F378" s="82"/>
      <c r="G378" s="82"/>
      <c r="H378" s="82">
        <v>3.14</v>
      </c>
      <c r="I378" s="82"/>
      <c r="J378" s="82">
        <f>H378-I378</f>
        <v>3.14</v>
      </c>
    </row>
    <row r="379" spans="1:10" ht="39" customHeight="1" x14ac:dyDescent="0.2">
      <c r="A379" s="19"/>
      <c r="B379" s="101" t="s">
        <v>677</v>
      </c>
      <c r="C379" s="82"/>
      <c r="D379" s="258"/>
      <c r="E379" s="82"/>
      <c r="F379" s="82"/>
      <c r="G379" s="82"/>
      <c r="H379" s="82"/>
      <c r="I379" s="167" t="s">
        <v>864</v>
      </c>
      <c r="J379" s="82"/>
    </row>
    <row r="380" spans="1:10" x14ac:dyDescent="0.2">
      <c r="A380" s="19"/>
      <c r="B380" s="421" t="s">
        <v>655</v>
      </c>
      <c r="C380" s="82"/>
      <c r="D380" s="258">
        <v>2</v>
      </c>
      <c r="E380" s="82">
        <v>3.15</v>
      </c>
      <c r="F380" s="82"/>
      <c r="G380" s="82">
        <v>2.94</v>
      </c>
      <c r="H380" s="82">
        <f t="shared" si="19"/>
        <v>18.521999999999998</v>
      </c>
      <c r="I380" s="82">
        <v>2.4</v>
      </c>
      <c r="J380" s="82">
        <f>H380-I380</f>
        <v>16.122</v>
      </c>
    </row>
    <row r="381" spans="1:10" x14ac:dyDescent="0.2">
      <c r="A381" s="19"/>
      <c r="B381" s="426"/>
      <c r="C381" s="82"/>
      <c r="D381" s="258">
        <v>2</v>
      </c>
      <c r="E381" s="82">
        <v>4.25</v>
      </c>
      <c r="F381" s="82"/>
      <c r="G381" s="82">
        <v>2.94</v>
      </c>
      <c r="H381" s="82">
        <f t="shared" si="19"/>
        <v>24.99</v>
      </c>
      <c r="I381" s="82">
        <v>2.4</v>
      </c>
      <c r="J381" s="82">
        <f t="shared" ref="J381:J392" si="21">H381-I381</f>
        <v>22.59</v>
      </c>
    </row>
    <row r="382" spans="1:10" x14ac:dyDescent="0.2">
      <c r="A382" s="19"/>
      <c r="B382" s="422"/>
      <c r="C382" s="82"/>
      <c r="D382" s="258">
        <v>2</v>
      </c>
      <c r="E382" s="82">
        <v>0.3</v>
      </c>
      <c r="F382" s="82"/>
      <c r="G382" s="82">
        <v>2.94</v>
      </c>
      <c r="H382" s="82">
        <f t="shared" si="19"/>
        <v>1.764</v>
      </c>
      <c r="I382" s="82"/>
      <c r="J382" s="82">
        <f t="shared" si="21"/>
        <v>1.764</v>
      </c>
    </row>
    <row r="383" spans="1:10" x14ac:dyDescent="0.2">
      <c r="A383" s="19"/>
      <c r="B383" s="421" t="s">
        <v>624</v>
      </c>
      <c r="C383" s="82"/>
      <c r="D383" s="258">
        <v>1</v>
      </c>
      <c r="E383" s="82">
        <v>3.15</v>
      </c>
      <c r="F383" s="82"/>
      <c r="G383" s="82">
        <v>2.94</v>
      </c>
      <c r="H383" s="82">
        <f t="shared" si="19"/>
        <v>9.2609999999999992</v>
      </c>
      <c r="I383" s="82"/>
      <c r="J383" s="82">
        <f t="shared" si="21"/>
        <v>9.2609999999999992</v>
      </c>
    </row>
    <row r="384" spans="1:10" x14ac:dyDescent="0.2">
      <c r="A384" s="19"/>
      <c r="B384" s="426"/>
      <c r="C384" s="82"/>
      <c r="D384" s="258">
        <v>2</v>
      </c>
      <c r="E384" s="82">
        <v>3</v>
      </c>
      <c r="F384" s="82"/>
      <c r="G384" s="82">
        <v>2.94</v>
      </c>
      <c r="H384" s="82">
        <f t="shared" si="19"/>
        <v>17.64</v>
      </c>
      <c r="I384" s="82">
        <v>2.4</v>
      </c>
      <c r="J384" s="82">
        <f t="shared" si="21"/>
        <v>15.24</v>
      </c>
    </row>
    <row r="385" spans="1:10" x14ac:dyDescent="0.2">
      <c r="A385" s="19"/>
      <c r="B385" s="421" t="s">
        <v>625</v>
      </c>
      <c r="C385" s="82"/>
      <c r="D385" s="258">
        <v>1</v>
      </c>
      <c r="E385" s="82">
        <v>3.15</v>
      </c>
      <c r="F385" s="82"/>
      <c r="G385" s="82">
        <v>2.94</v>
      </c>
      <c r="H385" s="82">
        <f t="shared" si="19"/>
        <v>9.2609999999999992</v>
      </c>
      <c r="I385" s="82"/>
      <c r="J385" s="82">
        <f t="shared" si="21"/>
        <v>9.2609999999999992</v>
      </c>
    </row>
    <row r="386" spans="1:10" x14ac:dyDescent="0.2">
      <c r="A386" s="19"/>
      <c r="B386" s="426"/>
      <c r="C386" s="82"/>
      <c r="D386" s="258">
        <v>2</v>
      </c>
      <c r="E386" s="82">
        <v>2.9</v>
      </c>
      <c r="F386" s="82"/>
      <c r="G386" s="82">
        <v>2.94</v>
      </c>
      <c r="H386" s="82">
        <f t="shared" si="19"/>
        <v>17.052</v>
      </c>
      <c r="I386" s="82">
        <v>2.4</v>
      </c>
      <c r="J386" s="82">
        <f t="shared" si="21"/>
        <v>14.651999999999999</v>
      </c>
    </row>
    <row r="387" spans="1:10" x14ac:dyDescent="0.2">
      <c r="A387" s="19"/>
      <c r="B387" s="422"/>
      <c r="C387" s="82"/>
      <c r="D387" s="258">
        <v>2</v>
      </c>
      <c r="E387" s="82">
        <v>0.3</v>
      </c>
      <c r="F387" s="82"/>
      <c r="G387" s="82">
        <v>2.94</v>
      </c>
      <c r="H387" s="82">
        <f t="shared" si="19"/>
        <v>1.764</v>
      </c>
      <c r="I387" s="82"/>
      <c r="J387" s="82">
        <f t="shared" si="21"/>
        <v>1.764</v>
      </c>
    </row>
    <row r="388" spans="1:10" x14ac:dyDescent="0.2">
      <c r="A388" s="19"/>
      <c r="B388" s="421" t="s">
        <v>639</v>
      </c>
      <c r="C388" s="82"/>
      <c r="D388" s="258">
        <v>1</v>
      </c>
      <c r="E388" s="82">
        <v>3.83</v>
      </c>
      <c r="F388" s="82"/>
      <c r="G388" s="82">
        <v>2.94</v>
      </c>
      <c r="H388" s="82">
        <f t="shared" si="19"/>
        <v>11.260199999999999</v>
      </c>
      <c r="I388" s="82"/>
      <c r="J388" s="82">
        <f t="shared" si="21"/>
        <v>11.260199999999999</v>
      </c>
    </row>
    <row r="389" spans="1:10" x14ac:dyDescent="0.2">
      <c r="A389" s="19"/>
      <c r="B389" s="426"/>
      <c r="C389" s="82"/>
      <c r="D389" s="258">
        <v>2</v>
      </c>
      <c r="E389" s="82">
        <v>2.85</v>
      </c>
      <c r="F389" s="82"/>
      <c r="G389" s="82">
        <v>2.94</v>
      </c>
      <c r="H389" s="82">
        <f t="shared" si="19"/>
        <v>16.757999999999999</v>
      </c>
      <c r="I389" s="82">
        <v>2.4</v>
      </c>
      <c r="J389" s="82">
        <f t="shared" si="21"/>
        <v>14.357999999999999</v>
      </c>
    </row>
    <row r="390" spans="1:10" x14ac:dyDescent="0.2">
      <c r="A390" s="19"/>
      <c r="B390" s="422"/>
      <c r="C390" s="82"/>
      <c r="D390" s="258">
        <v>1</v>
      </c>
      <c r="E390" s="82">
        <v>0.53</v>
      </c>
      <c r="F390" s="82"/>
      <c r="G390" s="82">
        <v>2.94</v>
      </c>
      <c r="H390" s="82">
        <f t="shared" si="19"/>
        <v>1.5582</v>
      </c>
      <c r="I390" s="82"/>
      <c r="J390" s="82">
        <f t="shared" si="21"/>
        <v>1.5582</v>
      </c>
    </row>
    <row r="391" spans="1:10" x14ac:dyDescent="0.2">
      <c r="A391" s="19"/>
      <c r="B391" s="421" t="s">
        <v>627</v>
      </c>
      <c r="C391" s="82"/>
      <c r="D391" s="258">
        <v>2</v>
      </c>
      <c r="E391" s="82">
        <v>6.58</v>
      </c>
      <c r="F391" s="82"/>
      <c r="G391" s="82">
        <v>2.94</v>
      </c>
      <c r="H391" s="82">
        <f t="shared" si="19"/>
        <v>38.690399999999997</v>
      </c>
      <c r="I391" s="82">
        <f>2.4+2.4</f>
        <v>4.8</v>
      </c>
      <c r="J391" s="82">
        <f t="shared" si="21"/>
        <v>33.8904</v>
      </c>
    </row>
    <row r="392" spans="1:10" x14ac:dyDescent="0.2">
      <c r="A392" s="19"/>
      <c r="B392" s="426"/>
      <c r="C392" s="82"/>
      <c r="D392" s="258">
        <v>1</v>
      </c>
      <c r="E392" s="82">
        <v>5.9</v>
      </c>
      <c r="F392" s="82"/>
      <c r="G392" s="82">
        <v>2.94</v>
      </c>
      <c r="H392" s="82">
        <f t="shared" si="19"/>
        <v>17.346</v>
      </c>
      <c r="I392" s="82">
        <f>2.4+2.4</f>
        <v>4.8</v>
      </c>
      <c r="J392" s="82">
        <f t="shared" si="21"/>
        <v>12.545999999999999</v>
      </c>
    </row>
    <row r="393" spans="1:10" x14ac:dyDescent="0.2">
      <c r="A393" s="41"/>
      <c r="B393" s="422"/>
      <c r="C393" s="82"/>
      <c r="D393" s="258">
        <v>1</v>
      </c>
      <c r="E393" s="82">
        <v>4.1500000000000004</v>
      </c>
      <c r="F393" s="82"/>
      <c r="G393" s="82">
        <v>2.94</v>
      </c>
      <c r="H393" s="82">
        <f t="shared" si="19"/>
        <v>12.201000000000001</v>
      </c>
      <c r="I393" s="82"/>
      <c r="J393" s="82">
        <f>H393-I393</f>
        <v>12.201000000000001</v>
      </c>
    </row>
    <row r="394" spans="1:10" s="253" customFormat="1" x14ac:dyDescent="0.2">
      <c r="A394" s="256"/>
      <c r="B394" s="350" t="s">
        <v>1374</v>
      </c>
      <c r="C394" s="258"/>
      <c r="D394" s="258">
        <v>1</v>
      </c>
      <c r="E394" s="258">
        <v>0.45</v>
      </c>
      <c r="F394" s="258"/>
      <c r="G394" s="258">
        <v>2.94</v>
      </c>
      <c r="H394" s="258">
        <f t="shared" ref="H394:H396" si="22">D394*E394*G394</f>
        <v>1.323</v>
      </c>
      <c r="I394" s="258"/>
      <c r="J394" s="258">
        <f t="shared" ref="J394:J396" si="23">H394-I394</f>
        <v>1.323</v>
      </c>
    </row>
    <row r="395" spans="1:10" x14ac:dyDescent="0.2">
      <c r="A395" s="41"/>
      <c r="B395" s="428" t="s">
        <v>1372</v>
      </c>
      <c r="C395" s="82"/>
      <c r="D395" s="258">
        <v>1</v>
      </c>
      <c r="E395" s="258">
        <v>1.65</v>
      </c>
      <c r="F395" s="258"/>
      <c r="G395" s="258">
        <v>2.94</v>
      </c>
      <c r="H395" s="258">
        <f t="shared" si="22"/>
        <v>4.851</v>
      </c>
      <c r="I395" s="258"/>
      <c r="J395" s="258">
        <f t="shared" si="23"/>
        <v>4.851</v>
      </c>
    </row>
    <row r="396" spans="1:10" x14ac:dyDescent="0.2">
      <c r="A396" s="41"/>
      <c r="B396" s="430"/>
      <c r="C396" s="82"/>
      <c r="D396" s="258">
        <v>2</v>
      </c>
      <c r="E396" s="258">
        <v>1.66</v>
      </c>
      <c r="F396" s="258"/>
      <c r="G396" s="258">
        <v>2.94</v>
      </c>
      <c r="H396" s="258">
        <f t="shared" si="22"/>
        <v>9.7607999999999997</v>
      </c>
      <c r="I396" s="258"/>
      <c r="J396" s="258">
        <f t="shared" si="23"/>
        <v>9.7607999999999997</v>
      </c>
    </row>
    <row r="397" spans="1:10" x14ac:dyDescent="0.2">
      <c r="A397" s="41"/>
      <c r="B397" s="428" t="s">
        <v>656</v>
      </c>
      <c r="C397" s="82"/>
      <c r="D397" s="258">
        <v>2</v>
      </c>
      <c r="E397" s="82">
        <v>7.4</v>
      </c>
      <c r="F397" s="82"/>
      <c r="G397" s="82">
        <v>2.94</v>
      </c>
      <c r="H397" s="82">
        <f t="shared" si="19"/>
        <v>43.512</v>
      </c>
      <c r="I397" s="82"/>
      <c r="J397" s="82">
        <f t="shared" ref="J397:J402" si="24">H397-I397</f>
        <v>43.512</v>
      </c>
    </row>
    <row r="398" spans="1:10" x14ac:dyDescent="0.2">
      <c r="A398" s="41"/>
      <c r="B398" s="429"/>
      <c r="C398" s="82"/>
      <c r="D398" s="258">
        <v>1</v>
      </c>
      <c r="E398" s="82">
        <v>2.15</v>
      </c>
      <c r="F398" s="82"/>
      <c r="G398" s="82">
        <v>2.94</v>
      </c>
      <c r="H398" s="82">
        <f t="shared" si="19"/>
        <v>6.3209999999999997</v>
      </c>
      <c r="I398" s="82">
        <v>2.4</v>
      </c>
      <c r="J398" s="82">
        <f>H398-I398</f>
        <v>3.9209999999999998</v>
      </c>
    </row>
    <row r="399" spans="1:10" x14ac:dyDescent="0.2">
      <c r="A399" s="41"/>
      <c r="B399" s="430"/>
      <c r="C399" s="82"/>
      <c r="D399" s="258">
        <v>1</v>
      </c>
      <c r="E399" s="82">
        <v>1.5</v>
      </c>
      <c r="F399" s="82"/>
      <c r="G399" s="82">
        <v>2.94</v>
      </c>
      <c r="H399" s="82">
        <f t="shared" si="19"/>
        <v>4.41</v>
      </c>
      <c r="I399" s="82"/>
      <c r="J399" s="82">
        <f t="shared" si="24"/>
        <v>4.41</v>
      </c>
    </row>
    <row r="400" spans="1:10" x14ac:dyDescent="0.2">
      <c r="A400" s="41"/>
      <c r="B400" s="428" t="s">
        <v>658</v>
      </c>
      <c r="C400" s="82"/>
      <c r="D400" s="258">
        <v>2</v>
      </c>
      <c r="E400" s="82">
        <v>1.3</v>
      </c>
      <c r="F400" s="82"/>
      <c r="G400" s="82">
        <v>2.94</v>
      </c>
      <c r="H400" s="82">
        <f t="shared" si="19"/>
        <v>7.6440000000000001</v>
      </c>
      <c r="I400" s="82"/>
      <c r="J400" s="82">
        <f t="shared" si="24"/>
        <v>7.6440000000000001</v>
      </c>
    </row>
    <row r="401" spans="1:10" x14ac:dyDescent="0.2">
      <c r="A401" s="41"/>
      <c r="B401" s="430"/>
      <c r="C401" s="82"/>
      <c r="D401" s="258">
        <v>1</v>
      </c>
      <c r="E401" s="82">
        <v>2.9</v>
      </c>
      <c r="F401" s="82"/>
      <c r="G401" s="82">
        <v>2.94</v>
      </c>
      <c r="H401" s="82">
        <f t="shared" si="19"/>
        <v>8.5259999999999998</v>
      </c>
      <c r="I401" s="82"/>
      <c r="J401" s="82">
        <f t="shared" si="24"/>
        <v>8.5259999999999998</v>
      </c>
    </row>
    <row r="402" spans="1:10" x14ac:dyDescent="0.2">
      <c r="A402" s="41"/>
      <c r="B402" s="92" t="s">
        <v>628</v>
      </c>
      <c r="C402" s="82"/>
      <c r="D402" s="258">
        <v>2</v>
      </c>
      <c r="E402" s="82">
        <v>5</v>
      </c>
      <c r="F402" s="82"/>
      <c r="G402" s="82">
        <v>2.94</v>
      </c>
      <c r="H402" s="82">
        <f t="shared" si="19"/>
        <v>29.4</v>
      </c>
      <c r="I402" s="82">
        <v>2.4</v>
      </c>
      <c r="J402" s="82">
        <f t="shared" si="24"/>
        <v>27</v>
      </c>
    </row>
    <row r="403" spans="1:10" s="253" customFormat="1" x14ac:dyDescent="0.2">
      <c r="A403" s="256"/>
      <c r="B403" s="262"/>
      <c r="C403" s="258"/>
      <c r="D403" s="258"/>
      <c r="E403" s="258"/>
      <c r="F403" s="258"/>
      <c r="G403" s="258"/>
      <c r="H403" s="258"/>
      <c r="I403" s="258"/>
      <c r="J403" s="258"/>
    </row>
    <row r="404" spans="1:10" s="253" customFormat="1" x14ac:dyDescent="0.2">
      <c r="A404" s="256"/>
      <c r="B404" s="262" t="s">
        <v>1232</v>
      </c>
      <c r="C404" s="258"/>
      <c r="D404" s="258">
        <v>1</v>
      </c>
      <c r="E404" s="258">
        <v>45.2</v>
      </c>
      <c r="F404" s="258"/>
      <c r="G404" s="258">
        <v>0.4</v>
      </c>
      <c r="H404" s="258">
        <f>D404*E404*G404</f>
        <v>18.080000000000002</v>
      </c>
      <c r="I404" s="258"/>
      <c r="J404" s="258">
        <f>H404</f>
        <v>18.080000000000002</v>
      </c>
    </row>
    <row r="405" spans="1:10" x14ac:dyDescent="0.2">
      <c r="A405" s="41"/>
      <c r="B405" s="92"/>
      <c r="C405" s="82"/>
      <c r="D405" s="258"/>
      <c r="E405" s="82"/>
      <c r="F405" s="82"/>
      <c r="G405" s="82"/>
      <c r="H405" s="82"/>
      <c r="I405" s="91" t="s">
        <v>604</v>
      </c>
      <c r="J405" s="90">
        <f>SUM(J346:J404)</f>
        <v>641.24820000000011</v>
      </c>
    </row>
    <row r="406" spans="1:10" x14ac:dyDescent="0.2">
      <c r="A406" s="41"/>
      <c r="B406" s="92"/>
      <c r="C406" s="82"/>
      <c r="D406" s="258"/>
      <c r="E406" s="82"/>
      <c r="F406" s="82"/>
      <c r="G406" s="82"/>
      <c r="H406" s="82"/>
      <c r="I406" s="82"/>
      <c r="J406" s="82"/>
    </row>
    <row r="407" spans="1:10" x14ac:dyDescent="0.2">
      <c r="A407" s="11">
        <v>6</v>
      </c>
      <c r="B407" s="7" t="s">
        <v>92</v>
      </c>
      <c r="C407" s="5"/>
      <c r="D407" s="277"/>
      <c r="E407" s="77"/>
      <c r="F407" s="77"/>
      <c r="G407" s="77"/>
      <c r="H407" s="77"/>
      <c r="I407" s="77"/>
      <c r="J407" s="77"/>
    </row>
    <row r="408" spans="1:10" x14ac:dyDescent="0.2">
      <c r="A408" s="12" t="s">
        <v>311</v>
      </c>
      <c r="B408" s="14" t="s">
        <v>94</v>
      </c>
      <c r="C408" s="13"/>
      <c r="D408" s="99"/>
      <c r="E408" s="41"/>
      <c r="F408" s="41"/>
      <c r="G408" s="41"/>
      <c r="H408" s="41"/>
      <c r="I408" s="41"/>
      <c r="J408" s="41"/>
    </row>
    <row r="409" spans="1:10" ht="25.5" x14ac:dyDescent="0.2">
      <c r="A409" s="36" t="s">
        <v>312</v>
      </c>
      <c r="B409" s="21" t="s">
        <v>98</v>
      </c>
      <c r="C409" s="19" t="s">
        <v>25</v>
      </c>
      <c r="D409" s="263" t="s">
        <v>257</v>
      </c>
      <c r="E409" s="93" t="s">
        <v>258</v>
      </c>
      <c r="F409" s="93" t="s">
        <v>259</v>
      </c>
      <c r="G409" s="93" t="s">
        <v>260</v>
      </c>
      <c r="H409" s="93" t="s">
        <v>261</v>
      </c>
      <c r="I409" s="93" t="s">
        <v>262</v>
      </c>
      <c r="J409" s="94" t="s">
        <v>263</v>
      </c>
    </row>
    <row r="410" spans="1:10" x14ac:dyDescent="0.2">
      <c r="A410" s="36"/>
      <c r="B410" s="92" t="s">
        <v>659</v>
      </c>
      <c r="C410" s="19"/>
      <c r="D410" s="263">
        <v>4</v>
      </c>
      <c r="E410" s="93"/>
      <c r="F410" s="93"/>
      <c r="G410" s="93"/>
      <c r="H410" s="93"/>
      <c r="I410" s="93"/>
      <c r="J410" s="94">
        <f>D410</f>
        <v>4</v>
      </c>
    </row>
    <row r="411" spans="1:10" x14ac:dyDescent="0.2">
      <c r="A411" s="36"/>
      <c r="B411" s="92"/>
      <c r="C411" s="19"/>
      <c r="D411" s="263"/>
      <c r="E411" s="93"/>
      <c r="F411" s="93"/>
      <c r="G411" s="93"/>
      <c r="H411" s="93"/>
      <c r="I411" s="91" t="s">
        <v>604</v>
      </c>
      <c r="J411" s="90">
        <f>SUM(J410)</f>
        <v>4</v>
      </c>
    </row>
    <row r="412" spans="1:10" x14ac:dyDescent="0.2">
      <c r="A412" s="36"/>
      <c r="B412" s="21"/>
      <c r="C412" s="19"/>
      <c r="D412" s="99"/>
      <c r="E412" s="41"/>
      <c r="F412" s="41"/>
      <c r="G412" s="41"/>
      <c r="H412" s="41"/>
      <c r="I412" s="41"/>
      <c r="J412" s="41"/>
    </row>
    <row r="413" spans="1:10" ht="25.5" x14ac:dyDescent="0.2">
      <c r="A413" s="36" t="s">
        <v>313</v>
      </c>
      <c r="B413" s="21" t="s">
        <v>97</v>
      </c>
      <c r="C413" s="19" t="s">
        <v>96</v>
      </c>
      <c r="D413" s="263" t="s">
        <v>257</v>
      </c>
      <c r="E413" s="93" t="s">
        <v>258</v>
      </c>
      <c r="F413" s="93" t="s">
        <v>259</v>
      </c>
      <c r="G413" s="93" t="s">
        <v>260</v>
      </c>
      <c r="H413" s="93" t="s">
        <v>261</v>
      </c>
      <c r="I413" s="93" t="s">
        <v>262</v>
      </c>
      <c r="J413" s="94" t="s">
        <v>263</v>
      </c>
    </row>
    <row r="414" spans="1:10" x14ac:dyDescent="0.2">
      <c r="A414" s="36"/>
      <c r="B414" s="92" t="s">
        <v>660</v>
      </c>
      <c r="C414" s="19"/>
      <c r="D414" s="263">
        <v>17</v>
      </c>
      <c r="E414" s="93"/>
      <c r="F414" s="93"/>
      <c r="G414" s="93"/>
      <c r="H414" s="93"/>
      <c r="I414" s="93"/>
      <c r="J414" s="94">
        <f>D414</f>
        <v>17</v>
      </c>
    </row>
    <row r="415" spans="1:10" x14ac:dyDescent="0.2">
      <c r="A415" s="36"/>
      <c r="B415" s="92"/>
      <c r="C415" s="19"/>
      <c r="D415" s="263"/>
      <c r="E415" s="93"/>
      <c r="F415" s="93"/>
      <c r="G415" s="93"/>
      <c r="H415" s="93"/>
      <c r="I415" s="91" t="s">
        <v>604</v>
      </c>
      <c r="J415" s="90">
        <f>SUM(J414)</f>
        <v>17</v>
      </c>
    </row>
    <row r="416" spans="1:10" x14ac:dyDescent="0.2">
      <c r="A416" s="36"/>
      <c r="B416" s="177"/>
      <c r="C416" s="19"/>
      <c r="D416" s="99"/>
      <c r="E416" s="41"/>
      <c r="F416" s="41"/>
      <c r="G416" s="41"/>
      <c r="H416" s="41"/>
      <c r="I416" s="164"/>
      <c r="J416" s="165"/>
    </row>
    <row r="417" spans="1:10" ht="25.5" x14ac:dyDescent="0.2">
      <c r="A417" s="36" t="s">
        <v>314</v>
      </c>
      <c r="B417" s="21" t="s">
        <v>853</v>
      </c>
      <c r="C417" s="19" t="s">
        <v>96</v>
      </c>
      <c r="D417" s="263" t="s">
        <v>257</v>
      </c>
      <c r="E417" s="93" t="s">
        <v>258</v>
      </c>
      <c r="F417" s="93" t="s">
        <v>259</v>
      </c>
      <c r="G417" s="93" t="s">
        <v>260</v>
      </c>
      <c r="H417" s="93" t="s">
        <v>261</v>
      </c>
      <c r="I417" s="93" t="s">
        <v>262</v>
      </c>
      <c r="J417" s="94" t="s">
        <v>263</v>
      </c>
    </row>
    <row r="418" spans="1:10" x14ac:dyDescent="0.2">
      <c r="A418" s="36"/>
      <c r="B418" s="92" t="s">
        <v>915</v>
      </c>
      <c r="C418" s="19"/>
      <c r="D418" s="263">
        <v>2</v>
      </c>
      <c r="E418" s="93"/>
      <c r="F418" s="93"/>
      <c r="G418" s="93"/>
      <c r="H418" s="93"/>
      <c r="I418" s="93"/>
      <c r="J418" s="94">
        <f>D418</f>
        <v>2</v>
      </c>
    </row>
    <row r="419" spans="1:10" x14ac:dyDescent="0.2">
      <c r="A419" s="36"/>
      <c r="B419" s="177"/>
      <c r="C419" s="19"/>
      <c r="D419" s="99"/>
      <c r="E419" s="41"/>
      <c r="F419" s="41"/>
      <c r="G419" s="41"/>
      <c r="H419" s="41"/>
      <c r="I419" s="91" t="s">
        <v>604</v>
      </c>
      <c r="J419" s="90">
        <f>SUM(J418)</f>
        <v>2</v>
      </c>
    </row>
    <row r="420" spans="1:10" x14ac:dyDescent="0.2">
      <c r="A420" s="36"/>
      <c r="B420" s="177"/>
      <c r="C420" s="19"/>
      <c r="D420" s="99"/>
      <c r="E420" s="41"/>
      <c r="F420" s="41"/>
      <c r="G420" s="41"/>
      <c r="H420" s="41"/>
      <c r="I420" s="164"/>
      <c r="J420" s="165"/>
    </row>
    <row r="421" spans="1:10" ht="25.5" x14ac:dyDescent="0.2">
      <c r="A421" s="36" t="s">
        <v>315</v>
      </c>
      <c r="B421" s="21" t="s">
        <v>1166</v>
      </c>
      <c r="C421" s="19" t="s">
        <v>96</v>
      </c>
      <c r="D421" s="263" t="s">
        <v>257</v>
      </c>
      <c r="E421" s="93" t="s">
        <v>258</v>
      </c>
      <c r="F421" s="93" t="s">
        <v>259</v>
      </c>
      <c r="G421" s="93" t="s">
        <v>260</v>
      </c>
      <c r="H421" s="93" t="s">
        <v>261</v>
      </c>
      <c r="I421" s="93" t="s">
        <v>262</v>
      </c>
      <c r="J421" s="94" t="s">
        <v>263</v>
      </c>
    </row>
    <row r="422" spans="1:10" x14ac:dyDescent="0.2">
      <c r="A422" s="36"/>
      <c r="B422" s="92" t="s">
        <v>1174</v>
      </c>
      <c r="C422" s="19"/>
      <c r="D422" s="263">
        <v>1</v>
      </c>
      <c r="E422" s="93"/>
      <c r="F422" s="93"/>
      <c r="G422" s="93"/>
      <c r="H422" s="93"/>
      <c r="I422" s="93"/>
      <c r="J422" s="94">
        <f>D422</f>
        <v>1</v>
      </c>
    </row>
    <row r="423" spans="1:10" x14ac:dyDescent="0.2">
      <c r="A423" s="36"/>
      <c r="B423" s="177"/>
      <c r="C423" s="19"/>
      <c r="D423" s="99"/>
      <c r="E423" s="41"/>
      <c r="F423" s="41"/>
      <c r="G423" s="41"/>
      <c r="H423" s="41"/>
      <c r="I423" s="91" t="s">
        <v>604</v>
      </c>
      <c r="J423" s="90">
        <f>SUM(J422)</f>
        <v>1</v>
      </c>
    </row>
    <row r="424" spans="1:10" x14ac:dyDescent="0.2">
      <c r="A424" s="36"/>
      <c r="B424" s="177"/>
      <c r="C424" s="19"/>
      <c r="D424" s="99"/>
      <c r="E424" s="41"/>
      <c r="F424" s="41"/>
      <c r="G424" s="41"/>
      <c r="H424" s="41"/>
      <c r="I424" s="164"/>
      <c r="J424" s="165"/>
    </row>
    <row r="425" spans="1:10" ht="51" x14ac:dyDescent="0.2">
      <c r="A425" s="23" t="s">
        <v>316</v>
      </c>
      <c r="B425" s="14" t="s">
        <v>100</v>
      </c>
      <c r="C425" s="19"/>
      <c r="D425" s="99"/>
      <c r="E425" s="41"/>
      <c r="F425" s="41"/>
      <c r="G425" s="41"/>
      <c r="H425" s="41"/>
      <c r="I425" s="41"/>
      <c r="J425" s="41"/>
    </row>
    <row r="426" spans="1:10" ht="51" x14ac:dyDescent="0.2">
      <c r="A426" s="19" t="s">
        <v>317</v>
      </c>
      <c r="B426" s="21" t="s">
        <v>111</v>
      </c>
      <c r="C426" s="19" t="s">
        <v>25</v>
      </c>
      <c r="D426" s="263" t="s">
        <v>257</v>
      </c>
      <c r="E426" s="93" t="s">
        <v>258</v>
      </c>
      <c r="F426" s="93" t="s">
        <v>259</v>
      </c>
      <c r="G426" s="93" t="s">
        <v>260</v>
      </c>
      <c r="H426" s="93" t="s">
        <v>261</v>
      </c>
      <c r="I426" s="93" t="s">
        <v>262</v>
      </c>
      <c r="J426" s="94" t="s">
        <v>263</v>
      </c>
    </row>
    <row r="427" spans="1:10" x14ac:dyDescent="0.2">
      <c r="A427" s="19"/>
      <c r="B427" s="92" t="s">
        <v>659</v>
      </c>
      <c r="C427" s="19"/>
      <c r="D427" s="263">
        <v>4</v>
      </c>
      <c r="E427" s="93"/>
      <c r="F427" s="93"/>
      <c r="G427" s="93"/>
      <c r="H427" s="93"/>
      <c r="I427" s="93"/>
      <c r="J427" s="94">
        <f>D427</f>
        <v>4</v>
      </c>
    </row>
    <row r="428" spans="1:10" x14ac:dyDescent="0.2">
      <c r="A428" s="19"/>
      <c r="B428" s="92"/>
      <c r="C428" s="19"/>
      <c r="D428" s="263"/>
      <c r="E428" s="93"/>
      <c r="F428" s="93"/>
      <c r="G428" s="93"/>
      <c r="H428" s="93"/>
      <c r="I428" s="91" t="s">
        <v>604</v>
      </c>
      <c r="J428" s="90">
        <f>SUM(J427)</f>
        <v>4</v>
      </c>
    </row>
    <row r="429" spans="1:10" x14ac:dyDescent="0.2">
      <c r="A429" s="19"/>
      <c r="B429" s="21"/>
      <c r="C429" s="19"/>
      <c r="D429" s="99"/>
      <c r="E429" s="41"/>
      <c r="F429" s="41"/>
      <c r="G429" s="41"/>
      <c r="H429" s="41"/>
      <c r="I429" s="41"/>
      <c r="J429" s="41"/>
    </row>
    <row r="430" spans="1:10" ht="51" x14ac:dyDescent="0.2">
      <c r="A430" s="19" t="s">
        <v>904</v>
      </c>
      <c r="B430" s="21" t="s">
        <v>110</v>
      </c>
      <c r="C430" s="19" t="s">
        <v>25</v>
      </c>
      <c r="D430" s="263" t="s">
        <v>257</v>
      </c>
      <c r="E430" s="93" t="s">
        <v>258</v>
      </c>
      <c r="F430" s="93" t="s">
        <v>259</v>
      </c>
      <c r="G430" s="93" t="s">
        <v>260</v>
      </c>
      <c r="H430" s="93" t="s">
        <v>261</v>
      </c>
      <c r="I430" s="93" t="s">
        <v>262</v>
      </c>
      <c r="J430" s="94" t="s">
        <v>263</v>
      </c>
    </row>
    <row r="431" spans="1:10" x14ac:dyDescent="0.2">
      <c r="A431" s="41"/>
      <c r="B431" s="92" t="s">
        <v>660</v>
      </c>
      <c r="C431" s="19"/>
      <c r="D431" s="263">
        <v>17</v>
      </c>
      <c r="E431" s="93"/>
      <c r="F431" s="93"/>
      <c r="G431" s="93"/>
      <c r="H431" s="93"/>
      <c r="I431" s="93"/>
      <c r="J431" s="94">
        <f>D431</f>
        <v>17</v>
      </c>
    </row>
    <row r="432" spans="1:10" x14ac:dyDescent="0.2">
      <c r="A432" s="41"/>
      <c r="B432" s="92"/>
      <c r="C432" s="19"/>
      <c r="D432" s="263"/>
      <c r="E432" s="93"/>
      <c r="F432" s="93"/>
      <c r="G432" s="93"/>
      <c r="H432" s="93"/>
      <c r="I432" s="91" t="s">
        <v>604</v>
      </c>
      <c r="J432" s="90">
        <f>SUM(J431)</f>
        <v>17</v>
      </c>
    </row>
    <row r="433" spans="1:10" x14ac:dyDescent="0.2">
      <c r="A433" s="41"/>
      <c r="B433" s="41"/>
      <c r="C433" s="41"/>
      <c r="D433" s="99"/>
      <c r="E433" s="41"/>
      <c r="F433" s="41"/>
      <c r="G433" s="41"/>
      <c r="H433" s="41"/>
      <c r="I433" s="41"/>
      <c r="J433" s="41"/>
    </row>
    <row r="434" spans="1:10" x14ac:dyDescent="0.2">
      <c r="A434" s="11">
        <v>7</v>
      </c>
      <c r="B434" s="7" t="s">
        <v>109</v>
      </c>
      <c r="C434" s="5"/>
      <c r="D434" s="277"/>
      <c r="E434" s="77"/>
      <c r="F434" s="77"/>
      <c r="G434" s="77"/>
      <c r="H434" s="77"/>
      <c r="I434" s="77"/>
      <c r="J434" s="77"/>
    </row>
    <row r="435" spans="1:10" x14ac:dyDescent="0.2">
      <c r="A435" s="23" t="s">
        <v>318</v>
      </c>
      <c r="B435" s="18" t="s">
        <v>102</v>
      </c>
      <c r="C435" s="19"/>
      <c r="D435" s="99"/>
      <c r="E435" s="41"/>
      <c r="F435" s="41"/>
      <c r="G435" s="41"/>
      <c r="H435" s="41"/>
      <c r="I435" s="41"/>
      <c r="J435" s="41"/>
    </row>
    <row r="436" spans="1:10" ht="25.5" x14ac:dyDescent="0.2">
      <c r="A436" s="19" t="s">
        <v>319</v>
      </c>
      <c r="B436" s="21" t="s">
        <v>104</v>
      </c>
      <c r="C436" s="19" t="s">
        <v>39</v>
      </c>
      <c r="D436" s="263" t="s">
        <v>257</v>
      </c>
      <c r="E436" s="93" t="s">
        <v>258</v>
      </c>
      <c r="F436" s="93" t="s">
        <v>259</v>
      </c>
      <c r="G436" s="93" t="s">
        <v>260</v>
      </c>
      <c r="H436" s="93" t="s">
        <v>261</v>
      </c>
      <c r="I436" s="93" t="s">
        <v>262</v>
      </c>
      <c r="J436" s="94" t="s">
        <v>263</v>
      </c>
    </row>
    <row r="437" spans="1:10" x14ac:dyDescent="0.2">
      <c r="A437" s="19"/>
      <c r="B437" s="80" t="s">
        <v>662</v>
      </c>
      <c r="C437" s="19"/>
      <c r="D437" s="263">
        <v>2</v>
      </c>
      <c r="E437" s="93">
        <v>1.1000000000000001</v>
      </c>
      <c r="F437" s="93"/>
      <c r="G437" s="93">
        <v>2.2999999999999998</v>
      </c>
      <c r="H437" s="93">
        <f>D437*E437*G437</f>
        <v>5.0599999999999996</v>
      </c>
      <c r="I437" s="93"/>
      <c r="J437" s="94">
        <f>H437</f>
        <v>5.0599999999999996</v>
      </c>
    </row>
    <row r="438" spans="1:10" x14ac:dyDescent="0.2">
      <c r="A438" s="19"/>
      <c r="B438" s="80" t="s">
        <v>661</v>
      </c>
      <c r="C438" s="19"/>
      <c r="D438" s="263">
        <v>1</v>
      </c>
      <c r="E438" s="93">
        <v>0.7</v>
      </c>
      <c r="F438" s="93"/>
      <c r="G438" s="93">
        <v>2.2000000000000002</v>
      </c>
      <c r="H438" s="93">
        <f>D438*E438*G438</f>
        <v>1.54</v>
      </c>
      <c r="I438" s="93"/>
      <c r="J438" s="94">
        <f>H438</f>
        <v>1.54</v>
      </c>
    </row>
    <row r="439" spans="1:10" x14ac:dyDescent="0.2">
      <c r="A439" s="19"/>
      <c r="B439" s="80"/>
      <c r="C439" s="19"/>
      <c r="D439" s="263"/>
      <c r="E439" s="93"/>
      <c r="F439" s="93"/>
      <c r="G439" s="93"/>
      <c r="H439" s="93"/>
      <c r="I439" s="91" t="s">
        <v>604</v>
      </c>
      <c r="J439" s="90">
        <f>SUM(J437:J438)</f>
        <v>6.6</v>
      </c>
    </row>
    <row r="440" spans="1:10" x14ac:dyDescent="0.2">
      <c r="A440" s="19"/>
      <c r="B440" s="21"/>
      <c r="C440" s="19"/>
      <c r="D440" s="99"/>
      <c r="E440" s="41"/>
      <c r="F440" s="41"/>
      <c r="G440" s="41"/>
      <c r="H440" s="41"/>
      <c r="I440" s="41"/>
      <c r="J440" s="41"/>
    </row>
    <row r="441" spans="1:10" ht="25.5" x14ac:dyDescent="0.2">
      <c r="A441" s="19" t="s">
        <v>320</v>
      </c>
      <c r="B441" s="21" t="s">
        <v>108</v>
      </c>
      <c r="C441" s="19" t="s">
        <v>39</v>
      </c>
      <c r="D441" s="263" t="s">
        <v>257</v>
      </c>
      <c r="E441" s="93" t="s">
        <v>258</v>
      </c>
      <c r="F441" s="93" t="s">
        <v>259</v>
      </c>
      <c r="G441" s="93" t="s">
        <v>260</v>
      </c>
      <c r="H441" s="93" t="s">
        <v>261</v>
      </c>
      <c r="I441" s="93" t="s">
        <v>262</v>
      </c>
      <c r="J441" s="94" t="s">
        <v>263</v>
      </c>
    </row>
    <row r="442" spans="1:10" x14ac:dyDescent="0.2">
      <c r="A442" s="19"/>
      <c r="B442" s="97" t="s">
        <v>665</v>
      </c>
      <c r="C442" s="19"/>
      <c r="D442" s="263"/>
      <c r="E442" s="93"/>
      <c r="F442" s="93"/>
      <c r="G442" s="93"/>
      <c r="H442" s="93"/>
      <c r="I442" s="93"/>
      <c r="J442" s="94"/>
    </row>
    <row r="443" spans="1:10" x14ac:dyDescent="0.2">
      <c r="A443" s="19"/>
      <c r="B443" s="80" t="s">
        <v>663</v>
      </c>
      <c r="C443" s="19"/>
      <c r="D443" s="263">
        <v>18</v>
      </c>
      <c r="E443" s="93">
        <v>2.2000000000000002</v>
      </c>
      <c r="F443" s="93"/>
      <c r="G443" s="93">
        <v>1.4</v>
      </c>
      <c r="H443" s="93">
        <f>E443*G443</f>
        <v>3.08</v>
      </c>
      <c r="I443" s="93"/>
      <c r="J443" s="94">
        <f>D443*H443</f>
        <v>55.44</v>
      </c>
    </row>
    <row r="444" spans="1:10" x14ac:dyDescent="0.2">
      <c r="A444" s="19"/>
      <c r="B444" s="80" t="s">
        <v>664</v>
      </c>
      <c r="C444" s="19"/>
      <c r="D444" s="263">
        <v>1</v>
      </c>
      <c r="E444" s="93">
        <v>3.1</v>
      </c>
      <c r="F444" s="93"/>
      <c r="G444" s="93">
        <v>1.4</v>
      </c>
      <c r="H444" s="93">
        <f>E444*G444</f>
        <v>4.34</v>
      </c>
      <c r="I444" s="93"/>
      <c r="J444" s="94">
        <f>D444*H444</f>
        <v>4.34</v>
      </c>
    </row>
    <row r="445" spans="1:10" x14ac:dyDescent="0.2">
      <c r="A445" s="19"/>
      <c r="B445" s="80" t="s">
        <v>1378</v>
      </c>
      <c r="C445" s="19"/>
      <c r="D445" s="263">
        <v>1</v>
      </c>
      <c r="E445" s="93">
        <v>1.4</v>
      </c>
      <c r="F445" s="93"/>
      <c r="G445" s="93">
        <v>1.4</v>
      </c>
      <c r="H445" s="93">
        <f>E445*G445</f>
        <v>1.9599999999999997</v>
      </c>
      <c r="I445" s="93"/>
      <c r="J445" s="94">
        <f>D445*H445</f>
        <v>1.9599999999999997</v>
      </c>
    </row>
    <row r="446" spans="1:10" x14ac:dyDescent="0.2">
      <c r="A446" s="19"/>
      <c r="B446" s="97" t="s">
        <v>666</v>
      </c>
      <c r="C446" s="19"/>
      <c r="D446" s="263"/>
      <c r="E446" s="93"/>
      <c r="F446" s="93"/>
      <c r="G446" s="93"/>
      <c r="H446" s="93"/>
      <c r="I446" s="93"/>
      <c r="J446" s="94"/>
    </row>
    <row r="447" spans="1:10" x14ac:dyDescent="0.2">
      <c r="A447" s="19"/>
      <c r="B447" s="80" t="s">
        <v>667</v>
      </c>
      <c r="C447" s="19"/>
      <c r="D447" s="263">
        <v>5</v>
      </c>
      <c r="E447" s="93">
        <v>1</v>
      </c>
      <c r="F447" s="93"/>
      <c r="G447" s="93">
        <v>0.8</v>
      </c>
      <c r="H447" s="93">
        <f>E447*G447</f>
        <v>0.8</v>
      </c>
      <c r="I447" s="93"/>
      <c r="J447" s="94">
        <f>D447*H447</f>
        <v>4</v>
      </c>
    </row>
    <row r="448" spans="1:10" ht="25.5" x14ac:dyDescent="0.2">
      <c r="A448" s="19"/>
      <c r="B448" s="80"/>
      <c r="C448" s="19"/>
      <c r="D448" s="263"/>
      <c r="E448" s="93"/>
      <c r="F448" s="93"/>
      <c r="G448" s="93"/>
      <c r="H448" s="93"/>
      <c r="I448" s="168" t="s">
        <v>864</v>
      </c>
      <c r="J448" s="94"/>
    </row>
    <row r="449" spans="1:10" x14ac:dyDescent="0.2">
      <c r="A449" s="19"/>
      <c r="B449" s="80" t="s">
        <v>865</v>
      </c>
      <c r="C449" s="19"/>
      <c r="D449" s="263">
        <v>1</v>
      </c>
      <c r="E449" s="93"/>
      <c r="F449" s="93"/>
      <c r="G449" s="93"/>
      <c r="H449" s="93">
        <f>2.64*1.35</f>
        <v>3.5640000000000005</v>
      </c>
      <c r="I449" s="93">
        <f>J438</f>
        <v>1.54</v>
      </c>
      <c r="J449" s="94">
        <f>H449-I449</f>
        <v>2.0240000000000005</v>
      </c>
    </row>
    <row r="450" spans="1:10" x14ac:dyDescent="0.2">
      <c r="A450" s="19"/>
      <c r="B450" s="80"/>
      <c r="C450" s="19"/>
      <c r="D450" s="99"/>
      <c r="E450" s="41"/>
      <c r="F450" s="41"/>
      <c r="G450" s="41"/>
      <c r="H450" s="41"/>
      <c r="I450" s="91" t="s">
        <v>604</v>
      </c>
      <c r="J450" s="90">
        <f>SUM(J443:J449)</f>
        <v>67.76400000000001</v>
      </c>
    </row>
    <row r="451" spans="1:10" x14ac:dyDescent="0.2">
      <c r="A451" s="19"/>
      <c r="B451" s="80" t="s">
        <v>668</v>
      </c>
      <c r="C451" s="19"/>
      <c r="D451" s="99"/>
      <c r="E451" s="41"/>
      <c r="F451" s="41"/>
      <c r="G451" s="41"/>
      <c r="H451" s="41"/>
      <c r="I451" s="41"/>
      <c r="J451" s="41"/>
    </row>
    <row r="452" spans="1:10" x14ac:dyDescent="0.2">
      <c r="A452" s="19"/>
      <c r="B452" s="21"/>
      <c r="C452" s="19"/>
      <c r="D452" s="99"/>
      <c r="E452" s="41"/>
      <c r="F452" s="41"/>
      <c r="G452" s="41"/>
      <c r="H452" s="41"/>
      <c r="I452" s="41"/>
      <c r="J452" s="41"/>
    </row>
    <row r="453" spans="1:10" ht="25.5" x14ac:dyDescent="0.2">
      <c r="A453" s="19" t="s">
        <v>321</v>
      </c>
      <c r="B453" s="21" t="s">
        <v>1099</v>
      </c>
      <c r="C453" s="19" t="s">
        <v>39</v>
      </c>
      <c r="D453" s="263" t="s">
        <v>257</v>
      </c>
      <c r="E453" s="93" t="s">
        <v>258</v>
      </c>
      <c r="F453" s="93" t="s">
        <v>259</v>
      </c>
      <c r="G453" s="93" t="s">
        <v>260</v>
      </c>
      <c r="H453" s="93" t="s">
        <v>261</v>
      </c>
      <c r="I453" s="93" t="s">
        <v>262</v>
      </c>
      <c r="J453" s="94" t="s">
        <v>263</v>
      </c>
    </row>
    <row r="454" spans="1:10" x14ac:dyDescent="0.2">
      <c r="A454" s="19"/>
      <c r="B454" s="171" t="s">
        <v>905</v>
      </c>
      <c r="C454" s="19"/>
      <c r="D454" s="431">
        <v>1</v>
      </c>
      <c r="E454" s="102">
        <v>29.6</v>
      </c>
      <c r="F454" s="41"/>
      <c r="G454" s="102">
        <v>2</v>
      </c>
      <c r="H454" s="102">
        <f>E454*G454</f>
        <v>59.2</v>
      </c>
      <c r="I454" s="41"/>
      <c r="J454" s="431">
        <f>D454</f>
        <v>1</v>
      </c>
    </row>
    <row r="455" spans="1:10" x14ac:dyDescent="0.2">
      <c r="A455" s="19"/>
      <c r="B455" s="211" t="s">
        <v>1076</v>
      </c>
      <c r="C455" s="19"/>
      <c r="D455" s="432"/>
      <c r="E455" s="102">
        <v>6.12</v>
      </c>
      <c r="F455" s="41"/>
      <c r="G455" s="102">
        <v>0.8</v>
      </c>
      <c r="H455" s="102">
        <f t="shared" ref="H455:H458" si="25">E455*G455</f>
        <v>4.8960000000000008</v>
      </c>
      <c r="I455" s="41"/>
      <c r="J455" s="432"/>
    </row>
    <row r="456" spans="1:10" x14ac:dyDescent="0.2">
      <c r="A456" s="19"/>
      <c r="B456" s="171" t="s">
        <v>907</v>
      </c>
      <c r="C456" s="19"/>
      <c r="D456" s="432"/>
      <c r="E456" s="93">
        <v>2</v>
      </c>
      <c r="F456" s="93"/>
      <c r="G456" s="93">
        <v>2.5</v>
      </c>
      <c r="H456" s="102">
        <f t="shared" si="25"/>
        <v>5</v>
      </c>
      <c r="I456" s="93"/>
      <c r="J456" s="432"/>
    </row>
    <row r="457" spans="1:10" x14ac:dyDescent="0.2">
      <c r="A457" s="19"/>
      <c r="B457" s="171" t="s">
        <v>908</v>
      </c>
      <c r="C457" s="19"/>
      <c r="D457" s="432"/>
      <c r="E457" s="93">
        <v>0.8</v>
      </c>
      <c r="F457" s="93"/>
      <c r="G457" s="93">
        <v>1</v>
      </c>
      <c r="H457" s="102">
        <f t="shared" si="25"/>
        <v>0.8</v>
      </c>
      <c r="I457" s="93"/>
      <c r="J457" s="432"/>
    </row>
    <row r="458" spans="1:10" x14ac:dyDescent="0.2">
      <c r="A458" s="19"/>
      <c r="B458" s="171" t="s">
        <v>906</v>
      </c>
      <c r="C458" s="19"/>
      <c r="D458" s="433"/>
      <c r="E458" s="93">
        <v>5</v>
      </c>
      <c r="F458" s="41"/>
      <c r="G458" s="93">
        <v>2.5</v>
      </c>
      <c r="H458" s="102">
        <f t="shared" si="25"/>
        <v>12.5</v>
      </c>
      <c r="I458" s="41"/>
      <c r="J458" s="433"/>
    </row>
    <row r="459" spans="1:10" x14ac:dyDescent="0.2">
      <c r="A459" s="19"/>
      <c r="B459" s="21"/>
      <c r="C459" s="19"/>
      <c r="D459" s="99"/>
      <c r="E459" s="41"/>
      <c r="F459" s="41"/>
      <c r="G459" s="41"/>
      <c r="H459" s="99"/>
      <c r="I459" s="91" t="s">
        <v>604</v>
      </c>
      <c r="J459" s="90">
        <f>J454</f>
        <v>1</v>
      </c>
    </row>
    <row r="460" spans="1:10" x14ac:dyDescent="0.2">
      <c r="A460" s="23" t="s">
        <v>322</v>
      </c>
      <c r="B460" s="18" t="s">
        <v>105</v>
      </c>
      <c r="C460" s="19"/>
      <c r="D460" s="99"/>
      <c r="E460" s="41"/>
      <c r="F460" s="41"/>
      <c r="G460" s="41"/>
      <c r="H460" s="41"/>
      <c r="I460" s="41"/>
      <c r="J460" s="41"/>
    </row>
    <row r="461" spans="1:10" ht="38.25" x14ac:dyDescent="0.2">
      <c r="A461" s="19" t="s">
        <v>323</v>
      </c>
      <c r="B461" s="21" t="s">
        <v>107</v>
      </c>
      <c r="C461" s="19" t="s">
        <v>24</v>
      </c>
      <c r="D461" s="263" t="s">
        <v>257</v>
      </c>
      <c r="E461" s="93" t="s">
        <v>258</v>
      </c>
      <c r="F461" s="93" t="s">
        <v>259</v>
      </c>
      <c r="G461" s="93" t="s">
        <v>260</v>
      </c>
      <c r="H461" s="93" t="s">
        <v>261</v>
      </c>
      <c r="I461" s="93" t="s">
        <v>262</v>
      </c>
      <c r="J461" s="94" t="s">
        <v>263</v>
      </c>
    </row>
    <row r="462" spans="1:10" x14ac:dyDescent="0.2">
      <c r="A462" s="19"/>
      <c r="B462" s="97" t="s">
        <v>665</v>
      </c>
      <c r="C462" s="19"/>
      <c r="D462" s="263"/>
      <c r="E462" s="93"/>
      <c r="F462" s="93"/>
      <c r="G462" s="93"/>
      <c r="H462" s="93"/>
      <c r="I462" s="93"/>
      <c r="J462" s="94"/>
    </row>
    <row r="463" spans="1:10" x14ac:dyDescent="0.2">
      <c r="A463" s="19"/>
      <c r="B463" s="80" t="s">
        <v>663</v>
      </c>
      <c r="C463" s="19"/>
      <c r="D463" s="263">
        <v>18</v>
      </c>
      <c r="E463" s="93">
        <v>2</v>
      </c>
      <c r="F463" s="93"/>
      <c r="G463" s="93">
        <v>1.2</v>
      </c>
      <c r="H463" s="93">
        <f>E463*G463</f>
        <v>2.4</v>
      </c>
      <c r="I463" s="93"/>
      <c r="J463" s="94">
        <f>D463*H463</f>
        <v>43.199999999999996</v>
      </c>
    </row>
    <row r="464" spans="1:10" x14ac:dyDescent="0.2">
      <c r="A464" s="19"/>
      <c r="B464" s="80" t="s">
        <v>664</v>
      </c>
      <c r="C464" s="19"/>
      <c r="D464" s="263">
        <v>1</v>
      </c>
      <c r="E464" s="93">
        <v>2.9</v>
      </c>
      <c r="F464" s="93"/>
      <c r="G464" s="93">
        <v>1.2</v>
      </c>
      <c r="H464" s="93">
        <f>E464*G464</f>
        <v>3.48</v>
      </c>
      <c r="I464" s="93"/>
      <c r="J464" s="94">
        <f>D464*H464</f>
        <v>3.48</v>
      </c>
    </row>
    <row r="465" spans="1:10" x14ac:dyDescent="0.2">
      <c r="A465" s="41"/>
      <c r="B465" s="80" t="s">
        <v>1378</v>
      </c>
      <c r="C465" s="19"/>
      <c r="D465" s="263">
        <v>1</v>
      </c>
      <c r="E465" s="93">
        <v>1.2</v>
      </c>
      <c r="F465" s="93"/>
      <c r="G465" s="93">
        <v>1.2</v>
      </c>
      <c r="H465" s="93">
        <f>E465*G465</f>
        <v>1.44</v>
      </c>
      <c r="I465" s="41"/>
      <c r="J465" s="94">
        <f>D465*H465</f>
        <v>1.44</v>
      </c>
    </row>
    <row r="466" spans="1:10" x14ac:dyDescent="0.2">
      <c r="A466" s="41"/>
      <c r="B466" s="97" t="s">
        <v>666</v>
      </c>
      <c r="C466" s="19"/>
      <c r="D466" s="263"/>
      <c r="E466" s="93"/>
      <c r="F466" s="93"/>
      <c r="G466" s="93"/>
      <c r="H466" s="93"/>
      <c r="I466" s="41"/>
      <c r="J466" s="94"/>
    </row>
    <row r="467" spans="1:10" x14ac:dyDescent="0.2">
      <c r="A467" s="41"/>
      <c r="B467" s="80" t="s">
        <v>667</v>
      </c>
      <c r="C467" s="19"/>
      <c r="D467" s="263">
        <v>5</v>
      </c>
      <c r="E467" s="93">
        <v>0.8</v>
      </c>
      <c r="F467" s="93"/>
      <c r="G467" s="93">
        <v>0.6</v>
      </c>
      <c r="H467" s="93">
        <f>E467*G467</f>
        <v>0.48</v>
      </c>
      <c r="I467" s="41"/>
      <c r="J467" s="94">
        <f>D467*H467</f>
        <v>2.4</v>
      </c>
    </row>
    <row r="468" spans="1:10" x14ac:dyDescent="0.2">
      <c r="A468" s="41"/>
      <c r="B468" s="80"/>
      <c r="C468" s="19"/>
      <c r="D468" s="263"/>
      <c r="E468" s="93"/>
      <c r="F468" s="93"/>
      <c r="G468" s="93"/>
      <c r="H468" s="93"/>
      <c r="I468" s="91" t="s">
        <v>604</v>
      </c>
      <c r="J468" s="90">
        <f>SUM(J463:J467)</f>
        <v>50.519999999999989</v>
      </c>
    </row>
    <row r="469" spans="1:10" x14ac:dyDescent="0.2">
      <c r="A469" s="41"/>
      <c r="B469" s="171"/>
      <c r="C469" s="19"/>
      <c r="D469" s="263"/>
      <c r="E469" s="93"/>
      <c r="F469" s="93"/>
      <c r="G469" s="93"/>
      <c r="H469" s="93"/>
      <c r="I469" s="103"/>
      <c r="J469" s="104"/>
    </row>
    <row r="470" spans="1:10" ht="25.5" x14ac:dyDescent="0.2">
      <c r="A470" s="19" t="s">
        <v>848</v>
      </c>
      <c r="B470" s="21" t="s">
        <v>850</v>
      </c>
      <c r="C470" s="19" t="s">
        <v>24</v>
      </c>
      <c r="D470" s="263" t="s">
        <v>257</v>
      </c>
      <c r="E470" s="93" t="s">
        <v>258</v>
      </c>
      <c r="F470" s="93" t="s">
        <v>259</v>
      </c>
      <c r="G470" s="93" t="s">
        <v>260</v>
      </c>
      <c r="H470" s="93" t="s">
        <v>261</v>
      </c>
      <c r="I470" s="93" t="s">
        <v>262</v>
      </c>
      <c r="J470" s="94" t="s">
        <v>263</v>
      </c>
    </row>
    <row r="471" spans="1:10" x14ac:dyDescent="0.2">
      <c r="A471" s="19"/>
      <c r="B471" s="171" t="s">
        <v>851</v>
      </c>
      <c r="C471" s="19"/>
      <c r="D471" s="263">
        <v>1</v>
      </c>
      <c r="E471" s="93">
        <v>2</v>
      </c>
      <c r="F471" s="93"/>
      <c r="G471" s="93">
        <v>2.2000000000000002</v>
      </c>
      <c r="H471" s="93"/>
      <c r="I471" s="93"/>
      <c r="J471" s="94">
        <f>D471*E471*G471</f>
        <v>4.4000000000000004</v>
      </c>
    </row>
    <row r="472" spans="1:10" x14ac:dyDescent="0.2">
      <c r="A472" s="41"/>
      <c r="B472" s="171"/>
      <c r="C472" s="19"/>
      <c r="D472" s="263"/>
      <c r="E472" s="93"/>
      <c r="F472" s="93"/>
      <c r="G472" s="93"/>
      <c r="H472" s="93"/>
      <c r="I472" s="91" t="s">
        <v>604</v>
      </c>
      <c r="J472" s="90">
        <f>SUM(J471)</f>
        <v>4.4000000000000004</v>
      </c>
    </row>
    <row r="473" spans="1:10" x14ac:dyDescent="0.2">
      <c r="A473" s="41"/>
      <c r="B473" s="171"/>
      <c r="C473" s="19"/>
      <c r="D473" s="263"/>
      <c r="E473" s="93"/>
      <c r="F473" s="93"/>
      <c r="G473" s="93"/>
      <c r="H473" s="93"/>
      <c r="I473" s="103"/>
      <c r="J473" s="104"/>
    </row>
    <row r="474" spans="1:10" x14ac:dyDescent="0.2">
      <c r="A474" s="11">
        <v>8</v>
      </c>
      <c r="B474" s="7" t="s">
        <v>115</v>
      </c>
      <c r="C474" s="5"/>
      <c r="D474" s="277"/>
      <c r="E474" s="77"/>
      <c r="F474" s="77"/>
      <c r="G474" s="77"/>
      <c r="H474" s="77"/>
      <c r="I474" s="77"/>
      <c r="J474" s="77"/>
    </row>
    <row r="475" spans="1:10" x14ac:dyDescent="0.2">
      <c r="A475" s="23" t="s">
        <v>324</v>
      </c>
      <c r="B475" s="18" t="s">
        <v>113</v>
      </c>
      <c r="C475" s="19"/>
      <c r="D475" s="99"/>
      <c r="E475" s="41"/>
      <c r="F475" s="41"/>
      <c r="G475" s="41"/>
      <c r="H475" s="41"/>
      <c r="I475" s="41"/>
      <c r="J475" s="41"/>
    </row>
    <row r="476" spans="1:10" ht="25.5" x14ac:dyDescent="0.2">
      <c r="A476" s="19" t="s">
        <v>325</v>
      </c>
      <c r="B476" s="21" t="s">
        <v>112</v>
      </c>
      <c r="C476" s="19" t="s">
        <v>39</v>
      </c>
      <c r="D476" s="263" t="s">
        <v>257</v>
      </c>
      <c r="E476" s="93" t="s">
        <v>258</v>
      </c>
      <c r="F476" s="93" t="s">
        <v>259</v>
      </c>
      <c r="G476" s="93" t="s">
        <v>260</v>
      </c>
      <c r="H476" s="93" t="s">
        <v>261</v>
      </c>
      <c r="I476" s="93" t="s">
        <v>262</v>
      </c>
      <c r="J476" s="94" t="s">
        <v>263</v>
      </c>
    </row>
    <row r="477" spans="1:10" x14ac:dyDescent="0.2">
      <c r="A477" s="19"/>
      <c r="B477" s="97" t="s">
        <v>665</v>
      </c>
      <c r="C477" s="19"/>
      <c r="D477" s="263"/>
      <c r="E477" s="93"/>
      <c r="F477" s="93"/>
      <c r="G477" s="93"/>
      <c r="H477" s="93"/>
      <c r="I477" s="93"/>
      <c r="J477" s="94"/>
    </row>
    <row r="478" spans="1:10" x14ac:dyDescent="0.2">
      <c r="A478" s="19"/>
      <c r="B478" s="80" t="s">
        <v>663</v>
      </c>
      <c r="C478" s="19"/>
      <c r="D478" s="263">
        <v>18</v>
      </c>
      <c r="E478" s="93">
        <v>2</v>
      </c>
      <c r="F478" s="93"/>
      <c r="G478" s="93">
        <v>1.2</v>
      </c>
      <c r="H478" s="93">
        <f>E478*G478</f>
        <v>2.4</v>
      </c>
      <c r="I478" s="93"/>
      <c r="J478" s="94">
        <f>D478*H478</f>
        <v>43.199999999999996</v>
      </c>
    </row>
    <row r="479" spans="1:10" x14ac:dyDescent="0.2">
      <c r="A479" s="19"/>
      <c r="B479" s="80" t="s">
        <v>664</v>
      </c>
      <c r="C479" s="19"/>
      <c r="D479" s="263">
        <v>1</v>
      </c>
      <c r="E479" s="93">
        <v>2.9</v>
      </c>
      <c r="F479" s="93"/>
      <c r="G479" s="93">
        <v>1.2</v>
      </c>
      <c r="H479" s="93">
        <f>E479*G479</f>
        <v>3.48</v>
      </c>
      <c r="I479" s="93"/>
      <c r="J479" s="94">
        <f>D479*H479</f>
        <v>3.48</v>
      </c>
    </row>
    <row r="480" spans="1:10" x14ac:dyDescent="0.2">
      <c r="A480" s="19"/>
      <c r="B480" s="80" t="s">
        <v>1378</v>
      </c>
      <c r="C480" s="19"/>
      <c r="D480" s="263">
        <v>1</v>
      </c>
      <c r="E480" s="93">
        <v>1.2</v>
      </c>
      <c r="F480" s="93"/>
      <c r="G480" s="93">
        <v>1.2</v>
      </c>
      <c r="H480" s="93">
        <f>E480*G480</f>
        <v>1.44</v>
      </c>
      <c r="I480" s="41"/>
      <c r="J480" s="94">
        <f>D480*H480</f>
        <v>1.44</v>
      </c>
    </row>
    <row r="481" spans="1:10" x14ac:dyDescent="0.2">
      <c r="A481" s="19"/>
      <c r="B481" s="97" t="s">
        <v>666</v>
      </c>
      <c r="C481" s="19"/>
      <c r="D481" s="263"/>
      <c r="E481" s="93"/>
      <c r="F481" s="93"/>
      <c r="G481" s="93"/>
      <c r="H481" s="93"/>
      <c r="I481" s="41"/>
      <c r="J481" s="94"/>
    </row>
    <row r="482" spans="1:10" x14ac:dyDescent="0.2">
      <c r="A482" s="19"/>
      <c r="B482" s="80" t="s">
        <v>667</v>
      </c>
      <c r="C482" s="19"/>
      <c r="D482" s="263">
        <v>5</v>
      </c>
      <c r="E482" s="93">
        <v>0.8</v>
      </c>
      <c r="F482" s="93"/>
      <c r="G482" s="93">
        <v>0.6</v>
      </c>
      <c r="H482" s="93">
        <f>E482*G482</f>
        <v>0.48</v>
      </c>
      <c r="I482" s="41"/>
      <c r="J482" s="94">
        <f>D482*H482</f>
        <v>2.4</v>
      </c>
    </row>
    <row r="483" spans="1:10" x14ac:dyDescent="0.2">
      <c r="A483" s="19"/>
      <c r="B483" s="80"/>
      <c r="C483" s="19"/>
      <c r="D483" s="263"/>
      <c r="E483" s="93"/>
      <c r="F483" s="93"/>
      <c r="G483" s="93"/>
      <c r="H483" s="93"/>
      <c r="I483" s="91" t="s">
        <v>604</v>
      </c>
      <c r="J483" s="90">
        <f>SUM(J478:J482)</f>
        <v>50.519999999999989</v>
      </c>
    </row>
    <row r="484" spans="1:10" x14ac:dyDescent="0.2">
      <c r="A484" s="23" t="s">
        <v>326</v>
      </c>
      <c r="B484" s="18" t="s">
        <v>117</v>
      </c>
      <c r="C484" s="19"/>
      <c r="D484" s="99"/>
      <c r="E484" s="41"/>
      <c r="F484" s="41"/>
      <c r="G484" s="41"/>
      <c r="H484" s="41"/>
      <c r="I484" s="41"/>
      <c r="J484" s="41"/>
    </row>
    <row r="485" spans="1:10" ht="25.5" x14ac:dyDescent="0.2">
      <c r="A485" s="19" t="s">
        <v>327</v>
      </c>
      <c r="B485" s="21" t="s">
        <v>119</v>
      </c>
      <c r="C485" s="19" t="s">
        <v>24</v>
      </c>
      <c r="D485" s="263" t="s">
        <v>257</v>
      </c>
      <c r="E485" s="93" t="s">
        <v>258</v>
      </c>
      <c r="F485" s="93" t="s">
        <v>259</v>
      </c>
      <c r="G485" s="93" t="s">
        <v>260</v>
      </c>
      <c r="H485" s="93" t="s">
        <v>261</v>
      </c>
      <c r="I485" s="93" t="s">
        <v>262</v>
      </c>
      <c r="J485" s="94" t="s">
        <v>263</v>
      </c>
    </row>
    <row r="486" spans="1:10" x14ac:dyDescent="0.2">
      <c r="A486" s="19"/>
      <c r="B486" s="80" t="s">
        <v>641</v>
      </c>
      <c r="C486" s="19"/>
      <c r="D486" s="263">
        <v>1</v>
      </c>
      <c r="E486" s="93"/>
      <c r="F486" s="93">
        <v>0.6</v>
      </c>
      <c r="G486" s="93">
        <v>0.7</v>
      </c>
      <c r="H486" s="93">
        <f>F486*G486</f>
        <v>0.42</v>
      </c>
      <c r="I486" s="93"/>
      <c r="J486" s="94">
        <f>D486*H486</f>
        <v>0.42</v>
      </c>
    </row>
    <row r="487" spans="1:10" x14ac:dyDescent="0.2">
      <c r="A487" s="41"/>
      <c r="B487" s="98" t="s">
        <v>642</v>
      </c>
      <c r="C487" s="41"/>
      <c r="D487" s="263">
        <v>1</v>
      </c>
      <c r="E487" s="93"/>
      <c r="F487" s="93">
        <v>0.6</v>
      </c>
      <c r="G487" s="93">
        <v>0.7</v>
      </c>
      <c r="H487" s="93">
        <f>F487*G487</f>
        <v>0.42</v>
      </c>
      <c r="I487" s="93"/>
      <c r="J487" s="94">
        <f>D487*H487</f>
        <v>0.42</v>
      </c>
    </row>
    <row r="488" spans="1:10" x14ac:dyDescent="0.2">
      <c r="A488" s="41"/>
      <c r="B488" s="98" t="s">
        <v>644</v>
      </c>
      <c r="C488" s="41"/>
      <c r="D488" s="263">
        <v>1</v>
      </c>
      <c r="E488" s="93"/>
      <c r="F488" s="93">
        <v>0.6</v>
      </c>
      <c r="G488" s="93">
        <v>0.7</v>
      </c>
      <c r="H488" s="93">
        <f>F488*G488</f>
        <v>0.42</v>
      </c>
      <c r="I488" s="93"/>
      <c r="J488" s="94">
        <f>D488*H488</f>
        <v>0.42</v>
      </c>
    </row>
    <row r="489" spans="1:10" x14ac:dyDescent="0.2">
      <c r="A489" s="41"/>
      <c r="B489" s="98" t="s">
        <v>637</v>
      </c>
      <c r="C489" s="41"/>
      <c r="D489" s="263">
        <v>1</v>
      </c>
      <c r="E489" s="93"/>
      <c r="F489" s="93">
        <v>0.6</v>
      </c>
      <c r="G489" s="93">
        <v>0.7</v>
      </c>
      <c r="H489" s="93">
        <f>F489*G489</f>
        <v>0.42</v>
      </c>
      <c r="I489" s="93"/>
      <c r="J489" s="94">
        <f>D489*H489</f>
        <v>0.42</v>
      </c>
    </row>
    <row r="490" spans="1:10" x14ac:dyDescent="0.2">
      <c r="A490" s="41"/>
      <c r="B490" s="98" t="s">
        <v>638</v>
      </c>
      <c r="C490" s="41"/>
      <c r="D490" s="263">
        <v>1</v>
      </c>
      <c r="E490" s="93"/>
      <c r="F490" s="93">
        <v>0.6</v>
      </c>
      <c r="G490" s="93">
        <v>0.7</v>
      </c>
      <c r="H490" s="93">
        <f>F490*G490</f>
        <v>0.42</v>
      </c>
      <c r="I490" s="93"/>
      <c r="J490" s="94">
        <f>D490*H490</f>
        <v>0.42</v>
      </c>
    </row>
    <row r="491" spans="1:10" x14ac:dyDescent="0.2">
      <c r="A491" s="41"/>
      <c r="B491" s="98"/>
      <c r="C491" s="41"/>
      <c r="D491" s="263"/>
      <c r="E491" s="93"/>
      <c r="F491" s="93"/>
      <c r="G491" s="93"/>
      <c r="H491" s="93"/>
      <c r="I491" s="91" t="s">
        <v>604</v>
      </c>
      <c r="J491" s="90">
        <f>SUM(J486:J490)</f>
        <v>2.1</v>
      </c>
    </row>
    <row r="492" spans="1:10" x14ac:dyDescent="0.2">
      <c r="A492" s="41"/>
      <c r="B492" s="41"/>
      <c r="C492" s="41"/>
      <c r="D492" s="99"/>
      <c r="E492" s="41"/>
      <c r="F492" s="41"/>
      <c r="G492" s="41"/>
      <c r="H492" s="41"/>
      <c r="I492" s="41"/>
      <c r="J492" s="41"/>
    </row>
    <row r="493" spans="1:10" x14ac:dyDescent="0.2">
      <c r="A493" s="11">
        <v>9</v>
      </c>
      <c r="B493" s="7" t="s">
        <v>601</v>
      </c>
      <c r="C493" s="5"/>
      <c r="D493" s="277"/>
      <c r="E493" s="77"/>
      <c r="F493" s="77"/>
      <c r="G493" s="77"/>
      <c r="H493" s="77"/>
      <c r="I493" s="77"/>
      <c r="J493" s="77"/>
    </row>
    <row r="494" spans="1:10" x14ac:dyDescent="0.2">
      <c r="A494" s="23" t="s">
        <v>328</v>
      </c>
      <c r="B494" s="18" t="s">
        <v>122</v>
      </c>
      <c r="C494" s="19"/>
      <c r="D494" s="99"/>
      <c r="E494" s="41"/>
      <c r="F494" s="41"/>
      <c r="G494" s="41"/>
      <c r="H494" s="41"/>
      <c r="I494" s="41"/>
      <c r="J494" s="41"/>
    </row>
    <row r="495" spans="1:10" ht="38.25" x14ac:dyDescent="0.2">
      <c r="A495" s="19" t="s">
        <v>329</v>
      </c>
      <c r="B495" s="21" t="s">
        <v>123</v>
      </c>
      <c r="C495" s="19" t="s">
        <v>39</v>
      </c>
      <c r="D495" s="263" t="s">
        <v>257</v>
      </c>
      <c r="E495" s="93" t="s">
        <v>258</v>
      </c>
      <c r="F495" s="93" t="s">
        <v>259</v>
      </c>
      <c r="G495" s="93" t="s">
        <v>260</v>
      </c>
      <c r="H495" s="93" t="s">
        <v>261</v>
      </c>
      <c r="I495" s="93" t="s">
        <v>262</v>
      </c>
      <c r="J495" s="94" t="s">
        <v>263</v>
      </c>
    </row>
    <row r="496" spans="1:10" x14ac:dyDescent="0.2">
      <c r="A496" s="19"/>
      <c r="B496" s="80" t="s">
        <v>669</v>
      </c>
      <c r="C496" s="19"/>
      <c r="D496" s="263"/>
      <c r="E496" s="93"/>
      <c r="F496" s="93"/>
      <c r="G496" s="93"/>
      <c r="H496" s="93">
        <v>58.03</v>
      </c>
      <c r="I496" s="93"/>
      <c r="J496" s="94">
        <f>H496</f>
        <v>58.03</v>
      </c>
    </row>
    <row r="497" spans="1:10" x14ac:dyDescent="0.2">
      <c r="A497" s="19"/>
      <c r="B497" s="80" t="s">
        <v>669</v>
      </c>
      <c r="C497" s="19"/>
      <c r="D497" s="99"/>
      <c r="E497" s="41"/>
      <c r="F497" s="41"/>
      <c r="G497" s="41"/>
      <c r="H497" s="100">
        <v>44.3</v>
      </c>
      <c r="I497" s="41"/>
      <c r="J497" s="94">
        <f>H497</f>
        <v>44.3</v>
      </c>
    </row>
    <row r="498" spans="1:10" x14ac:dyDescent="0.2">
      <c r="A498" s="19"/>
      <c r="B498" s="80" t="s">
        <v>670</v>
      </c>
      <c r="C498" s="19"/>
      <c r="D498" s="99"/>
      <c r="E498" s="41"/>
      <c r="F498" s="41"/>
      <c r="G498" s="41"/>
      <c r="H498" s="93">
        <v>34.57</v>
      </c>
      <c r="I498" s="41"/>
      <c r="J498" s="94">
        <f>H498</f>
        <v>34.57</v>
      </c>
    </row>
    <row r="499" spans="1:10" x14ac:dyDescent="0.2">
      <c r="A499" s="19"/>
      <c r="B499" s="80"/>
      <c r="C499" s="19"/>
      <c r="D499" s="99"/>
      <c r="E499" s="41"/>
      <c r="F499" s="41"/>
      <c r="G499" s="41"/>
      <c r="H499" s="93"/>
      <c r="I499" s="91" t="s">
        <v>604</v>
      </c>
      <c r="J499" s="90">
        <f>SUM(J496:J498)</f>
        <v>136.9</v>
      </c>
    </row>
    <row r="500" spans="1:10" x14ac:dyDescent="0.2">
      <c r="A500" s="19"/>
      <c r="B500" s="21"/>
      <c r="C500" s="19"/>
      <c r="D500" s="99"/>
      <c r="E500" s="41"/>
      <c r="F500" s="41"/>
      <c r="G500" s="41"/>
      <c r="H500" s="41"/>
      <c r="I500" s="41"/>
      <c r="J500" s="41"/>
    </row>
    <row r="501" spans="1:10" ht="25.5" x14ac:dyDescent="0.2">
      <c r="A501" s="19" t="s">
        <v>330</v>
      </c>
      <c r="B501" s="21" t="s">
        <v>124</v>
      </c>
      <c r="C501" s="19" t="s">
        <v>39</v>
      </c>
      <c r="D501" s="263" t="s">
        <v>257</v>
      </c>
      <c r="E501" s="93" t="s">
        <v>258</v>
      </c>
      <c r="F501" s="93" t="s">
        <v>259</v>
      </c>
      <c r="G501" s="93" t="s">
        <v>260</v>
      </c>
      <c r="H501" s="93" t="s">
        <v>261</v>
      </c>
      <c r="I501" s="93" t="s">
        <v>262</v>
      </c>
      <c r="J501" s="94" t="s">
        <v>263</v>
      </c>
    </row>
    <row r="502" spans="1:10" x14ac:dyDescent="0.2">
      <c r="A502" s="19"/>
      <c r="B502" s="80" t="s">
        <v>669</v>
      </c>
      <c r="C502" s="19"/>
      <c r="D502" s="263"/>
      <c r="E502" s="93"/>
      <c r="F502" s="93"/>
      <c r="G502" s="93"/>
      <c r="H502" s="93">
        <v>58.03</v>
      </c>
      <c r="I502" s="93"/>
      <c r="J502" s="94">
        <f>H502</f>
        <v>58.03</v>
      </c>
    </row>
    <row r="503" spans="1:10" x14ac:dyDescent="0.2">
      <c r="A503" s="19"/>
      <c r="B503" s="80" t="s">
        <v>669</v>
      </c>
      <c r="C503" s="19"/>
      <c r="D503" s="99"/>
      <c r="E503" s="41"/>
      <c r="F503" s="41"/>
      <c r="G503" s="41"/>
      <c r="H503" s="100">
        <v>44.3</v>
      </c>
      <c r="I503" s="41"/>
      <c r="J503" s="94">
        <f>H503</f>
        <v>44.3</v>
      </c>
    </row>
    <row r="504" spans="1:10" x14ac:dyDescent="0.2">
      <c r="A504" s="19"/>
      <c r="B504" s="80" t="s">
        <v>670</v>
      </c>
      <c r="C504" s="19"/>
      <c r="D504" s="99"/>
      <c r="E504" s="41"/>
      <c r="F504" s="41"/>
      <c r="G504" s="41"/>
      <c r="H504" s="93">
        <v>34.57</v>
      </c>
      <c r="I504" s="41"/>
      <c r="J504" s="94">
        <f>H504</f>
        <v>34.57</v>
      </c>
    </row>
    <row r="505" spans="1:10" x14ac:dyDescent="0.2">
      <c r="A505" s="19"/>
      <c r="B505" s="80"/>
      <c r="C505" s="19"/>
      <c r="D505" s="99"/>
      <c r="E505" s="41"/>
      <c r="F505" s="41"/>
      <c r="G505" s="41"/>
      <c r="H505" s="93"/>
      <c r="I505" s="91" t="s">
        <v>604</v>
      </c>
      <c r="J505" s="90">
        <f>SUM(J502:J504)</f>
        <v>136.9</v>
      </c>
    </row>
    <row r="506" spans="1:10" x14ac:dyDescent="0.2">
      <c r="A506" s="19"/>
      <c r="B506" s="224"/>
      <c r="C506" s="19"/>
      <c r="D506" s="99"/>
      <c r="E506" s="41"/>
      <c r="F506" s="41"/>
      <c r="G506" s="41"/>
      <c r="H506" s="93"/>
      <c r="I506" s="164"/>
      <c r="J506" s="165"/>
    </row>
    <row r="507" spans="1:10" ht="25.5" x14ac:dyDescent="0.2">
      <c r="A507" s="19" t="s">
        <v>954</v>
      </c>
      <c r="B507" s="21" t="s">
        <v>955</v>
      </c>
      <c r="C507" s="19" t="s">
        <v>1035</v>
      </c>
      <c r="D507" s="263" t="s">
        <v>257</v>
      </c>
      <c r="E507" s="93" t="s">
        <v>258</v>
      </c>
      <c r="F507" s="93" t="s">
        <v>259</v>
      </c>
      <c r="G507" s="93" t="s">
        <v>260</v>
      </c>
      <c r="H507" s="93" t="s">
        <v>261</v>
      </c>
      <c r="I507" s="93" t="s">
        <v>262</v>
      </c>
      <c r="J507" s="94" t="s">
        <v>263</v>
      </c>
    </row>
    <row r="508" spans="1:10" x14ac:dyDescent="0.2">
      <c r="A508" s="19"/>
      <c r="B508" s="224" t="s">
        <v>1233</v>
      </c>
      <c r="C508" s="19"/>
      <c r="D508" s="265">
        <v>1</v>
      </c>
      <c r="E508" s="41"/>
      <c r="F508" s="41"/>
      <c r="G508" s="41"/>
      <c r="H508" s="93"/>
      <c r="I508" s="164"/>
      <c r="J508" s="179">
        <f>D508</f>
        <v>1</v>
      </c>
    </row>
    <row r="509" spans="1:10" x14ac:dyDescent="0.2">
      <c r="A509" s="19"/>
      <c r="B509" s="224"/>
      <c r="C509" s="19"/>
      <c r="D509" s="99"/>
      <c r="E509" s="41"/>
      <c r="F509" s="41"/>
      <c r="G509" s="41"/>
      <c r="H509" s="93"/>
      <c r="I509" s="91" t="s">
        <v>604</v>
      </c>
      <c r="J509" s="90">
        <f>SUM(J508)</f>
        <v>1</v>
      </c>
    </row>
    <row r="510" spans="1:10" x14ac:dyDescent="0.2">
      <c r="A510" s="23" t="s">
        <v>331</v>
      </c>
      <c r="B510" s="18" t="s">
        <v>125</v>
      </c>
      <c r="C510" s="19"/>
      <c r="D510" s="99"/>
      <c r="E510" s="41"/>
      <c r="F510" s="41"/>
      <c r="G510" s="41"/>
      <c r="H510" s="41"/>
      <c r="I510" s="41"/>
      <c r="J510" s="41"/>
    </row>
    <row r="511" spans="1:10" ht="25.5" x14ac:dyDescent="0.2">
      <c r="A511" s="19" t="s">
        <v>332</v>
      </c>
      <c r="B511" s="21" t="s">
        <v>127</v>
      </c>
      <c r="C511" s="19" t="s">
        <v>128</v>
      </c>
      <c r="D511" s="263" t="s">
        <v>257</v>
      </c>
      <c r="E511" s="93" t="s">
        <v>258</v>
      </c>
      <c r="F511" s="93" t="s">
        <v>259</v>
      </c>
      <c r="G511" s="93" t="s">
        <v>260</v>
      </c>
      <c r="H511" s="93" t="s">
        <v>261</v>
      </c>
      <c r="I511" s="93" t="s">
        <v>262</v>
      </c>
      <c r="J511" s="94" t="s">
        <v>263</v>
      </c>
    </row>
    <row r="512" spans="1:10" x14ac:dyDescent="0.2">
      <c r="A512" s="19"/>
      <c r="B512" s="80" t="s">
        <v>671</v>
      </c>
      <c r="C512" s="19"/>
      <c r="D512" s="99"/>
      <c r="E512" s="41"/>
      <c r="F512" s="41"/>
      <c r="G512" s="41"/>
      <c r="H512" s="99">
        <v>10.55</v>
      </c>
      <c r="I512" s="41"/>
      <c r="J512" s="99">
        <f>H512</f>
        <v>10.55</v>
      </c>
    </row>
    <row r="513" spans="1:10" x14ac:dyDescent="0.2">
      <c r="A513" s="19"/>
      <c r="B513" s="80" t="s">
        <v>671</v>
      </c>
      <c r="C513" s="19"/>
      <c r="D513" s="99"/>
      <c r="E513" s="41"/>
      <c r="F513" s="41"/>
      <c r="G513" s="41"/>
      <c r="H513" s="99">
        <v>12.05</v>
      </c>
      <c r="I513" s="41"/>
      <c r="J513" s="99">
        <f>H513</f>
        <v>12.05</v>
      </c>
    </row>
    <row r="514" spans="1:10" x14ac:dyDescent="0.2">
      <c r="A514" s="19"/>
      <c r="B514" s="80" t="s">
        <v>672</v>
      </c>
      <c r="C514" s="19"/>
      <c r="D514" s="99"/>
      <c r="E514" s="41"/>
      <c r="F514" s="41"/>
      <c r="G514" s="41"/>
      <c r="H514" s="99">
        <v>8.75</v>
      </c>
      <c r="I514" s="41"/>
      <c r="J514" s="99">
        <f>H514</f>
        <v>8.75</v>
      </c>
    </row>
    <row r="515" spans="1:10" x14ac:dyDescent="0.2">
      <c r="A515" s="19"/>
      <c r="B515" s="80"/>
      <c r="C515" s="19"/>
      <c r="D515" s="99"/>
      <c r="E515" s="41"/>
      <c r="F515" s="41"/>
      <c r="G515" s="41"/>
      <c r="H515" s="99"/>
      <c r="I515" s="91" t="s">
        <v>604</v>
      </c>
      <c r="J515" s="90">
        <f>SUM(J512:J514)</f>
        <v>31.35</v>
      </c>
    </row>
    <row r="516" spans="1:10" x14ac:dyDescent="0.2">
      <c r="A516" s="19"/>
      <c r="B516" s="21"/>
      <c r="C516" s="19"/>
      <c r="D516" s="99"/>
      <c r="E516" s="41"/>
      <c r="F516" s="41"/>
      <c r="G516" s="41"/>
      <c r="H516" s="41"/>
      <c r="I516" s="41"/>
      <c r="J516" s="41"/>
    </row>
    <row r="517" spans="1:10" x14ac:dyDescent="0.2">
      <c r="A517" s="23" t="s">
        <v>333</v>
      </c>
      <c r="B517" s="18" t="s">
        <v>129</v>
      </c>
      <c r="C517" s="19"/>
      <c r="D517" s="99"/>
      <c r="E517" s="41"/>
      <c r="F517" s="41"/>
      <c r="G517" s="41"/>
      <c r="H517" s="41"/>
      <c r="I517" s="41"/>
      <c r="J517" s="41"/>
    </row>
    <row r="518" spans="1:10" ht="38.25" x14ac:dyDescent="0.2">
      <c r="A518" s="19" t="s">
        <v>334</v>
      </c>
      <c r="B518" s="21" t="s">
        <v>916</v>
      </c>
      <c r="C518" s="19" t="s">
        <v>49</v>
      </c>
      <c r="D518" s="263" t="s">
        <v>257</v>
      </c>
      <c r="E518" s="93" t="s">
        <v>258</v>
      </c>
      <c r="F518" s="93" t="s">
        <v>259</v>
      </c>
      <c r="G518" s="93" t="s">
        <v>260</v>
      </c>
      <c r="H518" s="93" t="s">
        <v>261</v>
      </c>
      <c r="I518" s="93" t="s">
        <v>262</v>
      </c>
      <c r="J518" s="94" t="s">
        <v>263</v>
      </c>
    </row>
    <row r="519" spans="1:10" x14ac:dyDescent="0.2">
      <c r="A519" s="19"/>
      <c r="B519" s="21"/>
      <c r="C519" s="19"/>
      <c r="D519" s="263"/>
      <c r="E519" s="93"/>
      <c r="F519" s="93"/>
      <c r="G519" s="93"/>
      <c r="H519" s="93"/>
      <c r="I519" s="93"/>
      <c r="J519" s="94"/>
    </row>
    <row r="520" spans="1:10" x14ac:dyDescent="0.2">
      <c r="A520" s="19"/>
      <c r="B520" s="80" t="s">
        <v>866</v>
      </c>
      <c r="C520" s="19"/>
      <c r="D520" s="263"/>
      <c r="E520" s="93">
        <f>8.75*2+4.35*2</f>
        <v>26.2</v>
      </c>
      <c r="F520" s="93"/>
      <c r="G520" s="93">
        <v>2.2000000000000002</v>
      </c>
      <c r="H520" s="93">
        <f>E520*G520</f>
        <v>57.64</v>
      </c>
      <c r="I520" s="93"/>
      <c r="J520" s="94">
        <f>H520</f>
        <v>57.64</v>
      </c>
    </row>
    <row r="521" spans="1:10" x14ac:dyDescent="0.2">
      <c r="A521" s="19"/>
      <c r="B521" s="80" t="s">
        <v>867</v>
      </c>
      <c r="C521" s="19"/>
      <c r="D521" s="263"/>
      <c r="E521" s="93">
        <f>3.15+7.4+12.05+2.89</f>
        <v>25.490000000000002</v>
      </c>
      <c r="F521" s="93"/>
      <c r="G521" s="93">
        <v>1.3</v>
      </c>
      <c r="H521" s="93">
        <f>E521*G521</f>
        <v>33.137</v>
      </c>
      <c r="I521" s="93"/>
      <c r="J521" s="94">
        <f>H521</f>
        <v>33.137</v>
      </c>
    </row>
    <row r="522" spans="1:10" x14ac:dyDescent="0.2">
      <c r="A522" s="19"/>
      <c r="B522" s="21"/>
      <c r="C522" s="19"/>
      <c r="D522" s="263"/>
      <c r="E522" s="93"/>
      <c r="F522" s="93"/>
      <c r="G522" s="93"/>
      <c r="H522" s="93"/>
      <c r="I522" s="91" t="s">
        <v>604</v>
      </c>
      <c r="J522" s="90">
        <f>SUM(J519:J521)</f>
        <v>90.777000000000001</v>
      </c>
    </row>
    <row r="523" spans="1:10" x14ac:dyDescent="0.2">
      <c r="A523" s="19"/>
      <c r="B523" s="21"/>
      <c r="C523" s="19"/>
      <c r="D523" s="263"/>
      <c r="E523" s="93"/>
      <c r="F523" s="93"/>
      <c r="G523" s="93"/>
      <c r="H523" s="93"/>
      <c r="I523" s="93"/>
      <c r="J523" s="94"/>
    </row>
    <row r="524" spans="1:10" x14ac:dyDescent="0.2">
      <c r="A524" s="11">
        <v>10</v>
      </c>
      <c r="B524" s="7" t="s">
        <v>131</v>
      </c>
      <c r="C524" s="5"/>
      <c r="D524" s="277"/>
      <c r="E524" s="77"/>
      <c r="F524" s="77"/>
      <c r="G524" s="77"/>
      <c r="H524" s="77"/>
      <c r="I524" s="77"/>
      <c r="J524" s="77"/>
    </row>
    <row r="525" spans="1:10" ht="25.5" x14ac:dyDescent="0.2">
      <c r="A525" s="23" t="s">
        <v>335</v>
      </c>
      <c r="B525" s="18" t="s">
        <v>132</v>
      </c>
      <c r="C525" s="19"/>
      <c r="D525" s="99"/>
      <c r="E525" s="41"/>
      <c r="F525" s="41"/>
      <c r="G525" s="41"/>
      <c r="H525" s="41"/>
      <c r="I525" s="41"/>
      <c r="J525" s="41"/>
    </row>
    <row r="526" spans="1:10" ht="38.25" x14ac:dyDescent="0.2">
      <c r="A526" s="19" t="s">
        <v>336</v>
      </c>
      <c r="B526" s="21" t="s">
        <v>816</v>
      </c>
      <c r="C526" s="19" t="s">
        <v>16</v>
      </c>
      <c r="D526" s="263" t="s">
        <v>257</v>
      </c>
      <c r="E526" s="93" t="s">
        <v>258</v>
      </c>
      <c r="F526" s="93" t="s">
        <v>259</v>
      </c>
      <c r="G526" s="93" t="s">
        <v>260</v>
      </c>
      <c r="H526" s="93" t="s">
        <v>261</v>
      </c>
      <c r="I526" s="93" t="s">
        <v>262</v>
      </c>
      <c r="J526" s="94" t="s">
        <v>263</v>
      </c>
    </row>
    <row r="527" spans="1:10" x14ac:dyDescent="0.2">
      <c r="A527" s="19"/>
      <c r="B527" s="80" t="s">
        <v>868</v>
      </c>
      <c r="C527" s="19"/>
      <c r="D527" s="99"/>
      <c r="E527" s="99">
        <f>2.5+8.9+4.5+3.15+7</f>
        <v>26.05</v>
      </c>
      <c r="F527" s="102">
        <v>0.4</v>
      </c>
      <c r="G527" s="41"/>
      <c r="H527" s="41"/>
      <c r="I527" s="41"/>
      <c r="J527" s="99">
        <f>E527*F527</f>
        <v>10.420000000000002</v>
      </c>
    </row>
    <row r="528" spans="1:10" x14ac:dyDescent="0.2">
      <c r="A528" s="19"/>
      <c r="B528" s="80" t="s">
        <v>868</v>
      </c>
      <c r="C528" s="19"/>
      <c r="D528" s="99"/>
      <c r="E528" s="99">
        <f>5.5+5.5+10.55</f>
        <v>21.55</v>
      </c>
      <c r="F528" s="102">
        <v>0.4</v>
      </c>
      <c r="G528" s="41"/>
      <c r="H528" s="41"/>
      <c r="I528" s="41"/>
      <c r="J528" s="99">
        <f>E528*F528</f>
        <v>8.620000000000001</v>
      </c>
    </row>
    <row r="529" spans="1:10" x14ac:dyDescent="0.2">
      <c r="A529" s="19"/>
      <c r="B529" s="80" t="s">
        <v>673</v>
      </c>
      <c r="C529" s="19"/>
      <c r="D529" s="99"/>
      <c r="E529" s="99">
        <f>3.95+3.95+8.75</f>
        <v>16.649999999999999</v>
      </c>
      <c r="F529" s="102">
        <v>0.4</v>
      </c>
      <c r="G529" s="41"/>
      <c r="H529" s="41"/>
      <c r="I529" s="41"/>
      <c r="J529" s="99">
        <f>E529*F529</f>
        <v>6.66</v>
      </c>
    </row>
    <row r="530" spans="1:10" x14ac:dyDescent="0.2">
      <c r="A530" s="19"/>
      <c r="B530" s="21"/>
      <c r="C530" s="19"/>
      <c r="D530" s="99"/>
      <c r="E530" s="41"/>
      <c r="F530" s="41"/>
      <c r="G530" s="41"/>
      <c r="H530" s="41"/>
      <c r="I530" s="91" t="s">
        <v>604</v>
      </c>
      <c r="J530" s="90">
        <f>SUM(J527:J529)</f>
        <v>25.700000000000003</v>
      </c>
    </row>
    <row r="531" spans="1:10" x14ac:dyDescent="0.2">
      <c r="A531" s="23"/>
      <c r="B531" s="18"/>
      <c r="C531" s="19"/>
      <c r="D531" s="99"/>
      <c r="E531" s="41"/>
      <c r="F531" s="41"/>
      <c r="G531" s="41"/>
      <c r="H531" s="41"/>
      <c r="I531" s="41"/>
      <c r="J531" s="41"/>
    </row>
    <row r="532" spans="1:10" ht="25.5" x14ac:dyDescent="0.2">
      <c r="A532" s="19" t="s">
        <v>815</v>
      </c>
      <c r="B532" s="268" t="s">
        <v>133</v>
      </c>
      <c r="C532" s="19" t="s">
        <v>39</v>
      </c>
      <c r="D532" s="263" t="s">
        <v>257</v>
      </c>
      <c r="E532" s="93" t="s">
        <v>258</v>
      </c>
      <c r="F532" s="93" t="s">
        <v>259</v>
      </c>
      <c r="G532" s="93" t="s">
        <v>260</v>
      </c>
      <c r="H532" s="93" t="s">
        <v>261</v>
      </c>
      <c r="I532" s="93" t="s">
        <v>262</v>
      </c>
      <c r="J532" s="94" t="s">
        <v>263</v>
      </c>
    </row>
    <row r="533" spans="1:10" x14ac:dyDescent="0.2">
      <c r="A533" s="41"/>
      <c r="B533" s="169"/>
      <c r="C533" s="41"/>
      <c r="D533" s="99"/>
      <c r="E533" s="41"/>
      <c r="F533" s="41"/>
      <c r="G533" s="41"/>
      <c r="H533" s="99"/>
      <c r="I533" s="41"/>
      <c r="J533" s="99"/>
    </row>
    <row r="534" spans="1:10" x14ac:dyDescent="0.2">
      <c r="A534" s="41"/>
      <c r="B534" s="98" t="s">
        <v>1230</v>
      </c>
      <c r="C534" s="41"/>
      <c r="D534" s="99"/>
      <c r="E534" s="41"/>
      <c r="F534" s="41"/>
      <c r="G534" s="41"/>
      <c r="H534" s="102">
        <f>J158</f>
        <v>305.63</v>
      </c>
      <c r="I534" s="41"/>
      <c r="J534" s="102">
        <f>H534</f>
        <v>305.63</v>
      </c>
    </row>
    <row r="535" spans="1:10" x14ac:dyDescent="0.2">
      <c r="A535" s="41"/>
      <c r="B535" s="98" t="s">
        <v>1229</v>
      </c>
      <c r="C535" s="41"/>
      <c r="D535" s="99"/>
      <c r="E535" s="270">
        <v>45.2</v>
      </c>
      <c r="F535" s="265">
        <v>0.5</v>
      </c>
      <c r="G535" s="41"/>
      <c r="H535" s="265">
        <f>E535*F535</f>
        <v>22.6</v>
      </c>
      <c r="I535" s="41"/>
      <c r="J535" s="265">
        <f t="shared" ref="J535:J536" si="26">H535</f>
        <v>22.6</v>
      </c>
    </row>
    <row r="536" spans="1:10" x14ac:dyDescent="0.2">
      <c r="A536" s="41"/>
      <c r="B536" s="98" t="s">
        <v>869</v>
      </c>
      <c r="C536" s="41"/>
      <c r="D536" s="99"/>
      <c r="E536" s="41"/>
      <c r="F536" s="41"/>
      <c r="G536" s="41"/>
      <c r="H536" s="99">
        <v>148.27000000000001</v>
      </c>
      <c r="I536" s="41"/>
      <c r="J536" s="265">
        <f t="shared" si="26"/>
        <v>148.27000000000001</v>
      </c>
    </row>
    <row r="537" spans="1:10" x14ac:dyDescent="0.2">
      <c r="A537" s="41"/>
      <c r="B537" s="41"/>
      <c r="C537" s="41"/>
      <c r="D537" s="99"/>
      <c r="E537" s="41"/>
      <c r="F537" s="41"/>
      <c r="G537" s="41"/>
      <c r="H537" s="41"/>
      <c r="I537" s="261" t="s">
        <v>604</v>
      </c>
      <c r="J537" s="260">
        <f>SUM(J534:J536)</f>
        <v>476.5</v>
      </c>
    </row>
    <row r="538" spans="1:10" x14ac:dyDescent="0.2">
      <c r="A538" s="41"/>
      <c r="B538" s="41"/>
      <c r="C538" s="41"/>
      <c r="D538" s="99"/>
      <c r="E538" s="41"/>
      <c r="F538" s="41"/>
      <c r="G538" s="41"/>
      <c r="H538" s="41"/>
      <c r="I538" s="41"/>
      <c r="J538" s="41"/>
    </row>
    <row r="539" spans="1:10" x14ac:dyDescent="0.2">
      <c r="A539" s="11">
        <v>11</v>
      </c>
      <c r="B539" s="7" t="s">
        <v>134</v>
      </c>
      <c r="C539" s="5"/>
      <c r="D539" s="277"/>
      <c r="E539" s="77"/>
      <c r="F539" s="77"/>
      <c r="G539" s="77"/>
      <c r="H539" s="77"/>
      <c r="I539" s="77"/>
      <c r="J539" s="77"/>
    </row>
    <row r="540" spans="1:10" x14ac:dyDescent="0.2">
      <c r="A540" s="23" t="s">
        <v>337</v>
      </c>
      <c r="B540" s="18" t="s">
        <v>135</v>
      </c>
      <c r="C540" s="19"/>
      <c r="D540" s="99"/>
      <c r="E540" s="41"/>
      <c r="F540" s="41"/>
      <c r="G540" s="41"/>
      <c r="H540" s="41"/>
      <c r="I540" s="41"/>
      <c r="J540" s="41"/>
    </row>
    <row r="541" spans="1:10" ht="25.5" x14ac:dyDescent="0.2">
      <c r="A541" s="19" t="s">
        <v>338</v>
      </c>
      <c r="B541" s="21" t="s">
        <v>145</v>
      </c>
      <c r="C541" s="19" t="s">
        <v>39</v>
      </c>
      <c r="D541" s="263" t="s">
        <v>257</v>
      </c>
      <c r="E541" s="93" t="s">
        <v>258</v>
      </c>
      <c r="F541" s="93" t="s">
        <v>259</v>
      </c>
      <c r="G541" s="93" t="s">
        <v>260</v>
      </c>
      <c r="H541" s="93" t="s">
        <v>261</v>
      </c>
      <c r="I541" s="93" t="s">
        <v>262</v>
      </c>
      <c r="J541" s="94" t="s">
        <v>263</v>
      </c>
    </row>
    <row r="542" spans="1:10" x14ac:dyDescent="0.2">
      <c r="A542" s="19"/>
      <c r="B542" s="101" t="s">
        <v>676</v>
      </c>
      <c r="C542" s="19"/>
      <c r="D542" s="263"/>
      <c r="E542" s="93"/>
      <c r="F542" s="93"/>
      <c r="G542" s="93"/>
      <c r="I542" s="93"/>
      <c r="J542" s="94"/>
    </row>
    <row r="543" spans="1:10" x14ac:dyDescent="0.2">
      <c r="A543" s="19"/>
      <c r="B543" s="80" t="s">
        <v>634</v>
      </c>
      <c r="C543" s="19"/>
      <c r="D543" s="263"/>
      <c r="E543" s="93"/>
      <c r="F543" s="93"/>
      <c r="G543" s="93"/>
      <c r="H543" s="93">
        <v>9.4499999999999993</v>
      </c>
      <c r="I543" s="93"/>
      <c r="J543" s="94">
        <f>H543</f>
        <v>9.4499999999999993</v>
      </c>
    </row>
    <row r="544" spans="1:10" x14ac:dyDescent="0.2">
      <c r="A544" s="19"/>
      <c r="B544" s="80" t="s">
        <v>618</v>
      </c>
      <c r="C544" s="19"/>
      <c r="D544" s="263"/>
      <c r="E544" s="93"/>
      <c r="F544" s="93"/>
      <c r="G544" s="93"/>
      <c r="H544" s="93">
        <v>13.18</v>
      </c>
      <c r="I544" s="93"/>
      <c r="J544" s="264">
        <f t="shared" ref="J544:J566" si="27">H544</f>
        <v>13.18</v>
      </c>
    </row>
    <row r="545" spans="1:10" x14ac:dyDescent="0.2">
      <c r="A545" s="19"/>
      <c r="B545" s="80" t="s">
        <v>680</v>
      </c>
      <c r="C545" s="19"/>
      <c r="D545" s="263"/>
      <c r="E545" s="93"/>
      <c r="F545" s="93"/>
      <c r="G545" s="93"/>
      <c r="H545" s="93">
        <v>23.8</v>
      </c>
      <c r="I545" s="93"/>
      <c r="J545" s="264">
        <f t="shared" si="27"/>
        <v>23.8</v>
      </c>
    </row>
    <row r="546" spans="1:10" x14ac:dyDescent="0.2">
      <c r="A546" s="19"/>
      <c r="B546" s="80" t="s">
        <v>620</v>
      </c>
      <c r="C546" s="19"/>
      <c r="D546" s="263"/>
      <c r="E546" s="93"/>
      <c r="F546" s="93"/>
      <c r="G546" s="93"/>
      <c r="H546" s="93">
        <v>8.98</v>
      </c>
      <c r="I546" s="93"/>
      <c r="J546" s="264">
        <f t="shared" si="27"/>
        <v>8.98</v>
      </c>
    </row>
    <row r="547" spans="1:10" x14ac:dyDescent="0.2">
      <c r="A547" s="19"/>
      <c r="B547" s="80" t="s">
        <v>621</v>
      </c>
      <c r="C547" s="19"/>
      <c r="D547" s="263"/>
      <c r="E547" s="93"/>
      <c r="F547" s="93"/>
      <c r="G547" s="93"/>
      <c r="H547" s="93">
        <v>10.06</v>
      </c>
      <c r="I547" s="93"/>
      <c r="J547" s="264">
        <f t="shared" si="27"/>
        <v>10.06</v>
      </c>
    </row>
    <row r="548" spans="1:10" x14ac:dyDescent="0.2">
      <c r="A548" s="19"/>
      <c r="B548" s="80" t="s">
        <v>674</v>
      </c>
      <c r="C548" s="19"/>
      <c r="D548" s="263"/>
      <c r="E548" s="93"/>
      <c r="F548" s="93"/>
      <c r="G548" s="93"/>
      <c r="H548" s="93">
        <v>17.899999999999999</v>
      </c>
      <c r="I548" s="93"/>
      <c r="J548" s="264">
        <f t="shared" si="27"/>
        <v>17.899999999999999</v>
      </c>
    </row>
    <row r="549" spans="1:10" x14ac:dyDescent="0.2">
      <c r="A549" s="19"/>
      <c r="B549" s="80" t="s">
        <v>632</v>
      </c>
      <c r="C549" s="19"/>
      <c r="D549" s="263"/>
      <c r="E549" s="93"/>
      <c r="F549" s="93"/>
      <c r="G549" s="93"/>
      <c r="H549" s="93">
        <v>17.11</v>
      </c>
      <c r="I549" s="93"/>
      <c r="J549" s="264">
        <f t="shared" si="27"/>
        <v>17.11</v>
      </c>
    </row>
    <row r="550" spans="1:10" x14ac:dyDescent="0.2">
      <c r="A550" s="19"/>
      <c r="B550" s="80" t="s">
        <v>681</v>
      </c>
      <c r="C550" s="41"/>
      <c r="D550" s="99"/>
      <c r="E550" s="41"/>
      <c r="F550" s="41"/>
      <c r="G550" s="41"/>
      <c r="H550" s="93">
        <v>3.4</v>
      </c>
      <c r="I550" s="93"/>
      <c r="J550" s="264">
        <f t="shared" si="27"/>
        <v>3.4</v>
      </c>
    </row>
    <row r="551" spans="1:10" x14ac:dyDescent="0.2">
      <c r="A551" s="19"/>
      <c r="B551" s="80" t="s">
        <v>683</v>
      </c>
      <c r="C551" s="41"/>
      <c r="D551" s="99"/>
      <c r="E551" s="41"/>
      <c r="F551" s="41"/>
      <c r="G551" s="41"/>
      <c r="H551" s="93">
        <v>3.4</v>
      </c>
      <c r="I551" s="93"/>
      <c r="J551" s="264">
        <f t="shared" si="27"/>
        <v>3.4</v>
      </c>
    </row>
    <row r="552" spans="1:10" x14ac:dyDescent="0.2">
      <c r="A552" s="19"/>
      <c r="B552" s="80" t="s">
        <v>682</v>
      </c>
      <c r="C552" s="19"/>
      <c r="D552" s="263"/>
      <c r="E552" s="93"/>
      <c r="F552" s="93"/>
      <c r="G552" s="93"/>
      <c r="H552" s="93">
        <v>3.77</v>
      </c>
      <c r="I552" s="93"/>
      <c r="J552" s="264">
        <f t="shared" si="27"/>
        <v>3.77</v>
      </c>
    </row>
    <row r="553" spans="1:10" x14ac:dyDescent="0.2">
      <c r="A553" s="19"/>
      <c r="B553" s="80" t="s">
        <v>641</v>
      </c>
      <c r="C553" s="19"/>
      <c r="D553" s="263"/>
      <c r="E553" s="93"/>
      <c r="F553" s="93"/>
      <c r="G553" s="93"/>
      <c r="H553" s="93">
        <v>3.77</v>
      </c>
      <c r="I553" s="93"/>
      <c r="J553" s="264">
        <f t="shared" si="27"/>
        <v>3.77</v>
      </c>
    </row>
    <row r="554" spans="1:10" x14ac:dyDescent="0.2">
      <c r="A554" s="19"/>
      <c r="B554" s="80" t="s">
        <v>675</v>
      </c>
      <c r="C554" s="19"/>
      <c r="D554" s="263"/>
      <c r="E554" s="93"/>
      <c r="F554" s="93"/>
      <c r="G554" s="93"/>
      <c r="H554" s="93">
        <v>10.76</v>
      </c>
      <c r="I554" s="93"/>
      <c r="J554" s="264">
        <f t="shared" si="27"/>
        <v>10.76</v>
      </c>
    </row>
    <row r="555" spans="1:10" x14ac:dyDescent="0.2">
      <c r="A555" s="19"/>
      <c r="B555" s="80" t="s">
        <v>643</v>
      </c>
      <c r="C555" s="19"/>
      <c r="D555" s="263"/>
      <c r="E555" s="93"/>
      <c r="F555" s="93"/>
      <c r="G555" s="93"/>
      <c r="H555" s="93">
        <v>4.84</v>
      </c>
      <c r="I555" s="93"/>
      <c r="J555" s="264">
        <f t="shared" si="27"/>
        <v>4.84</v>
      </c>
    </row>
    <row r="556" spans="1:10" x14ac:dyDescent="0.2">
      <c r="A556" s="19"/>
      <c r="B556" s="101" t="s">
        <v>677</v>
      </c>
      <c r="C556" s="19"/>
      <c r="D556" s="263"/>
      <c r="E556" s="93"/>
      <c r="F556" s="93"/>
      <c r="G556" s="93"/>
      <c r="H556" s="93"/>
      <c r="I556" s="93"/>
      <c r="J556" s="264">
        <f t="shared" si="27"/>
        <v>0</v>
      </c>
    </row>
    <row r="557" spans="1:10" x14ac:dyDescent="0.2">
      <c r="A557" s="19"/>
      <c r="B557" s="80" t="s">
        <v>679</v>
      </c>
      <c r="C557" s="19"/>
      <c r="D557" s="263"/>
      <c r="E557" s="93"/>
      <c r="F557" s="93"/>
      <c r="G557" s="93"/>
      <c r="H557" s="93">
        <v>8.26</v>
      </c>
      <c r="I557" s="93"/>
      <c r="J557" s="264">
        <f t="shared" si="27"/>
        <v>8.26</v>
      </c>
    </row>
    <row r="558" spans="1:10" x14ac:dyDescent="0.2">
      <c r="A558" s="19"/>
      <c r="B558" s="80" t="s">
        <v>680</v>
      </c>
      <c r="C558" s="19"/>
      <c r="D558" s="263"/>
      <c r="E558" s="93"/>
      <c r="F558" s="93"/>
      <c r="G558" s="93"/>
      <c r="H558" s="93">
        <v>20.61</v>
      </c>
      <c r="I558" s="93"/>
      <c r="J558" s="264">
        <f t="shared" si="27"/>
        <v>20.61</v>
      </c>
    </row>
    <row r="559" spans="1:10" x14ac:dyDescent="0.2">
      <c r="A559" s="19"/>
      <c r="B559" s="80" t="s">
        <v>655</v>
      </c>
      <c r="C559" s="19"/>
      <c r="D559" s="263"/>
      <c r="E559" s="93"/>
      <c r="F559" s="93"/>
      <c r="G559" s="93"/>
      <c r="H559" s="93">
        <v>13.18</v>
      </c>
      <c r="I559" s="93"/>
      <c r="J559" s="264">
        <f t="shared" si="27"/>
        <v>13.18</v>
      </c>
    </row>
    <row r="560" spans="1:10" x14ac:dyDescent="0.2">
      <c r="A560" s="19"/>
      <c r="B560" s="80" t="s">
        <v>624</v>
      </c>
      <c r="C560" s="19"/>
      <c r="D560" s="263"/>
      <c r="E560" s="93"/>
      <c r="F560" s="93"/>
      <c r="G560" s="93"/>
      <c r="H560" s="93">
        <v>9.4499999999999993</v>
      </c>
      <c r="I560" s="93"/>
      <c r="J560" s="264">
        <f t="shared" si="27"/>
        <v>9.4499999999999993</v>
      </c>
    </row>
    <row r="561" spans="1:10" x14ac:dyDescent="0.2">
      <c r="A561" s="19"/>
      <c r="B561" s="80" t="s">
        <v>625</v>
      </c>
      <c r="C561" s="19"/>
      <c r="D561" s="263"/>
      <c r="E561" s="93"/>
      <c r="F561" s="93"/>
      <c r="G561" s="93"/>
      <c r="H561" s="93">
        <v>8.98</v>
      </c>
      <c r="I561" s="93"/>
      <c r="J561" s="264">
        <f t="shared" si="27"/>
        <v>8.98</v>
      </c>
    </row>
    <row r="562" spans="1:10" x14ac:dyDescent="0.2">
      <c r="A562" s="19"/>
      <c r="B562" s="80" t="s">
        <v>1379</v>
      </c>
      <c r="C562" s="19"/>
      <c r="D562" s="263"/>
      <c r="E562" s="93"/>
      <c r="F562" s="93"/>
      <c r="G562" s="93"/>
      <c r="H562" s="93">
        <v>10.06</v>
      </c>
      <c r="I562" s="93"/>
      <c r="J562" s="264">
        <f t="shared" si="27"/>
        <v>10.06</v>
      </c>
    </row>
    <row r="563" spans="1:10" x14ac:dyDescent="0.2">
      <c r="A563" s="19"/>
      <c r="B563" s="80" t="s">
        <v>678</v>
      </c>
      <c r="C563" s="19"/>
      <c r="D563" s="263"/>
      <c r="E563" s="93"/>
      <c r="F563" s="93"/>
      <c r="G563" s="93"/>
      <c r="H563" s="93">
        <v>35.89</v>
      </c>
      <c r="I563" s="93"/>
      <c r="J563" s="264">
        <f t="shared" si="27"/>
        <v>35.89</v>
      </c>
    </row>
    <row r="564" spans="1:10" x14ac:dyDescent="0.2">
      <c r="A564" s="19"/>
      <c r="B564" s="80" t="s">
        <v>675</v>
      </c>
      <c r="C564" s="19"/>
      <c r="D564" s="263"/>
      <c r="E564" s="93"/>
      <c r="F564" s="93"/>
      <c r="G564" s="93"/>
      <c r="H564" s="93">
        <v>15.93</v>
      </c>
      <c r="I564" s="93"/>
      <c r="J564" s="264">
        <f t="shared" si="27"/>
        <v>15.93</v>
      </c>
    </row>
    <row r="565" spans="1:10" x14ac:dyDescent="0.2">
      <c r="A565" s="19"/>
      <c r="B565" s="80" t="s">
        <v>644</v>
      </c>
      <c r="C565" s="19"/>
      <c r="D565" s="263"/>
      <c r="E565" s="93"/>
      <c r="F565" s="93"/>
      <c r="G565" s="93"/>
      <c r="H565" s="93">
        <v>3.77</v>
      </c>
      <c r="I565" s="93"/>
      <c r="J565" s="264">
        <f t="shared" si="27"/>
        <v>3.77</v>
      </c>
    </row>
    <row r="566" spans="1:10" x14ac:dyDescent="0.2">
      <c r="A566" s="19"/>
      <c r="B566" s="80" t="s">
        <v>628</v>
      </c>
      <c r="C566" s="19"/>
      <c r="D566" s="263"/>
      <c r="E566" s="93"/>
      <c r="F566" s="93"/>
      <c r="G566" s="93"/>
      <c r="H566" s="93">
        <v>14.49</v>
      </c>
      <c r="I566" s="93"/>
      <c r="J566" s="264">
        <f t="shared" si="27"/>
        <v>14.49</v>
      </c>
    </row>
    <row r="567" spans="1:10" x14ac:dyDescent="0.2">
      <c r="A567" s="41"/>
      <c r="B567" s="41"/>
      <c r="C567" s="41"/>
      <c r="D567" s="99"/>
      <c r="E567" s="41"/>
      <c r="F567" s="41"/>
      <c r="G567" s="256"/>
      <c r="H567" s="256"/>
      <c r="I567" s="91" t="s">
        <v>604</v>
      </c>
      <c r="J567" s="90">
        <f>SUM(J543:J566)</f>
        <v>271.04000000000002</v>
      </c>
    </row>
    <row r="568" spans="1:10" x14ac:dyDescent="0.2">
      <c r="A568" s="41"/>
      <c r="B568" s="41"/>
      <c r="C568" s="41"/>
      <c r="D568" s="99"/>
      <c r="E568" s="41"/>
      <c r="F568" s="41"/>
      <c r="G568" s="41"/>
      <c r="H568" s="41"/>
      <c r="I568" s="41"/>
      <c r="J568" s="41"/>
    </row>
    <row r="569" spans="1:10" x14ac:dyDescent="0.2">
      <c r="A569" s="11">
        <v>12</v>
      </c>
      <c r="B569" s="7" t="s">
        <v>137</v>
      </c>
      <c r="C569" s="5"/>
      <c r="D569" s="277"/>
      <c r="E569" s="77"/>
      <c r="F569" s="77"/>
      <c r="G569" s="77"/>
      <c r="H569" s="77"/>
      <c r="I569" s="77"/>
      <c r="J569" s="77"/>
    </row>
    <row r="570" spans="1:10" x14ac:dyDescent="0.2">
      <c r="A570" s="23" t="s">
        <v>339</v>
      </c>
      <c r="B570" s="18" t="s">
        <v>136</v>
      </c>
      <c r="C570" s="19"/>
      <c r="D570" s="99"/>
      <c r="E570" s="41"/>
      <c r="F570" s="41"/>
      <c r="G570" s="41"/>
      <c r="H570" s="41"/>
      <c r="I570" s="41"/>
      <c r="J570" s="41"/>
    </row>
    <row r="571" spans="1:10" ht="25.5" x14ac:dyDescent="0.2">
      <c r="A571" s="19" t="s">
        <v>340</v>
      </c>
      <c r="B571" s="21" t="s">
        <v>138</v>
      </c>
      <c r="C571" s="19" t="s">
        <v>39</v>
      </c>
      <c r="D571" s="263" t="s">
        <v>257</v>
      </c>
      <c r="E571" s="93" t="s">
        <v>258</v>
      </c>
      <c r="F571" s="93" t="s">
        <v>259</v>
      </c>
      <c r="G571" s="93" t="s">
        <v>260</v>
      </c>
      <c r="H571" s="93" t="s">
        <v>261</v>
      </c>
      <c r="I571" s="93" t="s">
        <v>262</v>
      </c>
      <c r="J571" s="94" t="s">
        <v>263</v>
      </c>
    </row>
    <row r="572" spans="1:10" x14ac:dyDescent="0.2">
      <c r="A572" s="19"/>
      <c r="B572" s="80" t="s">
        <v>684</v>
      </c>
      <c r="C572" s="19"/>
      <c r="D572" s="99"/>
      <c r="E572" s="41"/>
      <c r="F572" s="41"/>
      <c r="G572" s="41"/>
      <c r="H572" s="41"/>
      <c r="I572" s="41"/>
      <c r="J572" s="41"/>
    </row>
    <row r="573" spans="1:10" x14ac:dyDescent="0.2">
      <c r="A573" s="19"/>
      <c r="B573" s="84" t="s">
        <v>685</v>
      </c>
      <c r="C573" s="19"/>
      <c r="D573" s="265">
        <v>2</v>
      </c>
      <c r="E573" s="41"/>
      <c r="F573" s="41"/>
      <c r="G573" s="41"/>
      <c r="H573" s="102">
        <f>J405</f>
        <v>641.24820000000011</v>
      </c>
      <c r="I573" s="256"/>
      <c r="J573" s="265">
        <f>D573*H573</f>
        <v>1282.4964000000002</v>
      </c>
    </row>
    <row r="574" spans="1:10" s="253" customFormat="1" x14ac:dyDescent="0.2">
      <c r="A574" s="254"/>
      <c r="B574" s="84"/>
      <c r="C574" s="254"/>
      <c r="D574" s="265"/>
      <c r="E574" s="256"/>
      <c r="F574" s="256"/>
      <c r="G574" s="256"/>
      <c r="H574" s="265"/>
      <c r="I574" s="266"/>
      <c r="J574" s="267"/>
    </row>
    <row r="575" spans="1:10" s="253" customFormat="1" x14ac:dyDescent="0.2">
      <c r="A575" s="254"/>
      <c r="B575" s="271" t="s">
        <v>1381</v>
      </c>
      <c r="C575" s="254"/>
      <c r="D575" s="265"/>
      <c r="E575" s="265">
        <v>10.15</v>
      </c>
      <c r="F575" s="256"/>
      <c r="G575" s="265">
        <v>3</v>
      </c>
      <c r="H575" s="265">
        <f>E575*G575</f>
        <v>30.450000000000003</v>
      </c>
      <c r="I575" s="266"/>
      <c r="J575" s="249">
        <f>H575</f>
        <v>30.450000000000003</v>
      </c>
    </row>
    <row r="576" spans="1:10" x14ac:dyDescent="0.2">
      <c r="A576" s="19"/>
      <c r="B576" s="84"/>
      <c r="C576" s="19"/>
      <c r="D576" s="265"/>
      <c r="E576" s="41"/>
      <c r="F576" s="41"/>
      <c r="G576" s="41"/>
      <c r="H576" s="102"/>
      <c r="I576" s="91" t="s">
        <v>604</v>
      </c>
      <c r="J576" s="90">
        <f>TRUNC(ROUND(SUM(J573:J575),2),2)</f>
        <v>1312.95</v>
      </c>
    </row>
    <row r="577" spans="1:10" s="253" customFormat="1" x14ac:dyDescent="0.2">
      <c r="A577" s="254"/>
      <c r="B577" s="84"/>
      <c r="C577" s="254"/>
      <c r="D577" s="265"/>
      <c r="E577" s="256"/>
      <c r="F577" s="256"/>
      <c r="G577" s="256"/>
      <c r="H577" s="265"/>
      <c r="I577" s="266"/>
      <c r="J577" s="267"/>
    </row>
    <row r="578" spans="1:10" ht="25.5" x14ac:dyDescent="0.2">
      <c r="A578" s="23" t="s">
        <v>341</v>
      </c>
      <c r="B578" s="18" t="s">
        <v>252</v>
      </c>
      <c r="C578" s="19"/>
      <c r="D578" s="99"/>
      <c r="E578" s="41"/>
      <c r="F578" s="41"/>
      <c r="G578" s="41"/>
      <c r="H578" s="41"/>
      <c r="I578" s="41"/>
      <c r="J578" s="41"/>
    </row>
    <row r="579" spans="1:10" ht="25.5" x14ac:dyDescent="0.2">
      <c r="A579" s="19" t="s">
        <v>343</v>
      </c>
      <c r="B579" s="21" t="s">
        <v>732</v>
      </c>
      <c r="C579" s="19" t="s">
        <v>24</v>
      </c>
      <c r="D579" s="263" t="s">
        <v>257</v>
      </c>
      <c r="E579" s="93" t="s">
        <v>258</v>
      </c>
      <c r="F579" s="93" t="s">
        <v>259</v>
      </c>
      <c r="G579" s="93" t="s">
        <v>260</v>
      </c>
      <c r="H579" s="93" t="s">
        <v>261</v>
      </c>
      <c r="I579" s="93" t="s">
        <v>262</v>
      </c>
      <c r="J579" s="94" t="s">
        <v>263</v>
      </c>
    </row>
    <row r="580" spans="1:10" ht="43.5" customHeight="1" x14ac:dyDescent="0.2">
      <c r="A580" s="19"/>
      <c r="B580" s="170"/>
      <c r="C580" s="19"/>
      <c r="D580" s="263"/>
      <c r="E580" s="93"/>
      <c r="F580" s="93"/>
      <c r="G580" s="93"/>
      <c r="H580" s="93"/>
      <c r="I580" s="168" t="s">
        <v>864</v>
      </c>
      <c r="J580" s="94"/>
    </row>
    <row r="581" spans="1:10" x14ac:dyDescent="0.2">
      <c r="A581" s="19"/>
      <c r="B581" s="421" t="s">
        <v>642</v>
      </c>
      <c r="C581" s="82"/>
      <c r="D581" s="258">
        <v>2</v>
      </c>
      <c r="E581" s="82">
        <v>2.9</v>
      </c>
      <c r="F581" s="82"/>
      <c r="G581" s="82">
        <v>2.94</v>
      </c>
      <c r="H581" s="82">
        <f t="shared" ref="H581:H597" si="28">D581*E581*G581</f>
        <v>17.052</v>
      </c>
      <c r="I581" s="82"/>
      <c r="J581" s="82">
        <f t="shared" ref="J581:J587" si="29">H581-I581</f>
        <v>17.052</v>
      </c>
    </row>
    <row r="582" spans="1:10" x14ac:dyDescent="0.2">
      <c r="A582" s="19"/>
      <c r="B582" s="422"/>
      <c r="C582" s="82"/>
      <c r="D582" s="258">
        <v>2</v>
      </c>
      <c r="E582" s="82">
        <v>1.3</v>
      </c>
      <c r="F582" s="82"/>
      <c r="G582" s="82">
        <v>2.94</v>
      </c>
      <c r="H582" s="82">
        <f t="shared" si="28"/>
        <v>7.6440000000000001</v>
      </c>
      <c r="I582" s="82">
        <f>1.47+0.48</f>
        <v>1.95</v>
      </c>
      <c r="J582" s="82">
        <f t="shared" si="29"/>
        <v>5.694</v>
      </c>
    </row>
    <row r="583" spans="1:10" x14ac:dyDescent="0.2">
      <c r="A583" s="19"/>
      <c r="B583" s="421" t="s">
        <v>641</v>
      </c>
      <c r="C583" s="82"/>
      <c r="D583" s="258">
        <v>2</v>
      </c>
      <c r="E583" s="82">
        <v>2.9</v>
      </c>
      <c r="F583" s="82"/>
      <c r="G583" s="82">
        <v>2.94</v>
      </c>
      <c r="H583" s="82">
        <f t="shared" si="28"/>
        <v>17.052</v>
      </c>
      <c r="I583" s="82"/>
      <c r="J583" s="82">
        <f t="shared" si="29"/>
        <v>17.052</v>
      </c>
    </row>
    <row r="584" spans="1:10" x14ac:dyDescent="0.2">
      <c r="A584" s="19"/>
      <c r="B584" s="422"/>
      <c r="C584" s="82"/>
      <c r="D584" s="258">
        <v>2</v>
      </c>
      <c r="E584" s="82">
        <v>1.3</v>
      </c>
      <c r="F584" s="82"/>
      <c r="G584" s="82">
        <v>2.94</v>
      </c>
      <c r="H584" s="82">
        <f t="shared" si="28"/>
        <v>7.6440000000000001</v>
      </c>
      <c r="I584" s="82">
        <f>1.47+0.48</f>
        <v>1.95</v>
      </c>
      <c r="J584" s="82">
        <f t="shared" si="29"/>
        <v>5.694</v>
      </c>
    </row>
    <row r="585" spans="1:10" x14ac:dyDescent="0.2">
      <c r="A585" s="19"/>
      <c r="B585" s="428" t="s">
        <v>638</v>
      </c>
      <c r="C585" s="82"/>
      <c r="D585" s="258">
        <v>2</v>
      </c>
      <c r="E585" s="82">
        <v>2</v>
      </c>
      <c r="F585" s="82"/>
      <c r="G585" s="82">
        <v>2.94</v>
      </c>
      <c r="H585" s="82">
        <f t="shared" si="28"/>
        <v>11.76</v>
      </c>
      <c r="I585" s="82"/>
      <c r="J585" s="82">
        <f t="shared" si="29"/>
        <v>11.76</v>
      </c>
    </row>
    <row r="586" spans="1:10" x14ac:dyDescent="0.2">
      <c r="A586" s="19"/>
      <c r="B586" s="430"/>
      <c r="C586" s="82"/>
      <c r="D586" s="258">
        <v>2</v>
      </c>
      <c r="E586" s="82">
        <v>1.7</v>
      </c>
      <c r="F586" s="82"/>
      <c r="G586" s="82">
        <v>2.94</v>
      </c>
      <c r="H586" s="82">
        <f t="shared" si="28"/>
        <v>9.9960000000000004</v>
      </c>
      <c r="I586" s="82">
        <f>1.89+0.48</f>
        <v>2.37</v>
      </c>
      <c r="J586" s="82">
        <f t="shared" si="29"/>
        <v>7.6260000000000003</v>
      </c>
    </row>
    <row r="587" spans="1:10" x14ac:dyDescent="0.2">
      <c r="A587" s="19"/>
      <c r="B587" s="428" t="s">
        <v>637</v>
      </c>
      <c r="C587" s="82"/>
      <c r="D587" s="258">
        <v>2</v>
      </c>
      <c r="E587" s="82">
        <v>2</v>
      </c>
      <c r="F587" s="82"/>
      <c r="G587" s="82">
        <v>2.94</v>
      </c>
      <c r="H587" s="82">
        <f t="shared" si="28"/>
        <v>11.76</v>
      </c>
      <c r="I587" s="82"/>
      <c r="J587" s="82">
        <f t="shared" si="29"/>
        <v>11.76</v>
      </c>
    </row>
    <row r="588" spans="1:10" x14ac:dyDescent="0.2">
      <c r="A588" s="19"/>
      <c r="B588" s="430"/>
      <c r="C588" s="82"/>
      <c r="D588" s="258">
        <v>2</v>
      </c>
      <c r="E588" s="82">
        <v>1.7</v>
      </c>
      <c r="F588" s="82"/>
      <c r="G588" s="82">
        <v>2.94</v>
      </c>
      <c r="H588" s="82">
        <f t="shared" si="28"/>
        <v>9.9960000000000004</v>
      </c>
      <c r="I588" s="82">
        <f>1.89+0.48</f>
        <v>2.37</v>
      </c>
      <c r="J588" s="82">
        <f>H588-I588</f>
        <v>7.6260000000000003</v>
      </c>
    </row>
    <row r="589" spans="1:10" x14ac:dyDescent="0.2">
      <c r="A589" s="19"/>
      <c r="B589" s="428" t="s">
        <v>658</v>
      </c>
      <c r="C589" s="82"/>
      <c r="D589" s="258">
        <v>2</v>
      </c>
      <c r="E589" s="82">
        <v>2.9</v>
      </c>
      <c r="F589" s="82"/>
      <c r="G589" s="82">
        <v>2.94</v>
      </c>
      <c r="H589" s="82">
        <f t="shared" si="28"/>
        <v>17.052</v>
      </c>
      <c r="I589" s="82"/>
      <c r="J589" s="82">
        <f t="shared" ref="J589:J597" si="30">H589-I589</f>
        <v>17.052</v>
      </c>
    </row>
    <row r="590" spans="1:10" x14ac:dyDescent="0.2">
      <c r="A590" s="19"/>
      <c r="B590" s="430"/>
      <c r="C590" s="82"/>
      <c r="D590" s="258">
        <v>2</v>
      </c>
      <c r="E590" s="82">
        <v>1.3</v>
      </c>
      <c r="F590" s="82"/>
      <c r="G590" s="82">
        <v>2.94</v>
      </c>
      <c r="H590" s="82">
        <f t="shared" si="28"/>
        <v>7.6440000000000001</v>
      </c>
      <c r="I590" s="82">
        <f>1.47+0.48</f>
        <v>1.95</v>
      </c>
      <c r="J590" s="82">
        <f t="shared" si="30"/>
        <v>5.694</v>
      </c>
    </row>
    <row r="591" spans="1:10" x14ac:dyDescent="0.2">
      <c r="A591" s="19"/>
      <c r="B591" s="427" t="s">
        <v>629</v>
      </c>
      <c r="C591" s="82"/>
      <c r="D591" s="258">
        <v>2</v>
      </c>
      <c r="E591" s="82">
        <v>2.15</v>
      </c>
      <c r="F591" s="82"/>
      <c r="G591" s="82">
        <v>2.94</v>
      </c>
      <c r="H591" s="82">
        <f t="shared" si="28"/>
        <v>12.641999999999999</v>
      </c>
      <c r="I591" s="82">
        <f>2.4+1.47</f>
        <v>3.87</v>
      </c>
      <c r="J591" s="82">
        <f t="shared" si="30"/>
        <v>8.7719999999999985</v>
      </c>
    </row>
    <row r="592" spans="1:10" x14ac:dyDescent="0.2">
      <c r="A592" s="19"/>
      <c r="B592" s="427"/>
      <c r="C592" s="82"/>
      <c r="D592" s="258">
        <v>2</v>
      </c>
      <c r="E592" s="82">
        <v>5</v>
      </c>
      <c r="F592" s="82"/>
      <c r="G592" s="82">
        <v>2.94</v>
      </c>
      <c r="H592" s="82">
        <f t="shared" si="28"/>
        <v>29.4</v>
      </c>
      <c r="I592" s="82">
        <v>1.89</v>
      </c>
      <c r="J592" s="82">
        <f t="shared" si="30"/>
        <v>27.509999999999998</v>
      </c>
    </row>
    <row r="593" spans="1:10" x14ac:dyDescent="0.2">
      <c r="A593" s="23"/>
      <c r="B593" s="421" t="s">
        <v>643</v>
      </c>
      <c r="C593" s="82"/>
      <c r="D593" s="258">
        <v>1</v>
      </c>
      <c r="E593" s="82">
        <v>2.15</v>
      </c>
      <c r="F593" s="82"/>
      <c r="G593" s="82">
        <v>1.5</v>
      </c>
      <c r="H593" s="82">
        <f t="shared" si="28"/>
        <v>3.2249999999999996</v>
      </c>
      <c r="I593" s="82">
        <v>1.05</v>
      </c>
      <c r="J593" s="82">
        <f t="shared" si="30"/>
        <v>2.1749999999999998</v>
      </c>
    </row>
    <row r="594" spans="1:10" s="253" customFormat="1" x14ac:dyDescent="0.2">
      <c r="A594" s="353"/>
      <c r="B594" s="426"/>
      <c r="C594" s="258"/>
      <c r="D594" s="258">
        <v>1</v>
      </c>
      <c r="E594" s="258">
        <v>0.8</v>
      </c>
      <c r="F594" s="258"/>
      <c r="G594" s="258">
        <v>1.5</v>
      </c>
      <c r="H594" s="258">
        <f t="shared" si="28"/>
        <v>1.2000000000000002</v>
      </c>
      <c r="I594" s="258"/>
      <c r="J594" s="258">
        <f t="shared" si="30"/>
        <v>1.2000000000000002</v>
      </c>
    </row>
    <row r="595" spans="1:10" x14ac:dyDescent="0.2">
      <c r="A595" s="23"/>
      <c r="B595" s="422"/>
      <c r="C595" s="82"/>
      <c r="D595" s="258">
        <v>2</v>
      </c>
      <c r="E595" s="82">
        <v>2.4</v>
      </c>
      <c r="F595" s="82"/>
      <c r="G595" s="82">
        <v>1.5</v>
      </c>
      <c r="H595" s="82">
        <f t="shared" si="28"/>
        <v>7.1999999999999993</v>
      </c>
      <c r="I595" s="82"/>
      <c r="J595" s="82">
        <f t="shared" si="30"/>
        <v>7.1999999999999993</v>
      </c>
    </row>
    <row r="596" spans="1:10" x14ac:dyDescent="0.2">
      <c r="A596" s="23"/>
      <c r="B596" s="428" t="s">
        <v>656</v>
      </c>
      <c r="C596" s="82"/>
      <c r="D596" s="258">
        <v>2</v>
      </c>
      <c r="E596" s="82">
        <v>7.4</v>
      </c>
      <c r="F596" s="82"/>
      <c r="G596" s="82">
        <v>2.94</v>
      </c>
      <c r="H596" s="82">
        <f t="shared" si="28"/>
        <v>43.512</v>
      </c>
      <c r="I596" s="82">
        <v>1.89</v>
      </c>
      <c r="J596" s="82">
        <f t="shared" si="30"/>
        <v>41.622</v>
      </c>
    </row>
    <row r="597" spans="1:10" x14ac:dyDescent="0.2">
      <c r="A597" s="23"/>
      <c r="B597" s="429"/>
      <c r="C597" s="82"/>
      <c r="D597" s="258">
        <v>2</v>
      </c>
      <c r="E597" s="82">
        <v>2.15</v>
      </c>
      <c r="F597" s="82"/>
      <c r="G597" s="82">
        <v>2.94</v>
      </c>
      <c r="H597" s="82">
        <f t="shared" si="28"/>
        <v>12.641999999999999</v>
      </c>
      <c r="I597" s="82">
        <f>2.4+1.44</f>
        <v>3.84</v>
      </c>
      <c r="J597" s="82">
        <f t="shared" si="30"/>
        <v>8.8019999999999996</v>
      </c>
    </row>
    <row r="598" spans="1:10" x14ac:dyDescent="0.2">
      <c r="A598" s="23"/>
      <c r="B598" s="172"/>
      <c r="C598" s="82"/>
      <c r="D598" s="258"/>
      <c r="E598" s="82"/>
      <c r="F598" s="82"/>
      <c r="G598" s="82"/>
      <c r="H598" s="82"/>
      <c r="I598" s="91" t="s">
        <v>604</v>
      </c>
      <c r="J598" s="90">
        <f>SUM(J581:J597)</f>
        <v>204.29099999999997</v>
      </c>
    </row>
    <row r="599" spans="1:10" x14ac:dyDescent="0.2">
      <c r="A599" s="23"/>
      <c r="B599" s="172"/>
      <c r="C599" s="82"/>
      <c r="D599" s="258"/>
      <c r="E599" s="82"/>
      <c r="F599" s="82"/>
      <c r="G599" s="82"/>
      <c r="H599" s="82"/>
      <c r="I599" s="82"/>
      <c r="J599" s="82"/>
    </row>
    <row r="600" spans="1:10" ht="25.5" x14ac:dyDescent="0.2">
      <c r="A600" s="19" t="s">
        <v>909</v>
      </c>
      <c r="B600" s="21" t="s">
        <v>253</v>
      </c>
      <c r="C600" s="19" t="s">
        <v>39</v>
      </c>
      <c r="D600" s="263" t="s">
        <v>257</v>
      </c>
      <c r="E600" s="93" t="s">
        <v>258</v>
      </c>
      <c r="F600" s="93" t="s">
        <v>259</v>
      </c>
      <c r="G600" s="93" t="s">
        <v>260</v>
      </c>
      <c r="H600" s="93" t="s">
        <v>261</v>
      </c>
      <c r="I600" s="93" t="s">
        <v>262</v>
      </c>
      <c r="J600" s="94" t="s">
        <v>263</v>
      </c>
    </row>
    <row r="601" spans="1:10" x14ac:dyDescent="0.2">
      <c r="A601" s="19"/>
      <c r="B601" s="80" t="s">
        <v>870</v>
      </c>
      <c r="C601" s="19"/>
      <c r="D601" s="99"/>
      <c r="E601" s="41"/>
      <c r="F601" s="173" t="s">
        <v>685</v>
      </c>
      <c r="G601" s="173" t="s">
        <v>871</v>
      </c>
      <c r="H601" s="41"/>
      <c r="I601" s="41"/>
      <c r="J601" s="41"/>
    </row>
    <row r="602" spans="1:10" x14ac:dyDescent="0.2">
      <c r="A602" s="19"/>
      <c r="B602" s="84" t="s">
        <v>872</v>
      </c>
      <c r="C602" s="19"/>
      <c r="D602" s="99"/>
      <c r="E602" s="41"/>
      <c r="F602" s="102">
        <f>J576+J611</f>
        <v>1494.5040000000001</v>
      </c>
      <c r="G602" s="102">
        <f>J598</f>
        <v>204.29099999999997</v>
      </c>
      <c r="H602" s="102">
        <f>F602-G602</f>
        <v>1290.2130000000002</v>
      </c>
      <c r="I602" s="41"/>
      <c r="J602" s="102">
        <f>H602</f>
        <v>1290.2130000000002</v>
      </c>
    </row>
    <row r="603" spans="1:10" s="253" customFormat="1" x14ac:dyDescent="0.2">
      <c r="A603" s="254"/>
      <c r="B603" s="84"/>
      <c r="C603" s="254"/>
      <c r="D603" s="99"/>
      <c r="E603" s="256"/>
      <c r="F603" s="265"/>
      <c r="G603" s="265"/>
      <c r="H603" s="265"/>
      <c r="I603" s="256"/>
      <c r="J603" s="265"/>
    </row>
    <row r="604" spans="1:10" s="253" customFormat="1" x14ac:dyDescent="0.2">
      <c r="A604" s="254"/>
      <c r="B604" s="271" t="s">
        <v>1380</v>
      </c>
      <c r="C604" s="254"/>
      <c r="D604" s="265"/>
      <c r="E604" s="265">
        <f>10.15+14.1</f>
        <v>24.25</v>
      </c>
      <c r="F604" s="256"/>
      <c r="G604" s="265">
        <v>3</v>
      </c>
      <c r="H604" s="265">
        <f>E604*G604</f>
        <v>72.75</v>
      </c>
      <c r="I604" s="266"/>
      <c r="J604" s="249">
        <f>H604</f>
        <v>72.75</v>
      </c>
    </row>
    <row r="605" spans="1:10" x14ac:dyDescent="0.2">
      <c r="A605" s="19"/>
      <c r="B605" s="271"/>
      <c r="C605" s="254"/>
      <c r="D605" s="265"/>
      <c r="E605" s="265"/>
      <c r="F605" s="256"/>
      <c r="G605" s="265"/>
      <c r="H605" s="265"/>
      <c r="I605" s="266"/>
      <c r="J605" s="249"/>
    </row>
    <row r="606" spans="1:10" x14ac:dyDescent="0.2">
      <c r="A606" s="19"/>
      <c r="B606" s="21"/>
      <c r="C606" s="19"/>
      <c r="D606" s="99"/>
      <c r="E606" s="41"/>
      <c r="F606" s="41"/>
      <c r="G606" s="41"/>
      <c r="H606" s="41"/>
      <c r="I606" s="91" t="s">
        <v>604</v>
      </c>
      <c r="J606" s="90">
        <f>SUM(J602:J605)</f>
        <v>1362.9630000000002</v>
      </c>
    </row>
    <row r="607" spans="1:10" x14ac:dyDescent="0.2">
      <c r="A607" s="19"/>
      <c r="B607" s="21"/>
      <c r="C607" s="19"/>
      <c r="D607" s="99"/>
      <c r="E607" s="41"/>
      <c r="F607" s="41"/>
      <c r="G607" s="41"/>
      <c r="H607" s="41"/>
      <c r="I607" s="41"/>
      <c r="J607" s="41"/>
    </row>
    <row r="608" spans="1:10" ht="25.5" x14ac:dyDescent="0.2">
      <c r="A608" s="19" t="s">
        <v>910</v>
      </c>
      <c r="B608" s="21" t="s">
        <v>140</v>
      </c>
      <c r="C608" s="19" t="s">
        <v>39</v>
      </c>
      <c r="D608" s="263" t="s">
        <v>257</v>
      </c>
      <c r="E608" s="93" t="s">
        <v>258</v>
      </c>
      <c r="F608" s="93" t="s">
        <v>259</v>
      </c>
      <c r="G608" s="93" t="s">
        <v>260</v>
      </c>
      <c r="H608" s="93" t="s">
        <v>261</v>
      </c>
      <c r="I608" s="93" t="s">
        <v>262</v>
      </c>
      <c r="J608" s="94" t="s">
        <v>263</v>
      </c>
    </row>
    <row r="609" spans="1:10" x14ac:dyDescent="0.2">
      <c r="A609" s="41"/>
      <c r="B609" s="98" t="s">
        <v>873</v>
      </c>
      <c r="C609" s="41"/>
      <c r="D609" s="99"/>
      <c r="E609" s="41"/>
      <c r="F609" s="41"/>
      <c r="G609" s="41"/>
      <c r="H609" s="41"/>
      <c r="I609" s="41"/>
      <c r="J609" s="41"/>
    </row>
    <row r="610" spans="1:10" x14ac:dyDescent="0.2">
      <c r="A610" s="41"/>
      <c r="B610" s="80" t="s">
        <v>684</v>
      </c>
      <c r="C610" s="41"/>
      <c r="D610" s="99"/>
      <c r="E610" s="41"/>
      <c r="F610" s="41"/>
      <c r="G610" s="41"/>
      <c r="H610" s="41"/>
      <c r="I610" s="41"/>
      <c r="J610" s="41"/>
    </row>
    <row r="611" spans="1:10" x14ac:dyDescent="0.2">
      <c r="A611" s="41"/>
      <c r="B611" s="84" t="s">
        <v>685</v>
      </c>
      <c r="C611" s="41"/>
      <c r="D611" s="258">
        <v>2</v>
      </c>
      <c r="E611" s="82"/>
      <c r="F611" s="82"/>
      <c r="G611" s="82"/>
      <c r="H611" s="82">
        <f>J522</f>
        <v>90.777000000000001</v>
      </c>
      <c r="I611" s="91" t="s">
        <v>604</v>
      </c>
      <c r="J611" s="90">
        <f>D611*H611</f>
        <v>181.554</v>
      </c>
    </row>
    <row r="612" spans="1:10" x14ac:dyDescent="0.2">
      <c r="A612" s="41"/>
      <c r="B612" s="41"/>
      <c r="C612" s="41"/>
      <c r="D612" s="99"/>
      <c r="E612" s="41"/>
      <c r="F612" s="41"/>
      <c r="G612" s="41"/>
      <c r="H612" s="41"/>
      <c r="I612" s="41"/>
      <c r="J612" s="41"/>
    </row>
    <row r="613" spans="1:10" x14ac:dyDescent="0.2">
      <c r="A613" s="11">
        <v>13</v>
      </c>
      <c r="B613" s="7" t="s">
        <v>142</v>
      </c>
      <c r="C613" s="5"/>
      <c r="D613" s="277"/>
      <c r="E613" s="77"/>
      <c r="F613" s="77"/>
      <c r="G613" s="77"/>
      <c r="H613" s="77"/>
      <c r="I613" s="77"/>
      <c r="J613" s="77"/>
    </row>
    <row r="614" spans="1:10" x14ac:dyDescent="0.2">
      <c r="A614" s="23" t="s">
        <v>344</v>
      </c>
      <c r="B614" s="18" t="s">
        <v>141</v>
      </c>
      <c r="C614" s="19"/>
      <c r="D614" s="99"/>
      <c r="E614" s="41"/>
      <c r="F614" s="41"/>
      <c r="G614" s="41"/>
      <c r="H614" s="41"/>
      <c r="I614" s="41"/>
      <c r="J614" s="41"/>
    </row>
    <row r="615" spans="1:10" ht="25.5" x14ac:dyDescent="0.2">
      <c r="A615" s="19" t="s">
        <v>345</v>
      </c>
      <c r="B615" s="268" t="s">
        <v>733</v>
      </c>
      <c r="C615" s="19" t="s">
        <v>39</v>
      </c>
      <c r="D615" s="263" t="s">
        <v>257</v>
      </c>
      <c r="E615" s="93" t="s">
        <v>258</v>
      </c>
      <c r="F615" s="93" t="s">
        <v>259</v>
      </c>
      <c r="G615" s="93" t="s">
        <v>260</v>
      </c>
      <c r="H615" s="93" t="s">
        <v>261</v>
      </c>
      <c r="I615" s="93" t="s">
        <v>262</v>
      </c>
      <c r="J615" s="94" t="s">
        <v>263</v>
      </c>
    </row>
    <row r="616" spans="1:10" x14ac:dyDescent="0.2">
      <c r="A616" s="19"/>
      <c r="B616" s="101" t="s">
        <v>686</v>
      </c>
      <c r="C616" s="19"/>
      <c r="D616" s="263"/>
      <c r="E616" s="93"/>
      <c r="F616" s="93"/>
      <c r="G616" s="93"/>
      <c r="H616" s="93"/>
      <c r="I616" s="93"/>
      <c r="J616" s="94"/>
    </row>
    <row r="617" spans="1:10" x14ac:dyDescent="0.2">
      <c r="A617" s="19"/>
      <c r="B617" s="80" t="s">
        <v>874</v>
      </c>
      <c r="C617" s="19"/>
      <c r="D617" s="99"/>
      <c r="E617" s="41"/>
      <c r="F617" s="41"/>
      <c r="G617" s="41"/>
      <c r="H617" s="102">
        <v>27.24</v>
      </c>
      <c r="I617" s="41"/>
      <c r="J617" s="102">
        <f>H617</f>
        <v>27.24</v>
      </c>
    </row>
    <row r="618" spans="1:10" x14ac:dyDescent="0.2">
      <c r="A618" s="19"/>
      <c r="B618" s="80" t="s">
        <v>875</v>
      </c>
      <c r="C618" s="19"/>
      <c r="D618" s="99"/>
      <c r="E618" s="41"/>
      <c r="F618" s="41"/>
      <c r="G618" s="41"/>
      <c r="H618" s="102">
        <v>4.5</v>
      </c>
      <c r="I618" s="41"/>
      <c r="J618" s="102">
        <f>H618</f>
        <v>4.5</v>
      </c>
    </row>
    <row r="619" spans="1:10" x14ac:dyDescent="0.2">
      <c r="A619" s="19"/>
      <c r="B619" s="21"/>
      <c r="C619" s="19"/>
      <c r="D619" s="263"/>
      <c r="E619" s="93"/>
      <c r="F619" s="93"/>
      <c r="G619" s="93"/>
      <c r="H619" s="93"/>
      <c r="I619" s="93"/>
      <c r="J619" s="94"/>
    </row>
    <row r="620" spans="1:10" x14ac:dyDescent="0.2">
      <c r="A620" s="19"/>
      <c r="B620" s="101" t="s">
        <v>676</v>
      </c>
      <c r="C620" s="254"/>
      <c r="D620" s="263"/>
      <c r="E620" s="263"/>
      <c r="F620" s="263"/>
      <c r="G620" s="263"/>
      <c r="H620" s="253"/>
      <c r="I620" s="93"/>
      <c r="J620" s="94"/>
    </row>
    <row r="621" spans="1:10" x14ac:dyDescent="0.2">
      <c r="A621" s="19"/>
      <c r="B621" s="356" t="s">
        <v>634</v>
      </c>
      <c r="C621" s="254"/>
      <c r="D621" s="263"/>
      <c r="E621" s="263"/>
      <c r="F621" s="263"/>
      <c r="G621" s="263"/>
      <c r="H621" s="263">
        <v>9.4499999999999993</v>
      </c>
      <c r="I621" s="93"/>
      <c r="J621" s="94">
        <f>H621</f>
        <v>9.4499999999999993</v>
      </c>
    </row>
    <row r="622" spans="1:10" x14ac:dyDescent="0.2">
      <c r="A622" s="19"/>
      <c r="B622" s="356" t="s">
        <v>618</v>
      </c>
      <c r="C622" s="254"/>
      <c r="D622" s="263"/>
      <c r="E622" s="263"/>
      <c r="F622" s="263"/>
      <c r="G622" s="263"/>
      <c r="H622" s="263">
        <v>13.18</v>
      </c>
      <c r="I622" s="93"/>
      <c r="J622" s="94">
        <f t="shared" ref="J622:J644" si="31">H622</f>
        <v>13.18</v>
      </c>
    </row>
    <row r="623" spans="1:10" x14ac:dyDescent="0.2">
      <c r="A623" s="19"/>
      <c r="B623" s="356" t="s">
        <v>680</v>
      </c>
      <c r="C623" s="254"/>
      <c r="D623" s="263"/>
      <c r="E623" s="263"/>
      <c r="F623" s="263"/>
      <c r="G623" s="263"/>
      <c r="H623" s="263">
        <v>23.8</v>
      </c>
      <c r="I623" s="93"/>
      <c r="J623" s="94">
        <f t="shared" si="31"/>
        <v>23.8</v>
      </c>
    </row>
    <row r="624" spans="1:10" x14ac:dyDescent="0.2">
      <c r="A624" s="19"/>
      <c r="B624" s="356" t="s">
        <v>620</v>
      </c>
      <c r="C624" s="254"/>
      <c r="D624" s="263"/>
      <c r="E624" s="263"/>
      <c r="F624" s="263"/>
      <c r="G624" s="263"/>
      <c r="H624" s="263">
        <v>8.98</v>
      </c>
      <c r="I624" s="93"/>
      <c r="J624" s="94">
        <f t="shared" si="31"/>
        <v>8.98</v>
      </c>
    </row>
    <row r="625" spans="1:10" x14ac:dyDescent="0.2">
      <c r="A625" s="19"/>
      <c r="B625" s="356" t="s">
        <v>621</v>
      </c>
      <c r="C625" s="254"/>
      <c r="D625" s="263"/>
      <c r="E625" s="263"/>
      <c r="F625" s="263"/>
      <c r="G625" s="263"/>
      <c r="H625" s="263">
        <v>10.06</v>
      </c>
      <c r="I625" s="93"/>
      <c r="J625" s="94">
        <f t="shared" si="31"/>
        <v>10.06</v>
      </c>
    </row>
    <row r="626" spans="1:10" x14ac:dyDescent="0.2">
      <c r="A626" s="19"/>
      <c r="B626" s="356" t="s">
        <v>674</v>
      </c>
      <c r="C626" s="254"/>
      <c r="D626" s="263"/>
      <c r="E626" s="263"/>
      <c r="F626" s="263"/>
      <c r="G626" s="263"/>
      <c r="H626" s="263">
        <v>17.899999999999999</v>
      </c>
      <c r="I626" s="93"/>
      <c r="J626" s="94">
        <f t="shared" si="31"/>
        <v>17.899999999999999</v>
      </c>
    </row>
    <row r="627" spans="1:10" x14ac:dyDescent="0.2">
      <c r="A627" s="19"/>
      <c r="B627" s="356" t="s">
        <v>632</v>
      </c>
      <c r="C627" s="254"/>
      <c r="D627" s="263"/>
      <c r="E627" s="263"/>
      <c r="F627" s="263"/>
      <c r="G627" s="263"/>
      <c r="H627" s="263">
        <v>17.11</v>
      </c>
      <c r="I627" s="93"/>
      <c r="J627" s="94">
        <f t="shared" si="31"/>
        <v>17.11</v>
      </c>
    </row>
    <row r="628" spans="1:10" x14ac:dyDescent="0.2">
      <c r="A628" s="19"/>
      <c r="B628" s="356" t="s">
        <v>681</v>
      </c>
      <c r="C628" s="256"/>
      <c r="D628" s="99"/>
      <c r="E628" s="256"/>
      <c r="F628" s="256"/>
      <c r="G628" s="256"/>
      <c r="H628" s="263">
        <v>3.4</v>
      </c>
      <c r="I628" s="93"/>
      <c r="J628" s="94">
        <f t="shared" si="31"/>
        <v>3.4</v>
      </c>
    </row>
    <row r="629" spans="1:10" x14ac:dyDescent="0.2">
      <c r="A629" s="19"/>
      <c r="B629" s="356" t="s">
        <v>683</v>
      </c>
      <c r="C629" s="256"/>
      <c r="D629" s="99"/>
      <c r="E629" s="256"/>
      <c r="F629" s="256"/>
      <c r="G629" s="256"/>
      <c r="H629" s="263">
        <v>3.4</v>
      </c>
      <c r="I629" s="93"/>
      <c r="J629" s="94">
        <f t="shared" si="31"/>
        <v>3.4</v>
      </c>
    </row>
    <row r="630" spans="1:10" x14ac:dyDescent="0.2">
      <c r="A630" s="19"/>
      <c r="B630" s="356" t="s">
        <v>682</v>
      </c>
      <c r="C630" s="254"/>
      <c r="D630" s="263"/>
      <c r="E630" s="263"/>
      <c r="F630" s="263"/>
      <c r="G630" s="263"/>
      <c r="H630" s="263">
        <v>3.77</v>
      </c>
      <c r="I630" s="93"/>
      <c r="J630" s="94">
        <f t="shared" si="31"/>
        <v>3.77</v>
      </c>
    </row>
    <row r="631" spans="1:10" x14ac:dyDescent="0.2">
      <c r="A631" s="19"/>
      <c r="B631" s="356" t="s">
        <v>641</v>
      </c>
      <c r="C631" s="254"/>
      <c r="D631" s="263"/>
      <c r="E631" s="263"/>
      <c r="F631" s="263"/>
      <c r="G631" s="263"/>
      <c r="H631" s="263">
        <v>3.77</v>
      </c>
      <c r="I631" s="93"/>
      <c r="J631" s="94">
        <f t="shared" si="31"/>
        <v>3.77</v>
      </c>
    </row>
    <row r="632" spans="1:10" x14ac:dyDescent="0.2">
      <c r="A632" s="19"/>
      <c r="B632" s="356" t="s">
        <v>675</v>
      </c>
      <c r="C632" s="254"/>
      <c r="D632" s="263"/>
      <c r="E632" s="263"/>
      <c r="F632" s="263"/>
      <c r="G632" s="263"/>
      <c r="H632" s="263">
        <v>10.76</v>
      </c>
      <c r="I632" s="93"/>
      <c r="J632" s="94">
        <f t="shared" si="31"/>
        <v>10.76</v>
      </c>
    </row>
    <row r="633" spans="1:10" x14ac:dyDescent="0.2">
      <c r="A633" s="19"/>
      <c r="B633" s="356" t="s">
        <v>643</v>
      </c>
      <c r="C633" s="254"/>
      <c r="D633" s="263"/>
      <c r="E633" s="263"/>
      <c r="F633" s="263"/>
      <c r="G633" s="263"/>
      <c r="H633" s="263">
        <v>4.84</v>
      </c>
      <c r="I633" s="93"/>
      <c r="J633" s="94">
        <f t="shared" si="31"/>
        <v>4.84</v>
      </c>
    </row>
    <row r="634" spans="1:10" x14ac:dyDescent="0.2">
      <c r="A634" s="19"/>
      <c r="B634" s="101" t="s">
        <v>677</v>
      </c>
      <c r="C634" s="254"/>
      <c r="D634" s="263"/>
      <c r="E634" s="263"/>
      <c r="F634" s="263"/>
      <c r="G634" s="263"/>
      <c r="H634" s="263"/>
      <c r="I634" s="93"/>
      <c r="J634" s="94">
        <f t="shared" si="31"/>
        <v>0</v>
      </c>
    </row>
    <row r="635" spans="1:10" x14ac:dyDescent="0.2">
      <c r="A635" s="19"/>
      <c r="B635" s="356" t="s">
        <v>679</v>
      </c>
      <c r="C635" s="254"/>
      <c r="D635" s="263"/>
      <c r="E635" s="263"/>
      <c r="F635" s="263"/>
      <c r="G635" s="263"/>
      <c r="H635" s="263">
        <v>8.26</v>
      </c>
      <c r="I635" s="93"/>
      <c r="J635" s="94"/>
    </row>
    <row r="636" spans="1:10" x14ac:dyDescent="0.2">
      <c r="A636" s="19"/>
      <c r="B636" s="356" t="s">
        <v>680</v>
      </c>
      <c r="C636" s="254"/>
      <c r="D636" s="263"/>
      <c r="E636" s="263"/>
      <c r="F636" s="263"/>
      <c r="G636" s="263"/>
      <c r="H636" s="263">
        <v>20.61</v>
      </c>
      <c r="I636" s="93"/>
      <c r="J636" s="94">
        <f t="shared" si="31"/>
        <v>20.61</v>
      </c>
    </row>
    <row r="637" spans="1:10" x14ac:dyDescent="0.2">
      <c r="A637" s="19"/>
      <c r="B637" s="356" t="s">
        <v>655</v>
      </c>
      <c r="C637" s="254"/>
      <c r="D637" s="263"/>
      <c r="E637" s="263"/>
      <c r="F637" s="263"/>
      <c r="G637" s="263"/>
      <c r="H637" s="263">
        <v>13.18</v>
      </c>
      <c r="I637" s="93"/>
      <c r="J637" s="94">
        <f t="shared" si="31"/>
        <v>13.18</v>
      </c>
    </row>
    <row r="638" spans="1:10" x14ac:dyDescent="0.2">
      <c r="A638" s="19"/>
      <c r="B638" s="356" t="s">
        <v>624</v>
      </c>
      <c r="C638" s="254"/>
      <c r="D638" s="263"/>
      <c r="E638" s="263"/>
      <c r="F638" s="263"/>
      <c r="G638" s="263"/>
      <c r="H638" s="263">
        <v>9.4499999999999993</v>
      </c>
      <c r="I638" s="93"/>
      <c r="J638" s="94">
        <f t="shared" si="31"/>
        <v>9.4499999999999993</v>
      </c>
    </row>
    <row r="639" spans="1:10" x14ac:dyDescent="0.2">
      <c r="A639" s="19"/>
      <c r="B639" s="356" t="s">
        <v>625</v>
      </c>
      <c r="C639" s="254"/>
      <c r="D639" s="263"/>
      <c r="E639" s="263"/>
      <c r="F639" s="263"/>
      <c r="G639" s="263"/>
      <c r="H639" s="263">
        <v>8.98</v>
      </c>
      <c r="I639" s="93"/>
      <c r="J639" s="94">
        <f t="shared" si="31"/>
        <v>8.98</v>
      </c>
    </row>
    <row r="640" spans="1:10" x14ac:dyDescent="0.2">
      <c r="A640" s="19"/>
      <c r="B640" s="356" t="s">
        <v>1379</v>
      </c>
      <c r="C640" s="254"/>
      <c r="D640" s="263"/>
      <c r="E640" s="263"/>
      <c r="F640" s="263"/>
      <c r="G640" s="263"/>
      <c r="H640" s="263">
        <v>10.06</v>
      </c>
      <c r="I640" s="93"/>
      <c r="J640" s="94">
        <f t="shared" si="31"/>
        <v>10.06</v>
      </c>
    </row>
    <row r="641" spans="1:10" x14ac:dyDescent="0.2">
      <c r="A641" s="19"/>
      <c r="B641" s="356" t="s">
        <v>678</v>
      </c>
      <c r="C641" s="254"/>
      <c r="D641" s="263"/>
      <c r="E641" s="263"/>
      <c r="F641" s="263"/>
      <c r="G641" s="263"/>
      <c r="H641" s="263">
        <v>35.89</v>
      </c>
      <c r="I641" s="93"/>
      <c r="J641" s="94">
        <f t="shared" si="31"/>
        <v>35.89</v>
      </c>
    </row>
    <row r="642" spans="1:10" x14ac:dyDescent="0.2">
      <c r="A642" s="19"/>
      <c r="B642" s="356" t="s">
        <v>675</v>
      </c>
      <c r="C642" s="254"/>
      <c r="D642" s="263"/>
      <c r="E642" s="263"/>
      <c r="F642" s="263"/>
      <c r="G642" s="263"/>
      <c r="H642" s="263">
        <v>15.93</v>
      </c>
      <c r="I642" s="93"/>
      <c r="J642" s="94">
        <f t="shared" si="31"/>
        <v>15.93</v>
      </c>
    </row>
    <row r="643" spans="1:10" x14ac:dyDescent="0.2">
      <c r="A643" s="19"/>
      <c r="B643" s="356" t="s">
        <v>644</v>
      </c>
      <c r="C643" s="254"/>
      <c r="D643" s="263"/>
      <c r="E643" s="263"/>
      <c r="F643" s="263"/>
      <c r="G643" s="263"/>
      <c r="H643" s="263">
        <v>3.77</v>
      </c>
      <c r="I643" s="93"/>
      <c r="J643" s="94">
        <f t="shared" si="31"/>
        <v>3.77</v>
      </c>
    </row>
    <row r="644" spans="1:10" x14ac:dyDescent="0.2">
      <c r="A644" s="19"/>
      <c r="B644" s="356" t="s">
        <v>628</v>
      </c>
      <c r="C644" s="254"/>
      <c r="D644" s="263"/>
      <c r="E644" s="263"/>
      <c r="F644" s="263"/>
      <c r="G644" s="263"/>
      <c r="H644" s="263">
        <v>14.49</v>
      </c>
      <c r="I644" s="93"/>
      <c r="J644" s="94">
        <f t="shared" si="31"/>
        <v>14.49</v>
      </c>
    </row>
    <row r="645" spans="1:10" x14ac:dyDescent="0.2">
      <c r="A645" s="19"/>
      <c r="B645" s="41"/>
      <c r="C645" s="41"/>
      <c r="D645" s="99"/>
      <c r="E645" s="41"/>
      <c r="F645" s="41"/>
      <c r="G645" s="41"/>
      <c r="H645" s="41"/>
      <c r="I645" s="91" t="s">
        <v>604</v>
      </c>
      <c r="J645" s="90">
        <f>SUM(J617:J644)</f>
        <v>294.52000000000004</v>
      </c>
    </row>
    <row r="646" spans="1:10" x14ac:dyDescent="0.2">
      <c r="A646" s="19"/>
      <c r="B646" s="21"/>
      <c r="C646" s="19"/>
      <c r="D646" s="263"/>
      <c r="E646" s="93"/>
      <c r="F646" s="93"/>
      <c r="G646" s="93"/>
      <c r="H646" s="93"/>
      <c r="I646" s="93"/>
      <c r="J646" s="94"/>
    </row>
    <row r="647" spans="1:10" ht="25.5" x14ac:dyDescent="0.2">
      <c r="A647" s="19" t="s">
        <v>346</v>
      </c>
      <c r="B647" s="268" t="s">
        <v>146</v>
      </c>
      <c r="C647" s="19" t="s">
        <v>39</v>
      </c>
      <c r="D647" s="263" t="s">
        <v>257</v>
      </c>
      <c r="E647" s="93" t="s">
        <v>258</v>
      </c>
      <c r="F647" s="93" t="s">
        <v>259</v>
      </c>
      <c r="G647" s="93" t="s">
        <v>260</v>
      </c>
      <c r="H647" s="93" t="s">
        <v>261</v>
      </c>
      <c r="I647" s="93" t="s">
        <v>262</v>
      </c>
      <c r="J647" s="94" t="s">
        <v>263</v>
      </c>
    </row>
    <row r="648" spans="1:10" x14ac:dyDescent="0.2">
      <c r="A648" s="19"/>
      <c r="B648" s="101" t="s">
        <v>686</v>
      </c>
      <c r="C648" s="19"/>
      <c r="D648" s="263"/>
      <c r="E648" s="93"/>
      <c r="F648" s="93"/>
      <c r="G648" s="93"/>
      <c r="H648" s="93"/>
      <c r="I648" s="93"/>
      <c r="J648" s="94"/>
    </row>
    <row r="649" spans="1:10" x14ac:dyDescent="0.2">
      <c r="A649" s="19"/>
      <c r="B649" s="80" t="s">
        <v>874</v>
      </c>
      <c r="C649" s="19"/>
      <c r="D649" s="99"/>
      <c r="E649" s="41"/>
      <c r="F649" s="41"/>
      <c r="G649" s="41"/>
      <c r="H649" s="102">
        <v>27.24</v>
      </c>
      <c r="I649" s="41"/>
      <c r="J649" s="102">
        <f>H649</f>
        <v>27.24</v>
      </c>
    </row>
    <row r="650" spans="1:10" x14ac:dyDescent="0.2">
      <c r="A650" s="19"/>
      <c r="B650" s="80" t="s">
        <v>875</v>
      </c>
      <c r="C650" s="19"/>
      <c r="D650" s="99"/>
      <c r="E650" s="41"/>
      <c r="F650" s="41"/>
      <c r="G650" s="41"/>
      <c r="H650" s="102">
        <v>4.5</v>
      </c>
      <c r="I650" s="41"/>
      <c r="J650" s="102">
        <f t="shared" ref="J650" si="32">H650</f>
        <v>4.5</v>
      </c>
    </row>
    <row r="651" spans="1:10" x14ac:dyDescent="0.2">
      <c r="A651" s="19"/>
      <c r="B651" s="101"/>
      <c r="C651" s="19"/>
      <c r="D651" s="263"/>
      <c r="E651" s="93"/>
      <c r="F651" s="93"/>
      <c r="G651" s="93"/>
      <c r="H651" s="93"/>
      <c r="I651" s="91" t="s">
        <v>604</v>
      </c>
      <c r="J651" s="90">
        <f>SUM(J649:J650)</f>
        <v>31.74</v>
      </c>
    </row>
    <row r="652" spans="1:10" x14ac:dyDescent="0.2">
      <c r="A652" s="23" t="s">
        <v>342</v>
      </c>
      <c r="B652" s="18" t="s">
        <v>139</v>
      </c>
      <c r="C652" s="19"/>
      <c r="D652" s="99"/>
      <c r="E652" s="41"/>
      <c r="F652" s="41"/>
      <c r="G652" s="41"/>
      <c r="H652" s="41"/>
      <c r="I652" s="41"/>
      <c r="J652" s="41"/>
    </row>
    <row r="653" spans="1:10" ht="51" x14ac:dyDescent="0.2">
      <c r="A653" s="19" t="s">
        <v>347</v>
      </c>
      <c r="B653" s="21" t="s">
        <v>147</v>
      </c>
      <c r="C653" s="19" t="s">
        <v>39</v>
      </c>
      <c r="D653" s="263" t="s">
        <v>257</v>
      </c>
      <c r="E653" s="93" t="s">
        <v>258</v>
      </c>
      <c r="F653" s="93" t="s">
        <v>259</v>
      </c>
      <c r="G653" s="93" t="s">
        <v>260</v>
      </c>
      <c r="H653" s="93" t="s">
        <v>261</v>
      </c>
      <c r="I653" s="93" t="s">
        <v>262</v>
      </c>
      <c r="J653" s="94" t="s">
        <v>263</v>
      </c>
    </row>
    <row r="654" spans="1:10" x14ac:dyDescent="0.2">
      <c r="A654" s="19"/>
      <c r="B654" s="80" t="s">
        <v>874</v>
      </c>
      <c r="C654" s="19"/>
      <c r="D654" s="99"/>
      <c r="E654" s="41"/>
      <c r="F654" s="41"/>
      <c r="G654" s="41"/>
      <c r="H654" s="102">
        <v>27.24</v>
      </c>
      <c r="I654" s="41"/>
      <c r="J654" s="102">
        <f>H654</f>
        <v>27.24</v>
      </c>
    </row>
    <row r="655" spans="1:10" x14ac:dyDescent="0.2">
      <c r="A655" s="19"/>
      <c r="B655" s="80" t="s">
        <v>875</v>
      </c>
      <c r="C655" s="19"/>
      <c r="D655" s="99"/>
      <c r="E655" s="41"/>
      <c r="F655" s="41"/>
      <c r="G655" s="41"/>
      <c r="H655" s="102">
        <v>4.5</v>
      </c>
      <c r="I655" s="41"/>
      <c r="J655" s="102">
        <f>H655</f>
        <v>4.5</v>
      </c>
    </row>
    <row r="656" spans="1:10" x14ac:dyDescent="0.2">
      <c r="A656" s="19"/>
      <c r="B656" s="80"/>
      <c r="C656" s="19"/>
      <c r="D656" s="263"/>
      <c r="E656" s="93"/>
      <c r="F656" s="93"/>
      <c r="G656" s="93"/>
      <c r="H656" s="93"/>
      <c r="I656" s="91" t="s">
        <v>604</v>
      </c>
      <c r="J656" s="90">
        <f>SUM(J654:J655)</f>
        <v>31.74</v>
      </c>
    </row>
    <row r="657" spans="1:10" x14ac:dyDescent="0.2">
      <c r="A657" s="19"/>
      <c r="B657" s="21"/>
      <c r="C657" s="19"/>
      <c r="D657" s="263"/>
      <c r="E657" s="93"/>
      <c r="F657" s="93"/>
      <c r="G657" s="93"/>
      <c r="H657" s="93"/>
      <c r="I657" s="93"/>
      <c r="J657" s="94"/>
    </row>
    <row r="658" spans="1:10" ht="51" x14ac:dyDescent="0.2">
      <c r="A658" s="19" t="s">
        <v>348</v>
      </c>
      <c r="B658" s="21" t="s">
        <v>148</v>
      </c>
      <c r="C658" s="19" t="s">
        <v>39</v>
      </c>
      <c r="D658" s="263" t="s">
        <v>257</v>
      </c>
      <c r="E658" s="93" t="s">
        <v>258</v>
      </c>
      <c r="F658" s="93" t="s">
        <v>259</v>
      </c>
      <c r="G658" s="93" t="s">
        <v>260</v>
      </c>
      <c r="H658" s="93" t="s">
        <v>261</v>
      </c>
      <c r="I658" s="93" t="s">
        <v>262</v>
      </c>
      <c r="J658" s="94" t="s">
        <v>263</v>
      </c>
    </row>
    <row r="659" spans="1:10" x14ac:dyDescent="0.2">
      <c r="A659" s="19"/>
      <c r="B659" s="101" t="s">
        <v>676</v>
      </c>
      <c r="C659" s="254"/>
      <c r="D659" s="263"/>
      <c r="E659" s="263"/>
      <c r="F659" s="263"/>
      <c r="G659" s="263"/>
      <c r="H659" s="253"/>
      <c r="I659" s="93"/>
      <c r="J659" s="94"/>
    </row>
    <row r="660" spans="1:10" x14ac:dyDescent="0.2">
      <c r="A660" s="19"/>
      <c r="B660" s="356" t="s">
        <v>634</v>
      </c>
      <c r="C660" s="254"/>
      <c r="D660" s="263"/>
      <c r="E660" s="263"/>
      <c r="F660" s="263"/>
      <c r="G660" s="263"/>
      <c r="H660" s="263">
        <v>9.4499999999999993</v>
      </c>
      <c r="I660" s="93"/>
      <c r="J660" s="94">
        <f>H660</f>
        <v>9.4499999999999993</v>
      </c>
    </row>
    <row r="661" spans="1:10" x14ac:dyDescent="0.2">
      <c r="A661" s="19"/>
      <c r="B661" s="356" t="s">
        <v>618</v>
      </c>
      <c r="C661" s="254"/>
      <c r="D661" s="263"/>
      <c r="E661" s="263"/>
      <c r="F661" s="263"/>
      <c r="G661" s="263"/>
      <c r="H661" s="263">
        <v>13.18</v>
      </c>
      <c r="I661" s="93"/>
      <c r="J661" s="94">
        <f t="shared" ref="J661:J672" si="33">H661</f>
        <v>13.18</v>
      </c>
    </row>
    <row r="662" spans="1:10" x14ac:dyDescent="0.2">
      <c r="A662" s="19"/>
      <c r="B662" s="356" t="s">
        <v>680</v>
      </c>
      <c r="C662" s="254"/>
      <c r="D662" s="263"/>
      <c r="E662" s="263"/>
      <c r="F662" s="263"/>
      <c r="G662" s="263"/>
      <c r="H662" s="263">
        <v>23.8</v>
      </c>
      <c r="I662" s="93"/>
      <c r="J662" s="94">
        <f t="shared" si="33"/>
        <v>23.8</v>
      </c>
    </row>
    <row r="663" spans="1:10" x14ac:dyDescent="0.2">
      <c r="A663" s="19"/>
      <c r="B663" s="356" t="s">
        <v>620</v>
      </c>
      <c r="C663" s="254"/>
      <c r="D663" s="263"/>
      <c r="E663" s="263"/>
      <c r="F663" s="263"/>
      <c r="G663" s="263"/>
      <c r="H663" s="263">
        <v>8.98</v>
      </c>
      <c r="I663" s="93"/>
      <c r="J663" s="94">
        <f t="shared" si="33"/>
        <v>8.98</v>
      </c>
    </row>
    <row r="664" spans="1:10" x14ac:dyDescent="0.2">
      <c r="A664" s="19"/>
      <c r="B664" s="356" t="s">
        <v>621</v>
      </c>
      <c r="C664" s="254"/>
      <c r="D664" s="263"/>
      <c r="E664" s="263"/>
      <c r="F664" s="263"/>
      <c r="G664" s="263"/>
      <c r="H664" s="263">
        <v>10.06</v>
      </c>
      <c r="I664" s="93"/>
      <c r="J664" s="94">
        <f t="shared" si="33"/>
        <v>10.06</v>
      </c>
    </row>
    <row r="665" spans="1:10" x14ac:dyDescent="0.2">
      <c r="A665" s="19"/>
      <c r="B665" s="356" t="s">
        <v>674</v>
      </c>
      <c r="C665" s="254"/>
      <c r="D665" s="263"/>
      <c r="E665" s="263"/>
      <c r="F665" s="263"/>
      <c r="G665" s="263"/>
      <c r="H665" s="263">
        <v>17.899999999999999</v>
      </c>
      <c r="I665" s="93"/>
      <c r="J665" s="94">
        <f t="shared" si="33"/>
        <v>17.899999999999999</v>
      </c>
    </row>
    <row r="666" spans="1:10" x14ac:dyDescent="0.2">
      <c r="A666" s="19"/>
      <c r="B666" s="356" t="s">
        <v>632</v>
      </c>
      <c r="C666" s="254"/>
      <c r="D666" s="263"/>
      <c r="E666" s="263"/>
      <c r="F666" s="263"/>
      <c r="G666" s="263"/>
      <c r="H666" s="263">
        <v>17.11</v>
      </c>
      <c r="I666" s="93"/>
      <c r="J666" s="94">
        <f t="shared" si="33"/>
        <v>17.11</v>
      </c>
    </row>
    <row r="667" spans="1:10" x14ac:dyDescent="0.2">
      <c r="A667" s="19"/>
      <c r="B667" s="356" t="s">
        <v>681</v>
      </c>
      <c r="C667" s="256"/>
      <c r="D667" s="99"/>
      <c r="E667" s="256"/>
      <c r="F667" s="256"/>
      <c r="G667" s="256"/>
      <c r="H667" s="263">
        <v>3.4</v>
      </c>
      <c r="I667" s="93"/>
      <c r="J667" s="94">
        <f t="shared" si="33"/>
        <v>3.4</v>
      </c>
    </row>
    <row r="668" spans="1:10" x14ac:dyDescent="0.2">
      <c r="A668" s="19"/>
      <c r="B668" s="356" t="s">
        <v>683</v>
      </c>
      <c r="C668" s="256"/>
      <c r="D668" s="99"/>
      <c r="E668" s="256"/>
      <c r="F668" s="256"/>
      <c r="G668" s="256"/>
      <c r="H668" s="263">
        <v>3.4</v>
      </c>
      <c r="I668" s="93"/>
      <c r="J668" s="94">
        <f t="shared" si="33"/>
        <v>3.4</v>
      </c>
    </row>
    <row r="669" spans="1:10" x14ac:dyDescent="0.2">
      <c r="A669" s="19"/>
      <c r="B669" s="356" t="s">
        <v>682</v>
      </c>
      <c r="C669" s="254"/>
      <c r="D669" s="263"/>
      <c r="E669" s="263"/>
      <c r="F669" s="263"/>
      <c r="G669" s="263"/>
      <c r="H669" s="263">
        <v>3.77</v>
      </c>
      <c r="I669" s="93"/>
      <c r="J669" s="94">
        <f t="shared" si="33"/>
        <v>3.77</v>
      </c>
    </row>
    <row r="670" spans="1:10" x14ac:dyDescent="0.2">
      <c r="A670" s="19"/>
      <c r="B670" s="356" t="s">
        <v>641</v>
      </c>
      <c r="C670" s="254"/>
      <c r="D670" s="263"/>
      <c r="E670" s="263"/>
      <c r="F670" s="263"/>
      <c r="G670" s="263"/>
      <c r="H670" s="263">
        <v>3.77</v>
      </c>
      <c r="I670" s="93"/>
      <c r="J670" s="94">
        <f t="shared" si="33"/>
        <v>3.77</v>
      </c>
    </row>
    <row r="671" spans="1:10" x14ac:dyDescent="0.2">
      <c r="A671" s="19"/>
      <c r="B671" s="356" t="s">
        <v>675</v>
      </c>
      <c r="C671" s="254"/>
      <c r="D671" s="263"/>
      <c r="E671" s="263"/>
      <c r="F671" s="263"/>
      <c r="G671" s="263"/>
      <c r="H671" s="263">
        <v>10.76</v>
      </c>
      <c r="I671" s="93"/>
      <c r="J671" s="94">
        <f t="shared" si="33"/>
        <v>10.76</v>
      </c>
    </row>
    <row r="672" spans="1:10" x14ac:dyDescent="0.2">
      <c r="A672" s="19"/>
      <c r="B672" s="356" t="s">
        <v>643</v>
      </c>
      <c r="C672" s="254"/>
      <c r="D672" s="263"/>
      <c r="E672" s="263"/>
      <c r="F672" s="263"/>
      <c r="G672" s="263"/>
      <c r="H672" s="263">
        <v>4.84</v>
      </c>
      <c r="I672" s="93"/>
      <c r="J672" s="94">
        <f t="shared" si="33"/>
        <v>4.84</v>
      </c>
    </row>
    <row r="673" spans="1:10" x14ac:dyDescent="0.2">
      <c r="A673" s="19"/>
      <c r="B673" s="101" t="s">
        <v>677</v>
      </c>
      <c r="C673" s="254"/>
      <c r="D673" s="263"/>
      <c r="E673" s="263"/>
      <c r="F673" s="263"/>
      <c r="G673" s="263"/>
      <c r="H673" s="263"/>
      <c r="I673" s="93"/>
      <c r="J673" s="94"/>
    </row>
    <row r="674" spans="1:10" x14ac:dyDescent="0.2">
      <c r="A674" s="19"/>
      <c r="B674" s="356" t="s">
        <v>680</v>
      </c>
      <c r="C674" s="254"/>
      <c r="D674" s="263"/>
      <c r="E674" s="263"/>
      <c r="F674" s="263"/>
      <c r="G674" s="263"/>
      <c r="H674" s="263">
        <v>20.61</v>
      </c>
      <c r="I674" s="93"/>
      <c r="J674" s="94">
        <f t="shared" ref="J674:J681" si="34">H674</f>
        <v>20.61</v>
      </c>
    </row>
    <row r="675" spans="1:10" x14ac:dyDescent="0.2">
      <c r="A675" s="19"/>
      <c r="B675" s="356" t="s">
        <v>655</v>
      </c>
      <c r="C675" s="254"/>
      <c r="D675" s="263"/>
      <c r="E675" s="263"/>
      <c r="F675" s="263"/>
      <c r="G675" s="263"/>
      <c r="H675" s="263">
        <v>13.18</v>
      </c>
      <c r="I675" s="93"/>
      <c r="J675" s="94">
        <f t="shared" si="34"/>
        <v>13.18</v>
      </c>
    </row>
    <row r="676" spans="1:10" x14ac:dyDescent="0.2">
      <c r="A676" s="19"/>
      <c r="B676" s="356" t="s">
        <v>624</v>
      </c>
      <c r="C676" s="254"/>
      <c r="D676" s="263"/>
      <c r="E676" s="263"/>
      <c r="F676" s="263"/>
      <c r="G676" s="263"/>
      <c r="H676" s="263">
        <v>9.4499999999999993</v>
      </c>
      <c r="I676" s="93"/>
      <c r="J676" s="94">
        <f t="shared" si="34"/>
        <v>9.4499999999999993</v>
      </c>
    </row>
    <row r="677" spans="1:10" x14ac:dyDescent="0.2">
      <c r="A677" s="19"/>
      <c r="B677" s="356" t="s">
        <v>625</v>
      </c>
      <c r="C677" s="254"/>
      <c r="D677" s="263"/>
      <c r="E677" s="263"/>
      <c r="F677" s="263"/>
      <c r="G677" s="263"/>
      <c r="H677" s="263">
        <v>8.98</v>
      </c>
      <c r="I677" s="93"/>
      <c r="J677" s="94">
        <f t="shared" si="34"/>
        <v>8.98</v>
      </c>
    </row>
    <row r="678" spans="1:10" x14ac:dyDescent="0.2">
      <c r="A678" s="19"/>
      <c r="B678" s="356" t="s">
        <v>1379</v>
      </c>
      <c r="C678" s="254"/>
      <c r="D678" s="263"/>
      <c r="E678" s="263"/>
      <c r="F678" s="263"/>
      <c r="G678" s="263"/>
      <c r="H678" s="263">
        <v>10.06</v>
      </c>
      <c r="I678" s="93"/>
      <c r="J678" s="94">
        <f t="shared" si="34"/>
        <v>10.06</v>
      </c>
    </row>
    <row r="679" spans="1:10" x14ac:dyDescent="0.2">
      <c r="A679" s="19"/>
      <c r="B679" s="356" t="s">
        <v>678</v>
      </c>
      <c r="C679" s="254"/>
      <c r="D679" s="263"/>
      <c r="E679" s="263"/>
      <c r="F679" s="263"/>
      <c r="G679" s="263"/>
      <c r="H679" s="263">
        <v>35.89</v>
      </c>
      <c r="I679" s="93"/>
      <c r="J679" s="94">
        <f t="shared" si="34"/>
        <v>35.89</v>
      </c>
    </row>
    <row r="680" spans="1:10" x14ac:dyDescent="0.2">
      <c r="A680" s="19"/>
      <c r="B680" s="356" t="s">
        <v>675</v>
      </c>
      <c r="C680" s="254"/>
      <c r="D680" s="263"/>
      <c r="E680" s="263"/>
      <c r="F680" s="263"/>
      <c r="G680" s="263"/>
      <c r="H680" s="263">
        <v>15.93</v>
      </c>
      <c r="I680" s="93"/>
      <c r="J680" s="94">
        <f t="shared" si="34"/>
        <v>15.93</v>
      </c>
    </row>
    <row r="681" spans="1:10" x14ac:dyDescent="0.2">
      <c r="A681" s="19"/>
      <c r="B681" s="356" t="s">
        <v>644</v>
      </c>
      <c r="C681" s="254"/>
      <c r="D681" s="263"/>
      <c r="E681" s="263"/>
      <c r="F681" s="263"/>
      <c r="G681" s="263"/>
      <c r="H681" s="263">
        <v>3.77</v>
      </c>
      <c r="I681" s="93"/>
      <c r="J681" s="94">
        <f t="shared" si="34"/>
        <v>3.77</v>
      </c>
    </row>
    <row r="682" spans="1:10" x14ac:dyDescent="0.2">
      <c r="A682" s="19"/>
      <c r="B682" s="356" t="s">
        <v>628</v>
      </c>
      <c r="C682" s="254"/>
      <c r="D682" s="263"/>
      <c r="E682" s="263"/>
      <c r="F682" s="263"/>
      <c r="G682" s="263"/>
      <c r="H682" s="263">
        <v>14.49</v>
      </c>
      <c r="I682" s="263"/>
      <c r="J682" s="264">
        <f t="shared" ref="J682" si="35">H682</f>
        <v>14.49</v>
      </c>
    </row>
    <row r="683" spans="1:10" s="253" customFormat="1" x14ac:dyDescent="0.2">
      <c r="A683" s="254"/>
      <c r="B683" s="356"/>
      <c r="C683" s="254"/>
      <c r="D683" s="263"/>
      <c r="E683" s="263"/>
      <c r="F683" s="263"/>
      <c r="G683" s="263"/>
      <c r="H683" s="263"/>
      <c r="I683" s="91" t="s">
        <v>604</v>
      </c>
      <c r="J683" s="90">
        <f>SUM(J660:J682)</f>
        <v>262.78000000000003</v>
      </c>
    </row>
    <row r="684" spans="1:10" x14ac:dyDescent="0.2">
      <c r="A684" s="19"/>
      <c r="B684" s="21"/>
      <c r="C684" s="19"/>
      <c r="D684" s="99"/>
      <c r="E684" s="41"/>
      <c r="F684" s="41"/>
      <c r="G684" s="41"/>
      <c r="H684" s="41"/>
      <c r="I684" s="41"/>
      <c r="J684" s="41"/>
    </row>
    <row r="685" spans="1:10" ht="51" x14ac:dyDescent="0.2">
      <c r="A685" s="19" t="s">
        <v>349</v>
      </c>
      <c r="B685" s="21" t="s">
        <v>149</v>
      </c>
      <c r="C685" s="19" t="s">
        <v>39</v>
      </c>
      <c r="D685" s="263" t="s">
        <v>257</v>
      </c>
      <c r="E685" s="93" t="s">
        <v>258</v>
      </c>
      <c r="F685" s="93" t="s">
        <v>259</v>
      </c>
      <c r="G685" s="93" t="s">
        <v>260</v>
      </c>
      <c r="H685" s="93" t="s">
        <v>261</v>
      </c>
      <c r="I685" s="93" t="s">
        <v>262</v>
      </c>
      <c r="J685" s="94" t="s">
        <v>263</v>
      </c>
    </row>
    <row r="686" spans="1:10" ht="25.5" x14ac:dyDescent="0.2">
      <c r="A686" s="19"/>
      <c r="B686" s="170"/>
      <c r="C686" s="19"/>
      <c r="D686" s="263"/>
      <c r="E686" s="93"/>
      <c r="F686" s="93"/>
      <c r="G686" s="93"/>
      <c r="H686" s="93"/>
      <c r="I686" s="168" t="s">
        <v>864</v>
      </c>
      <c r="J686" s="94"/>
    </row>
    <row r="687" spans="1:10" x14ac:dyDescent="0.2">
      <c r="A687" s="19"/>
      <c r="B687" s="421" t="s">
        <v>642</v>
      </c>
      <c r="C687" s="82"/>
      <c r="D687" s="258">
        <v>2</v>
      </c>
      <c r="E687" s="82">
        <v>2.9</v>
      </c>
      <c r="F687" s="82"/>
      <c r="G687" s="82">
        <v>2.94</v>
      </c>
      <c r="H687" s="82">
        <f t="shared" ref="H687:H703" si="36">D687*E687*G687</f>
        <v>17.052</v>
      </c>
      <c r="I687" s="82"/>
      <c r="J687" s="82">
        <f t="shared" ref="J687:J693" si="37">H687-I687</f>
        <v>17.052</v>
      </c>
    </row>
    <row r="688" spans="1:10" x14ac:dyDescent="0.2">
      <c r="A688" s="19"/>
      <c r="B688" s="422"/>
      <c r="C688" s="82"/>
      <c r="D688" s="258">
        <v>2</v>
      </c>
      <c r="E688" s="82">
        <v>1.3</v>
      </c>
      <c r="F688" s="82"/>
      <c r="G688" s="82">
        <v>2.94</v>
      </c>
      <c r="H688" s="82">
        <f t="shared" si="36"/>
        <v>7.6440000000000001</v>
      </c>
      <c r="I688" s="82">
        <f>1.47+0.48</f>
        <v>1.95</v>
      </c>
      <c r="J688" s="82">
        <f t="shared" si="37"/>
        <v>5.694</v>
      </c>
    </row>
    <row r="689" spans="1:10" x14ac:dyDescent="0.2">
      <c r="A689" s="19"/>
      <c r="B689" s="421" t="s">
        <v>641</v>
      </c>
      <c r="C689" s="82"/>
      <c r="D689" s="258">
        <v>2</v>
      </c>
      <c r="E689" s="82">
        <v>2.9</v>
      </c>
      <c r="F689" s="82"/>
      <c r="G689" s="82">
        <v>2.94</v>
      </c>
      <c r="H689" s="82">
        <f t="shared" si="36"/>
        <v>17.052</v>
      </c>
      <c r="I689" s="82"/>
      <c r="J689" s="82">
        <f t="shared" si="37"/>
        <v>17.052</v>
      </c>
    </row>
    <row r="690" spans="1:10" x14ac:dyDescent="0.2">
      <c r="A690" s="19"/>
      <c r="B690" s="422"/>
      <c r="C690" s="82"/>
      <c r="D690" s="258">
        <v>2</v>
      </c>
      <c r="E690" s="82">
        <v>1.3</v>
      </c>
      <c r="F690" s="82"/>
      <c r="G690" s="82">
        <v>2.94</v>
      </c>
      <c r="H690" s="82">
        <f t="shared" si="36"/>
        <v>7.6440000000000001</v>
      </c>
      <c r="I690" s="82">
        <f>1.47+0.48</f>
        <v>1.95</v>
      </c>
      <c r="J690" s="82">
        <f t="shared" si="37"/>
        <v>5.694</v>
      </c>
    </row>
    <row r="691" spans="1:10" x14ac:dyDescent="0.2">
      <c r="A691" s="19"/>
      <c r="B691" s="428" t="s">
        <v>638</v>
      </c>
      <c r="C691" s="82"/>
      <c r="D691" s="258">
        <v>2</v>
      </c>
      <c r="E691" s="82">
        <v>2</v>
      </c>
      <c r="F691" s="82"/>
      <c r="G691" s="82">
        <v>2.94</v>
      </c>
      <c r="H691" s="82">
        <f t="shared" si="36"/>
        <v>11.76</v>
      </c>
      <c r="I691" s="82"/>
      <c r="J691" s="82">
        <f t="shared" si="37"/>
        <v>11.76</v>
      </c>
    </row>
    <row r="692" spans="1:10" x14ac:dyDescent="0.2">
      <c r="A692" s="19"/>
      <c r="B692" s="430"/>
      <c r="C692" s="82"/>
      <c r="D692" s="258">
        <v>2</v>
      </c>
      <c r="E692" s="82">
        <v>1.7</v>
      </c>
      <c r="F692" s="82"/>
      <c r="G692" s="82">
        <v>2.94</v>
      </c>
      <c r="H692" s="82">
        <f t="shared" si="36"/>
        <v>9.9960000000000004</v>
      </c>
      <c r="I692" s="82">
        <f>1.89+0.48</f>
        <v>2.37</v>
      </c>
      <c r="J692" s="82">
        <f t="shared" si="37"/>
        <v>7.6260000000000003</v>
      </c>
    </row>
    <row r="693" spans="1:10" x14ac:dyDescent="0.2">
      <c r="A693" s="19"/>
      <c r="B693" s="428" t="s">
        <v>637</v>
      </c>
      <c r="C693" s="82"/>
      <c r="D693" s="258">
        <v>2</v>
      </c>
      <c r="E693" s="82">
        <v>2</v>
      </c>
      <c r="F693" s="82"/>
      <c r="G693" s="82">
        <v>2.94</v>
      </c>
      <c r="H693" s="82">
        <f t="shared" si="36"/>
        <v>11.76</v>
      </c>
      <c r="I693" s="82"/>
      <c r="J693" s="82">
        <f t="shared" si="37"/>
        <v>11.76</v>
      </c>
    </row>
    <row r="694" spans="1:10" x14ac:dyDescent="0.2">
      <c r="A694" s="19"/>
      <c r="B694" s="430"/>
      <c r="C694" s="82"/>
      <c r="D694" s="258">
        <v>2</v>
      </c>
      <c r="E694" s="82">
        <v>1.7</v>
      </c>
      <c r="F694" s="82"/>
      <c r="G694" s="82">
        <v>2.94</v>
      </c>
      <c r="H694" s="82">
        <f t="shared" si="36"/>
        <v>9.9960000000000004</v>
      </c>
      <c r="I694" s="82">
        <f>1.89+0.48</f>
        <v>2.37</v>
      </c>
      <c r="J694" s="82">
        <f>H694-I694</f>
        <v>7.6260000000000003</v>
      </c>
    </row>
    <row r="695" spans="1:10" x14ac:dyDescent="0.2">
      <c r="A695" s="19"/>
      <c r="B695" s="428" t="s">
        <v>658</v>
      </c>
      <c r="C695" s="82"/>
      <c r="D695" s="258">
        <v>2</v>
      </c>
      <c r="E695" s="82">
        <v>2.9</v>
      </c>
      <c r="F695" s="82"/>
      <c r="G695" s="82">
        <v>2.94</v>
      </c>
      <c r="H695" s="82">
        <f t="shared" si="36"/>
        <v>17.052</v>
      </c>
      <c r="I695" s="82"/>
      <c r="J695" s="82">
        <f t="shared" ref="J695:J703" si="38">H695-I695</f>
        <v>17.052</v>
      </c>
    </row>
    <row r="696" spans="1:10" x14ac:dyDescent="0.2">
      <c r="A696" s="19"/>
      <c r="B696" s="430"/>
      <c r="C696" s="82"/>
      <c r="D696" s="258">
        <v>2</v>
      </c>
      <c r="E696" s="82">
        <v>1.3</v>
      </c>
      <c r="F696" s="82"/>
      <c r="G696" s="82">
        <v>2.94</v>
      </c>
      <c r="H696" s="82">
        <f t="shared" si="36"/>
        <v>7.6440000000000001</v>
      </c>
      <c r="I696" s="82">
        <f>1.47+0.48</f>
        <v>1.95</v>
      </c>
      <c r="J696" s="82">
        <f t="shared" si="38"/>
        <v>5.694</v>
      </c>
    </row>
    <row r="697" spans="1:10" x14ac:dyDescent="0.2">
      <c r="A697" s="19"/>
      <c r="B697" s="427" t="s">
        <v>675</v>
      </c>
      <c r="C697" s="82"/>
      <c r="D697" s="258">
        <v>2</v>
      </c>
      <c r="E697" s="82">
        <v>2.15</v>
      </c>
      <c r="F697" s="82"/>
      <c r="G697" s="82">
        <v>2.94</v>
      </c>
      <c r="H697" s="82">
        <f>D697*E697*G697</f>
        <v>12.641999999999999</v>
      </c>
      <c r="I697" s="82">
        <f>2.4+1.47</f>
        <v>3.87</v>
      </c>
      <c r="J697" s="82">
        <f t="shared" si="38"/>
        <v>8.7719999999999985</v>
      </c>
    </row>
    <row r="698" spans="1:10" x14ac:dyDescent="0.2">
      <c r="A698" s="19"/>
      <c r="B698" s="427"/>
      <c r="C698" s="82"/>
      <c r="D698" s="258">
        <v>2</v>
      </c>
      <c r="E698" s="82">
        <v>5</v>
      </c>
      <c r="F698" s="82"/>
      <c r="G698" s="82">
        <v>2.94</v>
      </c>
      <c r="H698" s="82">
        <f t="shared" si="36"/>
        <v>29.4</v>
      </c>
      <c r="I698" s="82">
        <v>1.89</v>
      </c>
      <c r="J698" s="82">
        <f t="shared" si="38"/>
        <v>27.509999999999998</v>
      </c>
    </row>
    <row r="699" spans="1:10" x14ac:dyDescent="0.2">
      <c r="A699" s="19"/>
      <c r="B699" s="421" t="s">
        <v>643</v>
      </c>
      <c r="C699" s="82"/>
      <c r="D699" s="258">
        <v>1</v>
      </c>
      <c r="E699" s="258">
        <v>2.15</v>
      </c>
      <c r="F699" s="258"/>
      <c r="G699" s="258">
        <v>1.5</v>
      </c>
      <c r="H699" s="258">
        <f t="shared" si="36"/>
        <v>3.2249999999999996</v>
      </c>
      <c r="I699" s="258">
        <f>0.7*1.5</f>
        <v>1.0499999999999998</v>
      </c>
      <c r="J699" s="258">
        <f t="shared" si="38"/>
        <v>2.1749999999999998</v>
      </c>
    </row>
    <row r="700" spans="1:10" s="253" customFormat="1" x14ac:dyDescent="0.2">
      <c r="A700" s="254"/>
      <c r="B700" s="426"/>
      <c r="C700" s="258"/>
      <c r="D700" s="258">
        <v>1</v>
      </c>
      <c r="E700" s="258">
        <v>0.8</v>
      </c>
      <c r="F700" s="258"/>
      <c r="G700" s="258">
        <v>1.5</v>
      </c>
      <c r="H700" s="258">
        <f t="shared" si="36"/>
        <v>1.2000000000000002</v>
      </c>
      <c r="I700" s="258"/>
      <c r="J700" s="258">
        <f t="shared" si="38"/>
        <v>1.2000000000000002</v>
      </c>
    </row>
    <row r="701" spans="1:10" x14ac:dyDescent="0.2">
      <c r="A701" s="19"/>
      <c r="B701" s="422"/>
      <c r="C701" s="82"/>
      <c r="D701" s="258">
        <v>2</v>
      </c>
      <c r="E701" s="258">
        <v>2.4</v>
      </c>
      <c r="F701" s="258"/>
      <c r="G701" s="258">
        <v>1.5</v>
      </c>
      <c r="H701" s="258">
        <f t="shared" si="36"/>
        <v>7.1999999999999993</v>
      </c>
      <c r="I701" s="258"/>
      <c r="J701" s="258">
        <f t="shared" si="38"/>
        <v>7.1999999999999993</v>
      </c>
    </row>
    <row r="702" spans="1:10" x14ac:dyDescent="0.2">
      <c r="A702" s="19"/>
      <c r="B702" s="428" t="s">
        <v>656</v>
      </c>
      <c r="C702" s="82"/>
      <c r="D702" s="258">
        <v>2</v>
      </c>
      <c r="E702" s="258">
        <v>7.4</v>
      </c>
      <c r="F702" s="258"/>
      <c r="G702" s="258">
        <v>2.94</v>
      </c>
      <c r="H702" s="258">
        <f t="shared" si="36"/>
        <v>43.512</v>
      </c>
      <c r="I702" s="258">
        <v>1.89</v>
      </c>
      <c r="J702" s="258">
        <f t="shared" si="38"/>
        <v>41.622</v>
      </c>
    </row>
    <row r="703" spans="1:10" x14ac:dyDescent="0.2">
      <c r="A703" s="19"/>
      <c r="B703" s="429"/>
      <c r="C703" s="82"/>
      <c r="D703" s="258">
        <v>2</v>
      </c>
      <c r="E703" s="258">
        <v>2.15</v>
      </c>
      <c r="F703" s="258"/>
      <c r="G703" s="258">
        <v>2.94</v>
      </c>
      <c r="H703" s="258">
        <f t="shared" si="36"/>
        <v>12.641999999999999</v>
      </c>
      <c r="I703" s="258">
        <f>2.4+1.44</f>
        <v>3.84</v>
      </c>
      <c r="J703" s="258">
        <f t="shared" si="38"/>
        <v>8.8019999999999996</v>
      </c>
    </row>
    <row r="704" spans="1:10" x14ac:dyDescent="0.2">
      <c r="A704" s="19"/>
      <c r="B704" s="172"/>
      <c r="C704" s="82"/>
      <c r="D704" s="258"/>
      <c r="E704" s="82"/>
      <c r="F704" s="82"/>
      <c r="G704" s="82"/>
      <c r="H704" s="82"/>
      <c r="I704" s="91" t="s">
        <v>604</v>
      </c>
      <c r="J704" s="90">
        <f>SUM(J687:J703)</f>
        <v>204.29099999999997</v>
      </c>
    </row>
    <row r="705" spans="1:10" x14ac:dyDescent="0.2">
      <c r="A705" s="19"/>
      <c r="B705" s="172"/>
      <c r="C705" s="82"/>
      <c r="D705" s="258"/>
      <c r="E705" s="82"/>
      <c r="F705" s="82"/>
      <c r="G705" s="82"/>
      <c r="H705" s="82"/>
      <c r="I705" s="91"/>
      <c r="J705" s="90"/>
    </row>
    <row r="706" spans="1:10" ht="25.5" x14ac:dyDescent="0.2">
      <c r="A706" s="19" t="s">
        <v>350</v>
      </c>
      <c r="B706" s="21" t="s">
        <v>1136</v>
      </c>
      <c r="C706" s="19" t="s">
        <v>39</v>
      </c>
      <c r="D706" s="263" t="s">
        <v>257</v>
      </c>
      <c r="E706" s="93" t="s">
        <v>258</v>
      </c>
      <c r="F706" s="93" t="s">
        <v>259</v>
      </c>
      <c r="G706" s="93" t="s">
        <v>260</v>
      </c>
      <c r="H706" s="93" t="s">
        <v>261</v>
      </c>
      <c r="I706" s="93" t="s">
        <v>262</v>
      </c>
      <c r="J706" s="94" t="s">
        <v>263</v>
      </c>
    </row>
    <row r="707" spans="1:10" x14ac:dyDescent="0.2">
      <c r="A707" s="19"/>
      <c r="B707" s="224" t="s">
        <v>1137</v>
      </c>
      <c r="C707" s="19"/>
      <c r="D707" s="263">
        <v>16</v>
      </c>
      <c r="E707" s="93">
        <v>1.22</v>
      </c>
      <c r="F707" s="93">
        <v>0.3</v>
      </c>
      <c r="G707" s="93"/>
      <c r="H707" s="93">
        <f>D707*E707*F707</f>
        <v>5.8559999999999999</v>
      </c>
      <c r="I707" s="93"/>
      <c r="J707" s="94">
        <f>H707</f>
        <v>5.8559999999999999</v>
      </c>
    </row>
    <row r="708" spans="1:10" x14ac:dyDescent="0.2">
      <c r="A708" s="19"/>
      <c r="B708" s="224" t="s">
        <v>1139</v>
      </c>
      <c r="C708" s="19"/>
      <c r="D708" s="263">
        <v>16</v>
      </c>
      <c r="E708" s="93">
        <v>1.2</v>
      </c>
      <c r="F708" s="93">
        <v>0.17</v>
      </c>
      <c r="G708" s="93"/>
      <c r="H708" s="93">
        <f>D708*E708*F708</f>
        <v>3.2640000000000002</v>
      </c>
      <c r="I708" s="93"/>
      <c r="J708" s="94">
        <f>H708</f>
        <v>3.2640000000000002</v>
      </c>
    </row>
    <row r="709" spans="1:10" x14ac:dyDescent="0.2">
      <c r="A709" s="19"/>
      <c r="B709" s="224" t="s">
        <v>1138</v>
      </c>
      <c r="C709" s="19"/>
      <c r="D709" s="263">
        <v>1</v>
      </c>
      <c r="E709" s="93">
        <v>2.4</v>
      </c>
      <c r="F709" s="93">
        <v>1.2</v>
      </c>
      <c r="G709" s="93"/>
      <c r="H709" s="93">
        <f>D709*E709*F709</f>
        <v>2.88</v>
      </c>
      <c r="I709" s="93"/>
      <c r="J709" s="94">
        <f>H709</f>
        <v>2.88</v>
      </c>
    </row>
    <row r="710" spans="1:10" x14ac:dyDescent="0.2">
      <c r="A710" s="19"/>
      <c r="B710" s="21"/>
      <c r="C710" s="19"/>
      <c r="D710" s="263"/>
      <c r="E710" s="93"/>
      <c r="F710" s="93"/>
      <c r="G710" s="93"/>
      <c r="H710" s="93"/>
      <c r="I710" s="91" t="s">
        <v>604</v>
      </c>
      <c r="J710" s="90">
        <f>SUM(J707:J709)</f>
        <v>12</v>
      </c>
    </row>
    <row r="711" spans="1:10" x14ac:dyDescent="0.2">
      <c r="A711" s="19"/>
      <c r="B711" s="21"/>
      <c r="C711" s="19"/>
      <c r="D711" s="263"/>
      <c r="E711" s="93"/>
      <c r="F711" s="93"/>
      <c r="G711" s="93"/>
      <c r="H711" s="93"/>
      <c r="I711" s="93"/>
      <c r="J711" s="94"/>
    </row>
    <row r="712" spans="1:10" x14ac:dyDescent="0.2">
      <c r="A712" s="23" t="s">
        <v>351</v>
      </c>
      <c r="B712" s="18" t="s">
        <v>144</v>
      </c>
      <c r="C712" s="19"/>
      <c r="D712" s="99"/>
      <c r="E712" s="41"/>
      <c r="F712" s="41"/>
      <c r="G712" s="41"/>
      <c r="H712" s="41"/>
      <c r="I712" s="41"/>
      <c r="J712" s="41"/>
    </row>
    <row r="713" spans="1:10" ht="25.5" x14ac:dyDescent="0.2">
      <c r="A713" s="19" t="s">
        <v>353</v>
      </c>
      <c r="B713" s="21" t="s">
        <v>150</v>
      </c>
      <c r="C713" s="19" t="s">
        <v>16</v>
      </c>
      <c r="D713" s="263" t="s">
        <v>257</v>
      </c>
      <c r="E713" s="93" t="s">
        <v>258</v>
      </c>
      <c r="F713" s="93" t="s">
        <v>259</v>
      </c>
      <c r="G713" s="93" t="s">
        <v>260</v>
      </c>
      <c r="H713" s="93" t="s">
        <v>261</v>
      </c>
      <c r="I713" s="93" t="s">
        <v>262</v>
      </c>
      <c r="J713" s="94" t="s">
        <v>263</v>
      </c>
    </row>
    <row r="714" spans="1:10" x14ac:dyDescent="0.2">
      <c r="A714" s="19"/>
      <c r="B714" s="101" t="s">
        <v>676</v>
      </c>
      <c r="C714" s="19"/>
      <c r="D714" s="263"/>
      <c r="F714" s="93"/>
      <c r="G714" s="93"/>
      <c r="H714" s="41"/>
      <c r="I714" s="93"/>
      <c r="J714" s="94"/>
    </row>
    <row r="715" spans="1:10" x14ac:dyDescent="0.2">
      <c r="A715" s="19"/>
      <c r="B715" s="171" t="s">
        <v>735</v>
      </c>
      <c r="C715" s="19"/>
      <c r="D715" s="263"/>
      <c r="E715" s="93">
        <v>0.9</v>
      </c>
      <c r="F715" s="93"/>
      <c r="G715" s="93"/>
      <c r="H715" s="93"/>
      <c r="I715" s="93"/>
      <c r="J715" s="94">
        <f>E715</f>
        <v>0.9</v>
      </c>
    </row>
    <row r="716" spans="1:10" x14ac:dyDescent="0.2">
      <c r="A716" s="19"/>
      <c r="B716" s="171" t="s">
        <v>736</v>
      </c>
      <c r="C716" s="19"/>
      <c r="D716" s="263"/>
      <c r="E716" s="93">
        <v>0.9</v>
      </c>
      <c r="F716" s="93"/>
      <c r="G716" s="93"/>
      <c r="H716" s="93"/>
      <c r="I716" s="93"/>
      <c r="J716" s="94">
        <f t="shared" ref="J716:J725" si="39">E716</f>
        <v>0.9</v>
      </c>
    </row>
    <row r="717" spans="1:10" x14ac:dyDescent="0.2">
      <c r="A717" s="19"/>
      <c r="B717" s="171" t="s">
        <v>737</v>
      </c>
      <c r="C717" s="19"/>
      <c r="D717" s="263"/>
      <c r="E717" s="93">
        <v>0.7</v>
      </c>
      <c r="F717" s="93"/>
      <c r="G717" s="93"/>
      <c r="H717" s="93"/>
      <c r="I717" s="93"/>
      <c r="J717" s="94">
        <f t="shared" si="39"/>
        <v>0.7</v>
      </c>
    </row>
    <row r="718" spans="1:10" x14ac:dyDescent="0.2">
      <c r="A718" s="19"/>
      <c r="B718" s="171" t="s">
        <v>738</v>
      </c>
      <c r="C718" s="19"/>
      <c r="D718" s="263"/>
      <c r="E718" s="93">
        <v>0.7</v>
      </c>
      <c r="F718" s="93"/>
      <c r="G718" s="93"/>
      <c r="H718" s="93"/>
      <c r="I718" s="93"/>
      <c r="J718" s="94">
        <f t="shared" si="39"/>
        <v>0.7</v>
      </c>
    </row>
    <row r="719" spans="1:10" x14ac:dyDescent="0.2">
      <c r="A719" s="19"/>
      <c r="B719" s="171" t="s">
        <v>675</v>
      </c>
      <c r="C719" s="19"/>
      <c r="D719" s="263"/>
      <c r="E719" s="93">
        <v>0.9</v>
      </c>
      <c r="F719" s="93"/>
      <c r="G719" s="93"/>
      <c r="H719" s="93"/>
      <c r="I719" s="93"/>
      <c r="J719" s="94">
        <f t="shared" si="39"/>
        <v>0.9</v>
      </c>
    </row>
    <row r="720" spans="1:10" x14ac:dyDescent="0.2">
      <c r="A720" s="19"/>
      <c r="B720" s="171" t="s">
        <v>739</v>
      </c>
      <c r="C720" s="19"/>
      <c r="D720" s="263"/>
      <c r="E720" s="93">
        <v>0.7</v>
      </c>
      <c r="F720" s="93"/>
      <c r="G720" s="93"/>
      <c r="H720" s="93"/>
      <c r="I720" s="93"/>
      <c r="J720" s="94">
        <f t="shared" si="39"/>
        <v>0.7</v>
      </c>
    </row>
    <row r="721" spans="1:10" x14ac:dyDescent="0.2">
      <c r="A721" s="19"/>
      <c r="B721" s="171"/>
      <c r="C721" s="19"/>
      <c r="D721" s="263"/>
      <c r="E721" s="93">
        <v>1.35</v>
      </c>
      <c r="F721" s="93"/>
      <c r="G721" s="93"/>
      <c r="H721" s="93"/>
      <c r="I721" s="93"/>
      <c r="J721" s="94">
        <f t="shared" si="39"/>
        <v>1.35</v>
      </c>
    </row>
    <row r="722" spans="1:10" x14ac:dyDescent="0.2">
      <c r="A722" s="19"/>
      <c r="B722" s="171" t="s">
        <v>634</v>
      </c>
      <c r="C722" s="19"/>
      <c r="D722" s="263"/>
      <c r="E722" s="93">
        <v>2</v>
      </c>
      <c r="F722" s="93"/>
      <c r="G722" s="93"/>
      <c r="H722" s="93"/>
      <c r="I722" s="93"/>
      <c r="J722" s="94">
        <f t="shared" si="39"/>
        <v>2</v>
      </c>
    </row>
    <row r="723" spans="1:10" x14ac:dyDescent="0.2">
      <c r="A723" s="19"/>
      <c r="B723" s="101" t="s">
        <v>740</v>
      </c>
      <c r="C723" s="19"/>
      <c r="D723" s="263"/>
      <c r="E723" s="93"/>
      <c r="F723" s="93"/>
      <c r="G723" s="93"/>
      <c r="H723" s="41"/>
      <c r="I723" s="93"/>
      <c r="J723" s="94"/>
    </row>
    <row r="724" spans="1:10" x14ac:dyDescent="0.2">
      <c r="A724" s="19"/>
      <c r="B724" s="171" t="s">
        <v>741</v>
      </c>
      <c r="C724" s="19"/>
      <c r="D724" s="263"/>
      <c r="E724" s="93">
        <v>0.7</v>
      </c>
      <c r="F724" s="93"/>
      <c r="G724" s="93"/>
      <c r="H724" s="93"/>
      <c r="I724" s="93"/>
      <c r="J724" s="94">
        <f t="shared" si="39"/>
        <v>0.7</v>
      </c>
    </row>
    <row r="725" spans="1:10" x14ac:dyDescent="0.2">
      <c r="A725" s="19"/>
      <c r="B725" s="171" t="s">
        <v>675</v>
      </c>
      <c r="C725" s="19"/>
      <c r="D725" s="263"/>
      <c r="E725" s="93">
        <v>0.9</v>
      </c>
      <c r="F725" s="93"/>
      <c r="G725" s="93"/>
      <c r="H725" s="93"/>
      <c r="I725" s="93"/>
      <c r="J725" s="94">
        <f t="shared" si="39"/>
        <v>0.9</v>
      </c>
    </row>
    <row r="726" spans="1:10" x14ac:dyDescent="0.2">
      <c r="A726" s="19"/>
      <c r="B726" s="21"/>
      <c r="C726" s="19"/>
      <c r="D726" s="99"/>
      <c r="E726" s="41"/>
      <c r="F726" s="41"/>
      <c r="G726" s="41"/>
      <c r="H726" s="41"/>
      <c r="I726" s="91" t="s">
        <v>604</v>
      </c>
      <c r="J726" s="90">
        <f>SUM(J715:J725)</f>
        <v>9.75</v>
      </c>
    </row>
    <row r="727" spans="1:10" x14ac:dyDescent="0.2">
      <c r="A727" s="19"/>
      <c r="B727" s="21"/>
      <c r="C727" s="19"/>
      <c r="D727" s="99"/>
      <c r="E727" s="41"/>
      <c r="F727" s="41"/>
      <c r="G727" s="41"/>
      <c r="H727" s="41"/>
      <c r="I727" s="41"/>
      <c r="J727" s="41"/>
    </row>
    <row r="728" spans="1:10" ht="25.5" x14ac:dyDescent="0.2">
      <c r="A728" s="19" t="s">
        <v>354</v>
      </c>
      <c r="B728" s="21" t="s">
        <v>922</v>
      </c>
      <c r="C728" s="19" t="s">
        <v>49</v>
      </c>
      <c r="D728" s="263" t="s">
        <v>257</v>
      </c>
      <c r="E728" s="93" t="s">
        <v>258</v>
      </c>
      <c r="F728" s="93" t="s">
        <v>259</v>
      </c>
      <c r="G728" s="93" t="s">
        <v>260</v>
      </c>
      <c r="H728" s="93" t="s">
        <v>261</v>
      </c>
      <c r="I728" s="93" t="s">
        <v>262</v>
      </c>
      <c r="J728" s="94" t="s">
        <v>263</v>
      </c>
    </row>
    <row r="729" spans="1:10" x14ac:dyDescent="0.2">
      <c r="A729" s="19"/>
      <c r="B729" s="171" t="s">
        <v>780</v>
      </c>
      <c r="C729" s="19"/>
      <c r="D729" s="263"/>
      <c r="E729" s="93"/>
      <c r="F729" s="93"/>
      <c r="G729" s="93"/>
      <c r="H729" s="93"/>
      <c r="I729" s="93"/>
      <c r="J729" s="94"/>
    </row>
    <row r="730" spans="1:10" x14ac:dyDescent="0.2">
      <c r="A730" s="19"/>
      <c r="B730" s="101" t="s">
        <v>676</v>
      </c>
      <c r="C730" s="19"/>
      <c r="D730" s="152"/>
      <c r="E730" s="152"/>
      <c r="F730" s="93"/>
      <c r="G730" s="93"/>
      <c r="H730" s="93"/>
      <c r="I730" s="93"/>
      <c r="J730" s="94"/>
    </row>
    <row r="731" spans="1:10" x14ac:dyDescent="0.2">
      <c r="A731" s="19"/>
      <c r="B731" s="171" t="s">
        <v>618</v>
      </c>
      <c r="C731" s="19"/>
      <c r="D731" s="152">
        <v>2</v>
      </c>
      <c r="E731" s="152">
        <v>2</v>
      </c>
      <c r="F731" s="93"/>
      <c r="G731" s="93"/>
      <c r="H731" s="93"/>
      <c r="I731" s="93"/>
      <c r="J731" s="94">
        <f>D731*E731</f>
        <v>4</v>
      </c>
    </row>
    <row r="732" spans="1:10" x14ac:dyDescent="0.2">
      <c r="A732" s="19"/>
      <c r="B732" s="171" t="s">
        <v>620</v>
      </c>
      <c r="C732" s="19"/>
      <c r="D732" s="152">
        <v>1</v>
      </c>
      <c r="E732" s="152">
        <v>2</v>
      </c>
      <c r="F732" s="93"/>
      <c r="G732" s="93"/>
      <c r="H732" s="93"/>
      <c r="I732" s="93"/>
      <c r="J732" s="94">
        <f t="shared" ref="J732:J762" si="40">D732*E732</f>
        <v>2</v>
      </c>
    </row>
    <row r="733" spans="1:10" x14ac:dyDescent="0.2">
      <c r="A733" s="19"/>
      <c r="B733" s="171" t="s">
        <v>621</v>
      </c>
      <c r="C733" s="19"/>
      <c r="D733" s="152">
        <v>1</v>
      </c>
      <c r="E733" s="152">
        <v>2</v>
      </c>
      <c r="F733" s="93"/>
      <c r="G733" s="93"/>
      <c r="H733" s="93"/>
      <c r="I733" s="93"/>
      <c r="J733" s="94">
        <f t="shared" si="40"/>
        <v>2</v>
      </c>
    </row>
    <row r="734" spans="1:10" x14ac:dyDescent="0.2">
      <c r="A734" s="19"/>
      <c r="B734" s="171" t="s">
        <v>674</v>
      </c>
      <c r="C734" s="19"/>
      <c r="D734" s="152">
        <v>2</v>
      </c>
      <c r="E734" s="152">
        <v>2</v>
      </c>
      <c r="F734" s="93"/>
      <c r="G734" s="93"/>
      <c r="H734" s="93"/>
      <c r="I734" s="93"/>
      <c r="J734" s="94">
        <f t="shared" si="40"/>
        <v>4</v>
      </c>
    </row>
    <row r="735" spans="1:10" x14ac:dyDescent="0.2">
      <c r="A735" s="19"/>
      <c r="B735" s="171" t="s">
        <v>632</v>
      </c>
      <c r="C735" s="19"/>
      <c r="D735" s="152">
        <v>1</v>
      </c>
      <c r="E735" s="152">
        <v>2.9</v>
      </c>
      <c r="F735" s="93"/>
      <c r="G735" s="93"/>
      <c r="H735" s="93"/>
      <c r="I735" s="93"/>
      <c r="J735" s="94">
        <f t="shared" si="40"/>
        <v>2.9</v>
      </c>
    </row>
    <row r="736" spans="1:10" x14ac:dyDescent="0.2">
      <c r="A736" s="19"/>
      <c r="B736" s="171" t="s">
        <v>681</v>
      </c>
      <c r="C736" s="19"/>
      <c r="D736" s="152">
        <v>1</v>
      </c>
      <c r="E736" s="152">
        <v>0.8</v>
      </c>
      <c r="F736" s="93"/>
      <c r="G736" s="93"/>
      <c r="H736" s="93"/>
      <c r="I736" s="93"/>
      <c r="J736" s="94">
        <f t="shared" si="40"/>
        <v>0.8</v>
      </c>
    </row>
    <row r="737" spans="1:10" x14ac:dyDescent="0.2">
      <c r="A737" s="19"/>
      <c r="B737" s="171" t="s">
        <v>683</v>
      </c>
      <c r="C737" s="19"/>
      <c r="D737" s="152">
        <v>1</v>
      </c>
      <c r="E737" s="152">
        <v>0.8</v>
      </c>
      <c r="F737" s="93"/>
      <c r="G737" s="93"/>
      <c r="H737" s="93"/>
      <c r="I737" s="93"/>
      <c r="J737" s="94">
        <f t="shared" si="40"/>
        <v>0.8</v>
      </c>
    </row>
    <row r="738" spans="1:10" x14ac:dyDescent="0.2">
      <c r="A738" s="19"/>
      <c r="B738" s="171" t="s">
        <v>682</v>
      </c>
      <c r="C738" s="19"/>
      <c r="D738" s="152">
        <v>1</v>
      </c>
      <c r="E738" s="152">
        <v>0.8</v>
      </c>
      <c r="F738" s="93"/>
      <c r="G738" s="93"/>
      <c r="H738" s="93"/>
      <c r="I738" s="93"/>
      <c r="J738" s="94">
        <f t="shared" si="40"/>
        <v>0.8</v>
      </c>
    </row>
    <row r="739" spans="1:10" x14ac:dyDescent="0.2">
      <c r="A739" s="19"/>
      <c r="B739" s="171" t="s">
        <v>641</v>
      </c>
      <c r="C739" s="19"/>
      <c r="D739" s="152">
        <v>1</v>
      </c>
      <c r="E739" s="152">
        <v>0.8</v>
      </c>
      <c r="F739" s="93"/>
      <c r="G739" s="93"/>
      <c r="H739" s="93"/>
      <c r="I739" s="93"/>
      <c r="J739" s="94">
        <f t="shared" si="40"/>
        <v>0.8</v>
      </c>
    </row>
    <row r="740" spans="1:10" x14ac:dyDescent="0.2">
      <c r="A740" s="19"/>
      <c r="B740" s="171" t="s">
        <v>675</v>
      </c>
      <c r="C740" s="19"/>
      <c r="D740" s="265">
        <v>1</v>
      </c>
      <c r="E740" s="102">
        <v>2</v>
      </c>
      <c r="F740" s="41"/>
      <c r="G740" s="41"/>
      <c r="H740" s="41"/>
      <c r="I740" s="41"/>
      <c r="J740" s="94">
        <f t="shared" si="40"/>
        <v>2</v>
      </c>
    </row>
    <row r="741" spans="1:10" x14ac:dyDescent="0.2">
      <c r="A741" s="19"/>
      <c r="B741" s="101" t="s">
        <v>677</v>
      </c>
      <c r="C741" s="19"/>
      <c r="D741" s="265"/>
      <c r="E741" s="102"/>
      <c r="F741" s="41"/>
      <c r="G741" s="41"/>
      <c r="H741" s="41"/>
      <c r="I741" s="41"/>
      <c r="J741" s="94"/>
    </row>
    <row r="742" spans="1:10" x14ac:dyDescent="0.2">
      <c r="A742" s="19"/>
      <c r="B742" s="171" t="s">
        <v>655</v>
      </c>
      <c r="C742" s="19"/>
      <c r="D742" s="265">
        <v>2</v>
      </c>
      <c r="E742" s="102">
        <v>2</v>
      </c>
      <c r="F742" s="41"/>
      <c r="G742" s="41"/>
      <c r="H742" s="41"/>
      <c r="I742" s="41"/>
      <c r="J742" s="94">
        <f t="shared" si="40"/>
        <v>4</v>
      </c>
    </row>
    <row r="743" spans="1:10" x14ac:dyDescent="0.2">
      <c r="A743" s="19"/>
      <c r="B743" s="171" t="s">
        <v>624</v>
      </c>
      <c r="C743" s="19"/>
      <c r="D743" s="265">
        <v>1</v>
      </c>
      <c r="E743" s="102">
        <v>2</v>
      </c>
      <c r="F743" s="41"/>
      <c r="G743" s="41"/>
      <c r="H743" s="41"/>
      <c r="I743" s="41"/>
      <c r="J743" s="94">
        <f t="shared" si="40"/>
        <v>2</v>
      </c>
    </row>
    <row r="744" spans="1:10" x14ac:dyDescent="0.2">
      <c r="A744" s="19"/>
      <c r="B744" s="171" t="s">
        <v>625</v>
      </c>
      <c r="C744" s="19"/>
      <c r="D744" s="265">
        <v>1</v>
      </c>
      <c r="E744" s="102">
        <v>2</v>
      </c>
      <c r="F744" s="41"/>
      <c r="G744" s="41"/>
      <c r="H744" s="41"/>
      <c r="I744" s="41"/>
      <c r="J744" s="94">
        <f t="shared" si="40"/>
        <v>2</v>
      </c>
    </row>
    <row r="745" spans="1:10" x14ac:dyDescent="0.2">
      <c r="A745" s="19"/>
      <c r="B745" s="171" t="s">
        <v>639</v>
      </c>
      <c r="C745" s="19"/>
      <c r="D745" s="265">
        <v>1</v>
      </c>
      <c r="E745" s="102">
        <v>2</v>
      </c>
      <c r="F745" s="41"/>
      <c r="G745" s="41"/>
      <c r="H745" s="41"/>
      <c r="I745" s="41"/>
      <c r="J745" s="94">
        <f t="shared" si="40"/>
        <v>2</v>
      </c>
    </row>
    <row r="746" spans="1:10" x14ac:dyDescent="0.2">
      <c r="A746" s="19"/>
      <c r="B746" s="171" t="s">
        <v>678</v>
      </c>
      <c r="C746" s="19"/>
      <c r="D746" s="265">
        <v>4</v>
      </c>
      <c r="E746" s="102">
        <v>2</v>
      </c>
      <c r="F746" s="41"/>
      <c r="G746" s="41"/>
      <c r="H746" s="41"/>
      <c r="I746" s="41"/>
      <c r="J746" s="94">
        <f t="shared" si="40"/>
        <v>8</v>
      </c>
    </row>
    <row r="747" spans="1:10" x14ac:dyDescent="0.2">
      <c r="A747" s="19"/>
      <c r="B747" s="171" t="s">
        <v>675</v>
      </c>
      <c r="C747" s="19"/>
      <c r="D747" s="265">
        <v>1</v>
      </c>
      <c r="E747" s="102">
        <v>2</v>
      </c>
      <c r="F747" s="41"/>
      <c r="G747" s="41"/>
      <c r="H747" s="41"/>
      <c r="I747" s="41"/>
      <c r="J747" s="94">
        <f t="shared" si="40"/>
        <v>2</v>
      </c>
    </row>
    <row r="748" spans="1:10" x14ac:dyDescent="0.2">
      <c r="A748" s="19"/>
      <c r="B748" s="171"/>
      <c r="C748" s="19"/>
      <c r="D748" s="265">
        <v>1</v>
      </c>
      <c r="E748" s="102">
        <v>1.2</v>
      </c>
      <c r="F748" s="41"/>
      <c r="G748" s="41"/>
      <c r="H748" s="41"/>
      <c r="I748" s="41"/>
      <c r="J748" s="94">
        <f t="shared" si="40"/>
        <v>1.2</v>
      </c>
    </row>
    <row r="749" spans="1:10" x14ac:dyDescent="0.2">
      <c r="A749" s="19"/>
      <c r="B749" s="171" t="s">
        <v>644</v>
      </c>
      <c r="C749" s="19"/>
      <c r="D749" s="265">
        <v>1</v>
      </c>
      <c r="E749" s="102">
        <v>0.8</v>
      </c>
      <c r="F749" s="41"/>
      <c r="G749" s="41"/>
      <c r="H749" s="41"/>
      <c r="I749" s="41"/>
      <c r="J749" s="94">
        <f t="shared" si="40"/>
        <v>0.8</v>
      </c>
    </row>
    <row r="750" spans="1:10" x14ac:dyDescent="0.2">
      <c r="A750" s="19"/>
      <c r="B750" s="171" t="s">
        <v>628</v>
      </c>
      <c r="C750" s="19"/>
      <c r="D750" s="265">
        <v>1</v>
      </c>
      <c r="E750" s="102">
        <v>2</v>
      </c>
      <c r="F750" s="41"/>
      <c r="G750" s="41"/>
      <c r="H750" s="41"/>
      <c r="I750" s="41"/>
      <c r="J750" s="94">
        <f t="shared" si="40"/>
        <v>2</v>
      </c>
    </row>
    <row r="751" spans="1:10" x14ac:dyDescent="0.2">
      <c r="A751" s="19"/>
      <c r="B751" s="101" t="s">
        <v>777</v>
      </c>
      <c r="C751" s="19"/>
      <c r="D751" s="265"/>
      <c r="E751" s="102"/>
      <c r="F751" s="41"/>
      <c r="G751" s="41"/>
      <c r="H751" s="41"/>
      <c r="I751" s="41"/>
      <c r="J751" s="94"/>
    </row>
    <row r="752" spans="1:10" x14ac:dyDescent="0.2">
      <c r="A752" s="19"/>
      <c r="B752" s="171" t="s">
        <v>778</v>
      </c>
      <c r="C752" s="19"/>
      <c r="D752" s="265">
        <v>1</v>
      </c>
      <c r="E752" s="102">
        <f>10.15+2.59+14.1+1.95</f>
        <v>28.79</v>
      </c>
      <c r="F752" s="41"/>
      <c r="G752" s="41"/>
      <c r="H752" s="41"/>
      <c r="I752" s="41"/>
      <c r="J752" s="94">
        <f t="shared" si="40"/>
        <v>28.79</v>
      </c>
    </row>
    <row r="753" spans="1:10" x14ac:dyDescent="0.2">
      <c r="A753" s="19"/>
      <c r="B753" s="171" t="s">
        <v>779</v>
      </c>
      <c r="C753" s="19"/>
      <c r="D753" s="265">
        <v>1</v>
      </c>
      <c r="E753" s="102">
        <v>1.35</v>
      </c>
      <c r="F753" s="41"/>
      <c r="G753" s="41"/>
      <c r="H753" s="41"/>
      <c r="I753" s="41"/>
      <c r="J753" s="94">
        <f t="shared" si="40"/>
        <v>1.35</v>
      </c>
    </row>
    <row r="754" spans="1:10" x14ac:dyDescent="0.2">
      <c r="A754" s="19"/>
      <c r="B754" s="171"/>
      <c r="C754" s="19"/>
      <c r="D754" s="265">
        <v>1</v>
      </c>
      <c r="E754" s="102">
        <v>6.05</v>
      </c>
      <c r="F754" s="41"/>
      <c r="G754" s="41"/>
      <c r="H754" s="41"/>
      <c r="I754" s="41"/>
      <c r="J754" s="94">
        <f t="shared" si="40"/>
        <v>6.05</v>
      </c>
    </row>
    <row r="755" spans="1:10" x14ac:dyDescent="0.2">
      <c r="A755" s="19"/>
      <c r="B755" s="171"/>
      <c r="C755" s="19"/>
      <c r="D755" s="265">
        <v>1</v>
      </c>
      <c r="E755" s="102">
        <v>10.85</v>
      </c>
      <c r="F755" s="41"/>
      <c r="G755" s="41"/>
      <c r="H755" s="41"/>
      <c r="I755" s="41"/>
      <c r="J755" s="94">
        <f t="shared" si="40"/>
        <v>10.85</v>
      </c>
    </row>
    <row r="756" spans="1:10" x14ac:dyDescent="0.2">
      <c r="A756" s="19"/>
      <c r="B756" s="171"/>
      <c r="C756" s="19"/>
      <c r="D756" s="265">
        <v>1</v>
      </c>
      <c r="E756" s="102">
        <v>7.71</v>
      </c>
      <c r="F756" s="41"/>
      <c r="G756" s="41"/>
      <c r="H756" s="41"/>
      <c r="I756" s="41"/>
      <c r="J756" s="94">
        <f t="shared" si="40"/>
        <v>7.71</v>
      </c>
    </row>
    <row r="757" spans="1:10" x14ac:dyDescent="0.2">
      <c r="A757" s="19"/>
      <c r="B757" s="171"/>
      <c r="C757" s="19"/>
      <c r="D757" s="265">
        <v>1</v>
      </c>
      <c r="E757" s="102">
        <v>13.75</v>
      </c>
      <c r="F757" s="41"/>
      <c r="G757" s="41"/>
      <c r="H757" s="41"/>
      <c r="I757" s="41"/>
      <c r="J757" s="94">
        <f t="shared" si="40"/>
        <v>13.75</v>
      </c>
    </row>
    <row r="758" spans="1:10" x14ac:dyDescent="0.2">
      <c r="A758" s="19"/>
      <c r="B758" s="21"/>
      <c r="C758" s="19"/>
      <c r="D758" s="265">
        <v>1</v>
      </c>
      <c r="E758" s="102">
        <v>12.2</v>
      </c>
      <c r="F758" s="41"/>
      <c r="G758" s="41"/>
      <c r="H758" s="41"/>
      <c r="I758" s="41"/>
      <c r="J758" s="94">
        <f t="shared" si="40"/>
        <v>12.2</v>
      </c>
    </row>
    <row r="759" spans="1:10" x14ac:dyDescent="0.2">
      <c r="A759" s="19"/>
      <c r="B759" s="21"/>
      <c r="C759" s="19"/>
      <c r="D759" s="265">
        <v>1</v>
      </c>
      <c r="E759" s="102">
        <v>8.9</v>
      </c>
      <c r="F759" s="41"/>
      <c r="G759" s="41"/>
      <c r="H759" s="41"/>
      <c r="I759" s="41"/>
      <c r="J759" s="94">
        <f t="shared" si="40"/>
        <v>8.9</v>
      </c>
    </row>
    <row r="760" spans="1:10" x14ac:dyDescent="0.2">
      <c r="A760" s="19"/>
      <c r="B760" s="21"/>
      <c r="C760" s="19"/>
      <c r="D760" s="265">
        <v>1</v>
      </c>
      <c r="E760" s="102">
        <v>4.6500000000000004</v>
      </c>
      <c r="F760" s="41"/>
      <c r="G760" s="41"/>
      <c r="H760" s="41"/>
      <c r="I760" s="41"/>
      <c r="J760" s="94">
        <f t="shared" si="40"/>
        <v>4.6500000000000004</v>
      </c>
    </row>
    <row r="761" spans="1:10" x14ac:dyDescent="0.2">
      <c r="A761" s="19"/>
      <c r="B761" s="21"/>
      <c r="C761" s="19"/>
      <c r="D761" s="265">
        <v>1</v>
      </c>
      <c r="E761" s="102">
        <v>10.55</v>
      </c>
      <c r="F761" s="41"/>
      <c r="G761" s="41"/>
      <c r="H761" s="41"/>
      <c r="I761" s="41"/>
      <c r="J761" s="94">
        <f t="shared" si="40"/>
        <v>10.55</v>
      </c>
    </row>
    <row r="762" spans="1:10" x14ac:dyDescent="0.2">
      <c r="A762" s="19"/>
      <c r="B762" s="171" t="s">
        <v>814</v>
      </c>
      <c r="C762" s="19"/>
      <c r="D762" s="265">
        <v>1</v>
      </c>
      <c r="E762" s="102">
        <v>29.12</v>
      </c>
      <c r="F762" s="41"/>
      <c r="G762" s="41"/>
      <c r="H762" s="41"/>
      <c r="I762" s="41"/>
      <c r="J762" s="94">
        <f t="shared" si="40"/>
        <v>29.12</v>
      </c>
    </row>
    <row r="763" spans="1:10" x14ac:dyDescent="0.2">
      <c r="A763" s="19"/>
      <c r="B763" s="21"/>
      <c r="C763" s="19"/>
      <c r="D763" s="265"/>
      <c r="E763" s="102"/>
      <c r="F763" s="41"/>
      <c r="G763" s="41"/>
      <c r="H763" s="41"/>
      <c r="I763" s="91" t="s">
        <v>604</v>
      </c>
      <c r="J763" s="90">
        <f>SUM(J731:J762)</f>
        <v>178.02</v>
      </c>
    </row>
    <row r="764" spans="1:10" x14ac:dyDescent="0.2">
      <c r="A764" s="19"/>
      <c r="B764" s="21"/>
      <c r="C764" s="19"/>
      <c r="D764" s="99"/>
      <c r="E764" s="41"/>
      <c r="F764" s="41"/>
      <c r="G764" s="41"/>
      <c r="H764" s="41"/>
      <c r="I764" s="41"/>
      <c r="J764" s="41"/>
    </row>
    <row r="765" spans="1:10" ht="38.25" x14ac:dyDescent="0.2">
      <c r="A765" s="19" t="s">
        <v>355</v>
      </c>
      <c r="B765" s="268" t="s">
        <v>151</v>
      </c>
      <c r="C765" s="19" t="s">
        <v>49</v>
      </c>
      <c r="D765" s="263" t="s">
        <v>257</v>
      </c>
      <c r="E765" s="93" t="s">
        <v>258</v>
      </c>
      <c r="F765" s="93" t="s">
        <v>259</v>
      </c>
      <c r="G765" s="93" t="s">
        <v>260</v>
      </c>
      <c r="H765" s="93" t="s">
        <v>261</v>
      </c>
      <c r="I765" s="93" t="s">
        <v>262</v>
      </c>
      <c r="J765" s="94" t="s">
        <v>263</v>
      </c>
    </row>
    <row r="766" spans="1:10" x14ac:dyDescent="0.2">
      <c r="A766" s="19"/>
      <c r="B766" s="101" t="s">
        <v>686</v>
      </c>
      <c r="C766" s="41"/>
      <c r="D766" s="99"/>
      <c r="E766" s="102"/>
      <c r="F766" s="41"/>
      <c r="G766" s="41"/>
      <c r="H766" s="41"/>
      <c r="I766" s="41"/>
      <c r="J766" s="41"/>
    </row>
    <row r="767" spans="1:10" x14ac:dyDescent="0.2">
      <c r="A767" s="19"/>
      <c r="B767" s="171" t="s">
        <v>813</v>
      </c>
      <c r="C767" s="41"/>
      <c r="D767" s="265"/>
      <c r="E767" s="102">
        <v>43.2</v>
      </c>
      <c r="F767" s="41"/>
      <c r="G767" s="41"/>
      <c r="H767" s="41"/>
      <c r="I767" s="41"/>
      <c r="J767" s="102">
        <f>E767</f>
        <v>43.2</v>
      </c>
    </row>
    <row r="768" spans="1:10" x14ac:dyDescent="0.2">
      <c r="A768" s="19"/>
      <c r="B768" s="101" t="s">
        <v>676</v>
      </c>
      <c r="C768" s="41"/>
      <c r="D768" s="265"/>
      <c r="E768" s="102"/>
      <c r="F768" s="41"/>
      <c r="G768" s="41"/>
      <c r="H768" s="41"/>
      <c r="I768" s="41"/>
      <c r="J768" s="102"/>
    </row>
    <row r="769" spans="1:10" x14ac:dyDescent="0.2">
      <c r="A769" s="19"/>
      <c r="B769" s="171" t="s">
        <v>634</v>
      </c>
      <c r="C769" s="41"/>
      <c r="D769" s="265"/>
      <c r="E769" s="162">
        <v>8.4</v>
      </c>
      <c r="F769" s="41"/>
      <c r="G769" s="41"/>
      <c r="H769" s="41"/>
      <c r="I769" s="41"/>
      <c r="J769" s="102">
        <f t="shared" ref="J769:J783" si="41">E769</f>
        <v>8.4</v>
      </c>
    </row>
    <row r="770" spans="1:10" x14ac:dyDescent="0.2">
      <c r="A770" s="19"/>
      <c r="B770" s="171" t="s">
        <v>618</v>
      </c>
      <c r="C770" s="41"/>
      <c r="D770" s="265"/>
      <c r="E770" s="162">
        <v>13</v>
      </c>
      <c r="F770" s="41"/>
      <c r="G770" s="41"/>
      <c r="H770" s="41"/>
      <c r="I770" s="41"/>
      <c r="J770" s="102">
        <f t="shared" si="41"/>
        <v>13</v>
      </c>
    </row>
    <row r="771" spans="1:10" x14ac:dyDescent="0.2">
      <c r="A771" s="19"/>
      <c r="B771" s="171" t="s">
        <v>680</v>
      </c>
      <c r="C771" s="41"/>
      <c r="D771" s="265"/>
      <c r="E771" s="162">
        <v>15.65</v>
      </c>
      <c r="F771" s="41"/>
      <c r="G771" s="41"/>
      <c r="H771" s="41"/>
      <c r="I771" s="41"/>
      <c r="J771" s="102">
        <f t="shared" si="41"/>
        <v>15.65</v>
      </c>
    </row>
    <row r="772" spans="1:10" x14ac:dyDescent="0.2">
      <c r="A772" s="19"/>
      <c r="B772" s="171" t="s">
        <v>620</v>
      </c>
      <c r="C772" s="41"/>
      <c r="D772" s="265"/>
      <c r="E772" s="162">
        <v>11.2</v>
      </c>
      <c r="F772" s="41"/>
      <c r="G772" s="41"/>
      <c r="H772" s="41"/>
      <c r="I772" s="41"/>
      <c r="J772" s="102">
        <f t="shared" si="41"/>
        <v>11.2</v>
      </c>
    </row>
    <row r="773" spans="1:10" x14ac:dyDescent="0.2">
      <c r="A773" s="19"/>
      <c r="B773" s="171" t="s">
        <v>621</v>
      </c>
      <c r="C773" s="41"/>
      <c r="D773" s="265"/>
      <c r="E773" s="162">
        <v>12.45</v>
      </c>
      <c r="F773" s="41"/>
      <c r="G773" s="41"/>
      <c r="H773" s="41"/>
      <c r="I773" s="41"/>
      <c r="J773" s="102">
        <f t="shared" si="41"/>
        <v>12.45</v>
      </c>
    </row>
    <row r="774" spans="1:10" x14ac:dyDescent="0.2">
      <c r="A774" s="19"/>
      <c r="B774" s="171" t="s">
        <v>674</v>
      </c>
      <c r="C774" s="41"/>
      <c r="D774" s="265"/>
      <c r="E774" s="163">
        <v>17.95</v>
      </c>
      <c r="F774" s="41"/>
      <c r="G774" s="41"/>
      <c r="H774" s="41"/>
      <c r="I774" s="41"/>
      <c r="J774" s="102">
        <f t="shared" si="41"/>
        <v>17.95</v>
      </c>
    </row>
    <row r="775" spans="1:10" x14ac:dyDescent="0.2">
      <c r="A775" s="19"/>
      <c r="B775" s="171" t="s">
        <v>632</v>
      </c>
      <c r="C775" s="41"/>
      <c r="D775" s="265"/>
      <c r="E775" s="162">
        <v>16.7</v>
      </c>
      <c r="F775" s="41"/>
      <c r="G775" s="41"/>
      <c r="H775" s="41"/>
      <c r="I775" s="41"/>
      <c r="J775" s="102">
        <f t="shared" si="41"/>
        <v>16.7</v>
      </c>
    </row>
    <row r="776" spans="1:10" x14ac:dyDescent="0.2">
      <c r="A776" s="19"/>
      <c r="B776" s="101" t="s">
        <v>677</v>
      </c>
      <c r="C776" s="41"/>
      <c r="D776" s="99"/>
      <c r="E776" s="102"/>
      <c r="F776" s="41"/>
      <c r="G776" s="41"/>
      <c r="H776" s="41"/>
      <c r="I776" s="41"/>
      <c r="J776" s="102"/>
    </row>
    <row r="777" spans="1:10" x14ac:dyDescent="0.2">
      <c r="A777" s="19"/>
      <c r="B777" s="171" t="s">
        <v>680</v>
      </c>
      <c r="C777" s="41"/>
      <c r="D777" s="99"/>
      <c r="E777" s="102">
        <v>16.45</v>
      </c>
      <c r="F777" s="41"/>
      <c r="G777" s="41"/>
      <c r="H777" s="41"/>
      <c r="I777" s="41"/>
      <c r="J777" s="102">
        <f t="shared" si="41"/>
        <v>16.45</v>
      </c>
    </row>
    <row r="778" spans="1:10" x14ac:dyDescent="0.2">
      <c r="A778" s="19"/>
      <c r="B778" s="171" t="s">
        <v>655</v>
      </c>
      <c r="C778" s="41"/>
      <c r="D778" s="99"/>
      <c r="E778" s="162">
        <v>13.9</v>
      </c>
      <c r="F778" s="41"/>
      <c r="G778" s="41"/>
      <c r="H778" s="41"/>
      <c r="I778" s="41"/>
      <c r="J778" s="102">
        <f t="shared" si="41"/>
        <v>13.9</v>
      </c>
    </row>
    <row r="779" spans="1:10" x14ac:dyDescent="0.2">
      <c r="A779" s="19"/>
      <c r="B779" s="171" t="s">
        <v>624</v>
      </c>
      <c r="C779" s="41"/>
      <c r="D779" s="99"/>
      <c r="E779" s="162">
        <v>11.4</v>
      </c>
      <c r="F779" s="41"/>
      <c r="G779" s="41"/>
      <c r="H779" s="41"/>
      <c r="I779" s="41"/>
      <c r="J779" s="102">
        <f t="shared" si="41"/>
        <v>11.4</v>
      </c>
    </row>
    <row r="780" spans="1:10" x14ac:dyDescent="0.2">
      <c r="A780" s="19"/>
      <c r="B780" s="171" t="s">
        <v>625</v>
      </c>
      <c r="C780" s="41"/>
      <c r="D780" s="99"/>
      <c r="E780" s="162">
        <v>11.2</v>
      </c>
      <c r="F780" s="41"/>
      <c r="G780" s="41"/>
      <c r="H780" s="41"/>
      <c r="I780" s="41"/>
      <c r="J780" s="102">
        <f t="shared" si="41"/>
        <v>11.2</v>
      </c>
    </row>
    <row r="781" spans="1:10" x14ac:dyDescent="0.2">
      <c r="A781" s="19"/>
      <c r="B781" s="171" t="s">
        <v>639</v>
      </c>
      <c r="C781" s="41"/>
      <c r="D781" s="99"/>
      <c r="E781" s="162">
        <v>12.45</v>
      </c>
      <c r="F781" s="41"/>
      <c r="G781" s="41"/>
      <c r="H781" s="41"/>
      <c r="I781" s="41"/>
      <c r="J781" s="102">
        <f t="shared" si="41"/>
        <v>12.45</v>
      </c>
    </row>
    <row r="782" spans="1:10" x14ac:dyDescent="0.2">
      <c r="A782" s="19"/>
      <c r="B782" s="171" t="s">
        <v>678</v>
      </c>
      <c r="C782" s="41"/>
      <c r="D782" s="99"/>
      <c r="E782" s="162">
        <v>24.05</v>
      </c>
      <c r="F782" s="41"/>
      <c r="G782" s="41"/>
      <c r="H782" s="41"/>
      <c r="I782" s="41"/>
      <c r="J782" s="102">
        <f t="shared" si="41"/>
        <v>24.05</v>
      </c>
    </row>
    <row r="783" spans="1:10" x14ac:dyDescent="0.2">
      <c r="A783" s="19"/>
      <c r="B783" s="171" t="s">
        <v>628</v>
      </c>
      <c r="C783" s="41"/>
      <c r="D783" s="99"/>
      <c r="E783" s="102">
        <v>14.9</v>
      </c>
      <c r="F783" s="41"/>
      <c r="G783" s="41"/>
      <c r="H783" s="41"/>
      <c r="I783" s="41"/>
      <c r="J783" s="102">
        <f t="shared" si="41"/>
        <v>14.9</v>
      </c>
    </row>
    <row r="784" spans="1:10" x14ac:dyDescent="0.2">
      <c r="A784" s="19"/>
      <c r="B784" s="41"/>
      <c r="C784" s="41"/>
      <c r="D784" s="99"/>
      <c r="E784" s="102"/>
      <c r="F784" s="41"/>
      <c r="G784" s="41"/>
      <c r="H784" s="41"/>
      <c r="I784" s="41"/>
      <c r="J784" s="41"/>
    </row>
    <row r="785" spans="1:10" x14ac:dyDescent="0.2">
      <c r="A785" s="19"/>
      <c r="B785" s="41"/>
      <c r="C785" s="41"/>
      <c r="D785" s="99"/>
      <c r="E785" s="102"/>
      <c r="F785" s="41"/>
      <c r="G785" s="41"/>
      <c r="H785" s="41"/>
      <c r="I785" s="91" t="s">
        <v>604</v>
      </c>
      <c r="J785" s="90">
        <f>SUM(J766:J783)</f>
        <v>242.9</v>
      </c>
    </row>
    <row r="786" spans="1:10" x14ac:dyDescent="0.2">
      <c r="A786" s="19"/>
      <c r="B786" s="41"/>
      <c r="C786" s="41"/>
      <c r="D786" s="99"/>
      <c r="E786" s="102"/>
      <c r="F786" s="41"/>
      <c r="G786" s="41"/>
      <c r="H786" s="41"/>
      <c r="I786" s="164"/>
      <c r="J786" s="165"/>
    </row>
    <row r="787" spans="1:10" ht="38.25" x14ac:dyDescent="0.2">
      <c r="A787" s="19" t="s">
        <v>953</v>
      </c>
      <c r="B787" s="21" t="s">
        <v>1102</v>
      </c>
      <c r="C787" s="19" t="s">
        <v>49</v>
      </c>
      <c r="D787" s="263" t="s">
        <v>257</v>
      </c>
      <c r="E787" s="93" t="s">
        <v>258</v>
      </c>
      <c r="F787" s="93" t="s">
        <v>259</v>
      </c>
      <c r="G787" s="93" t="s">
        <v>260</v>
      </c>
      <c r="H787" s="93" t="s">
        <v>261</v>
      </c>
      <c r="I787" s="93" t="s">
        <v>262</v>
      </c>
      <c r="J787" s="94" t="s">
        <v>263</v>
      </c>
    </row>
    <row r="788" spans="1:10" x14ac:dyDescent="0.2">
      <c r="A788" s="19"/>
      <c r="B788" s="98" t="s">
        <v>1137</v>
      </c>
      <c r="C788" s="41"/>
      <c r="D788" s="265">
        <v>16</v>
      </c>
      <c r="E788" s="102">
        <v>0.45</v>
      </c>
      <c r="F788" s="102"/>
      <c r="G788" s="102">
        <v>7.0000000000000007E-2</v>
      </c>
      <c r="H788" s="102">
        <f>D788*E788*G788</f>
        <v>0.50400000000000011</v>
      </c>
      <c r="I788" s="164"/>
      <c r="J788" s="179">
        <f>H788</f>
        <v>0.50400000000000011</v>
      </c>
    </row>
    <row r="789" spans="1:10" x14ac:dyDescent="0.2">
      <c r="A789" s="19"/>
      <c r="B789" s="98" t="s">
        <v>1138</v>
      </c>
      <c r="C789" s="41"/>
      <c r="D789" s="265">
        <v>1</v>
      </c>
      <c r="E789" s="102">
        <v>4.8</v>
      </c>
      <c r="F789" s="41"/>
      <c r="G789" s="99">
        <v>7.0000000000000007E-2</v>
      </c>
      <c r="H789" s="102">
        <f t="shared" ref="H789" si="42">D789*E789*G789</f>
        <v>0.33600000000000002</v>
      </c>
      <c r="I789" s="164"/>
      <c r="J789" s="179">
        <f>H789</f>
        <v>0.33600000000000002</v>
      </c>
    </row>
    <row r="790" spans="1:10" x14ac:dyDescent="0.2">
      <c r="A790" s="41"/>
      <c r="B790" s="41"/>
      <c r="C790" s="41"/>
      <c r="D790" s="99"/>
      <c r="E790" s="41"/>
      <c r="F790" s="41"/>
      <c r="G790" s="41"/>
      <c r="H790" s="102"/>
      <c r="I790" s="91" t="s">
        <v>604</v>
      </c>
      <c r="J790" s="90">
        <f>SUM(J788:J789)</f>
        <v>0.84000000000000008</v>
      </c>
    </row>
    <row r="791" spans="1:10" x14ac:dyDescent="0.2">
      <c r="A791" s="41"/>
      <c r="B791" s="41"/>
      <c r="C791" s="41"/>
      <c r="D791" s="99"/>
      <c r="E791" s="41"/>
      <c r="F791" s="41"/>
      <c r="G791" s="41"/>
      <c r="H791" s="41"/>
      <c r="I791" s="41"/>
      <c r="J791" s="41"/>
    </row>
    <row r="792" spans="1:10" x14ac:dyDescent="0.2">
      <c r="A792" s="11">
        <v>14</v>
      </c>
      <c r="B792" s="7" t="s">
        <v>143</v>
      </c>
      <c r="C792" s="5"/>
      <c r="D792" s="277"/>
      <c r="E792" s="77"/>
      <c r="F792" s="77"/>
      <c r="G792" s="77"/>
      <c r="H792" s="77"/>
      <c r="I792" s="77"/>
      <c r="J792" s="77"/>
    </row>
    <row r="793" spans="1:10" x14ac:dyDescent="0.2">
      <c r="A793" s="23" t="s">
        <v>356</v>
      </c>
      <c r="B793" s="18" t="s">
        <v>153</v>
      </c>
      <c r="C793" s="19"/>
      <c r="D793" s="99"/>
      <c r="E793" s="41"/>
      <c r="F793" s="41"/>
      <c r="G793" s="41"/>
      <c r="H793" s="41"/>
      <c r="I793" s="41"/>
      <c r="J793" s="41"/>
    </row>
    <row r="794" spans="1:10" ht="51" x14ac:dyDescent="0.2">
      <c r="A794" s="19" t="s">
        <v>357</v>
      </c>
      <c r="B794" s="21" t="s">
        <v>152</v>
      </c>
      <c r="C794" s="19" t="s">
        <v>25</v>
      </c>
      <c r="D794" s="263" t="s">
        <v>257</v>
      </c>
      <c r="E794" s="93" t="s">
        <v>258</v>
      </c>
      <c r="F794" s="93" t="s">
        <v>259</v>
      </c>
      <c r="G794" s="93" t="s">
        <v>260</v>
      </c>
      <c r="H794" s="93" t="s">
        <v>261</v>
      </c>
      <c r="I794" s="93" t="s">
        <v>262</v>
      </c>
      <c r="J794" s="94" t="s">
        <v>263</v>
      </c>
    </row>
    <row r="795" spans="1:10" x14ac:dyDescent="0.2">
      <c r="A795" s="19"/>
      <c r="B795" s="21"/>
      <c r="C795" s="82"/>
      <c r="D795" s="258">
        <v>1</v>
      </c>
      <c r="E795" s="82"/>
      <c r="F795" s="82"/>
      <c r="G795" s="82"/>
      <c r="H795" s="82"/>
      <c r="I795" s="82"/>
      <c r="J795" s="82">
        <f>D795</f>
        <v>1</v>
      </c>
    </row>
    <row r="796" spans="1:10" x14ac:dyDescent="0.2">
      <c r="A796" s="19"/>
      <c r="B796" s="21"/>
      <c r="C796" s="82"/>
      <c r="D796" s="258"/>
      <c r="E796" s="82"/>
      <c r="F796" s="82"/>
      <c r="G796" s="82"/>
      <c r="H796" s="82"/>
      <c r="I796" s="91" t="s">
        <v>604</v>
      </c>
      <c r="J796" s="90">
        <f>SUM(J795)</f>
        <v>1</v>
      </c>
    </row>
    <row r="797" spans="1:10" x14ac:dyDescent="0.2">
      <c r="A797" s="19"/>
      <c r="B797" s="21"/>
      <c r="C797" s="82"/>
      <c r="D797" s="258"/>
      <c r="E797" s="82"/>
      <c r="F797" s="82"/>
      <c r="G797" s="82"/>
      <c r="H797" s="82"/>
      <c r="I797" s="82"/>
      <c r="J797" s="82"/>
    </row>
    <row r="798" spans="1:10" x14ac:dyDescent="0.2">
      <c r="A798" s="23" t="s">
        <v>358</v>
      </c>
      <c r="B798" s="24" t="s">
        <v>154</v>
      </c>
      <c r="C798" s="82"/>
      <c r="D798" s="258"/>
      <c r="E798" s="82"/>
      <c r="F798" s="82"/>
      <c r="G798" s="82"/>
      <c r="H798" s="82"/>
      <c r="I798" s="82"/>
      <c r="J798" s="82"/>
    </row>
    <row r="799" spans="1:10" ht="25.5" x14ac:dyDescent="0.2">
      <c r="A799" s="19" t="s">
        <v>359</v>
      </c>
      <c r="B799" s="21" t="s">
        <v>156</v>
      </c>
      <c r="C799" s="19" t="s">
        <v>155</v>
      </c>
      <c r="D799" s="263" t="s">
        <v>257</v>
      </c>
      <c r="E799" s="93" t="s">
        <v>258</v>
      </c>
      <c r="F799" s="93" t="s">
        <v>259</v>
      </c>
      <c r="G799" s="93" t="s">
        <v>260</v>
      </c>
      <c r="H799" s="93" t="s">
        <v>261</v>
      </c>
      <c r="I799" s="93" t="s">
        <v>262</v>
      </c>
      <c r="J799" s="94" t="s">
        <v>263</v>
      </c>
    </row>
    <row r="800" spans="1:10" x14ac:dyDescent="0.2">
      <c r="A800" s="19"/>
      <c r="B800" s="101" t="s">
        <v>676</v>
      </c>
      <c r="C800" s="19"/>
      <c r="D800" s="263"/>
      <c r="E800" s="93"/>
      <c r="F800" s="93"/>
      <c r="G800" s="93"/>
      <c r="H800" s="93"/>
      <c r="I800" s="93"/>
      <c r="J800" s="94"/>
    </row>
    <row r="801" spans="1:10" x14ac:dyDescent="0.2">
      <c r="A801" s="19"/>
      <c r="B801" s="80" t="s">
        <v>777</v>
      </c>
      <c r="C801" s="19"/>
      <c r="D801" s="263">
        <v>2</v>
      </c>
      <c r="E801" s="93"/>
      <c r="F801" s="93"/>
      <c r="G801" s="93"/>
      <c r="H801" s="93"/>
      <c r="I801" s="93"/>
      <c r="J801" s="94">
        <f>D801</f>
        <v>2</v>
      </c>
    </row>
    <row r="802" spans="1:10" x14ac:dyDescent="0.2">
      <c r="A802" s="19"/>
      <c r="B802" s="80" t="s">
        <v>634</v>
      </c>
      <c r="C802" s="19"/>
      <c r="D802" s="263">
        <v>1</v>
      </c>
      <c r="E802" s="93"/>
      <c r="F802" s="93"/>
      <c r="G802" s="93"/>
      <c r="H802" s="93"/>
      <c r="I802" s="93"/>
      <c r="J802" s="94">
        <f t="shared" ref="J802:J809" si="43">D802</f>
        <v>1</v>
      </c>
    </row>
    <row r="803" spans="1:10" x14ac:dyDescent="0.2">
      <c r="A803" s="19"/>
      <c r="B803" s="80" t="s">
        <v>638</v>
      </c>
      <c r="C803" s="19"/>
      <c r="D803" s="263">
        <v>3</v>
      </c>
      <c r="E803" s="93"/>
      <c r="F803" s="93"/>
      <c r="G803" s="93"/>
      <c r="H803" s="93"/>
      <c r="I803" s="93"/>
      <c r="J803" s="94">
        <f t="shared" si="43"/>
        <v>3</v>
      </c>
    </row>
    <row r="804" spans="1:10" x14ac:dyDescent="0.2">
      <c r="A804" s="19"/>
      <c r="B804" s="80" t="s">
        <v>637</v>
      </c>
      <c r="C804" s="19"/>
      <c r="D804" s="263">
        <v>3</v>
      </c>
      <c r="E804" s="93"/>
      <c r="F804" s="93"/>
      <c r="G804" s="93"/>
      <c r="H804" s="93"/>
      <c r="I804" s="93"/>
      <c r="J804" s="94">
        <f t="shared" si="43"/>
        <v>3</v>
      </c>
    </row>
    <row r="805" spans="1:10" x14ac:dyDescent="0.2">
      <c r="A805" s="19"/>
      <c r="B805" s="80" t="s">
        <v>641</v>
      </c>
      <c r="C805" s="19"/>
      <c r="D805" s="263">
        <v>4</v>
      </c>
      <c r="E805" s="93"/>
      <c r="F805" s="93"/>
      <c r="G805" s="93"/>
      <c r="H805" s="93"/>
      <c r="I805" s="93"/>
      <c r="J805" s="94">
        <f t="shared" si="43"/>
        <v>4</v>
      </c>
    </row>
    <row r="806" spans="1:10" x14ac:dyDescent="0.2">
      <c r="A806" s="19"/>
      <c r="B806" s="80" t="s">
        <v>642</v>
      </c>
      <c r="C806" s="82"/>
      <c r="D806" s="258">
        <v>4</v>
      </c>
      <c r="E806" s="82"/>
      <c r="F806" s="82"/>
      <c r="G806" s="82"/>
      <c r="H806" s="82"/>
      <c r="I806" s="82"/>
      <c r="J806" s="94">
        <f t="shared" si="43"/>
        <v>4</v>
      </c>
    </row>
    <row r="807" spans="1:10" x14ac:dyDescent="0.2">
      <c r="A807" s="19"/>
      <c r="B807" s="80" t="s">
        <v>680</v>
      </c>
      <c r="C807" s="82"/>
      <c r="D807" s="258">
        <v>2</v>
      </c>
      <c r="E807" s="82"/>
      <c r="F807" s="82"/>
      <c r="G807" s="82"/>
      <c r="H807" s="82"/>
      <c r="I807" s="82"/>
      <c r="J807" s="94">
        <f t="shared" si="43"/>
        <v>2</v>
      </c>
    </row>
    <row r="808" spans="1:10" x14ac:dyDescent="0.2">
      <c r="A808" s="19"/>
      <c r="B808" s="80" t="s">
        <v>675</v>
      </c>
      <c r="C808" s="82"/>
      <c r="D808" s="258">
        <v>2</v>
      </c>
      <c r="E808" s="82"/>
      <c r="F808" s="82"/>
      <c r="G808" s="82"/>
      <c r="H808" s="82"/>
      <c r="I808" s="82"/>
      <c r="J808" s="94">
        <f t="shared" si="43"/>
        <v>2</v>
      </c>
    </row>
    <row r="809" spans="1:10" x14ac:dyDescent="0.2">
      <c r="A809" s="19"/>
      <c r="B809" s="80" t="s">
        <v>643</v>
      </c>
      <c r="C809" s="82"/>
      <c r="D809" s="258">
        <v>2</v>
      </c>
      <c r="E809" s="82"/>
      <c r="F809" s="82"/>
      <c r="G809" s="82"/>
      <c r="H809" s="82"/>
      <c r="I809" s="82"/>
      <c r="J809" s="94">
        <f t="shared" si="43"/>
        <v>2</v>
      </c>
    </row>
    <row r="810" spans="1:10" x14ac:dyDescent="0.2">
      <c r="A810" s="19"/>
      <c r="B810" s="101" t="s">
        <v>877</v>
      </c>
      <c r="C810" s="82"/>
      <c r="D810" s="258"/>
      <c r="E810" s="82"/>
      <c r="F810" s="82"/>
      <c r="G810" s="82"/>
      <c r="H810" s="82"/>
      <c r="I810" s="82"/>
      <c r="J810" s="94"/>
    </row>
    <row r="811" spans="1:10" x14ac:dyDescent="0.2">
      <c r="A811" s="19"/>
      <c r="B811" s="80" t="s">
        <v>644</v>
      </c>
      <c r="C811" s="82"/>
      <c r="D811" s="258">
        <v>4</v>
      </c>
      <c r="E811" s="82"/>
      <c r="F811" s="82"/>
      <c r="G811" s="82"/>
      <c r="H811" s="82"/>
      <c r="I811" s="82"/>
      <c r="J811" s="94">
        <f>D811</f>
        <v>4</v>
      </c>
    </row>
    <row r="812" spans="1:10" x14ac:dyDescent="0.2">
      <c r="A812" s="19"/>
      <c r="B812" s="80" t="s">
        <v>675</v>
      </c>
      <c r="C812" s="82"/>
      <c r="D812" s="258">
        <v>2</v>
      </c>
      <c r="E812" s="82"/>
      <c r="F812" s="82"/>
      <c r="G812" s="82"/>
      <c r="H812" s="82"/>
      <c r="I812" s="82"/>
      <c r="J812" s="94">
        <f>D812</f>
        <v>2</v>
      </c>
    </row>
    <row r="813" spans="1:10" x14ac:dyDescent="0.2">
      <c r="A813" s="19"/>
      <c r="B813" s="80"/>
      <c r="C813" s="82"/>
      <c r="D813" s="258"/>
      <c r="E813" s="82"/>
      <c r="F813" s="82"/>
      <c r="G813" s="82"/>
      <c r="H813" s="82"/>
      <c r="I813" s="91" t="s">
        <v>604</v>
      </c>
      <c r="J813" s="90">
        <f>SUM(J800:J812)</f>
        <v>29</v>
      </c>
    </row>
    <row r="814" spans="1:10" x14ac:dyDescent="0.2">
      <c r="A814" s="19"/>
      <c r="B814" s="80"/>
      <c r="C814" s="82"/>
      <c r="D814" s="258"/>
      <c r="E814" s="82"/>
      <c r="F814" s="82"/>
      <c r="G814" s="82"/>
      <c r="H814" s="82"/>
      <c r="I814" s="82"/>
      <c r="J814" s="82"/>
    </row>
    <row r="815" spans="1:10" x14ac:dyDescent="0.2">
      <c r="A815" s="19"/>
      <c r="B815" s="21"/>
      <c r="C815" s="82"/>
      <c r="D815" s="258"/>
      <c r="E815" s="82"/>
      <c r="F815" s="82"/>
      <c r="G815" s="82"/>
      <c r="H815" s="82"/>
      <c r="I815" s="82"/>
      <c r="J815" s="82"/>
    </row>
    <row r="816" spans="1:10" ht="25.5" x14ac:dyDescent="0.2">
      <c r="A816" s="19" t="s">
        <v>360</v>
      </c>
      <c r="B816" s="21" t="s">
        <v>157</v>
      </c>
      <c r="C816" s="19" t="s">
        <v>158</v>
      </c>
      <c r="D816" s="263" t="s">
        <v>257</v>
      </c>
      <c r="E816" s="93" t="s">
        <v>258</v>
      </c>
      <c r="F816" s="93" t="s">
        <v>259</v>
      </c>
      <c r="G816" s="93" t="s">
        <v>260</v>
      </c>
      <c r="H816" s="93" t="s">
        <v>261</v>
      </c>
      <c r="I816" s="93" t="s">
        <v>262</v>
      </c>
      <c r="J816" s="94" t="s">
        <v>263</v>
      </c>
    </row>
    <row r="817" spans="1:10" x14ac:dyDescent="0.2">
      <c r="A817" s="19"/>
      <c r="B817" s="101" t="s">
        <v>676</v>
      </c>
      <c r="C817" s="19"/>
      <c r="D817" s="263"/>
      <c r="E817" s="93"/>
      <c r="F817" s="93"/>
      <c r="G817" s="93"/>
      <c r="H817" s="93"/>
      <c r="I817" s="93"/>
      <c r="J817" s="94"/>
    </row>
    <row r="818" spans="1:10" x14ac:dyDescent="0.2">
      <c r="A818" s="19"/>
      <c r="B818" s="80" t="s">
        <v>638</v>
      </c>
      <c r="C818" s="19"/>
      <c r="D818" s="263">
        <v>1</v>
      </c>
      <c r="E818" s="93"/>
      <c r="F818" s="93"/>
      <c r="G818" s="93"/>
      <c r="H818" s="93"/>
      <c r="I818" s="93"/>
      <c r="J818" s="94">
        <f>D818</f>
        <v>1</v>
      </c>
    </row>
    <row r="819" spans="1:10" x14ac:dyDescent="0.2">
      <c r="A819" s="19"/>
      <c r="B819" s="80" t="s">
        <v>637</v>
      </c>
      <c r="C819" s="19"/>
      <c r="D819" s="263">
        <v>1</v>
      </c>
      <c r="E819" s="93"/>
      <c r="F819" s="93"/>
      <c r="G819" s="93"/>
      <c r="H819" s="93"/>
      <c r="I819" s="93"/>
      <c r="J819" s="94">
        <f>D819</f>
        <v>1</v>
      </c>
    </row>
    <row r="820" spans="1:10" x14ac:dyDescent="0.2">
      <c r="A820" s="19"/>
      <c r="B820" s="80" t="s">
        <v>641</v>
      </c>
      <c r="C820" s="19"/>
      <c r="D820" s="263">
        <v>1</v>
      </c>
      <c r="E820" s="93"/>
      <c r="F820" s="93"/>
      <c r="G820" s="93"/>
      <c r="H820" s="93"/>
      <c r="I820" s="93"/>
      <c r="J820" s="94">
        <f>D820</f>
        <v>1</v>
      </c>
    </row>
    <row r="821" spans="1:10" x14ac:dyDescent="0.2">
      <c r="A821" s="19"/>
      <c r="B821" s="80" t="s">
        <v>642</v>
      </c>
      <c r="C821" s="19"/>
      <c r="D821" s="263">
        <v>1</v>
      </c>
      <c r="E821" s="93"/>
      <c r="F821" s="93"/>
      <c r="G821" s="93"/>
      <c r="H821" s="93"/>
      <c r="I821" s="93"/>
      <c r="J821" s="94">
        <f>D821</f>
        <v>1</v>
      </c>
    </row>
    <row r="822" spans="1:10" x14ac:dyDescent="0.2">
      <c r="A822" s="19"/>
      <c r="B822" s="101" t="s">
        <v>877</v>
      </c>
      <c r="C822" s="19"/>
      <c r="D822" s="263"/>
      <c r="E822" s="93"/>
      <c r="F822" s="93"/>
      <c r="G822" s="93"/>
      <c r="H822" s="93"/>
      <c r="I822" s="93"/>
      <c r="J822" s="94"/>
    </row>
    <row r="823" spans="1:10" x14ac:dyDescent="0.2">
      <c r="A823" s="19"/>
      <c r="B823" s="80" t="s">
        <v>644</v>
      </c>
      <c r="C823" s="82"/>
      <c r="D823" s="258">
        <v>1</v>
      </c>
      <c r="E823" s="82"/>
      <c r="F823" s="82"/>
      <c r="G823" s="82"/>
      <c r="H823" s="82"/>
      <c r="I823" s="82"/>
      <c r="J823" s="82">
        <f>D823</f>
        <v>1</v>
      </c>
    </row>
    <row r="824" spans="1:10" x14ac:dyDescent="0.2">
      <c r="A824" s="19"/>
      <c r="B824" s="21"/>
      <c r="C824" s="82"/>
      <c r="D824" s="258"/>
      <c r="E824" s="82"/>
      <c r="F824" s="82"/>
      <c r="G824" s="82"/>
      <c r="H824" s="82"/>
      <c r="I824" s="91" t="s">
        <v>604</v>
      </c>
      <c r="J824" s="90">
        <f>SUM(J817:J823)</f>
        <v>5</v>
      </c>
    </row>
    <row r="825" spans="1:10" x14ac:dyDescent="0.2">
      <c r="A825" s="19"/>
      <c r="B825" s="21"/>
      <c r="C825" s="82"/>
      <c r="D825" s="258"/>
      <c r="E825" s="82"/>
      <c r="F825" s="82"/>
      <c r="G825" s="82"/>
      <c r="H825" s="82"/>
      <c r="I825" s="82"/>
      <c r="J825" s="82"/>
    </row>
    <row r="826" spans="1:10" ht="25.5" x14ac:dyDescent="0.2">
      <c r="A826" s="19" t="s">
        <v>361</v>
      </c>
      <c r="B826" s="21" t="s">
        <v>159</v>
      </c>
      <c r="C826" s="19" t="s">
        <v>155</v>
      </c>
      <c r="D826" s="263" t="s">
        <v>257</v>
      </c>
      <c r="E826" s="93" t="s">
        <v>258</v>
      </c>
      <c r="F826" s="93" t="s">
        <v>259</v>
      </c>
      <c r="G826" s="93" t="s">
        <v>260</v>
      </c>
      <c r="H826" s="93" t="s">
        <v>261</v>
      </c>
      <c r="I826" s="93" t="s">
        <v>262</v>
      </c>
      <c r="J826" s="94" t="s">
        <v>263</v>
      </c>
    </row>
    <row r="827" spans="1:10" x14ac:dyDescent="0.2">
      <c r="A827" s="19"/>
      <c r="B827" s="101" t="s">
        <v>676</v>
      </c>
      <c r="C827" s="19"/>
      <c r="D827" s="263"/>
      <c r="E827" s="93"/>
      <c r="F827" s="93"/>
      <c r="G827" s="93"/>
      <c r="H827" s="93"/>
      <c r="I827" s="93"/>
      <c r="J827" s="94"/>
    </row>
    <row r="828" spans="1:10" x14ac:dyDescent="0.2">
      <c r="A828" s="19"/>
      <c r="B828" s="80" t="s">
        <v>638</v>
      </c>
      <c r="C828" s="19"/>
      <c r="D828" s="263">
        <v>1</v>
      </c>
      <c r="E828" s="93"/>
      <c r="F828" s="93"/>
      <c r="G828" s="93"/>
      <c r="H828" s="93"/>
      <c r="I828" s="93"/>
      <c r="J828" s="94">
        <f>D828</f>
        <v>1</v>
      </c>
    </row>
    <row r="829" spans="1:10" x14ac:dyDescent="0.2">
      <c r="A829" s="19"/>
      <c r="B829" s="80" t="s">
        <v>637</v>
      </c>
      <c r="C829" s="19"/>
      <c r="D829" s="263">
        <v>1</v>
      </c>
      <c r="E829" s="93"/>
      <c r="F829" s="93"/>
      <c r="G829" s="93"/>
      <c r="H829" s="93"/>
      <c r="I829" s="93"/>
      <c r="J829" s="94">
        <f t="shared" ref="J829:J836" si="44">D829</f>
        <v>1</v>
      </c>
    </row>
    <row r="830" spans="1:10" x14ac:dyDescent="0.2">
      <c r="A830" s="19"/>
      <c r="B830" s="80" t="s">
        <v>641</v>
      </c>
      <c r="C830" s="19"/>
      <c r="D830" s="263">
        <v>1</v>
      </c>
      <c r="E830" s="93"/>
      <c r="F830" s="93"/>
      <c r="G830" s="93"/>
      <c r="H830" s="93"/>
      <c r="I830" s="93"/>
      <c r="J830" s="94">
        <f t="shared" si="44"/>
        <v>1</v>
      </c>
    </row>
    <row r="831" spans="1:10" x14ac:dyDescent="0.2">
      <c r="A831" s="19"/>
      <c r="B831" s="80" t="s">
        <v>642</v>
      </c>
      <c r="C831" s="82"/>
      <c r="D831" s="258">
        <v>1</v>
      </c>
      <c r="E831" s="93"/>
      <c r="F831" s="93"/>
      <c r="G831" s="93"/>
      <c r="H831" s="93"/>
      <c r="I831" s="93"/>
      <c r="J831" s="94">
        <f t="shared" si="44"/>
        <v>1</v>
      </c>
    </row>
    <row r="832" spans="1:10" x14ac:dyDescent="0.2">
      <c r="A832" s="19"/>
      <c r="B832" s="80" t="s">
        <v>680</v>
      </c>
      <c r="C832" s="82"/>
      <c r="D832" s="258">
        <v>2</v>
      </c>
      <c r="E832" s="93"/>
      <c r="F832" s="93"/>
      <c r="G832" s="93"/>
      <c r="H832" s="93"/>
      <c r="I832" s="93"/>
      <c r="J832" s="94">
        <f t="shared" si="44"/>
        <v>2</v>
      </c>
    </row>
    <row r="833" spans="1:10" x14ac:dyDescent="0.2">
      <c r="A833" s="19"/>
      <c r="B833" s="80" t="s">
        <v>675</v>
      </c>
      <c r="C833" s="82"/>
      <c r="D833" s="258">
        <v>1</v>
      </c>
      <c r="E833" s="93"/>
      <c r="F833" s="93"/>
      <c r="G833" s="93"/>
      <c r="H833" s="93"/>
      <c r="I833" s="93"/>
      <c r="J833" s="94">
        <f t="shared" si="44"/>
        <v>1</v>
      </c>
    </row>
    <row r="834" spans="1:10" x14ac:dyDescent="0.2">
      <c r="A834" s="19"/>
      <c r="B834" s="80" t="s">
        <v>643</v>
      </c>
      <c r="C834" s="82"/>
      <c r="D834" s="258">
        <v>2</v>
      </c>
      <c r="E834" s="93"/>
      <c r="F834" s="93"/>
      <c r="G834" s="93"/>
      <c r="H834" s="93"/>
      <c r="I834" s="93"/>
      <c r="J834" s="94">
        <f t="shared" si="44"/>
        <v>2</v>
      </c>
    </row>
    <row r="835" spans="1:10" x14ac:dyDescent="0.2">
      <c r="A835" s="19"/>
      <c r="B835" s="101" t="s">
        <v>877</v>
      </c>
      <c r="C835" s="82"/>
      <c r="D835" s="258"/>
      <c r="E835" s="93"/>
      <c r="F835" s="93"/>
      <c r="G835" s="93"/>
      <c r="H835" s="93"/>
      <c r="I835" s="93"/>
      <c r="J835" s="94"/>
    </row>
    <row r="836" spans="1:10" x14ac:dyDescent="0.2">
      <c r="A836" s="19"/>
      <c r="B836" s="80" t="s">
        <v>644</v>
      </c>
      <c r="C836" s="82"/>
      <c r="D836" s="258">
        <v>1</v>
      </c>
      <c r="E836" s="93"/>
      <c r="F836" s="93"/>
      <c r="G836" s="93"/>
      <c r="H836" s="93"/>
      <c r="I836" s="93"/>
      <c r="J836" s="94">
        <f t="shared" si="44"/>
        <v>1</v>
      </c>
    </row>
    <row r="837" spans="1:10" x14ac:dyDescent="0.2">
      <c r="A837" s="19"/>
      <c r="B837" s="80" t="s">
        <v>675</v>
      </c>
      <c r="C837" s="82"/>
      <c r="D837" s="258">
        <v>2</v>
      </c>
      <c r="E837" s="93"/>
      <c r="F837" s="93"/>
      <c r="G837" s="93"/>
      <c r="H837" s="93"/>
      <c r="I837" s="93"/>
      <c r="J837" s="94">
        <f>D837</f>
        <v>2</v>
      </c>
    </row>
    <row r="838" spans="1:10" x14ac:dyDescent="0.2">
      <c r="A838" s="19"/>
      <c r="B838" s="21"/>
      <c r="C838" s="19"/>
      <c r="D838" s="263"/>
      <c r="E838" s="93"/>
      <c r="F838" s="93"/>
      <c r="G838" s="93"/>
      <c r="H838" s="93"/>
      <c r="I838" s="91" t="s">
        <v>604</v>
      </c>
      <c r="J838" s="90">
        <f>SUM(J827:J837)</f>
        <v>12</v>
      </c>
    </row>
    <row r="839" spans="1:10" x14ac:dyDescent="0.2">
      <c r="A839" s="19"/>
      <c r="B839" s="21"/>
      <c r="C839" s="82"/>
      <c r="D839" s="258"/>
      <c r="E839" s="82"/>
      <c r="F839" s="82"/>
      <c r="G839" s="82"/>
      <c r="H839" s="82"/>
      <c r="I839" s="82"/>
      <c r="J839" s="82"/>
    </row>
    <row r="840" spans="1:10" ht="25.5" x14ac:dyDescent="0.2">
      <c r="A840" s="19" t="s">
        <v>362</v>
      </c>
      <c r="B840" s="21" t="s">
        <v>161</v>
      </c>
      <c r="C840" s="19" t="s">
        <v>43</v>
      </c>
      <c r="D840" s="263" t="s">
        <v>257</v>
      </c>
      <c r="E840" s="93" t="s">
        <v>258</v>
      </c>
      <c r="F840" s="93" t="s">
        <v>259</v>
      </c>
      <c r="G840" s="93" t="s">
        <v>260</v>
      </c>
      <c r="H840" s="93" t="s">
        <v>261</v>
      </c>
      <c r="I840" s="93" t="s">
        <v>262</v>
      </c>
      <c r="J840" s="94" t="s">
        <v>263</v>
      </c>
    </row>
    <row r="841" spans="1:10" x14ac:dyDescent="0.2">
      <c r="A841" s="19"/>
      <c r="B841" s="101" t="s">
        <v>676</v>
      </c>
      <c r="C841" s="19"/>
      <c r="D841" s="263"/>
      <c r="E841" s="93"/>
      <c r="F841" s="93"/>
      <c r="G841" s="93"/>
      <c r="H841" s="93"/>
      <c r="I841" s="93"/>
      <c r="J841" s="94"/>
    </row>
    <row r="842" spans="1:10" x14ac:dyDescent="0.2">
      <c r="A842" s="19"/>
      <c r="B842" s="226" t="s">
        <v>638</v>
      </c>
      <c r="C842" s="19"/>
      <c r="D842" s="263">
        <v>1</v>
      </c>
      <c r="E842" s="93"/>
      <c r="F842" s="93"/>
      <c r="G842" s="93"/>
      <c r="H842" s="93"/>
      <c r="I842" s="93"/>
      <c r="J842" s="94">
        <f>D842</f>
        <v>1</v>
      </c>
    </row>
    <row r="843" spans="1:10" x14ac:dyDescent="0.2">
      <c r="A843" s="19"/>
      <c r="B843" s="226" t="s">
        <v>637</v>
      </c>
      <c r="C843" s="19"/>
      <c r="D843" s="263">
        <v>1</v>
      </c>
      <c r="E843" s="93"/>
      <c r="F843" s="93"/>
      <c r="G843" s="93"/>
      <c r="H843" s="93"/>
      <c r="I843" s="93"/>
      <c r="J843" s="94">
        <f t="shared" ref="J843:J848" si="45">D843</f>
        <v>1</v>
      </c>
    </row>
    <row r="844" spans="1:10" x14ac:dyDescent="0.2">
      <c r="A844" s="19"/>
      <c r="B844" s="226" t="s">
        <v>641</v>
      </c>
      <c r="C844" s="19"/>
      <c r="D844" s="263">
        <v>2</v>
      </c>
      <c r="E844" s="93"/>
      <c r="F844" s="93"/>
      <c r="G844" s="93"/>
      <c r="H844" s="93"/>
      <c r="I844" s="93"/>
      <c r="J844" s="94">
        <f t="shared" si="45"/>
        <v>2</v>
      </c>
    </row>
    <row r="845" spans="1:10" x14ac:dyDescent="0.2">
      <c r="A845" s="19"/>
      <c r="B845" s="226" t="s">
        <v>642</v>
      </c>
      <c r="C845" s="82"/>
      <c r="D845" s="258">
        <v>2</v>
      </c>
      <c r="E845" s="93"/>
      <c r="F845" s="93"/>
      <c r="G845" s="93"/>
      <c r="H845" s="93"/>
      <c r="I845" s="93"/>
      <c r="J845" s="94">
        <f t="shared" si="45"/>
        <v>2</v>
      </c>
    </row>
    <row r="846" spans="1:10" x14ac:dyDescent="0.2">
      <c r="A846" s="19"/>
      <c r="B846" s="226" t="s">
        <v>680</v>
      </c>
      <c r="C846" s="82"/>
      <c r="D846" s="258">
        <v>1</v>
      </c>
      <c r="E846" s="93"/>
      <c r="F846" s="93"/>
      <c r="G846" s="93"/>
      <c r="H846" s="93"/>
      <c r="I846" s="93"/>
      <c r="J846" s="94">
        <f t="shared" si="45"/>
        <v>1</v>
      </c>
    </row>
    <row r="847" spans="1:10" x14ac:dyDescent="0.2">
      <c r="A847" s="19"/>
      <c r="B847" s="226" t="s">
        <v>675</v>
      </c>
      <c r="C847" s="82"/>
      <c r="D847" s="258">
        <v>1</v>
      </c>
      <c r="E847" s="93"/>
      <c r="F847" s="93"/>
      <c r="G847" s="93"/>
      <c r="H847" s="93"/>
      <c r="I847" s="93"/>
      <c r="J847" s="94">
        <f t="shared" si="45"/>
        <v>1</v>
      </c>
    </row>
    <row r="848" spans="1:10" x14ac:dyDescent="0.2">
      <c r="A848" s="19"/>
      <c r="B848" s="226" t="s">
        <v>643</v>
      </c>
      <c r="C848" s="82"/>
      <c r="D848" s="258">
        <v>1</v>
      </c>
      <c r="E848" s="93"/>
      <c r="F848" s="93"/>
      <c r="G848" s="93"/>
      <c r="H848" s="93"/>
      <c r="I848" s="93"/>
      <c r="J848" s="94">
        <f t="shared" si="45"/>
        <v>1</v>
      </c>
    </row>
    <row r="849" spans="1:10" x14ac:dyDescent="0.2">
      <c r="A849" s="19"/>
      <c r="B849" s="101" t="s">
        <v>877</v>
      </c>
      <c r="C849" s="82"/>
      <c r="D849" s="258"/>
      <c r="E849" s="93"/>
      <c r="F849" s="93"/>
      <c r="G849" s="93"/>
      <c r="H849" s="93"/>
      <c r="I849" s="93"/>
      <c r="J849" s="94"/>
    </row>
    <row r="850" spans="1:10" x14ac:dyDescent="0.2">
      <c r="A850" s="19"/>
      <c r="B850" s="226" t="s">
        <v>644</v>
      </c>
      <c r="C850" s="82"/>
      <c r="D850" s="258">
        <v>2</v>
      </c>
      <c r="E850" s="93"/>
      <c r="F850" s="93"/>
      <c r="G850" s="93"/>
      <c r="H850" s="93"/>
      <c r="I850" s="93"/>
      <c r="J850" s="94">
        <f t="shared" ref="J850" si="46">D850</f>
        <v>2</v>
      </c>
    </row>
    <row r="851" spans="1:10" x14ac:dyDescent="0.2">
      <c r="A851" s="19"/>
      <c r="B851" s="226" t="s">
        <v>675</v>
      </c>
      <c r="C851" s="82"/>
      <c r="D851" s="258">
        <v>1</v>
      </c>
      <c r="E851" s="93"/>
      <c r="F851" s="93"/>
      <c r="G851" s="93"/>
      <c r="H851" s="93"/>
      <c r="I851" s="93"/>
      <c r="J851" s="94">
        <f>D851</f>
        <v>1</v>
      </c>
    </row>
    <row r="852" spans="1:10" s="234" customFormat="1" x14ac:dyDescent="0.2">
      <c r="A852" s="232"/>
      <c r="B852" s="233"/>
      <c r="C852" s="235"/>
      <c r="D852" s="235"/>
      <c r="E852" s="235"/>
      <c r="F852" s="235"/>
      <c r="G852" s="235"/>
      <c r="H852" s="235"/>
      <c r="I852" s="91" t="s">
        <v>604</v>
      </c>
      <c r="J852" s="236">
        <f>SUM(J841:J851)</f>
        <v>12</v>
      </c>
    </row>
    <row r="853" spans="1:10" x14ac:dyDescent="0.2">
      <c r="A853" s="19"/>
      <c r="B853" s="21"/>
      <c r="C853" s="82"/>
      <c r="D853" s="258"/>
      <c r="E853" s="82"/>
      <c r="F853" s="82"/>
      <c r="G853" s="82"/>
      <c r="H853" s="82"/>
      <c r="I853" s="82"/>
      <c r="J853" s="82"/>
    </row>
    <row r="854" spans="1:10" x14ac:dyDescent="0.2">
      <c r="A854" s="23" t="s">
        <v>352</v>
      </c>
      <c r="B854" s="18" t="s">
        <v>162</v>
      </c>
      <c r="C854" s="82"/>
      <c r="D854" s="258"/>
      <c r="E854" s="82"/>
      <c r="F854" s="82"/>
      <c r="G854" s="82"/>
      <c r="H854" s="82"/>
      <c r="I854" s="82"/>
      <c r="J854" s="82"/>
    </row>
    <row r="855" spans="1:10" ht="25.5" x14ac:dyDescent="0.2">
      <c r="A855" s="19" t="s">
        <v>363</v>
      </c>
      <c r="B855" s="21" t="s">
        <v>163</v>
      </c>
      <c r="C855" s="19" t="s">
        <v>49</v>
      </c>
      <c r="D855" s="263" t="s">
        <v>257</v>
      </c>
      <c r="E855" s="93" t="s">
        <v>258</v>
      </c>
      <c r="F855" s="93" t="s">
        <v>259</v>
      </c>
      <c r="G855" s="93" t="s">
        <v>260</v>
      </c>
      <c r="H855" s="93" t="s">
        <v>261</v>
      </c>
      <c r="I855" s="93" t="s">
        <v>262</v>
      </c>
      <c r="J855" s="94" t="s">
        <v>263</v>
      </c>
    </row>
    <row r="856" spans="1:10" x14ac:dyDescent="0.2">
      <c r="A856" s="19"/>
      <c r="B856" s="226" t="s">
        <v>1180</v>
      </c>
      <c r="C856" s="82"/>
      <c r="D856" s="258"/>
      <c r="E856" s="82">
        <v>1.02</v>
      </c>
      <c r="F856" s="82"/>
      <c r="G856" s="82"/>
      <c r="H856" s="82"/>
      <c r="I856" s="82"/>
      <c r="J856" s="94">
        <f t="shared" ref="J856:J858" si="47">E856</f>
        <v>1.02</v>
      </c>
    </row>
    <row r="857" spans="1:10" x14ac:dyDescent="0.2">
      <c r="A857" s="19"/>
      <c r="B857" s="226" t="s">
        <v>1181</v>
      </c>
      <c r="C857" s="82"/>
      <c r="D857" s="258"/>
      <c r="E857" s="82">
        <v>3.86</v>
      </c>
      <c r="F857" s="82"/>
      <c r="G857" s="82"/>
      <c r="H857" s="82"/>
      <c r="I857" s="82"/>
      <c r="J857" s="94">
        <f t="shared" si="47"/>
        <v>3.86</v>
      </c>
    </row>
    <row r="858" spans="1:10" x14ac:dyDescent="0.2">
      <c r="A858" s="19"/>
      <c r="B858" s="226" t="s">
        <v>1182</v>
      </c>
      <c r="C858" s="82"/>
      <c r="D858" s="258"/>
      <c r="E858" s="82">
        <v>7.2</v>
      </c>
      <c r="F858" s="82"/>
      <c r="G858" s="82"/>
      <c r="H858" s="82"/>
      <c r="I858" s="82"/>
      <c r="J858" s="94">
        <f t="shared" si="47"/>
        <v>7.2</v>
      </c>
    </row>
    <row r="859" spans="1:10" x14ac:dyDescent="0.2">
      <c r="A859" s="19"/>
      <c r="B859" s="21"/>
      <c r="C859" s="82"/>
      <c r="D859" s="258"/>
      <c r="E859" s="82"/>
      <c r="F859" s="82"/>
      <c r="G859" s="82"/>
      <c r="H859" s="82"/>
      <c r="I859" s="91" t="s">
        <v>604</v>
      </c>
      <c r="J859" s="236">
        <f>SUM(J856:J858)</f>
        <v>12.08</v>
      </c>
    </row>
    <row r="860" spans="1:10" x14ac:dyDescent="0.2">
      <c r="A860" s="19"/>
      <c r="B860" s="21"/>
      <c r="C860" s="82"/>
      <c r="D860" s="258"/>
      <c r="E860" s="82"/>
      <c r="F860" s="82"/>
      <c r="G860" s="82"/>
      <c r="H860" s="82"/>
      <c r="I860" s="82"/>
      <c r="J860" s="82"/>
    </row>
    <row r="861" spans="1:10" x14ac:dyDescent="0.2">
      <c r="A861" s="23" t="s">
        <v>364</v>
      </c>
      <c r="B861" s="18" t="s">
        <v>164</v>
      </c>
      <c r="C861" s="19"/>
      <c r="D861" s="99"/>
      <c r="E861" s="41"/>
      <c r="F861" s="41"/>
      <c r="G861" s="41"/>
      <c r="H861" s="41"/>
      <c r="I861" s="41"/>
      <c r="J861" s="41"/>
    </row>
    <row r="862" spans="1:10" ht="51" x14ac:dyDescent="0.2">
      <c r="A862" s="19" t="s">
        <v>365</v>
      </c>
      <c r="B862" s="21" t="s">
        <v>165</v>
      </c>
      <c r="C862" s="19" t="s">
        <v>43</v>
      </c>
      <c r="D862" s="263" t="s">
        <v>257</v>
      </c>
      <c r="E862" s="93" t="s">
        <v>258</v>
      </c>
      <c r="F862" s="93" t="s">
        <v>259</v>
      </c>
      <c r="G862" s="93" t="s">
        <v>260</v>
      </c>
      <c r="H862" s="93" t="s">
        <v>261</v>
      </c>
      <c r="I862" s="93" t="s">
        <v>262</v>
      </c>
      <c r="J862" s="94" t="s">
        <v>263</v>
      </c>
    </row>
    <row r="863" spans="1:10" x14ac:dyDescent="0.2">
      <c r="A863" s="19"/>
      <c r="B863" s="80" t="s">
        <v>878</v>
      </c>
      <c r="C863" s="19"/>
      <c r="D863" s="263">
        <v>2</v>
      </c>
      <c r="E863" s="93"/>
      <c r="F863" s="93"/>
      <c r="G863" s="93"/>
      <c r="H863" s="93"/>
      <c r="I863" s="93"/>
      <c r="J863" s="94">
        <f>D863</f>
        <v>2</v>
      </c>
    </row>
    <row r="864" spans="1:10" x14ac:dyDescent="0.2">
      <c r="A864" s="19"/>
      <c r="B864" s="171"/>
      <c r="C864" s="19"/>
      <c r="D864" s="263"/>
      <c r="E864" s="93"/>
      <c r="F864" s="93"/>
      <c r="G864" s="93"/>
      <c r="H864" s="93"/>
      <c r="I864" s="91" t="s">
        <v>604</v>
      </c>
      <c r="J864" s="90">
        <f>J863</f>
        <v>2</v>
      </c>
    </row>
    <row r="865" spans="1:10" x14ac:dyDescent="0.2">
      <c r="A865" s="19"/>
      <c r="B865" s="21"/>
      <c r="C865" s="19"/>
      <c r="D865" s="99"/>
      <c r="E865" s="41"/>
      <c r="F865" s="41"/>
      <c r="G865" s="41"/>
      <c r="H865" s="41"/>
      <c r="I865" s="41"/>
      <c r="J865" s="41"/>
    </row>
    <row r="866" spans="1:10" ht="51" x14ac:dyDescent="0.2">
      <c r="A866" s="19" t="s">
        <v>366</v>
      </c>
      <c r="B866" s="21" t="s">
        <v>166</v>
      </c>
      <c r="C866" s="19" t="s">
        <v>43</v>
      </c>
      <c r="D866" s="263" t="s">
        <v>257</v>
      </c>
      <c r="E866" s="93" t="s">
        <v>258</v>
      </c>
      <c r="F866" s="93" t="s">
        <v>259</v>
      </c>
      <c r="G866" s="93" t="s">
        <v>260</v>
      </c>
      <c r="H866" s="93" t="s">
        <v>261</v>
      </c>
      <c r="I866" s="93" t="s">
        <v>262</v>
      </c>
      <c r="J866" s="94" t="s">
        <v>263</v>
      </c>
    </row>
    <row r="867" spans="1:10" x14ac:dyDescent="0.2">
      <c r="A867" s="19"/>
      <c r="B867" s="80" t="s">
        <v>879</v>
      </c>
      <c r="C867" s="19"/>
      <c r="D867" s="263">
        <v>1</v>
      </c>
      <c r="E867" s="93"/>
      <c r="F867" s="93"/>
      <c r="G867" s="93"/>
      <c r="H867" s="93"/>
      <c r="I867" s="93"/>
      <c r="J867" s="94">
        <f>D867</f>
        <v>1</v>
      </c>
    </row>
    <row r="868" spans="1:10" x14ac:dyDescent="0.2">
      <c r="A868" s="19"/>
      <c r="B868" s="171"/>
      <c r="C868" s="19"/>
      <c r="D868" s="263"/>
      <c r="E868" s="93"/>
      <c r="F868" s="93"/>
      <c r="G868" s="93"/>
      <c r="H868" s="93"/>
      <c r="I868" s="91" t="s">
        <v>604</v>
      </c>
      <c r="J868" s="90">
        <f>J867</f>
        <v>1</v>
      </c>
    </row>
    <row r="869" spans="1:10" x14ac:dyDescent="0.2">
      <c r="A869" s="19"/>
      <c r="B869" s="21"/>
      <c r="C869" s="19"/>
      <c r="D869" s="99"/>
      <c r="E869" s="41"/>
      <c r="F869" s="41"/>
      <c r="G869" s="41"/>
      <c r="H869" s="41"/>
      <c r="I869" s="41"/>
      <c r="J869" s="41"/>
    </row>
    <row r="870" spans="1:10" x14ac:dyDescent="0.2">
      <c r="A870" s="23" t="s">
        <v>367</v>
      </c>
      <c r="B870" s="18" t="s">
        <v>167</v>
      </c>
      <c r="C870" s="19"/>
      <c r="D870" s="99"/>
      <c r="E870" s="41"/>
      <c r="F870" s="41"/>
      <c r="G870" s="41"/>
      <c r="H870" s="41"/>
      <c r="I870" s="41"/>
      <c r="J870" s="41"/>
    </row>
    <row r="871" spans="1:10" ht="25.5" x14ac:dyDescent="0.2">
      <c r="A871" s="19" t="s">
        <v>368</v>
      </c>
      <c r="B871" s="21" t="s">
        <v>1198</v>
      </c>
      <c r="C871" s="19" t="s">
        <v>37</v>
      </c>
      <c r="D871" s="263" t="s">
        <v>257</v>
      </c>
      <c r="E871" s="93" t="s">
        <v>258</v>
      </c>
      <c r="F871" s="93" t="s">
        <v>259</v>
      </c>
      <c r="G871" s="93" t="s">
        <v>260</v>
      </c>
      <c r="H871" s="93" t="s">
        <v>261</v>
      </c>
      <c r="I871" s="93" t="s">
        <v>262</v>
      </c>
      <c r="J871" s="94" t="s">
        <v>263</v>
      </c>
    </row>
    <row r="872" spans="1:10" x14ac:dyDescent="0.2">
      <c r="A872" s="19"/>
      <c r="B872" s="101" t="s">
        <v>676</v>
      </c>
      <c r="C872" s="19"/>
      <c r="D872" s="263"/>
      <c r="E872" s="93"/>
      <c r="F872" s="93"/>
      <c r="G872" s="93"/>
      <c r="H872" s="93"/>
      <c r="I872" s="93"/>
      <c r="J872" s="94"/>
    </row>
    <row r="873" spans="1:10" x14ac:dyDescent="0.2">
      <c r="A873" s="19"/>
      <c r="B873" s="226" t="s">
        <v>1194</v>
      </c>
      <c r="C873" s="19"/>
      <c r="D873" s="263"/>
      <c r="E873" s="93">
        <v>29.189999999999998</v>
      </c>
      <c r="F873" s="93"/>
      <c r="G873" s="93"/>
      <c r="H873" s="93"/>
      <c r="I873" s="93"/>
      <c r="J873" s="94">
        <f>E873</f>
        <v>29.189999999999998</v>
      </c>
    </row>
    <row r="874" spans="1:10" x14ac:dyDescent="0.2">
      <c r="A874" s="19"/>
      <c r="B874" s="101" t="s">
        <v>877</v>
      </c>
      <c r="C874" s="82"/>
      <c r="D874" s="258"/>
      <c r="E874" s="93"/>
      <c r="F874" s="93"/>
      <c r="G874" s="93"/>
      <c r="H874" s="93"/>
      <c r="I874" s="93"/>
      <c r="J874" s="94"/>
    </row>
    <row r="875" spans="1:10" x14ac:dyDescent="0.2">
      <c r="A875" s="19"/>
      <c r="B875" s="226" t="s">
        <v>1194</v>
      </c>
      <c r="C875" s="82"/>
      <c r="D875" s="258"/>
      <c r="E875" s="93">
        <v>31.99</v>
      </c>
      <c r="F875" s="93"/>
      <c r="G875" s="93"/>
      <c r="H875" s="93"/>
      <c r="I875" s="93"/>
      <c r="J875" s="94">
        <f t="shared" ref="J875" si="48">E875</f>
        <v>31.99</v>
      </c>
    </row>
    <row r="876" spans="1:10" x14ac:dyDescent="0.2">
      <c r="A876" s="23"/>
      <c r="B876" s="18"/>
      <c r="C876" s="19"/>
      <c r="D876" s="99"/>
      <c r="E876" s="41"/>
      <c r="F876" s="41"/>
      <c r="G876" s="41"/>
      <c r="H876" s="41"/>
      <c r="I876" s="91" t="s">
        <v>604</v>
      </c>
      <c r="J876" s="90">
        <f>SUM(J873:J875)</f>
        <v>61.179999999999993</v>
      </c>
    </row>
    <row r="877" spans="1:10" x14ac:dyDescent="0.2">
      <c r="A877" s="23"/>
      <c r="B877" s="18"/>
      <c r="C877" s="19"/>
      <c r="D877" s="99"/>
      <c r="E877" s="41"/>
      <c r="F877" s="41"/>
      <c r="G877" s="41"/>
      <c r="H877" s="41"/>
      <c r="I877" s="41"/>
      <c r="J877" s="41"/>
    </row>
    <row r="878" spans="1:10" ht="25.5" x14ac:dyDescent="0.2">
      <c r="A878" s="19" t="s">
        <v>369</v>
      </c>
      <c r="B878" s="21" t="s">
        <v>168</v>
      </c>
      <c r="C878" s="19" t="s">
        <v>37</v>
      </c>
      <c r="D878" s="263" t="s">
        <v>257</v>
      </c>
      <c r="E878" s="93" t="s">
        <v>258</v>
      </c>
      <c r="F878" s="93" t="s">
        <v>259</v>
      </c>
      <c r="G878" s="93" t="s">
        <v>260</v>
      </c>
      <c r="H878" s="93" t="s">
        <v>261</v>
      </c>
      <c r="I878" s="93" t="s">
        <v>262</v>
      </c>
      <c r="J878" s="94" t="s">
        <v>263</v>
      </c>
    </row>
    <row r="879" spans="1:10" x14ac:dyDescent="0.2">
      <c r="A879" s="19"/>
      <c r="B879" s="231" t="s">
        <v>1202</v>
      </c>
      <c r="C879" s="19"/>
      <c r="D879" s="263"/>
      <c r="E879" s="93">
        <v>19.63</v>
      </c>
      <c r="F879" s="93"/>
      <c r="G879" s="93"/>
      <c r="H879" s="93"/>
      <c r="I879" s="93"/>
      <c r="J879" s="94">
        <f t="shared" ref="J879:J897" si="49">E879</f>
        <v>19.63</v>
      </c>
    </row>
    <row r="880" spans="1:10" x14ac:dyDescent="0.2">
      <c r="A880" s="19"/>
      <c r="B880" s="231" t="s">
        <v>1203</v>
      </c>
      <c r="C880" s="19"/>
      <c r="D880" s="263"/>
      <c r="E880" s="93">
        <v>5.12</v>
      </c>
      <c r="F880" s="93"/>
      <c r="G880" s="93"/>
      <c r="H880" s="93"/>
      <c r="I880" s="93"/>
      <c r="J880" s="94">
        <f t="shared" si="49"/>
        <v>5.12</v>
      </c>
    </row>
    <row r="881" spans="1:10" x14ac:dyDescent="0.2">
      <c r="A881" s="19"/>
      <c r="B881" s="231" t="s">
        <v>1204</v>
      </c>
      <c r="C881" s="19"/>
      <c r="D881" s="263"/>
      <c r="E881" s="93">
        <v>5.12</v>
      </c>
      <c r="F881" s="93"/>
      <c r="G881" s="93"/>
      <c r="H881" s="93"/>
      <c r="I881" s="93"/>
      <c r="J881" s="94">
        <f t="shared" si="49"/>
        <v>5.12</v>
      </c>
    </row>
    <row r="882" spans="1:10" x14ac:dyDescent="0.2">
      <c r="A882" s="19"/>
      <c r="B882" s="231" t="s">
        <v>1205</v>
      </c>
      <c r="C882" s="19"/>
      <c r="D882" s="263"/>
      <c r="E882" s="93">
        <v>5.12</v>
      </c>
      <c r="F882" s="93"/>
      <c r="G882" s="93"/>
      <c r="H882" s="93"/>
      <c r="I882" s="93"/>
      <c r="J882" s="94">
        <f t="shared" si="49"/>
        <v>5.12</v>
      </c>
    </row>
    <row r="883" spans="1:10" x14ac:dyDescent="0.2">
      <c r="A883" s="19"/>
      <c r="B883" s="231" t="s">
        <v>1206</v>
      </c>
      <c r="C883" s="19"/>
      <c r="D883" s="263"/>
      <c r="E883" s="93">
        <v>5.12</v>
      </c>
      <c r="F883" s="93"/>
      <c r="G883" s="93"/>
      <c r="H883" s="93"/>
      <c r="I883" s="93"/>
      <c r="J883" s="94">
        <f t="shared" si="49"/>
        <v>5.12</v>
      </c>
    </row>
    <row r="884" spans="1:10" x14ac:dyDescent="0.2">
      <c r="A884" s="19"/>
      <c r="B884" s="231" t="s">
        <v>1207</v>
      </c>
      <c r="C884" s="19"/>
      <c r="D884" s="263"/>
      <c r="E884" s="93">
        <v>5.12</v>
      </c>
      <c r="F884" s="93"/>
      <c r="G884" s="93"/>
      <c r="H884" s="93"/>
      <c r="I884" s="93"/>
      <c r="J884" s="94">
        <f t="shared" si="49"/>
        <v>5.12</v>
      </c>
    </row>
    <row r="885" spans="1:10" x14ac:dyDescent="0.2">
      <c r="A885" s="19"/>
      <c r="B885" s="231" t="s">
        <v>1208</v>
      </c>
      <c r="C885" s="19"/>
      <c r="D885" s="263"/>
      <c r="E885" s="93">
        <v>5.12</v>
      </c>
      <c r="F885" s="93"/>
      <c r="G885" s="93"/>
      <c r="H885" s="93"/>
      <c r="I885" s="93"/>
      <c r="J885" s="94">
        <f t="shared" si="49"/>
        <v>5.12</v>
      </c>
    </row>
    <row r="886" spans="1:10" x14ac:dyDescent="0.2">
      <c r="A886" s="19"/>
      <c r="B886" s="231" t="s">
        <v>1209</v>
      </c>
      <c r="C886" s="19"/>
      <c r="D886" s="263"/>
      <c r="E886" s="93">
        <v>5.12</v>
      </c>
      <c r="F886" s="93"/>
      <c r="G886" s="93"/>
      <c r="H886" s="93"/>
      <c r="I886" s="93"/>
      <c r="J886" s="94">
        <f t="shared" si="49"/>
        <v>5.12</v>
      </c>
    </row>
    <row r="887" spans="1:10" x14ac:dyDescent="0.2">
      <c r="A887" s="19"/>
      <c r="B887" s="231" t="s">
        <v>1210</v>
      </c>
      <c r="C887" s="19"/>
      <c r="D887" s="263"/>
      <c r="E887" s="93">
        <v>5.12</v>
      </c>
      <c r="F887" s="93"/>
      <c r="G887" s="93"/>
      <c r="H887" s="93"/>
      <c r="I887" s="93"/>
      <c r="J887" s="94">
        <f t="shared" si="49"/>
        <v>5.12</v>
      </c>
    </row>
    <row r="888" spans="1:10" x14ac:dyDescent="0.2">
      <c r="A888" s="19"/>
      <c r="B888" s="231" t="s">
        <v>637</v>
      </c>
      <c r="C888" s="19"/>
      <c r="D888" s="263"/>
      <c r="E888" s="93">
        <v>5.92</v>
      </c>
      <c r="F888" s="93"/>
      <c r="G888" s="93"/>
      <c r="H888" s="93"/>
      <c r="I888" s="93"/>
      <c r="J888" s="94">
        <f t="shared" si="49"/>
        <v>5.92</v>
      </c>
    </row>
    <row r="889" spans="1:10" x14ac:dyDescent="0.2">
      <c r="A889" s="19"/>
      <c r="B889" s="231" t="s">
        <v>638</v>
      </c>
      <c r="C889" s="19"/>
      <c r="D889" s="263"/>
      <c r="E889" s="93">
        <v>5.92</v>
      </c>
      <c r="F889" s="93"/>
      <c r="G889" s="93"/>
      <c r="H889" s="93"/>
      <c r="I889" s="93"/>
      <c r="J889" s="94">
        <f t="shared" si="49"/>
        <v>5.92</v>
      </c>
    </row>
    <row r="890" spans="1:10" x14ac:dyDescent="0.2">
      <c r="A890" s="19"/>
      <c r="B890" s="231" t="s">
        <v>641</v>
      </c>
      <c r="C890" s="19"/>
      <c r="D890" s="263"/>
      <c r="E890" s="93">
        <v>6.69</v>
      </c>
      <c r="F890" s="93"/>
      <c r="G890" s="93"/>
      <c r="H890" s="93"/>
      <c r="I890" s="93"/>
      <c r="J890" s="94">
        <f t="shared" si="49"/>
        <v>6.69</v>
      </c>
    </row>
    <row r="891" spans="1:10" x14ac:dyDescent="0.2">
      <c r="A891" s="19"/>
      <c r="B891" s="231" t="s">
        <v>642</v>
      </c>
      <c r="C891" s="19"/>
      <c r="D891" s="263"/>
      <c r="E891" s="93">
        <v>6.84</v>
      </c>
      <c r="F891" s="93"/>
      <c r="G891" s="93"/>
      <c r="H891" s="93"/>
      <c r="I891" s="93"/>
      <c r="J891" s="94">
        <f t="shared" si="49"/>
        <v>6.84</v>
      </c>
    </row>
    <row r="892" spans="1:10" x14ac:dyDescent="0.2">
      <c r="A892" s="19"/>
      <c r="B892" s="231" t="s">
        <v>644</v>
      </c>
      <c r="C892" s="19"/>
      <c r="D892" s="263"/>
      <c r="E892" s="93">
        <v>5.39</v>
      </c>
      <c r="F892" s="93"/>
      <c r="G892" s="93"/>
      <c r="H892" s="93"/>
      <c r="I892" s="93"/>
      <c r="J892" s="94">
        <f t="shared" si="49"/>
        <v>5.39</v>
      </c>
    </row>
    <row r="893" spans="1:10" x14ac:dyDescent="0.2">
      <c r="A893" s="19"/>
      <c r="B893" s="231" t="s">
        <v>1211</v>
      </c>
      <c r="C893" s="19"/>
      <c r="D893" s="263"/>
      <c r="E893" s="93">
        <v>1.69</v>
      </c>
      <c r="F893" s="93"/>
      <c r="G893" s="93"/>
      <c r="H893" s="93"/>
      <c r="I893" s="93"/>
      <c r="J893" s="94">
        <f t="shared" si="49"/>
        <v>1.69</v>
      </c>
    </row>
    <row r="894" spans="1:10" x14ac:dyDescent="0.2">
      <c r="A894" s="19"/>
      <c r="B894" s="231" t="s">
        <v>629</v>
      </c>
      <c r="C894" s="19"/>
      <c r="D894" s="263"/>
      <c r="E894" s="93">
        <v>3</v>
      </c>
      <c r="F894" s="93"/>
      <c r="G894" s="93"/>
      <c r="H894" s="93"/>
      <c r="I894" s="93"/>
      <c r="J894" s="94">
        <f t="shared" si="49"/>
        <v>3</v>
      </c>
    </row>
    <row r="895" spans="1:10" x14ac:dyDescent="0.2">
      <c r="A895" s="19"/>
      <c r="B895" s="231" t="s">
        <v>739</v>
      </c>
      <c r="C895" s="19"/>
      <c r="D895" s="263"/>
      <c r="E895" s="93">
        <v>2.5</v>
      </c>
      <c r="F895" s="93"/>
      <c r="G895" s="93"/>
      <c r="H895" s="93"/>
      <c r="I895" s="93"/>
      <c r="J895" s="94">
        <f t="shared" si="49"/>
        <v>2.5</v>
      </c>
    </row>
    <row r="896" spans="1:10" x14ac:dyDescent="0.2">
      <c r="A896" s="19"/>
      <c r="B896" s="231" t="s">
        <v>1212</v>
      </c>
      <c r="C896" s="19"/>
      <c r="D896" s="263"/>
      <c r="E896" s="93">
        <v>1.55</v>
      </c>
      <c r="F896" s="93"/>
      <c r="G896" s="93"/>
      <c r="H896" s="93"/>
      <c r="I896" s="93"/>
      <c r="J896" s="94">
        <f t="shared" si="49"/>
        <v>1.55</v>
      </c>
    </row>
    <row r="897" spans="1:10" x14ac:dyDescent="0.2">
      <c r="A897" s="19"/>
      <c r="B897" s="231" t="s">
        <v>634</v>
      </c>
      <c r="C897" s="19"/>
      <c r="D897" s="263"/>
      <c r="E897" s="93">
        <v>1.55</v>
      </c>
      <c r="F897" s="93"/>
      <c r="G897" s="93"/>
      <c r="H897" s="93"/>
      <c r="I897" s="93"/>
      <c r="J897" s="94">
        <f t="shared" si="49"/>
        <v>1.55</v>
      </c>
    </row>
    <row r="898" spans="1:10" x14ac:dyDescent="0.2">
      <c r="A898" s="19"/>
      <c r="B898" s="21"/>
      <c r="C898" s="19"/>
      <c r="D898" s="99"/>
      <c r="E898" s="41"/>
      <c r="F898" s="41"/>
      <c r="G898" s="41"/>
      <c r="H898" s="41"/>
      <c r="I898" s="91" t="s">
        <v>604</v>
      </c>
      <c r="J898" s="90">
        <f>SUM(J879:J897)</f>
        <v>101.63999999999999</v>
      </c>
    </row>
    <row r="899" spans="1:10" x14ac:dyDescent="0.2">
      <c r="A899" s="19"/>
      <c r="B899" s="21"/>
      <c r="C899" s="19"/>
      <c r="D899" s="99"/>
      <c r="E899" s="41"/>
      <c r="F899" s="41"/>
      <c r="G899" s="41"/>
      <c r="H899" s="41"/>
      <c r="I899" s="41"/>
      <c r="J899" s="41"/>
    </row>
    <row r="900" spans="1:10" ht="25.5" x14ac:dyDescent="0.2">
      <c r="A900" s="19" t="s">
        <v>1199</v>
      </c>
      <c r="B900" s="21" t="s">
        <v>169</v>
      </c>
      <c r="C900" s="19" t="s">
        <v>16</v>
      </c>
      <c r="D900" s="263" t="s">
        <v>257</v>
      </c>
      <c r="E900" s="93" t="s">
        <v>258</v>
      </c>
      <c r="F900" s="93" t="s">
        <v>259</v>
      </c>
      <c r="G900" s="93" t="s">
        <v>260</v>
      </c>
      <c r="H900" s="93" t="s">
        <v>261</v>
      </c>
      <c r="I900" s="93" t="s">
        <v>262</v>
      </c>
      <c r="J900" s="94" t="s">
        <v>263</v>
      </c>
    </row>
    <row r="901" spans="1:10" x14ac:dyDescent="0.2">
      <c r="A901" s="19"/>
      <c r="B901" s="231" t="s">
        <v>1214</v>
      </c>
      <c r="C901" s="19"/>
      <c r="D901" s="263"/>
      <c r="E901" s="93">
        <v>29.86</v>
      </c>
      <c r="F901" s="93"/>
      <c r="G901" s="93"/>
      <c r="H901" s="93"/>
      <c r="I901" s="93"/>
      <c r="J901" s="94">
        <f>E901</f>
        <v>29.86</v>
      </c>
    </row>
    <row r="902" spans="1:10" x14ac:dyDescent="0.2">
      <c r="A902" s="19"/>
      <c r="B902" s="231" t="s">
        <v>1213</v>
      </c>
      <c r="C902" s="19"/>
      <c r="D902" s="263"/>
      <c r="E902" s="93">
        <v>22.19</v>
      </c>
      <c r="F902" s="93"/>
      <c r="G902" s="93"/>
      <c r="H902" s="93"/>
      <c r="I902" s="93"/>
      <c r="J902" s="94">
        <f>E902</f>
        <v>22.19</v>
      </c>
    </row>
    <row r="903" spans="1:10" x14ac:dyDescent="0.2">
      <c r="A903" s="19"/>
      <c r="B903" s="231"/>
      <c r="C903" s="19"/>
      <c r="D903" s="263"/>
      <c r="E903" s="93"/>
      <c r="F903" s="93"/>
      <c r="G903" s="93"/>
      <c r="H903" s="93"/>
      <c r="I903" s="91" t="s">
        <v>604</v>
      </c>
      <c r="J903" s="90">
        <f>SUM(J901:J902)</f>
        <v>52.05</v>
      </c>
    </row>
    <row r="904" spans="1:10" x14ac:dyDescent="0.2">
      <c r="A904" s="19"/>
      <c r="B904" s="231"/>
      <c r="C904" s="19"/>
      <c r="D904" s="263"/>
      <c r="E904" s="93"/>
      <c r="F904" s="93"/>
      <c r="G904" s="93"/>
      <c r="H904" s="93"/>
      <c r="I904" s="93"/>
      <c r="J904" s="94"/>
    </row>
    <row r="905" spans="1:10" x14ac:dyDescent="0.2">
      <c r="A905" s="23" t="s">
        <v>370</v>
      </c>
      <c r="B905" s="18" t="s">
        <v>170</v>
      </c>
      <c r="C905" s="19"/>
      <c r="D905" s="99"/>
      <c r="E905" s="41"/>
      <c r="F905" s="41"/>
      <c r="G905" s="41"/>
      <c r="H905" s="41"/>
      <c r="I905" s="41"/>
      <c r="J905" s="41"/>
    </row>
    <row r="906" spans="1:10" ht="25.5" x14ac:dyDescent="0.2">
      <c r="A906" s="19" t="s">
        <v>371</v>
      </c>
      <c r="B906" s="21" t="s">
        <v>171</v>
      </c>
      <c r="C906" s="19" t="s">
        <v>49</v>
      </c>
      <c r="D906" s="263" t="s">
        <v>257</v>
      </c>
      <c r="E906" s="93" t="s">
        <v>258</v>
      </c>
      <c r="F906" s="93" t="s">
        <v>259</v>
      </c>
      <c r="G906" s="93" t="s">
        <v>260</v>
      </c>
      <c r="H906" s="93" t="s">
        <v>261</v>
      </c>
      <c r="I906" s="93" t="s">
        <v>262</v>
      </c>
      <c r="J906" s="94" t="s">
        <v>263</v>
      </c>
    </row>
    <row r="907" spans="1:10" x14ac:dyDescent="0.2">
      <c r="A907" s="19"/>
      <c r="B907" s="101" t="s">
        <v>676</v>
      </c>
      <c r="C907" s="19"/>
      <c r="D907" s="263"/>
      <c r="E907" s="93"/>
      <c r="F907" s="93"/>
      <c r="G907" s="93"/>
      <c r="H907" s="93"/>
      <c r="I907" s="93"/>
      <c r="J907" s="94"/>
    </row>
    <row r="908" spans="1:10" x14ac:dyDescent="0.2">
      <c r="A908" s="19"/>
      <c r="B908" s="226" t="s">
        <v>1194</v>
      </c>
      <c r="C908" s="19"/>
      <c r="D908" s="263"/>
      <c r="E908" s="93">
        <v>9.56</v>
      </c>
      <c r="F908" s="93"/>
      <c r="G908" s="93"/>
      <c r="H908" s="93"/>
      <c r="I908" s="93"/>
      <c r="J908" s="94">
        <f>E908</f>
        <v>9.56</v>
      </c>
    </row>
    <row r="909" spans="1:10" x14ac:dyDescent="0.2">
      <c r="A909" s="19"/>
      <c r="B909" s="226" t="s">
        <v>680</v>
      </c>
      <c r="C909" s="19"/>
      <c r="D909" s="263"/>
      <c r="E909" s="93">
        <v>2.21</v>
      </c>
      <c r="F909" s="93"/>
      <c r="G909" s="93"/>
      <c r="H909" s="93"/>
      <c r="I909" s="93"/>
      <c r="J909" s="94">
        <f>E909</f>
        <v>2.21</v>
      </c>
    </row>
    <row r="910" spans="1:10" x14ac:dyDescent="0.2">
      <c r="A910" s="19"/>
      <c r="B910" s="226" t="s">
        <v>1195</v>
      </c>
      <c r="C910" s="19"/>
      <c r="D910" s="263"/>
      <c r="E910" s="93">
        <v>1.63</v>
      </c>
      <c r="F910" s="93"/>
      <c r="G910" s="93"/>
      <c r="H910" s="93"/>
      <c r="I910" s="93"/>
      <c r="J910" s="94">
        <f>E910</f>
        <v>1.63</v>
      </c>
    </row>
    <row r="911" spans="1:10" x14ac:dyDescent="0.2">
      <c r="A911" s="19"/>
      <c r="B911" s="226" t="s">
        <v>1196</v>
      </c>
      <c r="C911" s="82"/>
      <c r="D911" s="258"/>
      <c r="E911" s="82">
        <v>1.98</v>
      </c>
      <c r="F911" s="82"/>
      <c r="G911" s="82"/>
      <c r="H911" s="82"/>
      <c r="I911" s="82"/>
      <c r="J911" s="94">
        <f t="shared" ref="J911:J915" si="50">E911</f>
        <v>1.98</v>
      </c>
    </row>
    <row r="912" spans="1:10" x14ac:dyDescent="0.2">
      <c r="A912" s="19"/>
      <c r="B912" s="226" t="s">
        <v>737</v>
      </c>
      <c r="C912" s="82"/>
      <c r="D912" s="258"/>
      <c r="E912" s="82">
        <v>1.86</v>
      </c>
      <c r="F912" s="82"/>
      <c r="G912" s="82"/>
      <c r="H912" s="82"/>
      <c r="I912" s="82"/>
      <c r="J912" s="94">
        <f t="shared" si="50"/>
        <v>1.86</v>
      </c>
    </row>
    <row r="913" spans="1:10" x14ac:dyDescent="0.2">
      <c r="A913" s="19"/>
      <c r="B913" s="226" t="s">
        <v>738</v>
      </c>
      <c r="C913" s="82"/>
      <c r="D913" s="258"/>
      <c r="E913" s="82">
        <v>1.86</v>
      </c>
      <c r="F913" s="82"/>
      <c r="G913" s="82"/>
      <c r="H913" s="82"/>
      <c r="I913" s="82"/>
      <c r="J913" s="94">
        <f t="shared" si="50"/>
        <v>1.86</v>
      </c>
    </row>
    <row r="914" spans="1:10" x14ac:dyDescent="0.2">
      <c r="A914" s="19"/>
      <c r="B914" s="101" t="s">
        <v>877</v>
      </c>
      <c r="C914" s="82"/>
      <c r="D914" s="258"/>
      <c r="E914" s="93"/>
      <c r="F914" s="93"/>
      <c r="G914" s="93"/>
      <c r="H914" s="93"/>
      <c r="I914" s="93"/>
      <c r="J914" s="94">
        <f t="shared" si="50"/>
        <v>0</v>
      </c>
    </row>
    <row r="915" spans="1:10" x14ac:dyDescent="0.2">
      <c r="A915" s="19"/>
      <c r="B915" s="226" t="s">
        <v>1194</v>
      </c>
      <c r="C915" s="82"/>
      <c r="D915" s="258"/>
      <c r="E915" s="93">
        <v>13.21</v>
      </c>
      <c r="F915" s="93"/>
      <c r="G915" s="93"/>
      <c r="H915" s="93"/>
      <c r="I915" s="93"/>
      <c r="J915" s="94">
        <f t="shared" si="50"/>
        <v>13.21</v>
      </c>
    </row>
    <row r="916" spans="1:10" x14ac:dyDescent="0.2">
      <c r="A916" s="19"/>
      <c r="B916" s="226" t="s">
        <v>658</v>
      </c>
      <c r="C916" s="82"/>
      <c r="D916" s="258"/>
      <c r="E916" s="93">
        <v>2.36</v>
      </c>
      <c r="F916" s="93"/>
      <c r="G916" s="93"/>
      <c r="H916" s="93"/>
      <c r="I916" s="93"/>
      <c r="J916" s="94">
        <f t="shared" ref="J916" si="51">E916</f>
        <v>2.36</v>
      </c>
    </row>
    <row r="917" spans="1:10" x14ac:dyDescent="0.2">
      <c r="A917" s="19"/>
      <c r="B917" s="21"/>
      <c r="C917" s="19"/>
      <c r="D917" s="263"/>
      <c r="E917" s="93"/>
      <c r="F917" s="93"/>
      <c r="G917" s="93"/>
      <c r="H917" s="93"/>
      <c r="I917" s="91" t="s">
        <v>604</v>
      </c>
      <c r="J917" s="90">
        <f>SUM(J908:J916)</f>
        <v>34.67</v>
      </c>
    </row>
    <row r="918" spans="1:10" x14ac:dyDescent="0.2">
      <c r="A918" s="19"/>
      <c r="B918" s="21"/>
      <c r="C918" s="19"/>
      <c r="D918" s="99"/>
      <c r="E918" s="41"/>
      <c r="F918" s="41"/>
      <c r="G918" s="41"/>
      <c r="H918" s="41"/>
      <c r="I918" s="41"/>
      <c r="J918" s="41"/>
    </row>
    <row r="919" spans="1:10" ht="25.5" x14ac:dyDescent="0.2">
      <c r="A919" s="19" t="s">
        <v>372</v>
      </c>
      <c r="B919" s="21" t="s">
        <v>172</v>
      </c>
      <c r="C919" s="19" t="s">
        <v>49</v>
      </c>
      <c r="D919" s="263" t="s">
        <v>257</v>
      </c>
      <c r="E919" s="93" t="s">
        <v>258</v>
      </c>
      <c r="F919" s="93" t="s">
        <v>259</v>
      </c>
      <c r="G919" s="93" t="s">
        <v>260</v>
      </c>
      <c r="H919" s="93" t="s">
        <v>261</v>
      </c>
      <c r="I919" s="93" t="s">
        <v>262</v>
      </c>
      <c r="J919" s="94" t="s">
        <v>263</v>
      </c>
    </row>
    <row r="920" spans="1:10" x14ac:dyDescent="0.2">
      <c r="A920" s="19"/>
      <c r="B920" s="101" t="s">
        <v>676</v>
      </c>
      <c r="C920" s="19"/>
      <c r="D920" s="263"/>
      <c r="E920" s="93"/>
      <c r="F920" s="93"/>
      <c r="G920" s="93"/>
      <c r="H920" s="93"/>
      <c r="I920" s="93"/>
      <c r="J920" s="94"/>
    </row>
    <row r="921" spans="1:10" x14ac:dyDescent="0.2">
      <c r="A921" s="19"/>
      <c r="B921" s="226" t="s">
        <v>739</v>
      </c>
      <c r="C921" s="19"/>
      <c r="D921" s="263"/>
      <c r="E921" s="93">
        <v>5.38</v>
      </c>
      <c r="F921" s="93"/>
      <c r="G921" s="93"/>
      <c r="H921" s="93"/>
      <c r="I921" s="93"/>
      <c r="J921" s="94">
        <f>E921</f>
        <v>5.38</v>
      </c>
    </row>
    <row r="922" spans="1:10" x14ac:dyDescent="0.2">
      <c r="A922" s="19"/>
      <c r="B922" s="226" t="s">
        <v>675</v>
      </c>
      <c r="C922" s="19"/>
      <c r="D922" s="263"/>
      <c r="E922" s="93">
        <v>6.27</v>
      </c>
      <c r="F922" s="93"/>
      <c r="G922" s="93"/>
      <c r="H922" s="93"/>
      <c r="I922" s="93"/>
      <c r="J922" s="94">
        <f>E922</f>
        <v>6.27</v>
      </c>
    </row>
    <row r="923" spans="1:10" x14ac:dyDescent="0.2">
      <c r="A923" s="19"/>
      <c r="B923" s="101" t="s">
        <v>877</v>
      </c>
      <c r="C923" s="19"/>
      <c r="D923" s="263"/>
      <c r="E923" s="93"/>
      <c r="F923" s="93"/>
      <c r="G923" s="93"/>
      <c r="H923" s="93"/>
      <c r="I923" s="93"/>
      <c r="J923" s="94">
        <f>E923</f>
        <v>0</v>
      </c>
    </row>
    <row r="924" spans="1:10" x14ac:dyDescent="0.2">
      <c r="A924" s="19"/>
      <c r="B924" s="226" t="s">
        <v>675</v>
      </c>
      <c r="C924" s="19"/>
      <c r="D924" s="99"/>
      <c r="E924" s="99">
        <v>1.25</v>
      </c>
      <c r="F924" s="41"/>
      <c r="G924" s="41"/>
      <c r="H924" s="41"/>
      <c r="I924" s="41"/>
      <c r="J924" s="94">
        <f t="shared" ref="J924:J927" si="52">E924</f>
        <v>1.25</v>
      </c>
    </row>
    <row r="925" spans="1:10" x14ac:dyDescent="0.2">
      <c r="A925" s="19"/>
      <c r="B925" s="226" t="s">
        <v>1197</v>
      </c>
      <c r="C925" s="19"/>
      <c r="D925" s="99"/>
      <c r="E925" s="99">
        <v>3.06</v>
      </c>
      <c r="F925" s="41"/>
      <c r="G925" s="41"/>
      <c r="H925" s="41"/>
      <c r="I925" s="41"/>
      <c r="J925" s="94">
        <f t="shared" si="52"/>
        <v>3.06</v>
      </c>
    </row>
    <row r="926" spans="1:10" x14ac:dyDescent="0.2">
      <c r="A926" s="19"/>
      <c r="B926" s="226" t="s">
        <v>1200</v>
      </c>
      <c r="C926" s="19"/>
      <c r="D926" s="99"/>
      <c r="E926" s="102">
        <v>7</v>
      </c>
      <c r="F926" s="41"/>
      <c r="G926" s="41"/>
      <c r="H926" s="41"/>
      <c r="I926" s="41"/>
      <c r="J926" s="94">
        <f t="shared" si="52"/>
        <v>7</v>
      </c>
    </row>
    <row r="927" spans="1:10" x14ac:dyDescent="0.2">
      <c r="A927" s="19"/>
      <c r="B927" s="226" t="s">
        <v>1201</v>
      </c>
      <c r="C927" s="19"/>
      <c r="D927" s="99"/>
      <c r="E927" s="102">
        <v>7.5</v>
      </c>
      <c r="F927" s="41"/>
      <c r="G927" s="41"/>
      <c r="H927" s="41"/>
      <c r="I927" s="41"/>
      <c r="J927" s="94">
        <f t="shared" si="52"/>
        <v>7.5</v>
      </c>
    </row>
    <row r="928" spans="1:10" x14ac:dyDescent="0.2">
      <c r="A928" s="19"/>
      <c r="B928" s="226"/>
      <c r="C928" s="19"/>
      <c r="D928" s="99"/>
      <c r="E928" s="99"/>
      <c r="F928" s="41"/>
      <c r="G928" s="41"/>
      <c r="H928" s="41"/>
      <c r="I928" s="91" t="s">
        <v>604</v>
      </c>
      <c r="J928" s="90">
        <f>SUM(J920:J927)</f>
        <v>30.46</v>
      </c>
    </row>
    <row r="929" spans="1:10" x14ac:dyDescent="0.2">
      <c r="A929" s="19"/>
      <c r="B929" s="21"/>
      <c r="C929" s="19"/>
      <c r="D929" s="99"/>
      <c r="E929" s="41"/>
      <c r="F929" s="41"/>
      <c r="G929" s="41"/>
      <c r="H929" s="41"/>
      <c r="I929" s="41"/>
      <c r="J929" s="41"/>
    </row>
    <row r="930" spans="1:10" ht="25.5" x14ac:dyDescent="0.2">
      <c r="A930" s="19" t="s">
        <v>373</v>
      </c>
      <c r="B930" s="21" t="s">
        <v>173</v>
      </c>
      <c r="C930" s="19" t="s">
        <v>16</v>
      </c>
      <c r="D930" s="263" t="s">
        <v>257</v>
      </c>
      <c r="E930" s="93" t="s">
        <v>258</v>
      </c>
      <c r="F930" s="93" t="s">
        <v>259</v>
      </c>
      <c r="G930" s="93" t="s">
        <v>260</v>
      </c>
      <c r="H930" s="93" t="s">
        <v>261</v>
      </c>
      <c r="I930" s="93" t="s">
        <v>262</v>
      </c>
      <c r="J930" s="94" t="s">
        <v>263</v>
      </c>
    </row>
    <row r="931" spans="1:10" x14ac:dyDescent="0.2">
      <c r="A931" s="19"/>
      <c r="B931" s="101" t="s">
        <v>676</v>
      </c>
      <c r="C931" s="19"/>
      <c r="D931" s="263"/>
      <c r="E931" s="93"/>
      <c r="F931" s="93"/>
      <c r="G931" s="93"/>
      <c r="H931" s="93"/>
      <c r="I931" s="93"/>
      <c r="J931" s="94"/>
    </row>
    <row r="932" spans="1:10" x14ac:dyDescent="0.2">
      <c r="A932" s="19"/>
      <c r="B932" s="226" t="s">
        <v>1175</v>
      </c>
      <c r="C932" s="19"/>
      <c r="D932" s="263"/>
      <c r="E932" s="93">
        <v>1.2</v>
      </c>
      <c r="F932" s="93"/>
      <c r="G932" s="93"/>
      <c r="H932" s="93"/>
      <c r="I932" s="93"/>
      <c r="J932" s="94">
        <f>E932</f>
        <v>1.2</v>
      </c>
    </row>
    <row r="933" spans="1:10" x14ac:dyDescent="0.2">
      <c r="A933" s="19"/>
      <c r="B933" s="226" t="s">
        <v>1176</v>
      </c>
      <c r="C933" s="19"/>
      <c r="D933" s="263"/>
      <c r="E933" s="93">
        <v>1.6</v>
      </c>
      <c r="F933" s="93"/>
      <c r="G933" s="93"/>
      <c r="H933" s="93"/>
      <c r="I933" s="93"/>
      <c r="J933" s="94">
        <f>E933</f>
        <v>1.6</v>
      </c>
    </row>
    <row r="934" spans="1:10" x14ac:dyDescent="0.2">
      <c r="A934" s="19"/>
      <c r="B934" s="226" t="s">
        <v>1177</v>
      </c>
      <c r="C934" s="19"/>
      <c r="D934" s="263"/>
      <c r="E934" s="93">
        <v>4.92</v>
      </c>
      <c r="F934" s="93"/>
      <c r="G934" s="93"/>
      <c r="H934" s="93"/>
      <c r="I934" s="93"/>
      <c r="J934" s="94">
        <f>E934</f>
        <v>4.92</v>
      </c>
    </row>
    <row r="935" spans="1:10" x14ac:dyDescent="0.2">
      <c r="A935" s="19"/>
      <c r="B935" s="226" t="s">
        <v>1178</v>
      </c>
      <c r="C935" s="82"/>
      <c r="D935" s="258"/>
      <c r="E935" s="82">
        <v>2.41</v>
      </c>
      <c r="F935" s="82"/>
      <c r="G935" s="82"/>
      <c r="H935" s="82"/>
      <c r="I935" s="82"/>
      <c r="J935" s="94">
        <f t="shared" ref="J935:J939" si="53">E935</f>
        <v>2.41</v>
      </c>
    </row>
    <row r="936" spans="1:10" x14ac:dyDescent="0.2">
      <c r="A936" s="19"/>
      <c r="B936" s="226" t="s">
        <v>1179</v>
      </c>
      <c r="C936" s="82"/>
      <c r="D936" s="258"/>
      <c r="E936" s="82">
        <v>2.5</v>
      </c>
      <c r="F936" s="82"/>
      <c r="G936" s="82"/>
      <c r="H936" s="82"/>
      <c r="I936" s="82"/>
      <c r="J936" s="94">
        <f t="shared" si="53"/>
        <v>2.5</v>
      </c>
    </row>
    <row r="937" spans="1:10" x14ac:dyDescent="0.2">
      <c r="A937" s="19"/>
      <c r="B937" s="101" t="s">
        <v>877</v>
      </c>
      <c r="C937" s="82"/>
      <c r="D937" s="258"/>
      <c r="E937" s="93"/>
      <c r="F937" s="93"/>
      <c r="G937" s="93"/>
      <c r="H937" s="93"/>
      <c r="I937" s="93"/>
      <c r="J937" s="94">
        <f t="shared" si="53"/>
        <v>0</v>
      </c>
    </row>
    <row r="938" spans="1:10" x14ac:dyDescent="0.2">
      <c r="A938" s="19"/>
      <c r="B938" s="226" t="s">
        <v>1183</v>
      </c>
      <c r="C938" s="82"/>
      <c r="D938" s="258"/>
      <c r="E938" s="93">
        <v>1</v>
      </c>
      <c r="F938" s="93"/>
      <c r="G938" s="93"/>
      <c r="H938" s="93"/>
      <c r="I938" s="93"/>
      <c r="J938" s="94">
        <f t="shared" si="53"/>
        <v>1</v>
      </c>
    </row>
    <row r="939" spans="1:10" x14ac:dyDescent="0.2">
      <c r="A939" s="19"/>
      <c r="B939" s="237" t="s">
        <v>1184</v>
      </c>
      <c r="C939" s="82"/>
      <c r="D939" s="258"/>
      <c r="E939" s="82">
        <v>3.06</v>
      </c>
      <c r="F939" s="82"/>
      <c r="G939" s="82"/>
      <c r="H939" s="82"/>
      <c r="I939" s="82"/>
      <c r="J939" s="94">
        <f t="shared" si="53"/>
        <v>3.06</v>
      </c>
    </row>
    <row r="940" spans="1:10" x14ac:dyDescent="0.2">
      <c r="A940" s="19"/>
      <c r="B940" s="21"/>
      <c r="C940" s="19"/>
      <c r="D940" s="99"/>
      <c r="E940" s="41"/>
      <c r="F940" s="41"/>
      <c r="G940" s="41"/>
      <c r="H940" s="41"/>
      <c r="I940" s="91" t="s">
        <v>604</v>
      </c>
      <c r="J940" s="90">
        <f>SUM(J931:J939)</f>
        <v>16.689999999999998</v>
      </c>
    </row>
    <row r="941" spans="1:10" x14ac:dyDescent="0.2">
      <c r="A941" s="19"/>
      <c r="B941" s="21"/>
      <c r="C941" s="19"/>
      <c r="D941" s="99"/>
      <c r="E941" s="41"/>
      <c r="F941" s="41"/>
      <c r="G941" s="41"/>
      <c r="H941" s="41"/>
      <c r="I941" s="41"/>
      <c r="J941" s="41"/>
    </row>
    <row r="942" spans="1:10" ht="25.5" x14ac:dyDescent="0.2">
      <c r="A942" s="19" t="s">
        <v>374</v>
      </c>
      <c r="B942" s="21" t="s">
        <v>174</v>
      </c>
      <c r="C942" s="19" t="s">
        <v>49</v>
      </c>
      <c r="D942" s="263" t="s">
        <v>257</v>
      </c>
      <c r="E942" s="93" t="s">
        <v>258</v>
      </c>
      <c r="F942" s="93" t="s">
        <v>259</v>
      </c>
      <c r="G942" s="93" t="s">
        <v>260</v>
      </c>
      <c r="H942" s="93" t="s">
        <v>261</v>
      </c>
      <c r="I942" s="93" t="s">
        <v>262</v>
      </c>
      <c r="J942" s="94" t="s">
        <v>263</v>
      </c>
    </row>
    <row r="943" spans="1:10" x14ac:dyDescent="0.2">
      <c r="A943" s="19"/>
      <c r="B943" s="226" t="s">
        <v>1185</v>
      </c>
      <c r="C943" s="19"/>
      <c r="D943" s="99"/>
      <c r="E943" s="102">
        <v>9.5</v>
      </c>
      <c r="F943" s="41"/>
      <c r="G943" s="41"/>
      <c r="H943" s="41"/>
      <c r="I943" s="41"/>
      <c r="J943" s="102">
        <f>E943</f>
        <v>9.5</v>
      </c>
    </row>
    <row r="944" spans="1:10" x14ac:dyDescent="0.2">
      <c r="A944" s="19"/>
      <c r="B944" s="226" t="s">
        <v>1186</v>
      </c>
      <c r="C944" s="19"/>
      <c r="D944" s="99"/>
      <c r="E944" s="102">
        <v>2.2999999999999998</v>
      </c>
      <c r="F944" s="41"/>
      <c r="G944" s="41"/>
      <c r="H944" s="41"/>
      <c r="I944" s="41"/>
      <c r="J944" s="102">
        <f t="shared" ref="J944:J945" si="54">E944</f>
        <v>2.2999999999999998</v>
      </c>
    </row>
    <row r="945" spans="1:10" x14ac:dyDescent="0.2">
      <c r="A945" s="19"/>
      <c r="B945" s="226" t="s">
        <v>1187</v>
      </c>
      <c r="C945" s="19"/>
      <c r="D945" s="99"/>
      <c r="E945" s="102">
        <v>9.5</v>
      </c>
      <c r="F945" s="41"/>
      <c r="G945" s="41"/>
      <c r="H945" s="41"/>
      <c r="I945" s="41"/>
      <c r="J945" s="102">
        <f t="shared" si="54"/>
        <v>9.5</v>
      </c>
    </row>
    <row r="946" spans="1:10" x14ac:dyDescent="0.2">
      <c r="A946" s="19"/>
      <c r="B946" s="21"/>
      <c r="C946" s="19"/>
      <c r="D946" s="99"/>
      <c r="E946" s="41"/>
      <c r="F946" s="41"/>
      <c r="G946" s="41"/>
      <c r="H946" s="41"/>
      <c r="I946" s="91" t="s">
        <v>604</v>
      </c>
      <c r="J946" s="236">
        <f>SUM(J943:J945)</f>
        <v>21.3</v>
      </c>
    </row>
    <row r="947" spans="1:10" x14ac:dyDescent="0.2">
      <c r="A947" s="19"/>
      <c r="B947" s="21"/>
      <c r="C947" s="19"/>
      <c r="D947" s="263"/>
      <c r="E947" s="93"/>
      <c r="F947" s="93"/>
      <c r="G947" s="93"/>
      <c r="H947" s="93"/>
      <c r="I947" s="93"/>
      <c r="J947" s="94"/>
    </row>
    <row r="948" spans="1:10" x14ac:dyDescent="0.2">
      <c r="A948" s="23" t="s">
        <v>375</v>
      </c>
      <c r="B948" s="18" t="s">
        <v>175</v>
      </c>
      <c r="C948" s="19"/>
      <c r="D948" s="99"/>
      <c r="E948" s="41"/>
      <c r="F948" s="41"/>
      <c r="G948" s="41"/>
      <c r="H948" s="41"/>
      <c r="I948" s="41"/>
      <c r="J948" s="41"/>
    </row>
    <row r="949" spans="1:10" ht="25.5" x14ac:dyDescent="0.2">
      <c r="A949" s="19" t="s">
        <v>376</v>
      </c>
      <c r="B949" s="21" t="s">
        <v>176</v>
      </c>
      <c r="C949" s="19" t="s">
        <v>43</v>
      </c>
      <c r="D949" s="263" t="s">
        <v>257</v>
      </c>
      <c r="E949" s="93" t="s">
        <v>258</v>
      </c>
      <c r="F949" s="93" t="s">
        <v>259</v>
      </c>
      <c r="G949" s="93" t="s">
        <v>260</v>
      </c>
      <c r="H949" s="93" t="s">
        <v>261</v>
      </c>
      <c r="I949" s="93" t="s">
        <v>262</v>
      </c>
      <c r="J949" s="94" t="s">
        <v>263</v>
      </c>
    </row>
    <row r="950" spans="1:10" x14ac:dyDescent="0.2">
      <c r="A950" s="19"/>
      <c r="B950" s="80" t="s">
        <v>880</v>
      </c>
      <c r="C950" s="19"/>
      <c r="D950" s="265">
        <v>1</v>
      </c>
      <c r="E950" s="102"/>
      <c r="F950" s="102"/>
      <c r="G950" s="102"/>
      <c r="H950" s="102"/>
      <c r="I950" s="102"/>
      <c r="J950" s="102">
        <f>D950</f>
        <v>1</v>
      </c>
    </row>
    <row r="951" spans="1:10" x14ac:dyDescent="0.2">
      <c r="A951" s="19"/>
      <c r="B951" s="80" t="s">
        <v>881</v>
      </c>
      <c r="C951" s="19"/>
      <c r="D951" s="265">
        <v>1</v>
      </c>
      <c r="E951" s="102"/>
      <c r="F951" s="102"/>
      <c r="G951" s="102"/>
      <c r="H951" s="102"/>
      <c r="I951" s="102"/>
      <c r="J951" s="102">
        <f>D951</f>
        <v>1</v>
      </c>
    </row>
    <row r="952" spans="1:10" x14ac:dyDescent="0.2">
      <c r="A952" s="19"/>
      <c r="B952" s="80"/>
      <c r="C952" s="19"/>
      <c r="D952" s="265"/>
      <c r="E952" s="102"/>
      <c r="F952" s="102"/>
      <c r="G952" s="102"/>
      <c r="H952" s="102"/>
      <c r="I952" s="91" t="s">
        <v>604</v>
      </c>
      <c r="J952" s="90">
        <f>SUM(J950:J951)</f>
        <v>2</v>
      </c>
    </row>
    <row r="953" spans="1:10" x14ac:dyDescent="0.2">
      <c r="A953" s="19"/>
      <c r="B953" s="21"/>
      <c r="C953" s="19"/>
      <c r="D953" s="99"/>
      <c r="E953" s="41"/>
      <c r="F953" s="41"/>
      <c r="G953" s="41"/>
      <c r="H953" s="41"/>
      <c r="I953" s="41"/>
      <c r="J953" s="41"/>
    </row>
    <row r="954" spans="1:10" ht="25.5" x14ac:dyDescent="0.2">
      <c r="A954" s="19" t="s">
        <v>377</v>
      </c>
      <c r="B954" s="21" t="s">
        <v>177</v>
      </c>
      <c r="C954" s="19" t="s">
        <v>43</v>
      </c>
      <c r="D954" s="263" t="s">
        <v>257</v>
      </c>
      <c r="E954" s="93" t="s">
        <v>258</v>
      </c>
      <c r="F954" s="93" t="s">
        <v>259</v>
      </c>
      <c r="G954" s="93" t="s">
        <v>260</v>
      </c>
      <c r="H954" s="93" t="s">
        <v>261</v>
      </c>
      <c r="I954" s="93" t="s">
        <v>262</v>
      </c>
      <c r="J954" s="94" t="s">
        <v>263</v>
      </c>
    </row>
    <row r="955" spans="1:10" x14ac:dyDescent="0.2">
      <c r="A955" s="19"/>
      <c r="B955" s="98" t="s">
        <v>882</v>
      </c>
      <c r="C955" s="41"/>
      <c r="D955" s="265">
        <v>2</v>
      </c>
      <c r="E955" s="102"/>
      <c r="F955" s="102"/>
      <c r="G955" s="102"/>
      <c r="H955" s="102"/>
      <c r="I955" s="102"/>
      <c r="J955" s="102">
        <f>D955</f>
        <v>2</v>
      </c>
    </row>
    <row r="956" spans="1:10" x14ac:dyDescent="0.2">
      <c r="A956" s="19"/>
      <c r="B956" s="98" t="s">
        <v>883</v>
      </c>
      <c r="C956" s="41"/>
      <c r="D956" s="265">
        <v>2</v>
      </c>
      <c r="E956" s="102"/>
      <c r="F956" s="102"/>
      <c r="G956" s="102"/>
      <c r="H956" s="102"/>
      <c r="I956" s="102"/>
      <c r="J956" s="102">
        <f>D956</f>
        <v>2</v>
      </c>
    </row>
    <row r="957" spans="1:10" x14ac:dyDescent="0.2">
      <c r="A957" s="19"/>
      <c r="B957" s="80"/>
      <c r="C957" s="19"/>
      <c r="D957" s="265"/>
      <c r="E957" s="102"/>
      <c r="F957" s="102"/>
      <c r="G957" s="102"/>
      <c r="H957" s="102"/>
      <c r="I957" s="91" t="s">
        <v>604</v>
      </c>
      <c r="J957" s="90">
        <f>SUM(J955:J956)</f>
        <v>4</v>
      </c>
    </row>
    <row r="958" spans="1:10" x14ac:dyDescent="0.2">
      <c r="A958" s="19"/>
      <c r="B958" s="21"/>
      <c r="C958" s="19"/>
      <c r="D958" s="99"/>
      <c r="E958" s="41"/>
      <c r="F958" s="41"/>
      <c r="G958" s="41"/>
      <c r="H958" s="41"/>
      <c r="I958" s="41"/>
      <c r="J958" s="41"/>
    </row>
    <row r="959" spans="1:10" x14ac:dyDescent="0.2">
      <c r="A959" s="19"/>
      <c r="B959" s="21"/>
      <c r="C959" s="19"/>
      <c r="D959" s="99"/>
      <c r="E959" s="41"/>
      <c r="F959" s="41"/>
      <c r="G959" s="41"/>
      <c r="H959" s="41"/>
      <c r="I959" s="41"/>
      <c r="J959" s="41"/>
    </row>
    <row r="960" spans="1:10" ht="25.5" x14ac:dyDescent="0.2">
      <c r="A960" s="19" t="s">
        <v>378</v>
      </c>
      <c r="B960" s="21" t="s">
        <v>178</v>
      </c>
      <c r="C960" s="19" t="s">
        <v>43</v>
      </c>
      <c r="D960" s="263" t="s">
        <v>257</v>
      </c>
      <c r="E960" s="93" t="s">
        <v>258</v>
      </c>
      <c r="F960" s="93" t="s">
        <v>259</v>
      </c>
      <c r="G960" s="93" t="s">
        <v>260</v>
      </c>
      <c r="H960" s="93" t="s">
        <v>261</v>
      </c>
      <c r="I960" s="93" t="s">
        <v>262</v>
      </c>
      <c r="J960" s="94" t="s">
        <v>263</v>
      </c>
    </row>
    <row r="961" spans="1:10" x14ac:dyDescent="0.2">
      <c r="A961" s="19"/>
      <c r="B961" s="80" t="s">
        <v>884</v>
      </c>
      <c r="C961" s="19"/>
      <c r="D961" s="265">
        <v>2</v>
      </c>
      <c r="E961" s="102"/>
      <c r="F961" s="102"/>
      <c r="G961" s="102"/>
      <c r="H961" s="102"/>
      <c r="I961" s="102"/>
      <c r="J961" s="102">
        <f>D961</f>
        <v>2</v>
      </c>
    </row>
    <row r="962" spans="1:10" x14ac:dyDescent="0.2">
      <c r="A962" s="19"/>
      <c r="B962" s="80" t="s">
        <v>885</v>
      </c>
      <c r="C962" s="19"/>
      <c r="D962" s="265">
        <v>1</v>
      </c>
      <c r="E962" s="102"/>
      <c r="F962" s="102"/>
      <c r="G962" s="102"/>
      <c r="H962" s="102"/>
      <c r="I962" s="102"/>
      <c r="J962" s="102">
        <f>D962</f>
        <v>1</v>
      </c>
    </row>
    <row r="963" spans="1:10" x14ac:dyDescent="0.2">
      <c r="A963" s="19"/>
      <c r="B963" s="80" t="s">
        <v>886</v>
      </c>
      <c r="C963" s="19"/>
      <c r="D963" s="265">
        <v>1</v>
      </c>
      <c r="E963" s="102"/>
      <c r="F963" s="102"/>
      <c r="G963" s="102"/>
      <c r="H963" s="102"/>
      <c r="I963" s="102"/>
      <c r="J963" s="102">
        <f>D963</f>
        <v>1</v>
      </c>
    </row>
    <row r="964" spans="1:10" x14ac:dyDescent="0.2">
      <c r="A964" s="19"/>
      <c r="B964" s="171"/>
      <c r="C964" s="19"/>
      <c r="D964" s="265"/>
      <c r="E964" s="102"/>
      <c r="F964" s="102"/>
      <c r="G964" s="102"/>
      <c r="H964" s="102"/>
      <c r="I964" s="91" t="s">
        <v>604</v>
      </c>
      <c r="J964" s="90">
        <f>SUM(J961:J963)</f>
        <v>4</v>
      </c>
    </row>
    <row r="965" spans="1:10" x14ac:dyDescent="0.2">
      <c r="A965" s="19"/>
      <c r="B965" s="21"/>
      <c r="C965" s="19"/>
      <c r="D965" s="99"/>
      <c r="E965" s="41"/>
      <c r="F965" s="41"/>
      <c r="G965" s="41"/>
      <c r="H965" s="41"/>
      <c r="I965" s="41"/>
      <c r="J965" s="41"/>
    </row>
    <row r="966" spans="1:10" x14ac:dyDescent="0.2">
      <c r="A966" s="11">
        <v>15</v>
      </c>
      <c r="B966" s="7" t="s">
        <v>160</v>
      </c>
      <c r="C966" s="5"/>
      <c r="D966" s="277"/>
      <c r="E966" s="77"/>
      <c r="F966" s="77"/>
      <c r="G966" s="77"/>
      <c r="H966" s="77"/>
      <c r="I966" s="77"/>
      <c r="J966" s="77"/>
    </row>
    <row r="967" spans="1:10" x14ac:dyDescent="0.2">
      <c r="A967" s="23" t="s">
        <v>379</v>
      </c>
      <c r="B967" s="18" t="s">
        <v>179</v>
      </c>
      <c r="C967" s="19"/>
      <c r="D967" s="99"/>
      <c r="E967" s="41"/>
      <c r="F967" s="41"/>
      <c r="G967" s="41"/>
      <c r="H967" s="41"/>
      <c r="I967" s="41"/>
      <c r="J967" s="41"/>
    </row>
    <row r="968" spans="1:10" ht="25.5" x14ac:dyDescent="0.2">
      <c r="A968" s="19" t="s">
        <v>380</v>
      </c>
      <c r="B968" s="21" t="s">
        <v>180</v>
      </c>
      <c r="C968" s="19" t="s">
        <v>43</v>
      </c>
      <c r="D968" s="263" t="s">
        <v>257</v>
      </c>
      <c r="E968" s="93" t="s">
        <v>258</v>
      </c>
      <c r="F968" s="93" t="s">
        <v>259</v>
      </c>
      <c r="G968" s="93" t="s">
        <v>260</v>
      </c>
      <c r="H968" s="93" t="s">
        <v>261</v>
      </c>
      <c r="I968" s="93" t="s">
        <v>262</v>
      </c>
      <c r="J968" s="94" t="s">
        <v>263</v>
      </c>
    </row>
    <row r="969" spans="1:10" x14ac:dyDescent="0.2">
      <c r="A969" s="19"/>
      <c r="B969" s="271" t="s">
        <v>1246</v>
      </c>
      <c r="C969" s="19"/>
      <c r="D969" s="265">
        <v>2</v>
      </c>
      <c r="E969" s="41"/>
      <c r="F969" s="41"/>
      <c r="G969" s="41"/>
      <c r="H969" s="41"/>
      <c r="I969" s="41"/>
      <c r="J969" s="265">
        <f>D969</f>
        <v>2</v>
      </c>
    </row>
    <row r="970" spans="1:10" x14ac:dyDescent="0.2">
      <c r="A970" s="19"/>
      <c r="B970" s="21"/>
      <c r="C970" s="19"/>
      <c r="D970" s="99"/>
      <c r="E970" s="41"/>
      <c r="F970" s="41"/>
      <c r="G970" s="41"/>
      <c r="H970" s="41"/>
      <c r="I970" s="261" t="s">
        <v>604</v>
      </c>
      <c r="J970" s="260">
        <f>SUM(J969)</f>
        <v>2</v>
      </c>
    </row>
    <row r="971" spans="1:10" ht="12" customHeight="1" x14ac:dyDescent="0.2">
      <c r="A971" s="19"/>
      <c r="B971" s="21"/>
      <c r="C971" s="19"/>
      <c r="D971" s="99"/>
      <c r="E971" s="41"/>
      <c r="F971" s="41"/>
      <c r="G971" s="41"/>
      <c r="H971" s="41"/>
      <c r="I971" s="41"/>
      <c r="J971" s="41"/>
    </row>
    <row r="972" spans="1:10" s="253" customFormat="1" x14ac:dyDescent="0.2">
      <c r="A972" s="23" t="s">
        <v>381</v>
      </c>
      <c r="B972" s="18" t="s">
        <v>181</v>
      </c>
      <c r="C972" s="254"/>
      <c r="D972" s="99"/>
      <c r="E972" s="256"/>
      <c r="F972" s="256"/>
      <c r="G972" s="256"/>
      <c r="H972" s="256"/>
      <c r="I972" s="256"/>
      <c r="J972" s="256"/>
    </row>
    <row r="973" spans="1:10" s="253" customFormat="1" ht="30.75" customHeight="1" x14ac:dyDescent="0.2">
      <c r="A973" s="254" t="s">
        <v>382</v>
      </c>
      <c r="B973" s="255" t="s">
        <v>1241</v>
      </c>
      <c r="C973" s="254" t="s">
        <v>43</v>
      </c>
      <c r="D973" s="263" t="s">
        <v>257</v>
      </c>
      <c r="E973" s="263" t="s">
        <v>258</v>
      </c>
      <c r="F973" s="263" t="s">
        <v>259</v>
      </c>
      <c r="G973" s="263" t="s">
        <v>260</v>
      </c>
      <c r="H973" s="263" t="s">
        <v>261</v>
      </c>
      <c r="I973" s="263" t="s">
        <v>262</v>
      </c>
      <c r="J973" s="264" t="s">
        <v>263</v>
      </c>
    </row>
    <row r="974" spans="1:10" s="253" customFormat="1" x14ac:dyDescent="0.2">
      <c r="A974" s="254"/>
      <c r="B974" s="356" t="s">
        <v>1243</v>
      </c>
      <c r="C974" s="254"/>
      <c r="D974" s="265"/>
      <c r="E974" s="256"/>
      <c r="F974" s="256"/>
      <c r="G974" s="256"/>
      <c r="H974" s="256"/>
      <c r="I974" s="256"/>
      <c r="J974" s="265"/>
    </row>
    <row r="975" spans="1:10" s="253" customFormat="1" x14ac:dyDescent="0.2">
      <c r="A975" s="254"/>
      <c r="B975" s="101" t="s">
        <v>777</v>
      </c>
      <c r="C975" s="254"/>
      <c r="D975" s="265"/>
      <c r="E975" s="256"/>
      <c r="F975" s="256"/>
      <c r="G975" s="256"/>
      <c r="H975" s="256"/>
      <c r="I975" s="256"/>
      <c r="J975" s="265"/>
    </row>
    <row r="976" spans="1:10" s="253" customFormat="1" x14ac:dyDescent="0.2">
      <c r="A976" s="254"/>
      <c r="B976" s="356" t="s">
        <v>1412</v>
      </c>
      <c r="C976" s="254"/>
      <c r="D976" s="265">
        <v>11</v>
      </c>
      <c r="E976" s="256"/>
      <c r="F976" s="256"/>
      <c r="G976" s="256"/>
      <c r="H976" s="256"/>
      <c r="I976" s="256"/>
      <c r="J976" s="265">
        <f>D976</f>
        <v>11</v>
      </c>
    </row>
    <row r="977" spans="1:10" s="253" customFormat="1" x14ac:dyDescent="0.2">
      <c r="A977" s="254"/>
      <c r="B977" s="101" t="s">
        <v>676</v>
      </c>
      <c r="C977" s="254"/>
      <c r="D977" s="265"/>
      <c r="E977" s="256"/>
      <c r="F977" s="256"/>
      <c r="G977" s="256"/>
      <c r="H977" s="256"/>
      <c r="I977" s="256"/>
      <c r="J977" s="265"/>
    </row>
    <row r="978" spans="1:10" s="253" customFormat="1" x14ac:dyDescent="0.2">
      <c r="A978" s="254"/>
      <c r="B978" s="356" t="s">
        <v>634</v>
      </c>
      <c r="C978" s="254"/>
      <c r="D978" s="265">
        <v>3</v>
      </c>
      <c r="E978" s="256"/>
      <c r="F978" s="256"/>
      <c r="G978" s="256"/>
      <c r="H978" s="256"/>
      <c r="I978" s="256"/>
      <c r="J978" s="265">
        <f t="shared" ref="J978:J1008" si="55">D978</f>
        <v>3</v>
      </c>
    </row>
    <row r="979" spans="1:10" s="253" customFormat="1" x14ac:dyDescent="0.2">
      <c r="A979" s="254"/>
      <c r="B979" s="356" t="s">
        <v>618</v>
      </c>
      <c r="C979" s="254"/>
      <c r="D979" s="265">
        <v>3</v>
      </c>
      <c r="E979" s="256"/>
      <c r="F979" s="256"/>
      <c r="G979" s="256"/>
      <c r="H979" s="256"/>
      <c r="I979" s="256"/>
      <c r="J979" s="265">
        <f t="shared" si="55"/>
        <v>3</v>
      </c>
    </row>
    <row r="980" spans="1:10" s="253" customFormat="1" x14ac:dyDescent="0.2">
      <c r="A980" s="254"/>
      <c r="B980" s="356" t="s">
        <v>680</v>
      </c>
      <c r="C980" s="254"/>
      <c r="D980" s="265">
        <v>4</v>
      </c>
      <c r="E980" s="256"/>
      <c r="F980" s="256"/>
      <c r="G980" s="256"/>
      <c r="H980" s="256"/>
      <c r="I980" s="256"/>
      <c r="J980" s="265">
        <f t="shared" si="55"/>
        <v>4</v>
      </c>
    </row>
    <row r="981" spans="1:10" s="253" customFormat="1" x14ac:dyDescent="0.2">
      <c r="A981" s="254"/>
      <c r="B981" s="356" t="s">
        <v>620</v>
      </c>
      <c r="C981" s="254"/>
      <c r="D981" s="265">
        <v>2</v>
      </c>
      <c r="E981" s="256"/>
      <c r="F981" s="256"/>
      <c r="G981" s="256"/>
      <c r="H981" s="256"/>
      <c r="I981" s="256"/>
      <c r="J981" s="265">
        <f t="shared" si="55"/>
        <v>2</v>
      </c>
    </row>
    <row r="982" spans="1:10" s="253" customFormat="1" x14ac:dyDescent="0.2">
      <c r="A982" s="254"/>
      <c r="B982" s="356" t="s">
        <v>621</v>
      </c>
      <c r="C982" s="254"/>
      <c r="D982" s="265">
        <v>3</v>
      </c>
      <c r="E982" s="256"/>
      <c r="F982" s="256"/>
      <c r="G982" s="256"/>
      <c r="H982" s="256"/>
      <c r="I982" s="256"/>
      <c r="J982" s="265">
        <f t="shared" si="55"/>
        <v>3</v>
      </c>
    </row>
    <row r="983" spans="1:10" s="253" customFormat="1" x14ac:dyDescent="0.2">
      <c r="A983" s="254"/>
      <c r="B983" s="356" t="s">
        <v>674</v>
      </c>
      <c r="C983" s="254"/>
      <c r="D983" s="265">
        <v>5</v>
      </c>
      <c r="E983" s="256"/>
      <c r="F983" s="256"/>
      <c r="G983" s="256"/>
      <c r="H983" s="256"/>
      <c r="I983" s="256"/>
      <c r="J983" s="265">
        <f t="shared" si="55"/>
        <v>5</v>
      </c>
    </row>
    <row r="984" spans="1:10" s="253" customFormat="1" x14ac:dyDescent="0.2">
      <c r="A984" s="254"/>
      <c r="B984" s="356" t="s">
        <v>632</v>
      </c>
      <c r="C984" s="254"/>
      <c r="D984" s="265">
        <v>6</v>
      </c>
      <c r="E984" s="256"/>
      <c r="F984" s="256"/>
      <c r="G984" s="256"/>
      <c r="H984" s="256"/>
      <c r="I984" s="256"/>
      <c r="J984" s="265">
        <f t="shared" si="55"/>
        <v>6</v>
      </c>
    </row>
    <row r="985" spans="1:10" s="253" customFormat="1" x14ac:dyDescent="0.2">
      <c r="A985" s="254"/>
      <c r="B985" s="356" t="s">
        <v>681</v>
      </c>
      <c r="C985" s="254"/>
      <c r="D985" s="265">
        <v>1</v>
      </c>
      <c r="E985" s="256"/>
      <c r="F985" s="256"/>
      <c r="G985" s="256"/>
      <c r="H985" s="256"/>
      <c r="I985" s="256"/>
      <c r="J985" s="265">
        <f t="shared" si="55"/>
        <v>1</v>
      </c>
    </row>
    <row r="986" spans="1:10" s="253" customFormat="1" x14ac:dyDescent="0.2">
      <c r="A986" s="254"/>
      <c r="B986" s="356" t="s">
        <v>683</v>
      </c>
      <c r="C986" s="254"/>
      <c r="D986" s="265">
        <v>1</v>
      </c>
      <c r="E986" s="256"/>
      <c r="F986" s="256"/>
      <c r="G986" s="256"/>
      <c r="H986" s="256"/>
      <c r="I986" s="256"/>
      <c r="J986" s="265">
        <f t="shared" si="55"/>
        <v>1</v>
      </c>
    </row>
    <row r="987" spans="1:10" s="253" customFormat="1" x14ac:dyDescent="0.2">
      <c r="A987" s="254"/>
      <c r="B987" s="356" t="s">
        <v>682</v>
      </c>
      <c r="C987" s="254"/>
      <c r="D987" s="265">
        <v>1</v>
      </c>
      <c r="E987" s="256"/>
      <c r="F987" s="256"/>
      <c r="G987" s="256"/>
      <c r="H987" s="256"/>
      <c r="I987" s="256"/>
      <c r="J987" s="265">
        <f t="shared" si="55"/>
        <v>1</v>
      </c>
    </row>
    <row r="988" spans="1:10" s="253" customFormat="1" x14ac:dyDescent="0.2">
      <c r="A988" s="254"/>
      <c r="B988" s="356" t="s">
        <v>641</v>
      </c>
      <c r="C988" s="254"/>
      <c r="D988" s="265">
        <v>1</v>
      </c>
      <c r="E988" s="256"/>
      <c r="F988" s="256"/>
      <c r="G988" s="256"/>
      <c r="H988" s="256"/>
      <c r="I988" s="256"/>
      <c r="J988" s="265">
        <f t="shared" si="55"/>
        <v>1</v>
      </c>
    </row>
    <row r="989" spans="1:10" s="253" customFormat="1" x14ac:dyDescent="0.2">
      <c r="A989" s="254"/>
      <c r="B989" s="356" t="s">
        <v>675</v>
      </c>
      <c r="C989" s="254"/>
      <c r="D989" s="265">
        <v>3</v>
      </c>
      <c r="E989" s="256"/>
      <c r="F989" s="256"/>
      <c r="G989" s="256"/>
      <c r="H989" s="256"/>
      <c r="I989" s="256"/>
      <c r="J989" s="265">
        <f t="shared" si="55"/>
        <v>3</v>
      </c>
    </row>
    <row r="990" spans="1:10" s="253" customFormat="1" x14ac:dyDescent="0.2">
      <c r="A990" s="254"/>
      <c r="B990" s="356" t="s">
        <v>643</v>
      </c>
      <c r="C990" s="254"/>
      <c r="D990" s="265">
        <v>2</v>
      </c>
      <c r="E990" s="256"/>
      <c r="F990" s="256"/>
      <c r="G990" s="256"/>
      <c r="H990" s="256"/>
      <c r="I990" s="256"/>
      <c r="J990" s="265">
        <f t="shared" si="55"/>
        <v>2</v>
      </c>
    </row>
    <row r="991" spans="1:10" s="253" customFormat="1" x14ac:dyDescent="0.2">
      <c r="A991" s="254"/>
      <c r="B991" s="101" t="s">
        <v>677</v>
      </c>
      <c r="C991" s="254"/>
      <c r="D991" s="265"/>
      <c r="E991" s="256"/>
      <c r="F991" s="256"/>
      <c r="G991" s="256"/>
      <c r="H991" s="256"/>
      <c r="I991" s="256"/>
      <c r="J991" s="265">
        <f t="shared" si="55"/>
        <v>0</v>
      </c>
    </row>
    <row r="992" spans="1:10" s="253" customFormat="1" x14ac:dyDescent="0.2">
      <c r="A992" s="254"/>
      <c r="B992" s="356" t="s">
        <v>679</v>
      </c>
      <c r="C992" s="254"/>
      <c r="D992" s="265">
        <v>2</v>
      </c>
      <c r="E992" s="256"/>
      <c r="F992" s="256"/>
      <c r="G992" s="256"/>
      <c r="H992" s="256"/>
      <c r="I992" s="256"/>
      <c r="J992" s="265">
        <f t="shared" si="55"/>
        <v>2</v>
      </c>
    </row>
    <row r="993" spans="1:10" s="253" customFormat="1" x14ac:dyDescent="0.2">
      <c r="A993" s="254"/>
      <c r="B993" s="356" t="s">
        <v>1372</v>
      </c>
      <c r="C993" s="254"/>
      <c r="D993" s="265">
        <v>1</v>
      </c>
      <c r="E993" s="256"/>
      <c r="F993" s="256"/>
      <c r="G993" s="256"/>
      <c r="H993" s="256"/>
      <c r="I993" s="256"/>
      <c r="J993" s="265">
        <f t="shared" si="55"/>
        <v>1</v>
      </c>
    </row>
    <row r="994" spans="1:10" s="253" customFormat="1" x14ac:dyDescent="0.2">
      <c r="A994" s="254"/>
      <c r="B994" s="356" t="s">
        <v>680</v>
      </c>
      <c r="C994" s="254"/>
      <c r="D994" s="265">
        <v>3</v>
      </c>
      <c r="E994" s="256"/>
      <c r="F994" s="256"/>
      <c r="G994" s="256"/>
      <c r="H994" s="256"/>
      <c r="I994" s="256"/>
      <c r="J994" s="265">
        <f t="shared" si="55"/>
        <v>3</v>
      </c>
    </row>
    <row r="995" spans="1:10" s="253" customFormat="1" x14ac:dyDescent="0.2">
      <c r="A995" s="254"/>
      <c r="B995" s="356" t="s">
        <v>655</v>
      </c>
      <c r="C995" s="254"/>
      <c r="D995" s="265">
        <v>4</v>
      </c>
      <c r="E995" s="256"/>
      <c r="F995" s="256"/>
      <c r="G995" s="256"/>
      <c r="H995" s="256"/>
      <c r="I995" s="256"/>
      <c r="J995" s="265">
        <f t="shared" si="55"/>
        <v>4</v>
      </c>
    </row>
    <row r="996" spans="1:10" s="253" customFormat="1" x14ac:dyDescent="0.2">
      <c r="A996" s="254"/>
      <c r="B996" s="356" t="s">
        <v>624</v>
      </c>
      <c r="C996" s="254"/>
      <c r="D996" s="265">
        <v>3</v>
      </c>
      <c r="E996" s="256"/>
      <c r="F996" s="256"/>
      <c r="G996" s="256"/>
      <c r="H996" s="256"/>
      <c r="I996" s="256"/>
      <c r="J996" s="265">
        <f t="shared" si="55"/>
        <v>3</v>
      </c>
    </row>
    <row r="997" spans="1:10" s="253" customFormat="1" x14ac:dyDescent="0.2">
      <c r="A997" s="254"/>
      <c r="B997" s="356" t="s">
        <v>625</v>
      </c>
      <c r="C997" s="254"/>
      <c r="D997" s="265">
        <v>3</v>
      </c>
      <c r="E997" s="256"/>
      <c r="F997" s="256"/>
      <c r="G997" s="256"/>
      <c r="H997" s="256"/>
      <c r="I997" s="256"/>
      <c r="J997" s="265">
        <f t="shared" si="55"/>
        <v>3</v>
      </c>
    </row>
    <row r="998" spans="1:10" s="253" customFormat="1" x14ac:dyDescent="0.2">
      <c r="A998" s="254"/>
      <c r="B998" s="356" t="s">
        <v>1379</v>
      </c>
      <c r="C998" s="254"/>
      <c r="D998" s="265">
        <v>3</v>
      </c>
      <c r="E998" s="256"/>
      <c r="F998" s="256"/>
      <c r="G998" s="256"/>
      <c r="H998" s="256"/>
      <c r="I998" s="256"/>
      <c r="J998" s="265">
        <f t="shared" si="55"/>
        <v>3</v>
      </c>
    </row>
    <row r="999" spans="1:10" s="253" customFormat="1" x14ac:dyDescent="0.2">
      <c r="A999" s="254"/>
      <c r="B999" s="356" t="s">
        <v>678</v>
      </c>
      <c r="C999" s="254"/>
      <c r="D999" s="265">
        <v>5</v>
      </c>
      <c r="E999" s="256"/>
      <c r="F999" s="256"/>
      <c r="G999" s="256"/>
      <c r="H999" s="256"/>
      <c r="I999" s="256"/>
      <c r="J999" s="265">
        <f t="shared" si="55"/>
        <v>5</v>
      </c>
    </row>
    <row r="1000" spans="1:10" s="253" customFormat="1" x14ac:dyDescent="0.2">
      <c r="A1000" s="254"/>
      <c r="B1000" s="356" t="s">
        <v>675</v>
      </c>
      <c r="C1000" s="254"/>
      <c r="D1000" s="265">
        <v>5</v>
      </c>
      <c r="E1000" s="256"/>
      <c r="F1000" s="256"/>
      <c r="G1000" s="256"/>
      <c r="H1000" s="256"/>
      <c r="I1000" s="256"/>
      <c r="J1000" s="265">
        <f t="shared" si="55"/>
        <v>5</v>
      </c>
    </row>
    <row r="1001" spans="1:10" s="253" customFormat="1" x14ac:dyDescent="0.2">
      <c r="A1001" s="254"/>
      <c r="B1001" s="356" t="s">
        <v>644</v>
      </c>
      <c r="C1001" s="254"/>
      <c r="D1001" s="265">
        <v>1</v>
      </c>
      <c r="E1001" s="256"/>
      <c r="F1001" s="256"/>
      <c r="G1001" s="256"/>
      <c r="H1001" s="256"/>
      <c r="I1001" s="256"/>
      <c r="J1001" s="265">
        <f t="shared" si="55"/>
        <v>1</v>
      </c>
    </row>
    <row r="1002" spans="1:10" s="253" customFormat="1" x14ac:dyDescent="0.2">
      <c r="A1002" s="254"/>
      <c r="B1002" s="356" t="s">
        <v>628</v>
      </c>
      <c r="C1002" s="254"/>
      <c r="D1002" s="265">
        <v>4</v>
      </c>
      <c r="E1002" s="256"/>
      <c r="F1002" s="256"/>
      <c r="G1002" s="256"/>
      <c r="H1002" s="256"/>
      <c r="I1002" s="256"/>
      <c r="J1002" s="265">
        <f t="shared" si="55"/>
        <v>4</v>
      </c>
    </row>
    <row r="1003" spans="1:10" s="253" customFormat="1" x14ac:dyDescent="0.2">
      <c r="A1003" s="254"/>
      <c r="B1003" s="356"/>
      <c r="C1003" s="254"/>
      <c r="D1003" s="265"/>
      <c r="E1003" s="256"/>
      <c r="F1003" s="256"/>
      <c r="G1003" s="256"/>
      <c r="H1003" s="256"/>
      <c r="I1003" s="256"/>
      <c r="J1003" s="265">
        <f t="shared" si="55"/>
        <v>0</v>
      </c>
    </row>
    <row r="1004" spans="1:10" s="253" customFormat="1" x14ac:dyDescent="0.2">
      <c r="A1004" s="254"/>
      <c r="B1004" s="356" t="s">
        <v>1413</v>
      </c>
      <c r="C1004" s="254"/>
      <c r="D1004" s="265">
        <v>11</v>
      </c>
      <c r="E1004" s="256"/>
      <c r="F1004" s="256"/>
      <c r="G1004" s="256"/>
      <c r="H1004" s="256"/>
      <c r="I1004" s="256"/>
      <c r="J1004" s="265">
        <f t="shared" si="55"/>
        <v>11</v>
      </c>
    </row>
    <row r="1005" spans="1:10" s="253" customFormat="1" x14ac:dyDescent="0.2">
      <c r="A1005" s="254"/>
      <c r="B1005" s="368"/>
      <c r="C1005" s="254"/>
      <c r="D1005" s="265"/>
      <c r="E1005" s="256"/>
      <c r="F1005" s="256"/>
      <c r="G1005" s="256"/>
      <c r="H1005" s="256"/>
      <c r="I1005" s="256"/>
      <c r="J1005" s="265">
        <f t="shared" si="55"/>
        <v>0</v>
      </c>
    </row>
    <row r="1006" spans="1:10" s="253" customFormat="1" x14ac:dyDescent="0.2">
      <c r="A1006" s="254"/>
      <c r="B1006" s="101" t="s">
        <v>1084</v>
      </c>
      <c r="C1006" s="254"/>
      <c r="D1006" s="265">
        <v>4</v>
      </c>
      <c r="E1006" s="256"/>
      <c r="F1006" s="256"/>
      <c r="G1006" s="256"/>
      <c r="H1006" s="256"/>
      <c r="I1006" s="256"/>
      <c r="J1006" s="265">
        <f t="shared" si="55"/>
        <v>4</v>
      </c>
    </row>
    <row r="1007" spans="1:10" s="253" customFormat="1" x14ac:dyDescent="0.2">
      <c r="A1007" s="254"/>
      <c r="B1007" s="356"/>
      <c r="C1007" s="254"/>
      <c r="D1007" s="265"/>
      <c r="E1007" s="256"/>
      <c r="F1007" s="256"/>
      <c r="G1007" s="256"/>
      <c r="H1007" s="256"/>
      <c r="I1007" s="256"/>
      <c r="J1007" s="265">
        <f t="shared" si="55"/>
        <v>0</v>
      </c>
    </row>
    <row r="1008" spans="1:10" s="253" customFormat="1" x14ac:dyDescent="0.2">
      <c r="A1008" s="254"/>
      <c r="B1008" s="371" t="s">
        <v>1244</v>
      </c>
      <c r="C1008" s="106"/>
      <c r="D1008" s="162">
        <f>22+1+1+1+1+1+1+2</f>
        <v>30</v>
      </c>
      <c r="E1008" s="256"/>
      <c r="F1008" s="256"/>
      <c r="G1008" s="256"/>
      <c r="H1008" s="256"/>
      <c r="I1008" s="164"/>
      <c r="J1008" s="265">
        <f t="shared" si="55"/>
        <v>30</v>
      </c>
    </row>
    <row r="1009" spans="1:10" s="253" customFormat="1" x14ac:dyDescent="0.2">
      <c r="A1009" s="254"/>
      <c r="B1009" s="257"/>
      <c r="C1009" s="254"/>
      <c r="D1009" s="99"/>
      <c r="E1009" s="256"/>
      <c r="F1009" s="256"/>
      <c r="G1009" s="256"/>
      <c r="H1009" s="256"/>
      <c r="I1009" s="261" t="s">
        <v>604</v>
      </c>
      <c r="J1009" s="260">
        <f>SUM(J975:J1008)</f>
        <v>125</v>
      </c>
    </row>
    <row r="1010" spans="1:10" s="253" customFormat="1" ht="12" customHeight="1" x14ac:dyDescent="0.2">
      <c r="A1010" s="254"/>
      <c r="B1010" s="255"/>
      <c r="C1010" s="254"/>
      <c r="D1010" s="99"/>
      <c r="E1010" s="256"/>
      <c r="F1010" s="256"/>
      <c r="G1010" s="256"/>
      <c r="H1010" s="256"/>
      <c r="I1010" s="256"/>
      <c r="J1010" s="256"/>
    </row>
    <row r="1011" spans="1:10" s="253" customFormat="1" ht="30.75" customHeight="1" x14ac:dyDescent="0.2">
      <c r="A1011" s="254" t="s">
        <v>383</v>
      </c>
      <c r="B1011" s="255" t="s">
        <v>1242</v>
      </c>
      <c r="C1011" s="254" t="s">
        <v>43</v>
      </c>
      <c r="D1011" s="263" t="s">
        <v>257</v>
      </c>
      <c r="E1011" s="263" t="s">
        <v>258</v>
      </c>
      <c r="F1011" s="263" t="s">
        <v>259</v>
      </c>
      <c r="G1011" s="263" t="s">
        <v>260</v>
      </c>
      <c r="H1011" s="263" t="s">
        <v>261</v>
      </c>
      <c r="I1011" s="263" t="s">
        <v>262</v>
      </c>
      <c r="J1011" s="264" t="s">
        <v>263</v>
      </c>
    </row>
    <row r="1012" spans="1:10" s="253" customFormat="1" x14ac:dyDescent="0.2">
      <c r="A1012" s="254"/>
      <c r="B1012" s="257" t="s">
        <v>1243</v>
      </c>
      <c r="C1012" s="254"/>
      <c r="D1012" s="265"/>
      <c r="E1012" s="256"/>
      <c r="F1012" s="256"/>
      <c r="G1012" s="256"/>
      <c r="H1012" s="256"/>
      <c r="I1012" s="256"/>
      <c r="J1012" s="265"/>
    </row>
    <row r="1013" spans="1:10" s="253" customFormat="1" x14ac:dyDescent="0.2">
      <c r="A1013" s="254"/>
      <c r="B1013" s="101" t="s">
        <v>1414</v>
      </c>
      <c r="C1013" s="254"/>
      <c r="D1013" s="265"/>
      <c r="E1013" s="256"/>
      <c r="F1013" s="256"/>
      <c r="G1013" s="256"/>
      <c r="H1013" s="256"/>
      <c r="I1013" s="256"/>
      <c r="J1013" s="265"/>
    </row>
    <row r="1014" spans="1:10" s="253" customFormat="1" x14ac:dyDescent="0.2">
      <c r="A1014" s="254"/>
      <c r="B1014" s="356" t="s">
        <v>634</v>
      </c>
      <c r="C1014" s="254"/>
      <c r="D1014" s="265">
        <v>1</v>
      </c>
      <c r="E1014" s="256"/>
      <c r="F1014" s="256"/>
      <c r="G1014" s="256"/>
      <c r="H1014" s="256"/>
      <c r="I1014" s="256"/>
      <c r="J1014" s="265">
        <f>D1014</f>
        <v>1</v>
      </c>
    </row>
    <row r="1015" spans="1:10" s="253" customFormat="1" x14ac:dyDescent="0.2">
      <c r="A1015" s="254"/>
      <c r="B1015" s="356" t="s">
        <v>618</v>
      </c>
      <c r="C1015" s="254"/>
      <c r="D1015" s="265">
        <v>1</v>
      </c>
      <c r="E1015" s="256"/>
      <c r="F1015" s="256"/>
      <c r="G1015" s="256"/>
      <c r="H1015" s="256"/>
      <c r="I1015" s="256"/>
      <c r="J1015" s="265">
        <f t="shared" ref="J1015:J1034" si="56">D1015</f>
        <v>1</v>
      </c>
    </row>
    <row r="1016" spans="1:10" s="253" customFormat="1" x14ac:dyDescent="0.2">
      <c r="A1016" s="254"/>
      <c r="B1016" s="356" t="s">
        <v>620</v>
      </c>
      <c r="C1016" s="254"/>
      <c r="D1016" s="265">
        <v>1</v>
      </c>
      <c r="E1016" s="256"/>
      <c r="F1016" s="256"/>
      <c r="G1016" s="256"/>
      <c r="H1016" s="256"/>
      <c r="I1016" s="256"/>
      <c r="J1016" s="265">
        <f t="shared" si="56"/>
        <v>1</v>
      </c>
    </row>
    <row r="1017" spans="1:10" s="253" customFormat="1" x14ac:dyDescent="0.2">
      <c r="A1017" s="254"/>
      <c r="B1017" s="356" t="s">
        <v>621</v>
      </c>
      <c r="C1017" s="254"/>
      <c r="D1017" s="265">
        <v>1</v>
      </c>
      <c r="E1017" s="256"/>
      <c r="F1017" s="256"/>
      <c r="G1017" s="256"/>
      <c r="H1017" s="256"/>
      <c r="I1017" s="256"/>
      <c r="J1017" s="265">
        <f t="shared" si="56"/>
        <v>1</v>
      </c>
    </row>
    <row r="1018" spans="1:10" s="253" customFormat="1" x14ac:dyDescent="0.2">
      <c r="A1018" s="254"/>
      <c r="B1018" s="356" t="s">
        <v>674</v>
      </c>
      <c r="C1018" s="254"/>
      <c r="D1018" s="265">
        <v>1</v>
      </c>
      <c r="E1018" s="256"/>
      <c r="F1018" s="256"/>
      <c r="G1018" s="256"/>
      <c r="H1018" s="256"/>
      <c r="I1018" s="256"/>
      <c r="J1018" s="265">
        <f t="shared" si="56"/>
        <v>1</v>
      </c>
    </row>
    <row r="1019" spans="1:10" s="253" customFormat="1" x14ac:dyDescent="0.2">
      <c r="A1019" s="254"/>
      <c r="B1019" s="356" t="s">
        <v>632</v>
      </c>
      <c r="C1019" s="254"/>
      <c r="D1019" s="265">
        <v>1</v>
      </c>
      <c r="E1019" s="256"/>
      <c r="F1019" s="256"/>
      <c r="G1019" s="256"/>
      <c r="H1019" s="256"/>
      <c r="I1019" s="256"/>
      <c r="J1019" s="265">
        <f t="shared" si="56"/>
        <v>1</v>
      </c>
    </row>
    <row r="1020" spans="1:10" s="253" customFormat="1" x14ac:dyDescent="0.2">
      <c r="A1020" s="254"/>
      <c r="B1020" s="356" t="s">
        <v>682</v>
      </c>
      <c r="C1020" s="254"/>
      <c r="D1020" s="265">
        <v>1</v>
      </c>
      <c r="E1020" s="256"/>
      <c r="F1020" s="256"/>
      <c r="G1020" s="256"/>
      <c r="H1020" s="256"/>
      <c r="I1020" s="256"/>
      <c r="J1020" s="265">
        <f t="shared" si="56"/>
        <v>1</v>
      </c>
    </row>
    <row r="1021" spans="1:10" s="253" customFormat="1" x14ac:dyDescent="0.2">
      <c r="A1021" s="254"/>
      <c r="B1021" s="356" t="s">
        <v>641</v>
      </c>
      <c r="C1021" s="254"/>
      <c r="D1021" s="265">
        <v>1</v>
      </c>
      <c r="E1021" s="256"/>
      <c r="F1021" s="256"/>
      <c r="G1021" s="256"/>
      <c r="H1021" s="256"/>
      <c r="I1021" s="256"/>
      <c r="J1021" s="265">
        <f t="shared" si="56"/>
        <v>1</v>
      </c>
    </row>
    <row r="1022" spans="1:10" s="253" customFormat="1" x14ac:dyDescent="0.2">
      <c r="A1022" s="254"/>
      <c r="B1022" s="356" t="s">
        <v>1372</v>
      </c>
      <c r="C1022" s="254"/>
      <c r="D1022" s="265">
        <v>1</v>
      </c>
      <c r="E1022" s="256"/>
      <c r="F1022" s="256"/>
      <c r="G1022" s="256"/>
      <c r="H1022" s="256"/>
      <c r="I1022" s="256"/>
      <c r="J1022" s="265">
        <f t="shared" si="56"/>
        <v>1</v>
      </c>
    </row>
    <row r="1023" spans="1:10" s="253" customFormat="1" x14ac:dyDescent="0.2">
      <c r="A1023" s="254"/>
      <c r="B1023" s="101" t="s">
        <v>677</v>
      </c>
      <c r="C1023" s="254"/>
      <c r="D1023" s="265"/>
      <c r="E1023" s="256"/>
      <c r="F1023" s="256"/>
      <c r="G1023" s="256"/>
      <c r="H1023" s="256"/>
      <c r="I1023" s="256"/>
      <c r="J1023" s="265"/>
    </row>
    <row r="1024" spans="1:10" s="253" customFormat="1" x14ac:dyDescent="0.2">
      <c r="A1024" s="254"/>
      <c r="B1024" s="356" t="s">
        <v>655</v>
      </c>
      <c r="C1024" s="254"/>
      <c r="D1024" s="265">
        <v>1</v>
      </c>
      <c r="E1024" s="256"/>
      <c r="F1024" s="256"/>
      <c r="G1024" s="256"/>
      <c r="H1024" s="256"/>
      <c r="I1024" s="256"/>
      <c r="J1024" s="265">
        <f t="shared" si="56"/>
        <v>1</v>
      </c>
    </row>
    <row r="1025" spans="1:10" s="253" customFormat="1" x14ac:dyDescent="0.2">
      <c r="A1025" s="254"/>
      <c r="B1025" s="356" t="s">
        <v>624</v>
      </c>
      <c r="C1025" s="254"/>
      <c r="D1025" s="265">
        <v>1</v>
      </c>
      <c r="E1025" s="256"/>
      <c r="F1025" s="256"/>
      <c r="G1025" s="256"/>
      <c r="H1025" s="256"/>
      <c r="I1025" s="256"/>
      <c r="J1025" s="265">
        <f t="shared" si="56"/>
        <v>1</v>
      </c>
    </row>
    <row r="1026" spans="1:10" s="253" customFormat="1" x14ac:dyDescent="0.2">
      <c r="A1026" s="254"/>
      <c r="B1026" s="356" t="s">
        <v>625</v>
      </c>
      <c r="C1026" s="254"/>
      <c r="D1026" s="265">
        <v>1</v>
      </c>
      <c r="E1026" s="256"/>
      <c r="F1026" s="256"/>
      <c r="G1026" s="256"/>
      <c r="H1026" s="256"/>
      <c r="I1026" s="256"/>
      <c r="J1026" s="265">
        <f t="shared" si="56"/>
        <v>1</v>
      </c>
    </row>
    <row r="1027" spans="1:10" s="253" customFormat="1" x14ac:dyDescent="0.2">
      <c r="A1027" s="254"/>
      <c r="B1027" s="356" t="s">
        <v>1379</v>
      </c>
      <c r="C1027" s="254"/>
      <c r="D1027" s="265">
        <v>1</v>
      </c>
      <c r="E1027" s="256"/>
      <c r="F1027" s="256"/>
      <c r="G1027" s="256"/>
      <c r="H1027" s="256"/>
      <c r="I1027" s="256"/>
      <c r="J1027" s="265">
        <f t="shared" si="56"/>
        <v>1</v>
      </c>
    </row>
    <row r="1028" spans="1:10" s="253" customFormat="1" x14ac:dyDescent="0.2">
      <c r="A1028" s="254"/>
      <c r="B1028" s="356" t="s">
        <v>678</v>
      </c>
      <c r="C1028" s="254"/>
      <c r="D1028" s="265">
        <v>2</v>
      </c>
      <c r="E1028" s="256"/>
      <c r="F1028" s="256"/>
      <c r="G1028" s="256"/>
      <c r="H1028" s="256"/>
      <c r="I1028" s="256"/>
      <c r="J1028" s="265">
        <f t="shared" si="56"/>
        <v>2</v>
      </c>
    </row>
    <row r="1029" spans="1:10" s="253" customFormat="1" x14ac:dyDescent="0.2">
      <c r="A1029" s="254"/>
      <c r="B1029" s="356" t="s">
        <v>644</v>
      </c>
      <c r="C1029" s="254"/>
      <c r="D1029" s="265">
        <v>1</v>
      </c>
      <c r="E1029" s="256"/>
      <c r="F1029" s="256"/>
      <c r="G1029" s="256"/>
      <c r="H1029" s="256"/>
      <c r="I1029" s="256"/>
      <c r="J1029" s="265">
        <f t="shared" si="56"/>
        <v>1</v>
      </c>
    </row>
    <row r="1030" spans="1:10" s="253" customFormat="1" x14ac:dyDescent="0.2">
      <c r="A1030" s="254"/>
      <c r="B1030" s="356" t="s">
        <v>628</v>
      </c>
      <c r="C1030" s="254"/>
      <c r="D1030" s="265">
        <v>1</v>
      </c>
      <c r="E1030" s="256"/>
      <c r="F1030" s="256"/>
      <c r="G1030" s="256"/>
      <c r="H1030" s="256"/>
      <c r="I1030" s="256"/>
      <c r="J1030" s="265">
        <f t="shared" si="56"/>
        <v>1</v>
      </c>
    </row>
    <row r="1031" spans="1:10" s="253" customFormat="1" x14ac:dyDescent="0.2">
      <c r="A1031" s="254"/>
      <c r="B1031" s="356"/>
      <c r="C1031" s="254"/>
      <c r="D1031" s="265"/>
      <c r="E1031" s="256"/>
      <c r="F1031" s="256"/>
      <c r="G1031" s="256"/>
      <c r="H1031" s="256"/>
      <c r="I1031" s="256"/>
      <c r="J1031" s="265">
        <f t="shared" si="56"/>
        <v>0</v>
      </c>
    </row>
    <row r="1032" spans="1:10" s="253" customFormat="1" x14ac:dyDescent="0.2">
      <c r="A1032" s="254"/>
      <c r="B1032" s="101" t="s">
        <v>1084</v>
      </c>
      <c r="C1032" s="254"/>
      <c r="D1032" s="265">
        <v>1</v>
      </c>
      <c r="E1032" s="256"/>
      <c r="F1032" s="256"/>
      <c r="G1032" s="256"/>
      <c r="H1032" s="256"/>
      <c r="I1032" s="256"/>
      <c r="J1032" s="265">
        <f t="shared" si="56"/>
        <v>1</v>
      </c>
    </row>
    <row r="1033" spans="1:10" s="253" customFormat="1" x14ac:dyDescent="0.2">
      <c r="A1033" s="254"/>
      <c r="B1033" s="356"/>
      <c r="C1033" s="254"/>
      <c r="D1033" s="265"/>
      <c r="E1033" s="256"/>
      <c r="F1033" s="256"/>
      <c r="G1033" s="256"/>
      <c r="H1033" s="256"/>
      <c r="I1033" s="256"/>
      <c r="J1033" s="265">
        <f t="shared" si="56"/>
        <v>0</v>
      </c>
    </row>
    <row r="1034" spans="1:10" s="253" customFormat="1" x14ac:dyDescent="0.2">
      <c r="A1034" s="254"/>
      <c r="B1034" s="371" t="s">
        <v>1244</v>
      </c>
      <c r="C1034" s="106"/>
      <c r="D1034" s="162">
        <v>4</v>
      </c>
      <c r="E1034" s="256"/>
      <c r="F1034" s="256"/>
      <c r="G1034" s="256"/>
      <c r="H1034" s="256"/>
      <c r="I1034" s="164"/>
      <c r="J1034" s="265">
        <f t="shared" si="56"/>
        <v>4</v>
      </c>
    </row>
    <row r="1035" spans="1:10" s="253" customFormat="1" x14ac:dyDescent="0.2">
      <c r="A1035" s="254"/>
      <c r="B1035" s="257"/>
      <c r="C1035" s="254"/>
      <c r="D1035" s="99"/>
      <c r="E1035" s="256"/>
      <c r="F1035" s="256"/>
      <c r="G1035" s="256"/>
      <c r="H1035" s="256"/>
      <c r="I1035" s="261" t="s">
        <v>604</v>
      </c>
      <c r="J1035" s="260">
        <f>SUM(J1012:J1034)</f>
        <v>22</v>
      </c>
    </row>
    <row r="1036" spans="1:10" s="253" customFormat="1" x14ac:dyDescent="0.2">
      <c r="A1036" s="254"/>
      <c r="B1036" s="379"/>
      <c r="C1036" s="254"/>
      <c r="D1036" s="99"/>
      <c r="E1036" s="256"/>
      <c r="F1036" s="256"/>
      <c r="G1036" s="256"/>
      <c r="H1036" s="256"/>
      <c r="I1036" s="266"/>
      <c r="J1036" s="267"/>
    </row>
    <row r="1037" spans="1:10" s="253" customFormat="1" x14ac:dyDescent="0.2">
      <c r="A1037" s="254"/>
      <c r="B1037" s="379"/>
      <c r="C1037" s="254"/>
      <c r="D1037" s="99"/>
      <c r="E1037" s="256"/>
      <c r="F1037" s="256"/>
      <c r="G1037" s="256"/>
      <c r="H1037" s="256"/>
      <c r="I1037" s="266"/>
      <c r="J1037" s="267"/>
    </row>
    <row r="1038" spans="1:10" s="253" customFormat="1" ht="25.5" x14ac:dyDescent="0.2">
      <c r="A1038" s="254" t="s">
        <v>1484</v>
      </c>
      <c r="B1038" s="255" t="s">
        <v>1485</v>
      </c>
      <c r="C1038" s="254" t="s">
        <v>43</v>
      </c>
      <c r="D1038" s="263" t="s">
        <v>257</v>
      </c>
      <c r="E1038" s="263" t="s">
        <v>258</v>
      </c>
      <c r="F1038" s="263" t="s">
        <v>259</v>
      </c>
      <c r="G1038" s="263" t="s">
        <v>260</v>
      </c>
      <c r="H1038" s="263" t="s">
        <v>261</v>
      </c>
      <c r="I1038" s="263" t="s">
        <v>262</v>
      </c>
      <c r="J1038" s="264" t="s">
        <v>263</v>
      </c>
    </row>
    <row r="1039" spans="1:10" s="253" customFormat="1" x14ac:dyDescent="0.2">
      <c r="A1039" s="254"/>
      <c r="B1039" s="285" t="s">
        <v>1250</v>
      </c>
      <c r="C1039" s="254"/>
      <c r="D1039" s="152"/>
      <c r="E1039" s="263"/>
      <c r="F1039" s="263"/>
      <c r="G1039" s="263"/>
      <c r="H1039" s="263"/>
      <c r="I1039" s="263"/>
      <c r="J1039" s="264"/>
    </row>
    <row r="1040" spans="1:10" s="253" customFormat="1" x14ac:dyDescent="0.2">
      <c r="A1040" s="254"/>
      <c r="B1040" s="101" t="s">
        <v>676</v>
      </c>
      <c r="C1040" s="254"/>
      <c r="D1040" s="263"/>
      <c r="E1040" s="263"/>
      <c r="F1040" s="263"/>
      <c r="G1040" s="263"/>
      <c r="I1040" s="256"/>
      <c r="J1040" s="265"/>
    </row>
    <row r="1041" spans="1:10" s="253" customFormat="1" x14ac:dyDescent="0.2">
      <c r="A1041" s="254"/>
      <c r="B1041" s="356" t="s">
        <v>634</v>
      </c>
      <c r="C1041" s="254"/>
      <c r="D1041" s="263">
        <v>1</v>
      </c>
      <c r="E1041" s="263"/>
      <c r="F1041" s="263"/>
      <c r="G1041" s="263"/>
      <c r="H1041" s="263"/>
      <c r="I1041" s="256"/>
      <c r="J1041" s="265">
        <f>D1041</f>
        <v>1</v>
      </c>
    </row>
    <row r="1042" spans="1:10" s="253" customFormat="1" x14ac:dyDescent="0.2">
      <c r="A1042" s="254"/>
      <c r="B1042" s="356" t="s">
        <v>618</v>
      </c>
      <c r="C1042" s="254"/>
      <c r="D1042" s="263">
        <v>2</v>
      </c>
      <c r="E1042" s="263"/>
      <c r="F1042" s="263"/>
      <c r="G1042" s="263"/>
      <c r="H1042" s="263"/>
      <c r="I1042" s="256"/>
      <c r="J1042" s="265">
        <f t="shared" ref="J1042:J1065" si="57">D1042</f>
        <v>2</v>
      </c>
    </row>
    <row r="1043" spans="1:10" s="253" customFormat="1" x14ac:dyDescent="0.2">
      <c r="A1043" s="254"/>
      <c r="B1043" s="356" t="s">
        <v>680</v>
      </c>
      <c r="C1043" s="254"/>
      <c r="D1043" s="263">
        <v>4</v>
      </c>
      <c r="E1043" s="263"/>
      <c r="F1043" s="263"/>
      <c r="G1043" s="263"/>
      <c r="H1043" s="263"/>
      <c r="I1043" s="256"/>
      <c r="J1043" s="265">
        <f t="shared" si="57"/>
        <v>4</v>
      </c>
    </row>
    <row r="1044" spans="1:10" s="253" customFormat="1" x14ac:dyDescent="0.2">
      <c r="A1044" s="254"/>
      <c r="B1044" s="356" t="s">
        <v>620</v>
      </c>
      <c r="C1044" s="254"/>
      <c r="D1044" s="263">
        <v>1</v>
      </c>
      <c r="E1044" s="263"/>
      <c r="F1044" s="263"/>
      <c r="G1044" s="263"/>
      <c r="H1044" s="263"/>
      <c r="I1044" s="256"/>
      <c r="J1044" s="265">
        <f t="shared" si="57"/>
        <v>1</v>
      </c>
    </row>
    <row r="1045" spans="1:10" s="253" customFormat="1" x14ac:dyDescent="0.2">
      <c r="A1045" s="254"/>
      <c r="B1045" s="356" t="s">
        <v>621</v>
      </c>
      <c r="C1045" s="254"/>
      <c r="D1045" s="263">
        <v>1</v>
      </c>
      <c r="E1045" s="263"/>
      <c r="F1045" s="263"/>
      <c r="G1045" s="263"/>
      <c r="H1045" s="263"/>
      <c r="I1045" s="256"/>
      <c r="J1045" s="265">
        <f t="shared" si="57"/>
        <v>1</v>
      </c>
    </row>
    <row r="1046" spans="1:10" s="253" customFormat="1" x14ac:dyDescent="0.2">
      <c r="A1046" s="254"/>
      <c r="B1046" s="356" t="s">
        <v>674</v>
      </c>
      <c r="C1046" s="254"/>
      <c r="D1046" s="263">
        <v>2</v>
      </c>
      <c r="E1046" s="263"/>
      <c r="F1046" s="263"/>
      <c r="G1046" s="263"/>
      <c r="H1046" s="263"/>
      <c r="I1046" s="256"/>
      <c r="J1046" s="265">
        <f t="shared" si="57"/>
        <v>2</v>
      </c>
    </row>
    <row r="1047" spans="1:10" s="253" customFormat="1" x14ac:dyDescent="0.2">
      <c r="A1047" s="254"/>
      <c r="B1047" s="356" t="s">
        <v>632</v>
      </c>
      <c r="C1047" s="254"/>
      <c r="D1047" s="263">
        <v>2</v>
      </c>
      <c r="E1047" s="263"/>
      <c r="F1047" s="263"/>
      <c r="G1047" s="263"/>
      <c r="H1047" s="263"/>
      <c r="I1047" s="256"/>
      <c r="J1047" s="265">
        <f t="shared" si="57"/>
        <v>2</v>
      </c>
    </row>
    <row r="1048" spans="1:10" s="253" customFormat="1" x14ac:dyDescent="0.2">
      <c r="A1048" s="254"/>
      <c r="B1048" s="356" t="s">
        <v>681</v>
      </c>
      <c r="C1048" s="256"/>
      <c r="D1048" s="263">
        <v>1</v>
      </c>
      <c r="E1048" s="256"/>
      <c r="F1048" s="256"/>
      <c r="G1048" s="256"/>
      <c r="H1048" s="263"/>
      <c r="I1048" s="256"/>
      <c r="J1048" s="265">
        <f t="shared" si="57"/>
        <v>1</v>
      </c>
    </row>
    <row r="1049" spans="1:10" s="253" customFormat="1" x14ac:dyDescent="0.2">
      <c r="A1049" s="254"/>
      <c r="B1049" s="356" t="s">
        <v>683</v>
      </c>
      <c r="C1049" s="256"/>
      <c r="D1049" s="263">
        <v>1</v>
      </c>
      <c r="E1049" s="256"/>
      <c r="F1049" s="256"/>
      <c r="G1049" s="256"/>
      <c r="H1049" s="263"/>
      <c r="I1049" s="256"/>
      <c r="J1049" s="265">
        <f t="shared" si="57"/>
        <v>1</v>
      </c>
    </row>
    <row r="1050" spans="1:10" s="253" customFormat="1" x14ac:dyDescent="0.2">
      <c r="A1050" s="254"/>
      <c r="B1050" s="356" t="s">
        <v>682</v>
      </c>
      <c r="C1050" s="254"/>
      <c r="D1050" s="263">
        <v>1</v>
      </c>
      <c r="E1050" s="263"/>
      <c r="F1050" s="263"/>
      <c r="G1050" s="263"/>
      <c r="H1050" s="263"/>
      <c r="I1050" s="256"/>
      <c r="J1050" s="265">
        <f t="shared" si="57"/>
        <v>1</v>
      </c>
    </row>
    <row r="1051" spans="1:10" s="253" customFormat="1" x14ac:dyDescent="0.2">
      <c r="A1051" s="254"/>
      <c r="B1051" s="356" t="s">
        <v>641</v>
      </c>
      <c r="C1051" s="254"/>
      <c r="D1051" s="263">
        <v>1</v>
      </c>
      <c r="E1051" s="263"/>
      <c r="F1051" s="263"/>
      <c r="G1051" s="263"/>
      <c r="H1051" s="263"/>
      <c r="I1051" s="256"/>
      <c r="J1051" s="265">
        <f t="shared" si="57"/>
        <v>1</v>
      </c>
    </row>
    <row r="1052" spans="1:10" s="253" customFormat="1" x14ac:dyDescent="0.2">
      <c r="A1052" s="254"/>
      <c r="B1052" s="356" t="s">
        <v>675</v>
      </c>
      <c r="C1052" s="254"/>
      <c r="D1052" s="263">
        <v>2</v>
      </c>
      <c r="E1052" s="263"/>
      <c r="F1052" s="263"/>
      <c r="G1052" s="263"/>
      <c r="H1052" s="263"/>
      <c r="I1052" s="256"/>
      <c r="J1052" s="265">
        <f t="shared" si="57"/>
        <v>2</v>
      </c>
    </row>
    <row r="1053" spans="1:10" s="253" customFormat="1" x14ac:dyDescent="0.2">
      <c r="A1053" s="254"/>
      <c r="B1053" s="356" t="s">
        <v>643</v>
      </c>
      <c r="C1053" s="254"/>
      <c r="D1053" s="263">
        <v>1</v>
      </c>
      <c r="E1053" s="263"/>
      <c r="F1053" s="263"/>
      <c r="G1053" s="263"/>
      <c r="H1053" s="263"/>
      <c r="I1053" s="256"/>
      <c r="J1053" s="265">
        <f t="shared" si="57"/>
        <v>1</v>
      </c>
    </row>
    <row r="1054" spans="1:10" s="253" customFormat="1" x14ac:dyDescent="0.2">
      <c r="A1054" s="254"/>
      <c r="B1054" s="101" t="s">
        <v>677</v>
      </c>
      <c r="C1054" s="254"/>
      <c r="D1054" s="263"/>
      <c r="E1054" s="263"/>
      <c r="F1054" s="263"/>
      <c r="G1054" s="263"/>
      <c r="H1054" s="263"/>
      <c r="I1054" s="256"/>
      <c r="J1054" s="265">
        <f t="shared" si="57"/>
        <v>0</v>
      </c>
    </row>
    <row r="1055" spans="1:10" s="253" customFormat="1" x14ac:dyDescent="0.2">
      <c r="A1055" s="254"/>
      <c r="B1055" s="356" t="s">
        <v>679</v>
      </c>
      <c r="C1055" s="254"/>
      <c r="D1055" s="263">
        <v>1</v>
      </c>
      <c r="E1055" s="263"/>
      <c r="F1055" s="263"/>
      <c r="G1055" s="263"/>
      <c r="H1055" s="263"/>
      <c r="I1055" s="256"/>
      <c r="J1055" s="265">
        <f t="shared" si="57"/>
        <v>1</v>
      </c>
    </row>
    <row r="1056" spans="1:10" s="253" customFormat="1" x14ac:dyDescent="0.2">
      <c r="A1056" s="254"/>
      <c r="B1056" s="356" t="s">
        <v>680</v>
      </c>
      <c r="C1056" s="254"/>
      <c r="D1056" s="263">
        <v>4</v>
      </c>
      <c r="E1056" s="263"/>
      <c r="F1056" s="263"/>
      <c r="G1056" s="263"/>
      <c r="H1056" s="263"/>
      <c r="I1056" s="256"/>
      <c r="J1056" s="265">
        <f t="shared" si="57"/>
        <v>4</v>
      </c>
    </row>
    <row r="1057" spans="1:10" s="253" customFormat="1" x14ac:dyDescent="0.2">
      <c r="A1057" s="254"/>
      <c r="B1057" s="356" t="s">
        <v>655</v>
      </c>
      <c r="C1057" s="254"/>
      <c r="D1057" s="263">
        <v>2</v>
      </c>
      <c r="E1057" s="263"/>
      <c r="F1057" s="263"/>
      <c r="G1057" s="263"/>
      <c r="H1057" s="263"/>
      <c r="I1057" s="256"/>
      <c r="J1057" s="265">
        <f t="shared" si="57"/>
        <v>2</v>
      </c>
    </row>
    <row r="1058" spans="1:10" s="253" customFormat="1" x14ac:dyDescent="0.2">
      <c r="A1058" s="254"/>
      <c r="B1058" s="356" t="s">
        <v>624</v>
      </c>
      <c r="C1058" s="254"/>
      <c r="D1058" s="263">
        <v>1</v>
      </c>
      <c r="E1058" s="263"/>
      <c r="F1058" s="263"/>
      <c r="G1058" s="263"/>
      <c r="H1058" s="263"/>
      <c r="I1058" s="256"/>
      <c r="J1058" s="265">
        <f t="shared" si="57"/>
        <v>1</v>
      </c>
    </row>
    <row r="1059" spans="1:10" s="253" customFormat="1" x14ac:dyDescent="0.2">
      <c r="A1059" s="254"/>
      <c r="B1059" s="356" t="s">
        <v>625</v>
      </c>
      <c r="C1059" s="254"/>
      <c r="D1059" s="263">
        <v>1</v>
      </c>
      <c r="E1059" s="263"/>
      <c r="F1059" s="263"/>
      <c r="G1059" s="263"/>
      <c r="H1059" s="263"/>
      <c r="I1059" s="256"/>
      <c r="J1059" s="265">
        <f t="shared" si="57"/>
        <v>1</v>
      </c>
    </row>
    <row r="1060" spans="1:10" s="253" customFormat="1" x14ac:dyDescent="0.2">
      <c r="A1060" s="254"/>
      <c r="B1060" s="356" t="s">
        <v>1379</v>
      </c>
      <c r="C1060" s="254"/>
      <c r="D1060" s="263">
        <v>1</v>
      </c>
      <c r="E1060" s="263"/>
      <c r="F1060" s="263"/>
      <c r="G1060" s="263"/>
      <c r="H1060" s="263"/>
      <c r="I1060" s="256"/>
      <c r="J1060" s="265">
        <f t="shared" si="57"/>
        <v>1</v>
      </c>
    </row>
    <row r="1061" spans="1:10" s="253" customFormat="1" x14ac:dyDescent="0.2">
      <c r="A1061" s="254"/>
      <c r="B1061" s="356" t="s">
        <v>678</v>
      </c>
      <c r="C1061" s="254"/>
      <c r="D1061" s="263">
        <v>4</v>
      </c>
      <c r="E1061" s="263"/>
      <c r="F1061" s="263"/>
      <c r="G1061" s="263"/>
      <c r="H1061" s="263"/>
      <c r="I1061" s="256"/>
      <c r="J1061" s="265">
        <f t="shared" si="57"/>
        <v>4</v>
      </c>
    </row>
    <row r="1062" spans="1:10" s="253" customFormat="1" x14ac:dyDescent="0.2">
      <c r="A1062" s="254"/>
      <c r="B1062" s="356" t="s">
        <v>675</v>
      </c>
      <c r="C1062" s="254"/>
      <c r="D1062" s="263">
        <v>3</v>
      </c>
      <c r="E1062" s="263"/>
      <c r="F1062" s="263"/>
      <c r="G1062" s="263"/>
      <c r="H1062" s="263"/>
      <c r="I1062" s="256"/>
      <c r="J1062" s="265">
        <f t="shared" si="57"/>
        <v>3</v>
      </c>
    </row>
    <row r="1063" spans="1:10" s="253" customFormat="1" x14ac:dyDescent="0.2">
      <c r="A1063" s="254"/>
      <c r="B1063" s="356" t="s">
        <v>644</v>
      </c>
      <c r="C1063" s="254"/>
      <c r="D1063" s="263">
        <v>1</v>
      </c>
      <c r="E1063" s="263"/>
      <c r="F1063" s="263"/>
      <c r="G1063" s="263"/>
      <c r="H1063" s="263"/>
      <c r="I1063" s="256"/>
      <c r="J1063" s="265">
        <f t="shared" si="57"/>
        <v>1</v>
      </c>
    </row>
    <row r="1064" spans="1:10" s="253" customFormat="1" x14ac:dyDescent="0.2">
      <c r="A1064" s="254"/>
      <c r="B1064" s="356" t="s">
        <v>628</v>
      </c>
      <c r="C1064" s="254"/>
      <c r="D1064" s="263">
        <v>2</v>
      </c>
      <c r="E1064" s="263"/>
      <c r="F1064" s="263"/>
      <c r="G1064" s="263"/>
      <c r="H1064" s="263"/>
      <c r="I1064" s="256"/>
      <c r="J1064" s="265">
        <f t="shared" si="57"/>
        <v>2</v>
      </c>
    </row>
    <row r="1065" spans="1:10" s="253" customFormat="1" x14ac:dyDescent="0.2">
      <c r="A1065" s="254"/>
      <c r="B1065" s="356" t="s">
        <v>1410</v>
      </c>
      <c r="C1065" s="254"/>
      <c r="D1065" s="265">
        <v>1</v>
      </c>
      <c r="E1065" s="256"/>
      <c r="F1065" s="256"/>
      <c r="G1065" s="256"/>
      <c r="H1065" s="256"/>
      <c r="I1065" s="256"/>
      <c r="J1065" s="265">
        <f t="shared" si="57"/>
        <v>1</v>
      </c>
    </row>
    <row r="1066" spans="1:10" s="253" customFormat="1" x14ac:dyDescent="0.2">
      <c r="A1066" s="254"/>
      <c r="B1066" s="356"/>
      <c r="C1066" s="254"/>
      <c r="D1066" s="152"/>
      <c r="E1066" s="263"/>
      <c r="F1066" s="263"/>
      <c r="G1066" s="263"/>
      <c r="H1066" s="263"/>
      <c r="I1066" s="256"/>
      <c r="J1066" s="265"/>
    </row>
    <row r="1067" spans="1:10" s="253" customFormat="1" x14ac:dyDescent="0.2">
      <c r="A1067" s="254"/>
      <c r="B1067" s="379" t="s">
        <v>1483</v>
      </c>
      <c r="C1067" s="254"/>
      <c r="D1067" s="152">
        <v>3</v>
      </c>
      <c r="E1067" s="263"/>
      <c r="F1067" s="263"/>
      <c r="G1067" s="263"/>
      <c r="H1067" s="263"/>
      <c r="I1067" s="256"/>
      <c r="J1067" s="265">
        <f>D1067</f>
        <v>3</v>
      </c>
    </row>
    <row r="1068" spans="1:10" s="253" customFormat="1" x14ac:dyDescent="0.2">
      <c r="A1068" s="254"/>
      <c r="B1068" s="379"/>
      <c r="C1068" s="254"/>
      <c r="D1068" s="152"/>
      <c r="E1068" s="263"/>
      <c r="F1068" s="263"/>
      <c r="G1068" s="263"/>
      <c r="H1068" s="263"/>
      <c r="I1068" s="261" t="s">
        <v>604</v>
      </c>
      <c r="J1068" s="260">
        <f>SUM(J1041:J1067)</f>
        <v>44</v>
      </c>
    </row>
    <row r="1069" spans="1:10" s="253" customFormat="1" ht="12" customHeight="1" x14ac:dyDescent="0.2">
      <c r="A1069" s="254"/>
      <c r="B1069" s="255"/>
      <c r="C1069" s="254"/>
      <c r="D1069" s="99"/>
      <c r="E1069" s="256"/>
      <c r="F1069" s="256"/>
      <c r="G1069" s="256"/>
      <c r="H1069" s="256"/>
      <c r="I1069" s="256"/>
      <c r="J1069" s="256"/>
    </row>
    <row r="1070" spans="1:10" x14ac:dyDescent="0.2">
      <c r="A1070" s="23" t="s">
        <v>384</v>
      </c>
      <c r="B1070" s="18" t="s">
        <v>1148</v>
      </c>
      <c r="C1070" s="19"/>
      <c r="D1070" s="99"/>
      <c r="E1070" s="41"/>
      <c r="F1070" s="41"/>
      <c r="G1070" s="41"/>
      <c r="H1070" s="41"/>
      <c r="I1070" s="41"/>
      <c r="J1070" s="41"/>
    </row>
    <row r="1071" spans="1:10" ht="25.5" x14ac:dyDescent="0.2">
      <c r="A1071" s="19" t="s">
        <v>385</v>
      </c>
      <c r="B1071" s="21" t="s">
        <v>1149</v>
      </c>
      <c r="C1071" s="19" t="s">
        <v>1035</v>
      </c>
      <c r="D1071" s="263" t="s">
        <v>257</v>
      </c>
      <c r="E1071" s="93" t="s">
        <v>258</v>
      </c>
      <c r="F1071" s="93" t="s">
        <v>259</v>
      </c>
      <c r="G1071" s="93" t="s">
        <v>260</v>
      </c>
      <c r="H1071" s="93" t="s">
        <v>261</v>
      </c>
      <c r="I1071" s="93" t="s">
        <v>262</v>
      </c>
      <c r="J1071" s="94" t="s">
        <v>263</v>
      </c>
    </row>
    <row r="1072" spans="1:10" x14ac:dyDescent="0.2">
      <c r="A1072" s="19"/>
      <c r="B1072" s="21"/>
      <c r="C1072" s="19"/>
      <c r="D1072" s="265">
        <v>1</v>
      </c>
      <c r="E1072" s="102"/>
      <c r="F1072" s="41"/>
      <c r="G1072" s="41"/>
      <c r="H1072" s="41"/>
      <c r="I1072" s="41"/>
      <c r="J1072" s="102">
        <f>D1072</f>
        <v>1</v>
      </c>
    </row>
    <row r="1073" spans="1:10" x14ac:dyDescent="0.2">
      <c r="A1073" s="19"/>
      <c r="B1073" s="21"/>
      <c r="C1073" s="19"/>
      <c r="D1073" s="99"/>
      <c r="E1073" s="41"/>
      <c r="F1073" s="41"/>
      <c r="G1073" s="41"/>
      <c r="H1073" s="41"/>
      <c r="I1073" s="91" t="s">
        <v>604</v>
      </c>
      <c r="J1073" s="90">
        <f>SUM(J1072)</f>
        <v>1</v>
      </c>
    </row>
    <row r="1074" spans="1:10" x14ac:dyDescent="0.2">
      <c r="A1074" s="20"/>
      <c r="B1074" s="21"/>
      <c r="C1074" s="19"/>
      <c r="D1074" s="99"/>
      <c r="E1074" s="41"/>
      <c r="F1074" s="41"/>
      <c r="G1074" s="41"/>
      <c r="H1074" s="41"/>
      <c r="I1074" s="41"/>
      <c r="J1074" s="41"/>
    </row>
    <row r="1075" spans="1:10" x14ac:dyDescent="0.2">
      <c r="A1075" s="23" t="s">
        <v>386</v>
      </c>
      <c r="B1075" s="378" t="s">
        <v>182</v>
      </c>
      <c r="C1075" s="19"/>
      <c r="D1075" s="99"/>
      <c r="E1075" s="41"/>
      <c r="F1075" s="41"/>
      <c r="G1075" s="41"/>
      <c r="H1075" s="41"/>
      <c r="I1075" s="41"/>
      <c r="J1075" s="41"/>
    </row>
    <row r="1076" spans="1:10" ht="25.5" x14ac:dyDescent="0.2">
      <c r="A1076" s="19" t="s">
        <v>387</v>
      </c>
      <c r="B1076" s="21" t="s">
        <v>183</v>
      </c>
      <c r="C1076" s="19" t="s">
        <v>49</v>
      </c>
      <c r="D1076" s="263" t="s">
        <v>257</v>
      </c>
      <c r="E1076" s="93" t="s">
        <v>258</v>
      </c>
      <c r="F1076" s="93" t="s">
        <v>259</v>
      </c>
      <c r="G1076" s="93" t="s">
        <v>260</v>
      </c>
      <c r="H1076" s="93" t="s">
        <v>261</v>
      </c>
      <c r="I1076" s="93" t="s">
        <v>262</v>
      </c>
      <c r="J1076" s="94" t="s">
        <v>263</v>
      </c>
    </row>
    <row r="1077" spans="1:10" x14ac:dyDescent="0.2">
      <c r="A1077" s="19"/>
      <c r="B1077" s="271" t="s">
        <v>1246</v>
      </c>
      <c r="C1077" s="19"/>
      <c r="D1077" s="99"/>
      <c r="E1077" s="102">
        <v>504.1</v>
      </c>
      <c r="F1077" s="41"/>
      <c r="G1077" s="41"/>
      <c r="H1077" s="41"/>
      <c r="I1077" s="41"/>
      <c r="J1077" s="102">
        <f>E1077</f>
        <v>504.1</v>
      </c>
    </row>
    <row r="1078" spans="1:10" x14ac:dyDescent="0.2">
      <c r="A1078" s="19"/>
      <c r="B1078" s="21"/>
      <c r="C1078" s="19"/>
      <c r="D1078" s="99"/>
      <c r="E1078" s="41"/>
      <c r="F1078" s="41"/>
      <c r="G1078" s="41"/>
      <c r="H1078" s="41"/>
      <c r="I1078" s="91" t="s">
        <v>604</v>
      </c>
      <c r="J1078" s="90">
        <f>SUM(J1077)</f>
        <v>504.1</v>
      </c>
    </row>
    <row r="1079" spans="1:10" x14ac:dyDescent="0.2">
      <c r="A1079" s="19"/>
      <c r="B1079" s="21"/>
      <c r="C1079" s="19"/>
      <c r="D1079" s="99"/>
      <c r="E1079" s="41"/>
      <c r="F1079" s="41"/>
      <c r="G1079" s="41"/>
      <c r="H1079" s="41"/>
      <c r="I1079" s="41"/>
      <c r="J1079" s="41"/>
    </row>
    <row r="1080" spans="1:10" ht="25.5" x14ac:dyDescent="0.2">
      <c r="A1080" s="19" t="s">
        <v>388</v>
      </c>
      <c r="B1080" s="21" t="s">
        <v>184</v>
      </c>
      <c r="C1080" s="19" t="s">
        <v>49</v>
      </c>
      <c r="D1080" s="263" t="s">
        <v>257</v>
      </c>
      <c r="E1080" s="93" t="s">
        <v>258</v>
      </c>
      <c r="F1080" s="93" t="s">
        <v>259</v>
      </c>
      <c r="G1080" s="93" t="s">
        <v>260</v>
      </c>
      <c r="H1080" s="93" t="s">
        <v>261</v>
      </c>
      <c r="I1080" s="93" t="s">
        <v>262</v>
      </c>
      <c r="J1080" s="94" t="s">
        <v>263</v>
      </c>
    </row>
    <row r="1081" spans="1:10" x14ac:dyDescent="0.2">
      <c r="A1081" s="19"/>
      <c r="B1081" s="257" t="s">
        <v>1243</v>
      </c>
      <c r="C1081" s="19"/>
      <c r="D1081" s="99"/>
      <c r="E1081" s="102">
        <v>40.299999999999997</v>
      </c>
      <c r="F1081" s="41"/>
      <c r="G1081" s="41"/>
      <c r="H1081" s="41"/>
      <c r="I1081" s="41"/>
      <c r="J1081" s="102">
        <f>E1081</f>
        <v>40.299999999999997</v>
      </c>
    </row>
    <row r="1082" spans="1:10" x14ac:dyDescent="0.2">
      <c r="A1082" s="19"/>
      <c r="B1082" s="257" t="s">
        <v>1244</v>
      </c>
      <c r="C1082" s="19"/>
      <c r="D1082" s="99"/>
      <c r="E1082" s="265">
        <v>350</v>
      </c>
      <c r="F1082" s="41"/>
      <c r="G1082" s="41"/>
      <c r="H1082" s="41"/>
      <c r="I1082" s="256"/>
      <c r="J1082" s="265">
        <f>E1082</f>
        <v>350</v>
      </c>
    </row>
    <row r="1083" spans="1:10" s="253" customFormat="1" x14ac:dyDescent="0.2">
      <c r="A1083" s="254"/>
      <c r="B1083" s="257"/>
      <c r="C1083" s="254"/>
      <c r="D1083" s="99"/>
      <c r="E1083" s="265"/>
      <c r="F1083" s="256"/>
      <c r="G1083" s="256"/>
      <c r="H1083" s="256"/>
      <c r="I1083" s="91" t="s">
        <v>604</v>
      </c>
      <c r="J1083" s="90">
        <f>SUM(J1081:J1082)</f>
        <v>390.3</v>
      </c>
    </row>
    <row r="1084" spans="1:10" ht="15" customHeight="1" x14ac:dyDescent="0.2">
      <c r="A1084" s="19"/>
      <c r="B1084" s="21"/>
      <c r="C1084" s="19"/>
      <c r="D1084" s="99"/>
      <c r="E1084" s="41"/>
      <c r="F1084" s="41"/>
      <c r="G1084" s="41"/>
      <c r="H1084" s="41"/>
      <c r="I1084" s="41"/>
      <c r="J1084" s="41"/>
    </row>
    <row r="1085" spans="1:10" x14ac:dyDescent="0.2">
      <c r="A1085" s="23" t="s">
        <v>389</v>
      </c>
      <c r="B1085" s="18" t="s">
        <v>185</v>
      </c>
      <c r="C1085" s="19"/>
      <c r="D1085" s="99"/>
      <c r="E1085" s="41"/>
      <c r="F1085" s="41"/>
      <c r="G1085" s="41"/>
      <c r="H1085" s="41"/>
      <c r="I1085" s="41"/>
      <c r="J1085" s="41"/>
    </row>
    <row r="1086" spans="1:10" ht="25.5" x14ac:dyDescent="0.2">
      <c r="A1086" s="19" t="s">
        <v>390</v>
      </c>
      <c r="B1086" s="21" t="s">
        <v>1123</v>
      </c>
      <c r="C1086" s="19" t="s">
        <v>43</v>
      </c>
      <c r="D1086" s="263" t="s">
        <v>257</v>
      </c>
      <c r="E1086" s="93" t="s">
        <v>258</v>
      </c>
      <c r="F1086" s="93" t="s">
        <v>259</v>
      </c>
      <c r="G1086" s="93" t="s">
        <v>260</v>
      </c>
      <c r="H1086" s="93" t="s">
        <v>261</v>
      </c>
      <c r="I1086" s="93" t="s">
        <v>262</v>
      </c>
      <c r="J1086" s="94" t="s">
        <v>263</v>
      </c>
    </row>
    <row r="1087" spans="1:10" x14ac:dyDescent="0.2">
      <c r="A1087" s="19"/>
      <c r="B1087" s="271" t="s">
        <v>1246</v>
      </c>
      <c r="C1087" s="19"/>
      <c r="D1087" s="265">
        <v>5</v>
      </c>
      <c r="E1087" s="41"/>
      <c r="F1087" s="41"/>
      <c r="G1087" s="41"/>
      <c r="H1087" s="41"/>
      <c r="I1087" s="41"/>
      <c r="J1087" s="102">
        <f>D1087</f>
        <v>5</v>
      </c>
    </row>
    <row r="1088" spans="1:10" x14ac:dyDescent="0.2">
      <c r="A1088" s="19"/>
      <c r="B1088" s="21"/>
      <c r="C1088" s="19"/>
      <c r="D1088" s="99"/>
      <c r="E1088" s="41"/>
      <c r="F1088" s="41"/>
      <c r="G1088" s="41"/>
      <c r="H1088" s="41"/>
      <c r="I1088" s="91" t="s">
        <v>604</v>
      </c>
      <c r="J1088" s="90">
        <f>SUM(J1087)</f>
        <v>5</v>
      </c>
    </row>
    <row r="1089" spans="1:10" x14ac:dyDescent="0.2">
      <c r="A1089" s="23"/>
      <c r="B1089" s="18"/>
      <c r="C1089" s="19"/>
      <c r="D1089" s="99"/>
      <c r="E1089" s="41"/>
      <c r="F1089" s="41"/>
      <c r="G1089" s="41"/>
      <c r="H1089" s="41"/>
      <c r="I1089" s="41"/>
      <c r="J1089" s="41"/>
    </row>
    <row r="1090" spans="1:10" ht="25.5" x14ac:dyDescent="0.2">
      <c r="A1090" s="19" t="s">
        <v>391</v>
      </c>
      <c r="B1090" s="21" t="s">
        <v>1124</v>
      </c>
      <c r="C1090" s="19" t="s">
        <v>43</v>
      </c>
      <c r="D1090" s="263" t="s">
        <v>257</v>
      </c>
      <c r="E1090" s="93" t="s">
        <v>258</v>
      </c>
      <c r="F1090" s="93" t="s">
        <v>259</v>
      </c>
      <c r="G1090" s="93" t="s">
        <v>260</v>
      </c>
      <c r="H1090" s="93" t="s">
        <v>261</v>
      </c>
      <c r="I1090" s="93" t="s">
        <v>262</v>
      </c>
      <c r="J1090" s="94" t="s">
        <v>263</v>
      </c>
    </row>
    <row r="1091" spans="1:10" x14ac:dyDescent="0.2">
      <c r="A1091" s="19"/>
      <c r="B1091" s="271" t="s">
        <v>1246</v>
      </c>
      <c r="C1091" s="19"/>
      <c r="D1091" s="265">
        <v>7</v>
      </c>
      <c r="E1091" s="41"/>
      <c r="F1091" s="41"/>
      <c r="G1091" s="41"/>
      <c r="H1091" s="41"/>
      <c r="I1091" s="41"/>
      <c r="J1091" s="102">
        <f>D1091</f>
        <v>7</v>
      </c>
    </row>
    <row r="1092" spans="1:10" x14ac:dyDescent="0.2">
      <c r="A1092" s="19"/>
      <c r="B1092" s="21"/>
      <c r="C1092" s="19"/>
      <c r="D1092" s="99"/>
      <c r="E1092" s="41"/>
      <c r="F1092" s="41"/>
      <c r="G1092" s="41"/>
      <c r="H1092" s="41"/>
      <c r="I1092" s="91" t="s">
        <v>604</v>
      </c>
      <c r="J1092" s="90">
        <f>SUM(J1091)</f>
        <v>7</v>
      </c>
    </row>
    <row r="1093" spans="1:10" x14ac:dyDescent="0.2">
      <c r="A1093" s="23"/>
      <c r="B1093" s="18"/>
      <c r="C1093" s="19"/>
      <c r="D1093" s="99"/>
      <c r="E1093" s="41"/>
      <c r="F1093" s="41"/>
      <c r="G1093" s="41"/>
      <c r="H1093" s="41"/>
      <c r="I1093" s="41"/>
      <c r="J1093" s="41"/>
    </row>
    <row r="1094" spans="1:10" ht="25.5" x14ac:dyDescent="0.2">
      <c r="A1094" s="19" t="s">
        <v>392</v>
      </c>
      <c r="B1094" s="21" t="s">
        <v>186</v>
      </c>
      <c r="C1094" s="19" t="s">
        <v>43</v>
      </c>
      <c r="D1094" s="263" t="s">
        <v>257</v>
      </c>
      <c r="E1094" s="93" t="s">
        <v>258</v>
      </c>
      <c r="F1094" s="93" t="s">
        <v>259</v>
      </c>
      <c r="G1094" s="93" t="s">
        <v>260</v>
      </c>
      <c r="H1094" s="93" t="s">
        <v>261</v>
      </c>
      <c r="I1094" s="93" t="s">
        <v>262</v>
      </c>
      <c r="J1094" s="94" t="s">
        <v>263</v>
      </c>
    </row>
    <row r="1095" spans="1:10" x14ac:dyDescent="0.2">
      <c r="A1095" s="19"/>
      <c r="B1095" s="271" t="s">
        <v>1246</v>
      </c>
      <c r="C1095" s="19"/>
      <c r="D1095" s="265">
        <v>12</v>
      </c>
      <c r="E1095" s="41"/>
      <c r="F1095" s="41"/>
      <c r="G1095" s="41"/>
      <c r="H1095" s="41"/>
      <c r="I1095" s="41"/>
      <c r="J1095" s="102">
        <f>D1095</f>
        <v>12</v>
      </c>
    </row>
    <row r="1096" spans="1:10" x14ac:dyDescent="0.2">
      <c r="A1096" s="19"/>
      <c r="B1096" s="21"/>
      <c r="C1096" s="19"/>
      <c r="D1096" s="99"/>
      <c r="E1096" s="41"/>
      <c r="F1096" s="41"/>
      <c r="G1096" s="41"/>
      <c r="H1096" s="41"/>
      <c r="I1096" s="91" t="s">
        <v>604</v>
      </c>
      <c r="J1096" s="90">
        <f>SUM(J1095)</f>
        <v>12</v>
      </c>
    </row>
    <row r="1097" spans="1:10" x14ac:dyDescent="0.2">
      <c r="A1097" s="19"/>
      <c r="B1097" s="21"/>
      <c r="C1097" s="19"/>
      <c r="D1097" s="99"/>
      <c r="E1097" s="41"/>
      <c r="F1097" s="41"/>
      <c r="G1097" s="41"/>
      <c r="H1097" s="41"/>
      <c r="I1097" s="41"/>
      <c r="J1097" s="41"/>
    </row>
    <row r="1098" spans="1:10" x14ac:dyDescent="0.2">
      <c r="A1098" s="19"/>
      <c r="B1098" s="21"/>
      <c r="C1098" s="19"/>
      <c r="D1098" s="99"/>
      <c r="E1098" s="41"/>
      <c r="F1098" s="41"/>
      <c r="G1098" s="41"/>
      <c r="H1098" s="41"/>
      <c r="I1098" s="41"/>
      <c r="J1098" s="41"/>
    </row>
    <row r="1099" spans="1:10" ht="25.5" x14ac:dyDescent="0.2">
      <c r="A1099" s="19" t="s">
        <v>393</v>
      </c>
      <c r="B1099" s="21" t="s">
        <v>1125</v>
      </c>
      <c r="C1099" s="19" t="s">
        <v>43</v>
      </c>
      <c r="D1099" s="263" t="s">
        <v>257</v>
      </c>
      <c r="E1099" s="93" t="s">
        <v>258</v>
      </c>
      <c r="F1099" s="93" t="s">
        <v>259</v>
      </c>
      <c r="G1099" s="93" t="s">
        <v>260</v>
      </c>
      <c r="H1099" s="93" t="s">
        <v>261</v>
      </c>
      <c r="I1099" s="93" t="s">
        <v>262</v>
      </c>
      <c r="J1099" s="94" t="s">
        <v>263</v>
      </c>
    </row>
    <row r="1100" spans="1:10" x14ac:dyDescent="0.2">
      <c r="A1100" s="19"/>
      <c r="B1100" s="271" t="s">
        <v>1246</v>
      </c>
      <c r="C1100" s="19"/>
      <c r="D1100" s="265">
        <v>4</v>
      </c>
      <c r="E1100" s="41"/>
      <c r="F1100" s="41"/>
      <c r="G1100" s="41"/>
      <c r="H1100" s="41"/>
      <c r="I1100" s="41"/>
      <c r="J1100" s="102">
        <f>D1100</f>
        <v>4</v>
      </c>
    </row>
    <row r="1101" spans="1:10" x14ac:dyDescent="0.2">
      <c r="A1101" s="19"/>
      <c r="B1101" s="21"/>
      <c r="C1101" s="19"/>
      <c r="D1101" s="99"/>
      <c r="E1101" s="41"/>
      <c r="F1101" s="41"/>
      <c r="G1101" s="41"/>
      <c r="H1101" s="41"/>
      <c r="I1101" s="91" t="s">
        <v>604</v>
      </c>
      <c r="J1101" s="90">
        <f>SUM(J1100)</f>
        <v>4</v>
      </c>
    </row>
    <row r="1102" spans="1:10" x14ac:dyDescent="0.2">
      <c r="A1102" s="19"/>
      <c r="B1102" s="21"/>
      <c r="C1102" s="19"/>
      <c r="D1102" s="99"/>
      <c r="E1102" s="41"/>
      <c r="F1102" s="41"/>
      <c r="G1102" s="41"/>
      <c r="H1102" s="41"/>
      <c r="I1102" s="41"/>
      <c r="J1102" s="41"/>
    </row>
    <row r="1103" spans="1:10" x14ac:dyDescent="0.2">
      <c r="A1103" s="19"/>
      <c r="B1103" s="21"/>
      <c r="C1103" s="19"/>
      <c r="D1103" s="99"/>
      <c r="E1103" s="41"/>
      <c r="F1103" s="41"/>
      <c r="G1103" s="41"/>
      <c r="H1103" s="41"/>
      <c r="I1103" s="41"/>
      <c r="J1103" s="41"/>
    </row>
    <row r="1104" spans="1:10" ht="25.5" x14ac:dyDescent="0.2">
      <c r="A1104" s="19" t="s">
        <v>1140</v>
      </c>
      <c r="B1104" s="21" t="s">
        <v>187</v>
      </c>
      <c r="C1104" s="19" t="s">
        <v>43</v>
      </c>
      <c r="D1104" s="263" t="s">
        <v>257</v>
      </c>
      <c r="E1104" s="93" t="s">
        <v>258</v>
      </c>
      <c r="F1104" s="93" t="s">
        <v>259</v>
      </c>
      <c r="G1104" s="93" t="s">
        <v>260</v>
      </c>
      <c r="H1104" s="93" t="s">
        <v>261</v>
      </c>
      <c r="I1104" s="93" t="s">
        <v>262</v>
      </c>
      <c r="J1104" s="94" t="s">
        <v>263</v>
      </c>
    </row>
    <row r="1105" spans="1:10" x14ac:dyDescent="0.2">
      <c r="A1105" s="19"/>
      <c r="B1105" s="217" t="s">
        <v>1128</v>
      </c>
      <c r="C1105" s="19"/>
      <c r="D1105" s="265">
        <v>4</v>
      </c>
      <c r="E1105" s="41"/>
      <c r="F1105" s="41"/>
      <c r="G1105" s="41"/>
      <c r="H1105" s="41"/>
      <c r="I1105" s="41"/>
      <c r="J1105" s="265">
        <f>D1105</f>
        <v>4</v>
      </c>
    </row>
    <row r="1106" spans="1:10" x14ac:dyDescent="0.2">
      <c r="A1106" s="19"/>
      <c r="B1106" s="271" t="s">
        <v>1246</v>
      </c>
      <c r="C1106" s="19"/>
      <c r="D1106" s="99"/>
      <c r="E1106" s="41"/>
      <c r="F1106" s="41"/>
      <c r="G1106" s="41"/>
      <c r="H1106" s="41"/>
      <c r="I1106" s="91" t="s">
        <v>604</v>
      </c>
      <c r="J1106" s="90">
        <f>SUM(J1105)</f>
        <v>4</v>
      </c>
    </row>
    <row r="1107" spans="1:10" x14ac:dyDescent="0.2">
      <c r="A1107" s="19"/>
      <c r="B1107" s="21"/>
      <c r="C1107" s="19"/>
      <c r="D1107" s="99"/>
      <c r="E1107" s="41"/>
      <c r="F1107" s="41"/>
      <c r="G1107" s="41"/>
      <c r="H1107" s="41"/>
      <c r="I1107" s="41"/>
      <c r="J1107" s="41"/>
    </row>
    <row r="1108" spans="1:10" ht="25.5" x14ac:dyDescent="0.2">
      <c r="A1108" s="19" t="s">
        <v>1141</v>
      </c>
      <c r="B1108" s="21" t="s">
        <v>1126</v>
      </c>
      <c r="C1108" s="19" t="s">
        <v>43</v>
      </c>
      <c r="D1108" s="263" t="s">
        <v>257</v>
      </c>
      <c r="E1108" s="93" t="s">
        <v>258</v>
      </c>
      <c r="F1108" s="93" t="s">
        <v>259</v>
      </c>
      <c r="G1108" s="93" t="s">
        <v>260</v>
      </c>
      <c r="H1108" s="93" t="s">
        <v>261</v>
      </c>
      <c r="I1108" s="93" t="s">
        <v>262</v>
      </c>
      <c r="J1108" s="94" t="s">
        <v>263</v>
      </c>
    </row>
    <row r="1109" spans="1:10" x14ac:dyDescent="0.2">
      <c r="A1109" s="19"/>
      <c r="B1109" s="271" t="s">
        <v>1246</v>
      </c>
      <c r="C1109" s="19"/>
      <c r="D1109" s="265">
        <v>1</v>
      </c>
      <c r="E1109" s="41"/>
      <c r="F1109" s="41"/>
      <c r="G1109" s="41"/>
      <c r="H1109" s="41"/>
      <c r="I1109" s="41"/>
      <c r="J1109" s="102">
        <f>D1109</f>
        <v>1</v>
      </c>
    </row>
    <row r="1110" spans="1:10" x14ac:dyDescent="0.2">
      <c r="A1110" s="19"/>
      <c r="B1110" s="21"/>
      <c r="C1110" s="19"/>
      <c r="D1110" s="99"/>
      <c r="E1110" s="41"/>
      <c r="F1110" s="41"/>
      <c r="G1110" s="41"/>
      <c r="H1110" s="41"/>
      <c r="I1110" s="91" t="s">
        <v>604</v>
      </c>
      <c r="J1110" s="90">
        <f>SUM(J1109)</f>
        <v>1</v>
      </c>
    </row>
    <row r="1111" spans="1:10" x14ac:dyDescent="0.2">
      <c r="A1111" s="19"/>
      <c r="B1111" s="21"/>
      <c r="C1111" s="19"/>
      <c r="D1111" s="99"/>
      <c r="E1111" s="41"/>
      <c r="F1111" s="41"/>
      <c r="G1111" s="41"/>
      <c r="H1111" s="41"/>
      <c r="I1111" s="164"/>
      <c r="J1111" s="165"/>
    </row>
    <row r="1112" spans="1:10" ht="25.5" x14ac:dyDescent="0.2">
      <c r="A1112" s="19" t="s">
        <v>1150</v>
      </c>
      <c r="B1112" s="21" t="s">
        <v>1127</v>
      </c>
      <c r="C1112" s="19" t="s">
        <v>43</v>
      </c>
      <c r="D1112" s="263" t="s">
        <v>257</v>
      </c>
      <c r="E1112" s="93" t="s">
        <v>258</v>
      </c>
      <c r="F1112" s="93" t="s">
        <v>259</v>
      </c>
      <c r="G1112" s="93" t="s">
        <v>260</v>
      </c>
      <c r="H1112" s="93" t="s">
        <v>261</v>
      </c>
      <c r="I1112" s="93" t="s">
        <v>262</v>
      </c>
      <c r="J1112" s="94" t="s">
        <v>263</v>
      </c>
    </row>
    <row r="1113" spans="1:10" x14ac:dyDescent="0.2">
      <c r="A1113" s="19"/>
      <c r="B1113" s="271" t="s">
        <v>1246</v>
      </c>
      <c r="C1113" s="19"/>
      <c r="D1113" s="265">
        <v>1</v>
      </c>
      <c r="E1113" s="41"/>
      <c r="F1113" s="41"/>
      <c r="G1113" s="41"/>
      <c r="H1113" s="41"/>
      <c r="I1113" s="41"/>
      <c r="J1113" s="102">
        <f>D1113</f>
        <v>1</v>
      </c>
    </row>
    <row r="1114" spans="1:10" x14ac:dyDescent="0.2">
      <c r="A1114" s="19"/>
      <c r="B1114" s="21"/>
      <c r="C1114" s="19"/>
      <c r="D1114" s="99"/>
      <c r="E1114" s="41"/>
      <c r="F1114" s="41"/>
      <c r="G1114" s="41"/>
      <c r="H1114" s="41"/>
      <c r="I1114" s="91" t="s">
        <v>604</v>
      </c>
      <c r="J1114" s="90">
        <f>SUM(J1113)</f>
        <v>1</v>
      </c>
    </row>
    <row r="1115" spans="1:10" x14ac:dyDescent="0.2">
      <c r="A1115" s="19"/>
      <c r="B1115" s="21"/>
      <c r="C1115" s="19"/>
      <c r="D1115" s="99"/>
      <c r="E1115" s="41"/>
      <c r="F1115" s="41"/>
      <c r="G1115" s="41"/>
      <c r="H1115" s="41"/>
      <c r="I1115" s="41"/>
      <c r="J1115" s="41"/>
    </row>
    <row r="1116" spans="1:10" x14ac:dyDescent="0.2">
      <c r="A1116" s="23" t="s">
        <v>394</v>
      </c>
      <c r="B1116" s="18" t="s">
        <v>188</v>
      </c>
      <c r="C1116" s="19"/>
      <c r="D1116" s="99"/>
      <c r="E1116" s="41"/>
      <c r="F1116" s="41"/>
      <c r="G1116" s="41"/>
      <c r="H1116" s="41"/>
      <c r="I1116" s="41"/>
      <c r="J1116" s="41"/>
    </row>
    <row r="1117" spans="1:10" ht="25.5" x14ac:dyDescent="0.2">
      <c r="A1117" s="19" t="s">
        <v>395</v>
      </c>
      <c r="B1117" s="21" t="s">
        <v>189</v>
      </c>
      <c r="C1117" s="19" t="s">
        <v>49</v>
      </c>
      <c r="D1117" s="263" t="s">
        <v>257</v>
      </c>
      <c r="E1117" s="93" t="s">
        <v>258</v>
      </c>
      <c r="F1117" s="93" t="s">
        <v>259</v>
      </c>
      <c r="G1117" s="93" t="s">
        <v>260</v>
      </c>
      <c r="H1117" s="93" t="s">
        <v>261</v>
      </c>
      <c r="I1117" s="93" t="s">
        <v>262</v>
      </c>
      <c r="J1117" s="94" t="s">
        <v>263</v>
      </c>
    </row>
    <row r="1118" spans="1:10" x14ac:dyDescent="0.2">
      <c r="A1118" s="19"/>
      <c r="B1118" s="271" t="s">
        <v>1246</v>
      </c>
      <c r="C1118" s="19"/>
      <c r="D1118" s="99"/>
      <c r="E1118" s="102">
        <v>664.3</v>
      </c>
      <c r="F1118" s="41"/>
      <c r="G1118" s="41"/>
      <c r="H1118" s="41"/>
      <c r="I1118" s="41"/>
      <c r="J1118" s="102">
        <f>E1118</f>
        <v>664.3</v>
      </c>
    </row>
    <row r="1119" spans="1:10" x14ac:dyDescent="0.2">
      <c r="A1119" s="19"/>
      <c r="B1119" s="21"/>
      <c r="C1119" s="19"/>
      <c r="D1119" s="99"/>
      <c r="E1119" s="41"/>
      <c r="F1119" s="41"/>
      <c r="G1119" s="41"/>
      <c r="H1119" s="41"/>
      <c r="I1119" s="91" t="s">
        <v>604</v>
      </c>
      <c r="J1119" s="90">
        <f>SUM(J1118)</f>
        <v>664.3</v>
      </c>
    </row>
    <row r="1120" spans="1:10" x14ac:dyDescent="0.2">
      <c r="A1120" s="19"/>
      <c r="B1120" s="21"/>
      <c r="C1120" s="19"/>
      <c r="D1120" s="99"/>
      <c r="E1120" s="41"/>
      <c r="F1120" s="41"/>
      <c r="G1120" s="41"/>
      <c r="H1120" s="41"/>
      <c r="I1120" s="41"/>
      <c r="J1120" s="41"/>
    </row>
    <row r="1121" spans="1:10" x14ac:dyDescent="0.2">
      <c r="A1121" s="19"/>
      <c r="B1121" s="21"/>
      <c r="C1121" s="19"/>
      <c r="D1121" s="99"/>
      <c r="E1121" s="41"/>
      <c r="F1121" s="41"/>
      <c r="G1121" s="41"/>
      <c r="H1121" s="41"/>
      <c r="I1121" s="41"/>
      <c r="J1121" s="41"/>
    </row>
    <row r="1122" spans="1:10" ht="25.5" x14ac:dyDescent="0.2">
      <c r="A1122" s="19" t="s">
        <v>396</v>
      </c>
      <c r="B1122" s="21" t="s">
        <v>190</v>
      </c>
      <c r="C1122" s="19" t="s">
        <v>49</v>
      </c>
      <c r="D1122" s="263" t="s">
        <v>257</v>
      </c>
      <c r="E1122" s="93" t="s">
        <v>258</v>
      </c>
      <c r="F1122" s="93" t="s">
        <v>259</v>
      </c>
      <c r="G1122" s="93" t="s">
        <v>260</v>
      </c>
      <c r="H1122" s="93" t="s">
        <v>261</v>
      </c>
      <c r="I1122" s="93" t="s">
        <v>262</v>
      </c>
      <c r="J1122" s="94" t="s">
        <v>263</v>
      </c>
    </row>
    <row r="1123" spans="1:10" x14ac:dyDescent="0.2">
      <c r="A1123" s="19"/>
      <c r="B1123" s="271" t="s">
        <v>1246</v>
      </c>
      <c r="C1123" s="19"/>
      <c r="D1123" s="99"/>
      <c r="E1123" s="102">
        <v>1285</v>
      </c>
      <c r="F1123" s="41"/>
      <c r="G1123" s="41"/>
      <c r="H1123" s="41"/>
      <c r="I1123" s="41"/>
      <c r="J1123" s="102">
        <f>E1123</f>
        <v>1285</v>
      </c>
    </row>
    <row r="1124" spans="1:10" x14ac:dyDescent="0.2">
      <c r="A1124" s="19"/>
      <c r="B1124" s="21"/>
      <c r="C1124" s="19"/>
      <c r="D1124" s="99"/>
      <c r="E1124" s="41"/>
      <c r="F1124" s="41"/>
      <c r="G1124" s="41"/>
      <c r="H1124" s="41"/>
      <c r="I1124" s="91" t="s">
        <v>604</v>
      </c>
      <c r="J1124" s="90">
        <f>SUM(J1123)</f>
        <v>1285</v>
      </c>
    </row>
    <row r="1125" spans="1:10" x14ac:dyDescent="0.2">
      <c r="A1125" s="19"/>
      <c r="B1125" s="21"/>
      <c r="C1125" s="19"/>
      <c r="D1125" s="99"/>
      <c r="E1125" s="41"/>
      <c r="F1125" s="41"/>
      <c r="G1125" s="41"/>
      <c r="H1125" s="41"/>
      <c r="I1125" s="41"/>
      <c r="J1125" s="41"/>
    </row>
    <row r="1126" spans="1:10" x14ac:dyDescent="0.2">
      <c r="A1126" s="19"/>
      <c r="B1126" s="21"/>
      <c r="C1126" s="19"/>
      <c r="D1126" s="99"/>
      <c r="E1126" s="41"/>
      <c r="F1126" s="41"/>
      <c r="G1126" s="41"/>
      <c r="H1126" s="41"/>
      <c r="I1126" s="41"/>
      <c r="J1126" s="41"/>
    </row>
    <row r="1127" spans="1:10" ht="25.5" x14ac:dyDescent="0.2">
      <c r="A1127" s="19" t="s">
        <v>1151</v>
      </c>
      <c r="B1127" s="21" t="s">
        <v>191</v>
      </c>
      <c r="C1127" s="19" t="s">
        <v>16</v>
      </c>
      <c r="D1127" s="263" t="s">
        <v>257</v>
      </c>
      <c r="E1127" s="93" t="s">
        <v>258</v>
      </c>
      <c r="F1127" s="93" t="s">
        <v>259</v>
      </c>
      <c r="G1127" s="93" t="s">
        <v>260</v>
      </c>
      <c r="H1127" s="93" t="s">
        <v>261</v>
      </c>
      <c r="I1127" s="93" t="s">
        <v>262</v>
      </c>
      <c r="J1127" s="94" t="s">
        <v>263</v>
      </c>
    </row>
    <row r="1128" spans="1:10" x14ac:dyDescent="0.2">
      <c r="A1128" s="19"/>
      <c r="B1128" s="271" t="s">
        <v>1246</v>
      </c>
      <c r="C1128" s="19"/>
      <c r="D1128" s="99"/>
      <c r="E1128" s="102">
        <v>76.7</v>
      </c>
      <c r="F1128" s="41"/>
      <c r="G1128" s="41"/>
      <c r="H1128" s="41"/>
      <c r="I1128" s="41"/>
      <c r="J1128" s="102">
        <f>E1128</f>
        <v>76.7</v>
      </c>
    </row>
    <row r="1129" spans="1:10" x14ac:dyDescent="0.2">
      <c r="A1129" s="19"/>
      <c r="B1129" s="21"/>
      <c r="C1129" s="19"/>
      <c r="D1129" s="99"/>
      <c r="E1129" s="41"/>
      <c r="F1129" s="41"/>
      <c r="G1129" s="41"/>
      <c r="H1129" s="41"/>
      <c r="I1129" s="91" t="s">
        <v>604</v>
      </c>
      <c r="J1129" s="90">
        <f>SUM(J1128)</f>
        <v>76.7</v>
      </c>
    </row>
    <row r="1130" spans="1:10" x14ac:dyDescent="0.2">
      <c r="A1130" s="19"/>
      <c r="B1130" s="21"/>
      <c r="C1130" s="19"/>
      <c r="D1130" s="99"/>
      <c r="E1130" s="41"/>
      <c r="F1130" s="41"/>
      <c r="G1130" s="41"/>
      <c r="H1130" s="41"/>
      <c r="I1130" s="41"/>
      <c r="J1130" s="41"/>
    </row>
    <row r="1131" spans="1:10" x14ac:dyDescent="0.2">
      <c r="A1131" s="19"/>
      <c r="B1131" s="21"/>
      <c r="C1131" s="19"/>
      <c r="D1131" s="99"/>
      <c r="E1131" s="41"/>
      <c r="F1131" s="41"/>
      <c r="G1131" s="41"/>
      <c r="H1131" s="41"/>
      <c r="I1131" s="41"/>
      <c r="J1131" s="41"/>
    </row>
    <row r="1132" spans="1:10" ht="25.5" x14ac:dyDescent="0.2">
      <c r="A1132" s="19" t="s">
        <v>1152</v>
      </c>
      <c r="B1132" s="21" t="s">
        <v>192</v>
      </c>
      <c r="C1132" s="19" t="s">
        <v>49</v>
      </c>
      <c r="D1132" s="263" t="s">
        <v>257</v>
      </c>
      <c r="E1132" s="93" t="s">
        <v>258</v>
      </c>
      <c r="F1132" s="93" t="s">
        <v>259</v>
      </c>
      <c r="G1132" s="93" t="s">
        <v>260</v>
      </c>
      <c r="H1132" s="93" t="s">
        <v>261</v>
      </c>
      <c r="I1132" s="93" t="s">
        <v>262</v>
      </c>
      <c r="J1132" s="94" t="s">
        <v>263</v>
      </c>
    </row>
    <row r="1133" spans="1:10" x14ac:dyDescent="0.2">
      <c r="A1133" s="19"/>
      <c r="B1133" s="271" t="s">
        <v>1246</v>
      </c>
      <c r="C1133" s="19"/>
      <c r="D1133" s="99"/>
      <c r="E1133" s="102">
        <v>69.3</v>
      </c>
      <c r="F1133" s="41"/>
      <c r="G1133" s="41"/>
      <c r="H1133" s="41"/>
      <c r="I1133" s="41"/>
      <c r="J1133" s="102">
        <f>E1133</f>
        <v>69.3</v>
      </c>
    </row>
    <row r="1134" spans="1:10" x14ac:dyDescent="0.2">
      <c r="A1134" s="19"/>
      <c r="B1134" s="21"/>
      <c r="C1134" s="19"/>
      <c r="D1134" s="99"/>
      <c r="E1134" s="41"/>
      <c r="F1134" s="41"/>
      <c r="G1134" s="41"/>
      <c r="H1134" s="41"/>
      <c r="I1134" s="91" t="s">
        <v>604</v>
      </c>
      <c r="J1134" s="90">
        <f>SUM(J1133)</f>
        <v>69.3</v>
      </c>
    </row>
    <row r="1135" spans="1:10" x14ac:dyDescent="0.2">
      <c r="A1135" s="19"/>
      <c r="B1135" s="21"/>
      <c r="C1135" s="19"/>
      <c r="D1135" s="99"/>
      <c r="E1135" s="41"/>
      <c r="F1135" s="41"/>
      <c r="G1135" s="41"/>
      <c r="H1135" s="41"/>
      <c r="I1135" s="41"/>
      <c r="J1135" s="41"/>
    </row>
    <row r="1136" spans="1:10" ht="25.5" x14ac:dyDescent="0.2">
      <c r="A1136" s="19" t="s">
        <v>1153</v>
      </c>
      <c r="B1136" s="21" t="s">
        <v>1129</v>
      </c>
      <c r="C1136" s="19" t="s">
        <v>49</v>
      </c>
      <c r="D1136" s="263" t="s">
        <v>257</v>
      </c>
      <c r="E1136" s="93" t="s">
        <v>258</v>
      </c>
      <c r="F1136" s="93" t="s">
        <v>259</v>
      </c>
      <c r="G1136" s="93" t="s">
        <v>260</v>
      </c>
      <c r="H1136" s="93" t="s">
        <v>261</v>
      </c>
      <c r="I1136" s="93" t="s">
        <v>262</v>
      </c>
      <c r="J1136" s="94" t="s">
        <v>263</v>
      </c>
    </row>
    <row r="1137" spans="1:10" x14ac:dyDescent="0.2">
      <c r="A1137" s="19"/>
      <c r="B1137" s="271" t="s">
        <v>1246</v>
      </c>
      <c r="C1137" s="19"/>
      <c r="D1137" s="99"/>
      <c r="E1137" s="102">
        <v>34.1</v>
      </c>
      <c r="F1137" s="41"/>
      <c r="G1137" s="41"/>
      <c r="H1137" s="41"/>
      <c r="I1137" s="41"/>
      <c r="J1137" s="102">
        <f>E1137</f>
        <v>34.1</v>
      </c>
    </row>
    <row r="1138" spans="1:10" x14ac:dyDescent="0.2">
      <c r="A1138" s="19"/>
      <c r="B1138" s="21"/>
      <c r="C1138" s="19"/>
      <c r="D1138" s="99"/>
      <c r="E1138" s="41"/>
      <c r="F1138" s="41"/>
      <c r="G1138" s="41"/>
      <c r="H1138" s="41"/>
      <c r="I1138" s="91" t="s">
        <v>604</v>
      </c>
      <c r="J1138" s="90">
        <f>SUM(J1137)</f>
        <v>34.1</v>
      </c>
    </row>
    <row r="1139" spans="1:10" x14ac:dyDescent="0.2">
      <c r="A1139" s="19"/>
      <c r="B1139" s="21"/>
      <c r="C1139" s="19"/>
      <c r="D1139" s="99"/>
      <c r="E1139" s="41"/>
      <c r="F1139" s="41"/>
      <c r="G1139" s="41"/>
      <c r="H1139" s="41"/>
      <c r="I1139" s="164"/>
      <c r="J1139" s="165"/>
    </row>
    <row r="1140" spans="1:10" ht="25.5" x14ac:dyDescent="0.2">
      <c r="A1140" s="19" t="s">
        <v>1154</v>
      </c>
      <c r="B1140" s="21" t="s">
        <v>1130</v>
      </c>
      <c r="C1140" s="19" t="s">
        <v>49</v>
      </c>
      <c r="D1140" s="263" t="s">
        <v>257</v>
      </c>
      <c r="E1140" s="93" t="s">
        <v>258</v>
      </c>
      <c r="F1140" s="93" t="s">
        <v>259</v>
      </c>
      <c r="G1140" s="93" t="s">
        <v>260</v>
      </c>
      <c r="H1140" s="93" t="s">
        <v>261</v>
      </c>
      <c r="I1140" s="93" t="s">
        <v>262</v>
      </c>
      <c r="J1140" s="94" t="s">
        <v>263</v>
      </c>
    </row>
    <row r="1141" spans="1:10" x14ac:dyDescent="0.2">
      <c r="A1141" s="19"/>
      <c r="B1141" s="271" t="s">
        <v>1246</v>
      </c>
      <c r="C1141" s="19"/>
      <c r="D1141" s="99"/>
      <c r="E1141" s="102">
        <v>66.8</v>
      </c>
      <c r="F1141" s="41"/>
      <c r="G1141" s="41"/>
      <c r="H1141" s="41"/>
      <c r="I1141" s="41"/>
      <c r="J1141" s="102">
        <f>E1141</f>
        <v>66.8</v>
      </c>
    </row>
    <row r="1142" spans="1:10" x14ac:dyDescent="0.2">
      <c r="A1142" s="19"/>
      <c r="B1142" s="21"/>
      <c r="C1142" s="19"/>
      <c r="D1142" s="99"/>
      <c r="E1142" s="41"/>
      <c r="F1142" s="41"/>
      <c r="G1142" s="41"/>
      <c r="H1142" s="41"/>
      <c r="I1142" s="91" t="s">
        <v>604</v>
      </c>
      <c r="J1142" s="90">
        <f>SUM(J1141)</f>
        <v>66.8</v>
      </c>
    </row>
    <row r="1143" spans="1:10" x14ac:dyDescent="0.2">
      <c r="A1143" s="19"/>
      <c r="B1143" s="21"/>
      <c r="C1143" s="19"/>
      <c r="D1143" s="99"/>
      <c r="E1143" s="41"/>
      <c r="F1143" s="41"/>
      <c r="G1143" s="41"/>
      <c r="H1143" s="41"/>
      <c r="I1143" s="164"/>
      <c r="J1143" s="165"/>
    </row>
    <row r="1144" spans="1:10" x14ac:dyDescent="0.2">
      <c r="A1144" s="23" t="s">
        <v>397</v>
      </c>
      <c r="B1144" s="18" t="s">
        <v>1143</v>
      </c>
      <c r="C1144" s="19"/>
      <c r="D1144" s="99"/>
      <c r="E1144" s="41"/>
      <c r="F1144" s="41"/>
      <c r="G1144" s="41"/>
      <c r="H1144" s="41"/>
      <c r="I1144" s="41"/>
      <c r="J1144" s="41"/>
    </row>
    <row r="1145" spans="1:10" ht="25.5" x14ac:dyDescent="0.2">
      <c r="A1145" s="19" t="s">
        <v>398</v>
      </c>
      <c r="B1145" s="21" t="s">
        <v>1144</v>
      </c>
      <c r="C1145" s="19" t="s">
        <v>1035</v>
      </c>
      <c r="D1145" s="263" t="s">
        <v>257</v>
      </c>
      <c r="E1145" s="93" t="s">
        <v>258</v>
      </c>
      <c r="F1145" s="93" t="s">
        <v>259</v>
      </c>
      <c r="G1145" s="93" t="s">
        <v>260</v>
      </c>
      <c r="H1145" s="93" t="s">
        <v>261</v>
      </c>
      <c r="I1145" s="93" t="s">
        <v>262</v>
      </c>
      <c r="J1145" s="94" t="s">
        <v>263</v>
      </c>
    </row>
    <row r="1146" spans="1:10" x14ac:dyDescent="0.2">
      <c r="A1146" s="19"/>
      <c r="B1146" s="271" t="s">
        <v>1246</v>
      </c>
      <c r="C1146" s="19"/>
      <c r="D1146" s="265">
        <v>7</v>
      </c>
      <c r="E1146" s="102"/>
      <c r="F1146" s="41"/>
      <c r="G1146" s="41"/>
      <c r="H1146" s="41"/>
      <c r="I1146" s="41"/>
      <c r="J1146" s="102">
        <f>D1146</f>
        <v>7</v>
      </c>
    </row>
    <row r="1147" spans="1:10" x14ac:dyDescent="0.2">
      <c r="A1147" s="19"/>
      <c r="B1147" s="21"/>
      <c r="C1147" s="19"/>
      <c r="D1147" s="99"/>
      <c r="E1147" s="41"/>
      <c r="F1147" s="41"/>
      <c r="G1147" s="41"/>
      <c r="H1147" s="41"/>
      <c r="I1147" s="91" t="s">
        <v>604</v>
      </c>
      <c r="J1147" s="90">
        <f>SUM(J1146)</f>
        <v>7</v>
      </c>
    </row>
    <row r="1148" spans="1:10" x14ac:dyDescent="0.2">
      <c r="A1148" s="19"/>
      <c r="B1148" s="21"/>
      <c r="C1148" s="19"/>
      <c r="D1148" s="99"/>
      <c r="E1148" s="41"/>
      <c r="F1148" s="41"/>
      <c r="G1148" s="41"/>
      <c r="H1148" s="41"/>
      <c r="I1148" s="164"/>
      <c r="J1148" s="165"/>
    </row>
    <row r="1149" spans="1:10" ht="25.5" x14ac:dyDescent="0.2">
      <c r="A1149" s="19" t="s">
        <v>1146</v>
      </c>
      <c r="B1149" s="21" t="s">
        <v>1145</v>
      </c>
      <c r="C1149" s="19" t="s">
        <v>1035</v>
      </c>
      <c r="D1149" s="263" t="s">
        <v>257</v>
      </c>
      <c r="E1149" s="93" t="s">
        <v>258</v>
      </c>
      <c r="F1149" s="93" t="s">
        <v>259</v>
      </c>
      <c r="G1149" s="93" t="s">
        <v>260</v>
      </c>
      <c r="H1149" s="93" t="s">
        <v>261</v>
      </c>
      <c r="I1149" s="93" t="s">
        <v>262</v>
      </c>
      <c r="J1149" s="94" t="s">
        <v>263</v>
      </c>
    </row>
    <row r="1150" spans="1:10" x14ac:dyDescent="0.2">
      <c r="A1150" s="19"/>
      <c r="B1150" s="271" t="s">
        <v>1246</v>
      </c>
      <c r="C1150" s="19"/>
      <c r="D1150" s="265">
        <v>3</v>
      </c>
      <c r="E1150" s="102"/>
      <c r="F1150" s="41"/>
      <c r="G1150" s="41"/>
      <c r="H1150" s="41"/>
      <c r="I1150" s="41"/>
      <c r="J1150" s="102">
        <f>D1150</f>
        <v>3</v>
      </c>
    </row>
    <row r="1151" spans="1:10" x14ac:dyDescent="0.2">
      <c r="A1151" s="19"/>
      <c r="B1151" s="21"/>
      <c r="C1151" s="19"/>
      <c r="D1151" s="99"/>
      <c r="E1151" s="41"/>
      <c r="F1151" s="41"/>
      <c r="G1151" s="41"/>
      <c r="H1151" s="41"/>
      <c r="I1151" s="91" t="s">
        <v>604</v>
      </c>
      <c r="J1151" s="90">
        <f>SUM(J1150)</f>
        <v>3</v>
      </c>
    </row>
    <row r="1152" spans="1:10" x14ac:dyDescent="0.2">
      <c r="A1152" s="19"/>
      <c r="B1152" s="21"/>
      <c r="C1152" s="19"/>
      <c r="D1152" s="99"/>
      <c r="E1152" s="41"/>
      <c r="F1152" s="41"/>
      <c r="G1152" s="41"/>
      <c r="H1152" s="41"/>
      <c r="I1152" s="164"/>
      <c r="J1152" s="165"/>
    </row>
    <row r="1153" spans="1:10" x14ac:dyDescent="0.2">
      <c r="A1153" s="23" t="s">
        <v>399</v>
      </c>
      <c r="B1153" s="18" t="s">
        <v>193</v>
      </c>
      <c r="C1153" s="19"/>
      <c r="D1153" s="99"/>
      <c r="E1153" s="41"/>
      <c r="F1153" s="41"/>
      <c r="G1153" s="41"/>
      <c r="H1153" s="41"/>
      <c r="I1153" s="41"/>
      <c r="J1153" s="41"/>
    </row>
    <row r="1154" spans="1:10" ht="25.5" x14ac:dyDescent="0.2">
      <c r="A1154" s="19" t="s">
        <v>1147</v>
      </c>
      <c r="B1154" s="21" t="s">
        <v>1165</v>
      </c>
      <c r="C1154" s="19" t="s">
        <v>43</v>
      </c>
      <c r="D1154" s="263" t="s">
        <v>257</v>
      </c>
      <c r="E1154" s="93" t="s">
        <v>258</v>
      </c>
      <c r="F1154" s="93" t="s">
        <v>259</v>
      </c>
      <c r="G1154" s="93" t="s">
        <v>260</v>
      </c>
      <c r="H1154" s="93" t="s">
        <v>261</v>
      </c>
      <c r="I1154" s="93" t="s">
        <v>262</v>
      </c>
      <c r="J1154" s="94" t="s">
        <v>263</v>
      </c>
    </row>
    <row r="1155" spans="1:10" x14ac:dyDescent="0.2">
      <c r="A1155" s="41"/>
      <c r="B1155" s="271" t="s">
        <v>1246</v>
      </c>
      <c r="C1155" s="41"/>
      <c r="D1155" s="265">
        <v>1</v>
      </c>
      <c r="E1155" s="41"/>
      <c r="F1155" s="41"/>
      <c r="G1155" s="41"/>
      <c r="H1155" s="41"/>
      <c r="I1155" s="41"/>
      <c r="J1155" s="102">
        <f>D1155</f>
        <v>1</v>
      </c>
    </row>
    <row r="1156" spans="1:10" x14ac:dyDescent="0.2">
      <c r="A1156" s="41"/>
      <c r="B1156" s="41"/>
      <c r="C1156" s="41"/>
      <c r="D1156" s="99"/>
      <c r="E1156" s="41"/>
      <c r="F1156" s="41"/>
      <c r="G1156" s="41"/>
      <c r="H1156" s="41"/>
      <c r="I1156" s="91" t="s">
        <v>604</v>
      </c>
      <c r="J1156" s="90">
        <f>SUM(J1155)</f>
        <v>1</v>
      </c>
    </row>
    <row r="1157" spans="1:10" s="253" customFormat="1" x14ac:dyDescent="0.2">
      <c r="A1157" s="256"/>
      <c r="B1157" s="256"/>
      <c r="C1157" s="256"/>
      <c r="D1157" s="99"/>
      <c r="E1157" s="256"/>
      <c r="F1157" s="256"/>
      <c r="G1157" s="256"/>
      <c r="H1157" s="256"/>
      <c r="I1157" s="164"/>
      <c r="J1157" s="165"/>
    </row>
    <row r="1158" spans="1:10" x14ac:dyDescent="0.2">
      <c r="A1158" s="11">
        <v>16</v>
      </c>
      <c r="B1158" s="7" t="s">
        <v>194</v>
      </c>
      <c r="C1158" s="5"/>
      <c r="D1158" s="277"/>
      <c r="E1158" s="77"/>
      <c r="F1158" s="77"/>
      <c r="G1158" s="77"/>
      <c r="H1158" s="77"/>
      <c r="I1158" s="77"/>
      <c r="J1158" s="77"/>
    </row>
    <row r="1159" spans="1:10" x14ac:dyDescent="0.2">
      <c r="A1159" s="23" t="s">
        <v>400</v>
      </c>
      <c r="B1159" s="18" t="s">
        <v>195</v>
      </c>
      <c r="C1159" s="19"/>
      <c r="D1159" s="99"/>
      <c r="E1159" s="41"/>
      <c r="F1159" s="41"/>
      <c r="G1159" s="41"/>
      <c r="H1159" s="41"/>
      <c r="I1159" s="41"/>
      <c r="J1159" s="41"/>
    </row>
    <row r="1160" spans="1:10" ht="25.5" x14ac:dyDescent="0.2">
      <c r="A1160" s="19" t="s">
        <v>401</v>
      </c>
      <c r="B1160" s="21" t="s">
        <v>1473</v>
      </c>
      <c r="C1160" s="254" t="s">
        <v>43</v>
      </c>
      <c r="D1160" s="263" t="s">
        <v>257</v>
      </c>
      <c r="E1160" s="93" t="s">
        <v>258</v>
      </c>
      <c r="F1160" s="93" t="s">
        <v>259</v>
      </c>
      <c r="G1160" s="93" t="s">
        <v>260</v>
      </c>
      <c r="H1160" s="93" t="s">
        <v>261</v>
      </c>
      <c r="I1160" s="93" t="s">
        <v>262</v>
      </c>
      <c r="J1160" s="94" t="s">
        <v>263</v>
      </c>
    </row>
    <row r="1161" spans="1:10" s="253" customFormat="1" x14ac:dyDescent="0.2">
      <c r="A1161" s="254"/>
      <c r="B1161" s="271" t="s">
        <v>1247</v>
      </c>
      <c r="C1161" s="254"/>
      <c r="D1161" s="263">
        <v>1</v>
      </c>
      <c r="E1161" s="263"/>
      <c r="F1161" s="263"/>
      <c r="G1161" s="263"/>
      <c r="H1161" s="263"/>
      <c r="I1161" s="263"/>
      <c r="J1161" s="264">
        <f>D1161</f>
        <v>1</v>
      </c>
    </row>
    <row r="1162" spans="1:10" s="253" customFormat="1" x14ac:dyDescent="0.2">
      <c r="A1162" s="254"/>
      <c r="B1162" s="255"/>
      <c r="C1162" s="254"/>
      <c r="D1162" s="263"/>
      <c r="E1162" s="263"/>
      <c r="F1162" s="263"/>
      <c r="G1162" s="263"/>
      <c r="H1162" s="263"/>
      <c r="I1162" s="261" t="s">
        <v>604</v>
      </c>
      <c r="J1162" s="260">
        <f>SUM(J1161)</f>
        <v>1</v>
      </c>
    </row>
    <row r="1163" spans="1:10" s="253" customFormat="1" x14ac:dyDescent="0.2">
      <c r="A1163" s="254"/>
      <c r="B1163" s="255"/>
      <c r="C1163" s="254"/>
      <c r="D1163" s="263"/>
      <c r="E1163" s="263"/>
      <c r="F1163" s="263"/>
      <c r="G1163" s="263"/>
      <c r="H1163" s="263"/>
      <c r="I1163" s="263"/>
      <c r="J1163" s="264"/>
    </row>
    <row r="1164" spans="1:10" ht="25.5" x14ac:dyDescent="0.2">
      <c r="A1164" s="19" t="s">
        <v>402</v>
      </c>
      <c r="B1164" s="21" t="s">
        <v>1474</v>
      </c>
      <c r="C1164" s="19" t="s">
        <v>43</v>
      </c>
      <c r="D1164" s="263" t="s">
        <v>257</v>
      </c>
      <c r="E1164" s="93" t="s">
        <v>258</v>
      </c>
      <c r="F1164" s="93" t="s">
        <v>259</v>
      </c>
      <c r="G1164" s="93" t="s">
        <v>260</v>
      </c>
      <c r="H1164" s="93" t="s">
        <v>261</v>
      </c>
      <c r="I1164" s="93" t="s">
        <v>262</v>
      </c>
      <c r="J1164" s="94" t="s">
        <v>263</v>
      </c>
    </row>
    <row r="1165" spans="1:10" x14ac:dyDescent="0.2">
      <c r="A1165" s="19"/>
      <c r="B1165" s="271" t="s">
        <v>1247</v>
      </c>
      <c r="C1165" s="19"/>
      <c r="D1165" s="265">
        <v>1</v>
      </c>
      <c r="E1165" s="41"/>
      <c r="F1165" s="41"/>
      <c r="G1165" s="41"/>
      <c r="H1165" s="41"/>
      <c r="I1165" s="41"/>
      <c r="J1165" s="265">
        <f>D1165</f>
        <v>1</v>
      </c>
    </row>
    <row r="1166" spans="1:10" x14ac:dyDescent="0.2">
      <c r="A1166" s="19"/>
      <c r="B1166" s="21"/>
      <c r="C1166" s="19"/>
      <c r="D1166" s="99"/>
      <c r="E1166" s="41"/>
      <c r="F1166" s="41"/>
      <c r="G1166" s="41"/>
      <c r="H1166" s="41"/>
      <c r="I1166" s="261" t="s">
        <v>604</v>
      </c>
      <c r="J1166" s="260">
        <f>SUM(J1165)</f>
        <v>1</v>
      </c>
    </row>
    <row r="1167" spans="1:10" s="253" customFormat="1" x14ac:dyDescent="0.2">
      <c r="A1167" s="254"/>
      <c r="B1167" s="255"/>
      <c r="C1167" s="254"/>
      <c r="D1167" s="99"/>
      <c r="E1167" s="256"/>
      <c r="F1167" s="256"/>
      <c r="G1167" s="256"/>
      <c r="H1167" s="256"/>
      <c r="I1167" s="164"/>
      <c r="J1167" s="165"/>
    </row>
    <row r="1168" spans="1:10" s="253" customFormat="1" ht="25.5" x14ac:dyDescent="0.2">
      <c r="A1168" s="254" t="s">
        <v>1457</v>
      </c>
      <c r="B1168" s="109" t="s">
        <v>1458</v>
      </c>
      <c r="C1168" s="254" t="s">
        <v>43</v>
      </c>
      <c r="D1168" s="263" t="s">
        <v>257</v>
      </c>
      <c r="E1168" s="263" t="s">
        <v>258</v>
      </c>
      <c r="F1168" s="263" t="s">
        <v>259</v>
      </c>
      <c r="G1168" s="263" t="s">
        <v>260</v>
      </c>
      <c r="H1168" s="263" t="s">
        <v>261</v>
      </c>
      <c r="I1168" s="263" t="s">
        <v>262</v>
      </c>
      <c r="J1168" s="264" t="s">
        <v>263</v>
      </c>
    </row>
    <row r="1169" spans="1:10" s="253" customFormat="1" x14ac:dyDescent="0.2">
      <c r="A1169" s="254"/>
      <c r="B1169" s="368" t="s">
        <v>1247</v>
      </c>
      <c r="C1169" s="254"/>
      <c r="D1169" s="265">
        <v>3</v>
      </c>
      <c r="E1169" s="256"/>
      <c r="F1169" s="256"/>
      <c r="G1169" s="256"/>
      <c r="H1169" s="256"/>
      <c r="I1169" s="164"/>
      <c r="J1169" s="179">
        <f>D1169</f>
        <v>3</v>
      </c>
    </row>
    <row r="1170" spans="1:10" s="253" customFormat="1" x14ac:dyDescent="0.2">
      <c r="A1170" s="254"/>
      <c r="B1170" s="255"/>
      <c r="C1170" s="254"/>
      <c r="D1170" s="99"/>
      <c r="E1170" s="256"/>
      <c r="F1170" s="256"/>
      <c r="G1170" s="256"/>
      <c r="H1170" s="256"/>
      <c r="I1170" s="261" t="s">
        <v>604</v>
      </c>
      <c r="J1170" s="260">
        <f>SUM(J1169)</f>
        <v>3</v>
      </c>
    </row>
    <row r="1171" spans="1:10" s="253" customFormat="1" x14ac:dyDescent="0.2">
      <c r="A1171" s="254"/>
      <c r="B1171" s="255"/>
      <c r="C1171" s="254"/>
      <c r="D1171" s="99"/>
      <c r="E1171" s="256"/>
      <c r="F1171" s="256"/>
      <c r="G1171" s="256"/>
      <c r="H1171" s="256"/>
      <c r="I1171" s="164"/>
      <c r="J1171" s="165"/>
    </row>
    <row r="1172" spans="1:10" s="253" customFormat="1" x14ac:dyDescent="0.2">
      <c r="A1172" s="369" t="s">
        <v>403</v>
      </c>
      <c r="B1172" s="18" t="s">
        <v>1460</v>
      </c>
      <c r="C1172" s="254"/>
      <c r="D1172" s="99"/>
      <c r="E1172" s="256"/>
      <c r="F1172" s="256"/>
      <c r="G1172" s="256"/>
      <c r="H1172" s="256"/>
      <c r="I1172" s="256"/>
      <c r="J1172" s="256"/>
    </row>
    <row r="1173" spans="1:10" s="253" customFormat="1" ht="38.25" x14ac:dyDescent="0.2">
      <c r="A1173" s="254" t="s">
        <v>1237</v>
      </c>
      <c r="B1173" s="255" t="s">
        <v>1463</v>
      </c>
      <c r="C1173" s="254" t="s">
        <v>43</v>
      </c>
      <c r="D1173" s="263" t="s">
        <v>257</v>
      </c>
      <c r="E1173" s="263" t="s">
        <v>258</v>
      </c>
      <c r="F1173" s="263" t="s">
        <v>259</v>
      </c>
      <c r="G1173" s="263" t="s">
        <v>260</v>
      </c>
      <c r="H1173" s="263" t="s">
        <v>261</v>
      </c>
      <c r="I1173" s="263" t="s">
        <v>262</v>
      </c>
      <c r="J1173" s="264" t="s">
        <v>263</v>
      </c>
    </row>
    <row r="1174" spans="1:10" s="253" customFormat="1" x14ac:dyDescent="0.2">
      <c r="A1174" s="254"/>
      <c r="B1174" s="368" t="s">
        <v>1464</v>
      </c>
      <c r="C1174" s="254"/>
      <c r="D1174" s="265">
        <v>2</v>
      </c>
      <c r="E1174" s="256"/>
      <c r="F1174" s="256"/>
      <c r="G1174" s="256"/>
      <c r="H1174" s="256"/>
      <c r="I1174" s="164"/>
      <c r="J1174" s="179">
        <f>D1174</f>
        <v>2</v>
      </c>
    </row>
    <row r="1175" spans="1:10" s="253" customFormat="1" x14ac:dyDescent="0.2">
      <c r="A1175" s="254"/>
      <c r="B1175" s="255"/>
      <c r="C1175" s="254"/>
      <c r="D1175" s="99"/>
      <c r="E1175" s="256"/>
      <c r="F1175" s="256"/>
      <c r="G1175" s="256"/>
      <c r="H1175" s="256"/>
      <c r="I1175" s="261" t="s">
        <v>604</v>
      </c>
      <c r="J1175" s="260">
        <f>SUM(J1174)</f>
        <v>2</v>
      </c>
    </row>
    <row r="1176" spans="1:10" s="253" customFormat="1" x14ac:dyDescent="0.2">
      <c r="A1176" s="254"/>
      <c r="B1176" s="255"/>
      <c r="C1176" s="254"/>
      <c r="D1176" s="99"/>
      <c r="E1176" s="256"/>
      <c r="F1176" s="256"/>
      <c r="G1176" s="256"/>
      <c r="H1176" s="256"/>
      <c r="I1176" s="164"/>
      <c r="J1176" s="165"/>
    </row>
    <row r="1177" spans="1:10" s="253" customFormat="1" ht="25.5" x14ac:dyDescent="0.2">
      <c r="A1177" s="254" t="s">
        <v>1238</v>
      </c>
      <c r="B1177" s="255" t="s">
        <v>1465</v>
      </c>
      <c r="C1177" s="254" t="s">
        <v>43</v>
      </c>
      <c r="D1177" s="263" t="s">
        <v>257</v>
      </c>
      <c r="E1177" s="263" t="s">
        <v>258</v>
      </c>
      <c r="F1177" s="263" t="s">
        <v>259</v>
      </c>
      <c r="G1177" s="263" t="s">
        <v>260</v>
      </c>
      <c r="H1177" s="263" t="s">
        <v>261</v>
      </c>
      <c r="I1177" s="263" t="s">
        <v>262</v>
      </c>
      <c r="J1177" s="264" t="s">
        <v>263</v>
      </c>
    </row>
    <row r="1178" spans="1:10" s="253" customFormat="1" x14ac:dyDescent="0.2">
      <c r="A1178" s="254"/>
      <c r="B1178" s="368" t="s">
        <v>1464</v>
      </c>
      <c r="C1178" s="254"/>
      <c r="D1178" s="265">
        <v>11</v>
      </c>
      <c r="E1178" s="256"/>
      <c r="F1178" s="256"/>
      <c r="G1178" s="256"/>
      <c r="H1178" s="256"/>
      <c r="I1178" s="164"/>
      <c r="J1178" s="179">
        <f>D1178</f>
        <v>11</v>
      </c>
    </row>
    <row r="1179" spans="1:10" s="253" customFormat="1" x14ac:dyDescent="0.2">
      <c r="A1179" s="254"/>
      <c r="B1179" s="255"/>
      <c r="C1179" s="254"/>
      <c r="D1179" s="99"/>
      <c r="E1179" s="256"/>
      <c r="F1179" s="256"/>
      <c r="G1179" s="256"/>
      <c r="H1179" s="256"/>
      <c r="I1179" s="261" t="s">
        <v>604</v>
      </c>
      <c r="J1179" s="260">
        <f>SUM(J1178)</f>
        <v>11</v>
      </c>
    </row>
    <row r="1180" spans="1:10" s="253" customFormat="1" x14ac:dyDescent="0.2">
      <c r="A1180" s="254"/>
      <c r="B1180" s="255"/>
      <c r="C1180" s="254"/>
      <c r="D1180" s="99"/>
      <c r="E1180" s="256"/>
      <c r="F1180" s="256"/>
      <c r="G1180" s="256"/>
      <c r="H1180" s="256"/>
      <c r="I1180" s="164"/>
      <c r="J1180" s="165"/>
    </row>
    <row r="1181" spans="1:10" s="253" customFormat="1" ht="25.5" x14ac:dyDescent="0.2">
      <c r="A1181" s="254" t="s">
        <v>1466</v>
      </c>
      <c r="B1181" s="255" t="s">
        <v>1467</v>
      </c>
      <c r="C1181" s="254" t="s">
        <v>43</v>
      </c>
      <c r="D1181" s="263" t="s">
        <v>257</v>
      </c>
      <c r="E1181" s="263" t="s">
        <v>258</v>
      </c>
      <c r="F1181" s="263" t="s">
        <v>259</v>
      </c>
      <c r="G1181" s="263" t="s">
        <v>260</v>
      </c>
      <c r="H1181" s="263" t="s">
        <v>261</v>
      </c>
      <c r="I1181" s="263" t="s">
        <v>262</v>
      </c>
      <c r="J1181" s="264" t="s">
        <v>263</v>
      </c>
    </row>
    <row r="1182" spans="1:10" s="253" customFormat="1" x14ac:dyDescent="0.2">
      <c r="A1182" s="254"/>
      <c r="B1182" s="368" t="s">
        <v>1464</v>
      </c>
      <c r="C1182" s="254"/>
      <c r="D1182" s="265">
        <v>7</v>
      </c>
      <c r="E1182" s="256"/>
      <c r="F1182" s="256"/>
      <c r="G1182" s="256"/>
      <c r="H1182" s="256"/>
      <c r="I1182" s="164"/>
      <c r="J1182" s="179">
        <f>D1182</f>
        <v>7</v>
      </c>
    </row>
    <row r="1183" spans="1:10" s="253" customFormat="1" x14ac:dyDescent="0.2">
      <c r="A1183" s="254"/>
      <c r="B1183" s="255"/>
      <c r="C1183" s="254"/>
      <c r="D1183" s="99"/>
      <c r="E1183" s="256"/>
      <c r="F1183" s="256"/>
      <c r="G1183" s="256"/>
      <c r="H1183" s="256"/>
      <c r="I1183" s="261" t="s">
        <v>604</v>
      </c>
      <c r="J1183" s="260">
        <f>SUM(J1182)</f>
        <v>7</v>
      </c>
    </row>
    <row r="1184" spans="1:10" s="253" customFormat="1" x14ac:dyDescent="0.2">
      <c r="A1184" s="254"/>
      <c r="B1184" s="255"/>
      <c r="C1184" s="254"/>
      <c r="D1184" s="99"/>
      <c r="E1184" s="256"/>
      <c r="F1184" s="256"/>
      <c r="G1184" s="256"/>
      <c r="H1184" s="256"/>
      <c r="I1184" s="164"/>
      <c r="J1184" s="165"/>
    </row>
    <row r="1185" spans="1:10" x14ac:dyDescent="0.2">
      <c r="A1185" s="23" t="s">
        <v>1459</v>
      </c>
      <c r="B1185" s="18" t="s">
        <v>196</v>
      </c>
      <c r="C1185" s="19"/>
      <c r="D1185" s="99"/>
      <c r="E1185" s="41"/>
      <c r="F1185" s="41"/>
      <c r="G1185" s="41"/>
      <c r="H1185" s="41"/>
      <c r="I1185" s="41"/>
      <c r="J1185" s="41"/>
    </row>
    <row r="1186" spans="1:10" ht="25.5" x14ac:dyDescent="0.2">
      <c r="A1186" s="254" t="s">
        <v>1461</v>
      </c>
      <c r="B1186" s="21" t="s">
        <v>1486</v>
      </c>
      <c r="C1186" s="19" t="s">
        <v>43</v>
      </c>
      <c r="D1186" s="263" t="s">
        <v>257</v>
      </c>
      <c r="E1186" s="93" t="s">
        <v>258</v>
      </c>
      <c r="F1186" s="93" t="s">
        <v>259</v>
      </c>
      <c r="G1186" s="93" t="s">
        <v>260</v>
      </c>
      <c r="H1186" s="93" t="s">
        <v>261</v>
      </c>
      <c r="I1186" s="93" t="s">
        <v>262</v>
      </c>
      <c r="J1186" s="94" t="s">
        <v>263</v>
      </c>
    </row>
    <row r="1187" spans="1:10" s="253" customFormat="1" x14ac:dyDescent="0.2">
      <c r="A1187" s="254"/>
      <c r="B1187" s="101" t="s">
        <v>676</v>
      </c>
      <c r="C1187" s="254"/>
      <c r="D1187" s="263"/>
      <c r="E1187" s="263"/>
      <c r="F1187" s="263"/>
      <c r="G1187" s="263"/>
      <c r="H1187" s="263"/>
      <c r="I1187" s="263"/>
      <c r="J1187" s="264"/>
    </row>
    <row r="1188" spans="1:10" s="253" customFormat="1" x14ac:dyDescent="0.2">
      <c r="A1188" s="254"/>
      <c r="B1188" s="368" t="s">
        <v>634</v>
      </c>
      <c r="C1188" s="254"/>
      <c r="D1188" s="263">
        <v>2</v>
      </c>
      <c r="E1188" s="263"/>
      <c r="F1188" s="263"/>
      <c r="G1188" s="263"/>
      <c r="H1188" s="263"/>
      <c r="I1188" s="263"/>
      <c r="J1188" s="264">
        <f>D1188</f>
        <v>2</v>
      </c>
    </row>
    <row r="1189" spans="1:10" s="253" customFormat="1" x14ac:dyDescent="0.2">
      <c r="A1189" s="254"/>
      <c r="B1189" s="368" t="s">
        <v>1451</v>
      </c>
      <c r="C1189" s="254"/>
      <c r="D1189" s="263">
        <v>2</v>
      </c>
      <c r="E1189" s="263"/>
      <c r="F1189" s="263"/>
      <c r="G1189" s="263"/>
      <c r="H1189" s="263"/>
      <c r="I1189" s="263"/>
      <c r="J1189" s="264">
        <f t="shared" ref="J1189:J1201" si="58">D1189</f>
        <v>2</v>
      </c>
    </row>
    <row r="1190" spans="1:10" s="253" customFormat="1" x14ac:dyDescent="0.2">
      <c r="A1190" s="254"/>
      <c r="B1190" s="368" t="s">
        <v>1452</v>
      </c>
      <c r="C1190" s="254"/>
      <c r="D1190" s="263">
        <v>2</v>
      </c>
      <c r="E1190" s="263"/>
      <c r="F1190" s="263"/>
      <c r="G1190" s="263"/>
      <c r="H1190" s="263"/>
      <c r="I1190" s="263"/>
      <c r="J1190" s="264">
        <f t="shared" si="58"/>
        <v>2</v>
      </c>
    </row>
    <row r="1191" spans="1:10" s="253" customFormat="1" x14ac:dyDescent="0.2">
      <c r="A1191" s="254"/>
      <c r="B1191" s="368" t="s">
        <v>1453</v>
      </c>
      <c r="C1191" s="254"/>
      <c r="D1191" s="263">
        <v>2</v>
      </c>
      <c r="E1191" s="263"/>
      <c r="F1191" s="263"/>
      <c r="G1191" s="263"/>
      <c r="H1191" s="263"/>
      <c r="I1191" s="263"/>
      <c r="J1191" s="264">
        <f t="shared" si="58"/>
        <v>2</v>
      </c>
    </row>
    <row r="1192" spans="1:10" s="253" customFormat="1" x14ac:dyDescent="0.2">
      <c r="A1192" s="254"/>
      <c r="B1192" s="368" t="s">
        <v>622</v>
      </c>
      <c r="C1192" s="254"/>
      <c r="D1192" s="263">
        <v>2</v>
      </c>
      <c r="E1192" s="263"/>
      <c r="F1192" s="263"/>
      <c r="G1192" s="263"/>
      <c r="H1192" s="263"/>
      <c r="I1192" s="263"/>
      <c r="J1192" s="264">
        <f t="shared" si="58"/>
        <v>2</v>
      </c>
    </row>
    <row r="1193" spans="1:10" s="253" customFormat="1" x14ac:dyDescent="0.2">
      <c r="A1193" s="254"/>
      <c r="B1193" s="368" t="s">
        <v>1443</v>
      </c>
      <c r="C1193" s="254"/>
      <c r="D1193" s="263">
        <v>4</v>
      </c>
      <c r="E1193" s="263"/>
      <c r="F1193" s="263"/>
      <c r="G1193" s="263"/>
      <c r="H1193" s="263"/>
      <c r="I1193" s="263"/>
      <c r="J1193" s="264">
        <f t="shared" si="58"/>
        <v>4</v>
      </c>
    </row>
    <row r="1194" spans="1:10" s="253" customFormat="1" x14ac:dyDescent="0.2">
      <c r="A1194" s="254"/>
      <c r="B1194" s="379" t="s">
        <v>680</v>
      </c>
      <c r="C1194" s="254"/>
      <c r="D1194" s="263">
        <v>1</v>
      </c>
      <c r="E1194" s="263"/>
      <c r="F1194" s="263"/>
      <c r="G1194" s="263"/>
      <c r="H1194" s="263"/>
      <c r="I1194" s="263"/>
      <c r="J1194" s="264">
        <f t="shared" si="58"/>
        <v>1</v>
      </c>
    </row>
    <row r="1195" spans="1:10" s="253" customFormat="1" x14ac:dyDescent="0.2">
      <c r="A1195" s="254"/>
      <c r="B1195" s="101" t="s">
        <v>1445</v>
      </c>
      <c r="C1195" s="254"/>
      <c r="D1195" s="263"/>
      <c r="E1195" s="263"/>
      <c r="F1195" s="263"/>
      <c r="G1195" s="263"/>
      <c r="H1195" s="263"/>
      <c r="I1195" s="263"/>
      <c r="J1195" s="264"/>
    </row>
    <row r="1196" spans="1:10" s="253" customFormat="1" x14ac:dyDescent="0.2">
      <c r="A1196" s="254"/>
      <c r="B1196" s="368" t="s">
        <v>1454</v>
      </c>
      <c r="C1196" s="254"/>
      <c r="D1196" s="263">
        <v>2</v>
      </c>
      <c r="E1196" s="263"/>
      <c r="F1196" s="263"/>
      <c r="G1196" s="263"/>
      <c r="H1196" s="263"/>
      <c r="I1196" s="263"/>
      <c r="J1196" s="264">
        <f t="shared" si="58"/>
        <v>2</v>
      </c>
    </row>
    <row r="1197" spans="1:10" s="253" customFormat="1" x14ac:dyDescent="0.2">
      <c r="A1197" s="254"/>
      <c r="B1197" s="368" t="s">
        <v>624</v>
      </c>
      <c r="C1197" s="254"/>
      <c r="D1197" s="263">
        <v>1</v>
      </c>
      <c r="E1197" s="263"/>
      <c r="F1197" s="263"/>
      <c r="G1197" s="263"/>
      <c r="H1197" s="263"/>
      <c r="I1197" s="263"/>
      <c r="J1197" s="264">
        <f t="shared" si="58"/>
        <v>1</v>
      </c>
    </row>
    <row r="1198" spans="1:10" s="253" customFormat="1" x14ac:dyDescent="0.2">
      <c r="A1198" s="254"/>
      <c r="B1198" s="368" t="s">
        <v>625</v>
      </c>
      <c r="C1198" s="254"/>
      <c r="D1198" s="263">
        <v>2</v>
      </c>
      <c r="E1198" s="263"/>
      <c r="F1198" s="263"/>
      <c r="G1198" s="263"/>
      <c r="H1198" s="263"/>
      <c r="I1198" s="263"/>
      <c r="J1198" s="264">
        <f t="shared" si="58"/>
        <v>2</v>
      </c>
    </row>
    <row r="1199" spans="1:10" s="253" customFormat="1" x14ac:dyDescent="0.2">
      <c r="A1199" s="254"/>
      <c r="B1199" s="368" t="s">
        <v>639</v>
      </c>
      <c r="C1199" s="254"/>
      <c r="D1199" s="263">
        <v>1</v>
      </c>
      <c r="E1199" s="263"/>
      <c r="F1199" s="263"/>
      <c r="G1199" s="263"/>
      <c r="H1199" s="263"/>
      <c r="I1199" s="263"/>
      <c r="J1199" s="264">
        <f t="shared" si="58"/>
        <v>1</v>
      </c>
    </row>
    <row r="1200" spans="1:10" s="253" customFormat="1" x14ac:dyDescent="0.2">
      <c r="A1200" s="254"/>
      <c r="B1200" s="368" t="s">
        <v>1447</v>
      </c>
      <c r="C1200" s="254"/>
      <c r="D1200" s="263">
        <v>1</v>
      </c>
      <c r="E1200" s="263"/>
      <c r="F1200" s="263"/>
      <c r="G1200" s="263"/>
      <c r="H1200" s="263"/>
      <c r="I1200" s="263"/>
      <c r="J1200" s="264">
        <f t="shared" si="58"/>
        <v>1</v>
      </c>
    </row>
    <row r="1201" spans="1:10" s="253" customFormat="1" x14ac:dyDescent="0.2">
      <c r="A1201" s="254"/>
      <c r="B1201" s="379" t="s">
        <v>628</v>
      </c>
      <c r="C1201" s="254"/>
      <c r="D1201" s="263">
        <v>2</v>
      </c>
      <c r="E1201" s="263"/>
      <c r="F1201" s="263"/>
      <c r="G1201" s="263"/>
      <c r="H1201" s="263"/>
      <c r="I1201" s="263"/>
      <c r="J1201" s="264">
        <f t="shared" si="58"/>
        <v>2</v>
      </c>
    </row>
    <row r="1202" spans="1:10" s="253" customFormat="1" x14ac:dyDescent="0.2">
      <c r="A1202" s="254"/>
      <c r="B1202" s="255"/>
      <c r="C1202" s="254"/>
      <c r="D1202" s="263"/>
      <c r="E1202" s="263"/>
      <c r="F1202" s="263"/>
      <c r="G1202" s="263"/>
      <c r="H1202" s="263"/>
      <c r="I1202" s="261" t="s">
        <v>604</v>
      </c>
      <c r="J1202" s="260">
        <f>SUM(J1188:J1201)</f>
        <v>24</v>
      </c>
    </row>
    <row r="1203" spans="1:10" s="253" customFormat="1" x14ac:dyDescent="0.2">
      <c r="A1203" s="254"/>
      <c r="B1203" s="255"/>
      <c r="C1203" s="254"/>
      <c r="D1203" s="263"/>
      <c r="E1203" s="263"/>
      <c r="F1203" s="263"/>
      <c r="G1203" s="263"/>
      <c r="H1203" s="263"/>
      <c r="I1203" s="263"/>
      <c r="J1203" s="264"/>
    </row>
    <row r="1204" spans="1:10" ht="25.5" x14ac:dyDescent="0.2">
      <c r="A1204" s="254" t="s">
        <v>1462</v>
      </c>
      <c r="B1204" s="21" t="s">
        <v>197</v>
      </c>
      <c r="C1204" s="19" t="s">
        <v>43</v>
      </c>
      <c r="D1204" s="263" t="s">
        <v>257</v>
      </c>
      <c r="E1204" s="93" t="s">
        <v>258</v>
      </c>
      <c r="F1204" s="93" t="s">
        <v>259</v>
      </c>
      <c r="G1204" s="93" t="s">
        <v>260</v>
      </c>
      <c r="H1204" s="93" t="s">
        <v>261</v>
      </c>
      <c r="I1204" s="93" t="s">
        <v>262</v>
      </c>
      <c r="J1204" s="94" t="s">
        <v>263</v>
      </c>
    </row>
    <row r="1205" spans="1:10" s="253" customFormat="1" x14ac:dyDescent="0.2">
      <c r="A1205" s="254"/>
      <c r="B1205" s="101" t="s">
        <v>676</v>
      </c>
      <c r="C1205" s="254"/>
      <c r="D1205" s="263"/>
      <c r="E1205" s="263"/>
      <c r="F1205" s="263"/>
      <c r="G1205" s="263"/>
      <c r="H1205" s="263"/>
      <c r="I1205" s="263"/>
      <c r="J1205" s="264"/>
    </row>
    <row r="1206" spans="1:10" s="253" customFormat="1" x14ac:dyDescent="0.2">
      <c r="A1206" s="254"/>
      <c r="B1206" s="379" t="s">
        <v>634</v>
      </c>
      <c r="C1206" s="254"/>
      <c r="D1206" s="263">
        <v>2</v>
      </c>
      <c r="E1206" s="263"/>
      <c r="F1206" s="263"/>
      <c r="G1206" s="263"/>
      <c r="H1206" s="263"/>
      <c r="I1206" s="263"/>
      <c r="J1206" s="264">
        <f>D1206</f>
        <v>2</v>
      </c>
    </row>
    <row r="1207" spans="1:10" s="253" customFormat="1" x14ac:dyDescent="0.2">
      <c r="A1207" s="254"/>
      <c r="B1207" s="379" t="s">
        <v>1451</v>
      </c>
      <c r="C1207" s="254"/>
      <c r="D1207" s="263">
        <v>2</v>
      </c>
      <c r="E1207" s="263"/>
      <c r="F1207" s="263"/>
      <c r="G1207" s="263"/>
      <c r="H1207" s="263"/>
      <c r="I1207" s="263"/>
      <c r="J1207" s="264">
        <f t="shared" ref="J1207:J1212" si="59">D1207</f>
        <v>2</v>
      </c>
    </row>
    <row r="1208" spans="1:10" s="253" customFormat="1" x14ac:dyDescent="0.2">
      <c r="A1208" s="254"/>
      <c r="B1208" s="379" t="s">
        <v>1452</v>
      </c>
      <c r="C1208" s="254"/>
      <c r="D1208" s="263">
        <v>2</v>
      </c>
      <c r="E1208" s="263"/>
      <c r="F1208" s="263"/>
      <c r="G1208" s="263"/>
      <c r="H1208" s="263"/>
      <c r="I1208" s="263"/>
      <c r="J1208" s="264">
        <f t="shared" si="59"/>
        <v>2</v>
      </c>
    </row>
    <row r="1209" spans="1:10" s="253" customFormat="1" x14ac:dyDescent="0.2">
      <c r="A1209" s="254"/>
      <c r="B1209" s="379" t="s">
        <v>1453</v>
      </c>
      <c r="C1209" s="254"/>
      <c r="D1209" s="263">
        <v>2</v>
      </c>
      <c r="E1209" s="263"/>
      <c r="F1209" s="263"/>
      <c r="G1209" s="263"/>
      <c r="H1209" s="263"/>
      <c r="I1209" s="263"/>
      <c r="J1209" s="264">
        <f t="shared" si="59"/>
        <v>2</v>
      </c>
    </row>
    <row r="1210" spans="1:10" s="253" customFormat="1" x14ac:dyDescent="0.2">
      <c r="A1210" s="254"/>
      <c r="B1210" s="379" t="s">
        <v>622</v>
      </c>
      <c r="C1210" s="254"/>
      <c r="D1210" s="263">
        <v>2</v>
      </c>
      <c r="E1210" s="263"/>
      <c r="F1210" s="263"/>
      <c r="G1210" s="263"/>
      <c r="H1210" s="263"/>
      <c r="I1210" s="263"/>
      <c r="J1210" s="264">
        <f t="shared" si="59"/>
        <v>2</v>
      </c>
    </row>
    <row r="1211" spans="1:10" s="253" customFormat="1" x14ac:dyDescent="0.2">
      <c r="A1211" s="254"/>
      <c r="B1211" s="379" t="s">
        <v>1443</v>
      </c>
      <c r="C1211" s="254"/>
      <c r="D1211" s="263">
        <v>4</v>
      </c>
      <c r="E1211" s="263"/>
      <c r="F1211" s="263"/>
      <c r="G1211" s="263"/>
      <c r="H1211" s="263"/>
      <c r="I1211" s="263"/>
      <c r="J1211" s="264">
        <f t="shared" si="59"/>
        <v>4</v>
      </c>
    </row>
    <row r="1212" spans="1:10" s="253" customFormat="1" x14ac:dyDescent="0.2">
      <c r="A1212" s="254"/>
      <c r="B1212" s="379" t="s">
        <v>680</v>
      </c>
      <c r="C1212" s="254"/>
      <c r="D1212" s="263">
        <v>1</v>
      </c>
      <c r="E1212" s="263"/>
      <c r="F1212" s="263"/>
      <c r="G1212" s="263"/>
      <c r="H1212" s="263"/>
      <c r="I1212" s="263"/>
      <c r="J1212" s="264">
        <f t="shared" si="59"/>
        <v>1</v>
      </c>
    </row>
    <row r="1213" spans="1:10" s="253" customFormat="1" x14ac:dyDescent="0.2">
      <c r="A1213" s="254"/>
      <c r="B1213" s="101" t="s">
        <v>1445</v>
      </c>
      <c r="C1213" s="254"/>
      <c r="D1213" s="263"/>
      <c r="E1213" s="263"/>
      <c r="F1213" s="263"/>
      <c r="G1213" s="263"/>
      <c r="H1213" s="263"/>
      <c r="I1213" s="263"/>
      <c r="J1213" s="264"/>
    </row>
    <row r="1214" spans="1:10" s="253" customFormat="1" x14ac:dyDescent="0.2">
      <c r="A1214" s="254"/>
      <c r="B1214" s="379" t="s">
        <v>1454</v>
      </c>
      <c r="C1214" s="254"/>
      <c r="D1214" s="263">
        <v>2</v>
      </c>
      <c r="E1214" s="263"/>
      <c r="F1214" s="263"/>
      <c r="G1214" s="263"/>
      <c r="H1214" s="263"/>
      <c r="I1214" s="263"/>
      <c r="J1214" s="264">
        <f t="shared" ref="J1214:J1219" si="60">D1214</f>
        <v>2</v>
      </c>
    </row>
    <row r="1215" spans="1:10" s="253" customFormat="1" x14ac:dyDescent="0.2">
      <c r="A1215" s="254"/>
      <c r="B1215" s="379" t="s">
        <v>624</v>
      </c>
      <c r="C1215" s="254"/>
      <c r="D1215" s="263">
        <v>1</v>
      </c>
      <c r="E1215" s="263"/>
      <c r="F1215" s="263"/>
      <c r="G1215" s="263"/>
      <c r="H1215" s="263"/>
      <c r="I1215" s="263"/>
      <c r="J1215" s="264">
        <f t="shared" si="60"/>
        <v>1</v>
      </c>
    </row>
    <row r="1216" spans="1:10" s="253" customFormat="1" x14ac:dyDescent="0.2">
      <c r="A1216" s="254"/>
      <c r="B1216" s="379" t="s">
        <v>625</v>
      </c>
      <c r="C1216" s="254"/>
      <c r="D1216" s="263">
        <v>2</v>
      </c>
      <c r="E1216" s="263"/>
      <c r="F1216" s="263"/>
      <c r="G1216" s="263"/>
      <c r="H1216" s="263"/>
      <c r="I1216" s="263"/>
      <c r="J1216" s="264">
        <f t="shared" si="60"/>
        <v>2</v>
      </c>
    </row>
    <row r="1217" spans="1:10" s="253" customFormat="1" x14ac:dyDescent="0.2">
      <c r="A1217" s="254"/>
      <c r="B1217" s="379" t="s">
        <v>639</v>
      </c>
      <c r="C1217" s="254"/>
      <c r="D1217" s="263">
        <v>1</v>
      </c>
      <c r="E1217" s="263"/>
      <c r="F1217" s="263"/>
      <c r="G1217" s="263"/>
      <c r="H1217" s="263"/>
      <c r="I1217" s="263"/>
      <c r="J1217" s="264">
        <f t="shared" si="60"/>
        <v>1</v>
      </c>
    </row>
    <row r="1218" spans="1:10" s="253" customFormat="1" x14ac:dyDescent="0.2">
      <c r="A1218" s="254"/>
      <c r="B1218" s="379" t="s">
        <v>1447</v>
      </c>
      <c r="C1218" s="254"/>
      <c r="D1218" s="263">
        <v>1</v>
      </c>
      <c r="E1218" s="263"/>
      <c r="F1218" s="263"/>
      <c r="G1218" s="263"/>
      <c r="H1218" s="263"/>
      <c r="I1218" s="263"/>
      <c r="J1218" s="264">
        <f t="shared" si="60"/>
        <v>1</v>
      </c>
    </row>
    <row r="1219" spans="1:10" s="253" customFormat="1" x14ac:dyDescent="0.2">
      <c r="A1219" s="254"/>
      <c r="B1219" s="379" t="s">
        <v>628</v>
      </c>
      <c r="C1219" s="254"/>
      <c r="D1219" s="263">
        <v>2</v>
      </c>
      <c r="E1219" s="263"/>
      <c r="F1219" s="263"/>
      <c r="G1219" s="263"/>
      <c r="H1219" s="263"/>
      <c r="I1219" s="263"/>
      <c r="J1219" s="264">
        <f t="shared" si="60"/>
        <v>2</v>
      </c>
    </row>
    <row r="1220" spans="1:10" ht="13.5" customHeight="1" x14ac:dyDescent="0.2">
      <c r="A1220" s="41"/>
      <c r="B1220" s="255"/>
      <c r="C1220" s="254"/>
      <c r="D1220" s="263"/>
      <c r="E1220" s="263"/>
      <c r="F1220" s="263"/>
      <c r="G1220" s="263"/>
      <c r="H1220" s="263"/>
      <c r="I1220" s="261" t="s">
        <v>604</v>
      </c>
      <c r="J1220" s="260">
        <f>SUM(J1206:J1219)</f>
        <v>24</v>
      </c>
    </row>
    <row r="1221" spans="1:10" s="253" customFormat="1" ht="13.5" customHeight="1" x14ac:dyDescent="0.2">
      <c r="A1221" s="256"/>
      <c r="B1221" s="256"/>
      <c r="C1221" s="256"/>
      <c r="D1221" s="99"/>
      <c r="E1221" s="256"/>
      <c r="F1221" s="256"/>
      <c r="G1221" s="256"/>
      <c r="H1221" s="256"/>
      <c r="I1221" s="256"/>
      <c r="J1221" s="256"/>
    </row>
    <row r="1222" spans="1:10" x14ac:dyDescent="0.2">
      <c r="A1222" s="11">
        <v>17</v>
      </c>
      <c r="B1222" s="7" t="s">
        <v>198</v>
      </c>
      <c r="C1222" s="5"/>
      <c r="D1222" s="277"/>
      <c r="E1222" s="77"/>
      <c r="F1222" s="77"/>
      <c r="G1222" s="77"/>
      <c r="H1222" s="77"/>
      <c r="I1222" s="77"/>
      <c r="J1222" s="77"/>
    </row>
    <row r="1223" spans="1:10" x14ac:dyDescent="0.2">
      <c r="A1223" s="23" t="s">
        <v>405</v>
      </c>
      <c r="B1223" s="18" t="s">
        <v>199</v>
      </c>
      <c r="C1223" s="19"/>
      <c r="D1223" s="99"/>
      <c r="E1223" s="41"/>
      <c r="F1223" s="41"/>
      <c r="G1223" s="41"/>
      <c r="H1223" s="41"/>
      <c r="I1223" s="41"/>
      <c r="J1223" s="41"/>
    </row>
    <row r="1224" spans="1:10" ht="25.5" x14ac:dyDescent="0.2">
      <c r="A1224" s="19" t="s">
        <v>406</v>
      </c>
      <c r="B1224" s="21" t="s">
        <v>200</v>
      </c>
      <c r="C1224" s="19" t="s">
        <v>43</v>
      </c>
      <c r="D1224" s="263" t="s">
        <v>257</v>
      </c>
      <c r="E1224" s="93" t="s">
        <v>258</v>
      </c>
      <c r="F1224" s="93" t="s">
        <v>259</v>
      </c>
      <c r="G1224" s="93" t="s">
        <v>260</v>
      </c>
      <c r="H1224" s="93" t="s">
        <v>261</v>
      </c>
      <c r="I1224" s="93" t="s">
        <v>262</v>
      </c>
      <c r="J1224" s="94" t="s">
        <v>263</v>
      </c>
    </row>
    <row r="1225" spans="1:10" x14ac:dyDescent="0.2">
      <c r="A1225" s="19"/>
      <c r="B1225" s="80" t="s">
        <v>638</v>
      </c>
      <c r="C1225" s="19"/>
      <c r="D1225" s="265">
        <v>1</v>
      </c>
      <c r="E1225" s="102"/>
      <c r="F1225" s="102"/>
      <c r="G1225" s="102"/>
      <c r="H1225" s="102"/>
      <c r="I1225" s="102"/>
      <c r="J1225" s="102">
        <f>D1225</f>
        <v>1</v>
      </c>
    </row>
    <row r="1226" spans="1:10" x14ac:dyDescent="0.2">
      <c r="A1226" s="19"/>
      <c r="B1226" s="80" t="s">
        <v>637</v>
      </c>
      <c r="C1226" s="19"/>
      <c r="D1226" s="265">
        <v>1</v>
      </c>
      <c r="E1226" s="102"/>
      <c r="F1226" s="102"/>
      <c r="G1226" s="102"/>
      <c r="H1226" s="102"/>
      <c r="I1226" s="102"/>
      <c r="J1226" s="102">
        <f>D1226</f>
        <v>1</v>
      </c>
    </row>
    <row r="1227" spans="1:10" x14ac:dyDescent="0.2">
      <c r="A1227" s="19"/>
      <c r="B1227" s="21"/>
      <c r="C1227" s="19"/>
      <c r="D1227" s="99"/>
      <c r="E1227" s="41"/>
      <c r="F1227" s="41"/>
      <c r="G1227" s="41"/>
      <c r="H1227" s="41"/>
      <c r="I1227" s="91" t="s">
        <v>604</v>
      </c>
      <c r="J1227" s="90">
        <f>SUM(J1225:J1226)</f>
        <v>2</v>
      </c>
    </row>
    <row r="1228" spans="1:10" x14ac:dyDescent="0.2">
      <c r="A1228" s="19"/>
      <c r="B1228" s="21"/>
      <c r="C1228" s="19"/>
      <c r="D1228" s="99"/>
      <c r="E1228" s="41"/>
      <c r="F1228" s="41"/>
      <c r="G1228" s="41"/>
      <c r="H1228" s="41"/>
      <c r="I1228" s="41"/>
      <c r="J1228" s="41"/>
    </row>
    <row r="1229" spans="1:10" ht="51" x14ac:dyDescent="0.2">
      <c r="A1229" s="19" t="s">
        <v>407</v>
      </c>
      <c r="B1229" s="21" t="s">
        <v>887</v>
      </c>
      <c r="C1229" s="19" t="s">
        <v>43</v>
      </c>
      <c r="D1229" s="263" t="s">
        <v>257</v>
      </c>
      <c r="E1229" s="93" t="s">
        <v>258</v>
      </c>
      <c r="F1229" s="93" t="s">
        <v>259</v>
      </c>
      <c r="G1229" s="93" t="s">
        <v>260</v>
      </c>
      <c r="H1229" s="93" t="s">
        <v>261</v>
      </c>
      <c r="I1229" s="93" t="s">
        <v>262</v>
      </c>
      <c r="J1229" s="94" t="s">
        <v>263</v>
      </c>
    </row>
    <row r="1230" spans="1:10" x14ac:dyDescent="0.2">
      <c r="A1230" s="19"/>
      <c r="B1230" s="80" t="s">
        <v>638</v>
      </c>
      <c r="C1230" s="19"/>
      <c r="D1230" s="265">
        <v>1</v>
      </c>
      <c r="E1230" s="102"/>
      <c r="F1230" s="102"/>
      <c r="G1230" s="102"/>
      <c r="H1230" s="102"/>
      <c r="I1230" s="102"/>
      <c r="J1230" s="102">
        <f>D1230</f>
        <v>1</v>
      </c>
    </row>
    <row r="1231" spans="1:10" x14ac:dyDescent="0.2">
      <c r="A1231" s="19"/>
      <c r="B1231" s="80" t="s">
        <v>637</v>
      </c>
      <c r="C1231" s="19"/>
      <c r="D1231" s="265">
        <v>1</v>
      </c>
      <c r="E1231" s="102"/>
      <c r="F1231" s="102"/>
      <c r="G1231" s="102"/>
      <c r="H1231" s="102"/>
      <c r="I1231" s="102"/>
      <c r="J1231" s="102">
        <f>D1231</f>
        <v>1</v>
      </c>
    </row>
    <row r="1232" spans="1:10" x14ac:dyDescent="0.2">
      <c r="A1232" s="19"/>
      <c r="B1232" s="21"/>
      <c r="C1232" s="19"/>
      <c r="D1232" s="99"/>
      <c r="E1232" s="41"/>
      <c r="F1232" s="41"/>
      <c r="G1232" s="41"/>
      <c r="H1232" s="41"/>
      <c r="I1232" s="91" t="s">
        <v>604</v>
      </c>
      <c r="J1232" s="90">
        <f>SUM(J1230:J1231)</f>
        <v>2</v>
      </c>
    </row>
    <row r="1233" spans="1:10" x14ac:dyDescent="0.2">
      <c r="A1233" s="19"/>
      <c r="B1233" s="21"/>
      <c r="C1233" s="19"/>
      <c r="D1233" s="99"/>
      <c r="E1233" s="41"/>
      <c r="F1233" s="41"/>
      <c r="G1233" s="41"/>
      <c r="H1233" s="41"/>
      <c r="I1233" s="41"/>
      <c r="J1233" s="41"/>
    </row>
    <row r="1234" spans="1:10" ht="25.5" x14ac:dyDescent="0.2">
      <c r="A1234" s="19" t="s">
        <v>408</v>
      </c>
      <c r="B1234" s="21" t="s">
        <v>201</v>
      </c>
      <c r="C1234" s="19" t="s">
        <v>43</v>
      </c>
      <c r="D1234" s="263" t="s">
        <v>257</v>
      </c>
      <c r="E1234" s="93" t="s">
        <v>258</v>
      </c>
      <c r="F1234" s="93" t="s">
        <v>259</v>
      </c>
      <c r="G1234" s="93" t="s">
        <v>260</v>
      </c>
      <c r="H1234" s="93" t="s">
        <v>261</v>
      </c>
      <c r="I1234" s="93" t="s">
        <v>262</v>
      </c>
      <c r="J1234" s="94" t="s">
        <v>263</v>
      </c>
    </row>
    <row r="1235" spans="1:10" x14ac:dyDescent="0.2">
      <c r="A1235" s="19"/>
      <c r="B1235" s="80" t="s">
        <v>642</v>
      </c>
      <c r="C1235" s="19"/>
      <c r="D1235" s="265">
        <v>1</v>
      </c>
      <c r="E1235" s="102"/>
      <c r="F1235" s="102"/>
      <c r="G1235" s="102"/>
      <c r="H1235" s="102"/>
      <c r="I1235" s="102"/>
      <c r="J1235" s="102">
        <f>D1235</f>
        <v>1</v>
      </c>
    </row>
    <row r="1236" spans="1:10" x14ac:dyDescent="0.2">
      <c r="A1236" s="19"/>
      <c r="B1236" s="80" t="s">
        <v>641</v>
      </c>
      <c r="C1236" s="19"/>
      <c r="D1236" s="265">
        <v>1</v>
      </c>
      <c r="E1236" s="102"/>
      <c r="F1236" s="102"/>
      <c r="G1236" s="102"/>
      <c r="H1236" s="102"/>
      <c r="I1236" s="102"/>
      <c r="J1236" s="102">
        <f>D1236</f>
        <v>1</v>
      </c>
    </row>
    <row r="1237" spans="1:10" x14ac:dyDescent="0.2">
      <c r="A1237" s="19"/>
      <c r="B1237" s="80" t="s">
        <v>644</v>
      </c>
      <c r="C1237" s="19"/>
      <c r="D1237" s="265">
        <v>1</v>
      </c>
      <c r="E1237" s="102"/>
      <c r="F1237" s="102"/>
      <c r="G1237" s="102"/>
      <c r="H1237" s="102"/>
      <c r="I1237" s="102"/>
      <c r="J1237" s="102">
        <f>D1237</f>
        <v>1</v>
      </c>
    </row>
    <row r="1238" spans="1:10" x14ac:dyDescent="0.2">
      <c r="A1238" s="19"/>
      <c r="B1238" s="80"/>
      <c r="C1238" s="19"/>
      <c r="D1238" s="265"/>
      <c r="E1238" s="102"/>
      <c r="F1238" s="102"/>
      <c r="G1238" s="102"/>
      <c r="H1238" s="102"/>
      <c r="I1238" s="91" t="s">
        <v>604</v>
      </c>
      <c r="J1238" s="90">
        <f>SUM(J1235:J1237)</f>
        <v>3</v>
      </c>
    </row>
    <row r="1239" spans="1:10" x14ac:dyDescent="0.2">
      <c r="A1239" s="19"/>
      <c r="B1239" s="21"/>
      <c r="C1239" s="19"/>
      <c r="D1239" s="99"/>
      <c r="E1239" s="41"/>
      <c r="F1239" s="41"/>
      <c r="G1239" s="41"/>
      <c r="H1239" s="41"/>
      <c r="I1239" s="41"/>
      <c r="J1239" s="41"/>
    </row>
    <row r="1240" spans="1:10" ht="38.25" x14ac:dyDescent="0.2">
      <c r="A1240" s="19" t="s">
        <v>409</v>
      </c>
      <c r="B1240" s="21" t="s">
        <v>202</v>
      </c>
      <c r="C1240" s="19" t="s">
        <v>43</v>
      </c>
      <c r="D1240" s="263" t="s">
        <v>257</v>
      </c>
      <c r="E1240" s="93" t="s">
        <v>258</v>
      </c>
      <c r="F1240" s="93" t="s">
        <v>259</v>
      </c>
      <c r="G1240" s="93" t="s">
        <v>260</v>
      </c>
      <c r="H1240" s="93" t="s">
        <v>261</v>
      </c>
      <c r="I1240" s="93" t="s">
        <v>262</v>
      </c>
      <c r="J1240" s="94" t="s">
        <v>263</v>
      </c>
    </row>
    <row r="1241" spans="1:10" x14ac:dyDescent="0.2">
      <c r="A1241" s="19"/>
      <c r="B1241" s="80" t="s">
        <v>642</v>
      </c>
      <c r="C1241" s="19"/>
      <c r="D1241" s="265">
        <v>1</v>
      </c>
      <c r="E1241" s="102"/>
      <c r="F1241" s="102"/>
      <c r="G1241" s="102"/>
      <c r="H1241" s="102"/>
      <c r="I1241" s="102"/>
      <c r="J1241" s="102">
        <f>D1241</f>
        <v>1</v>
      </c>
    </row>
    <row r="1242" spans="1:10" x14ac:dyDescent="0.2">
      <c r="A1242" s="19"/>
      <c r="B1242" s="80" t="s">
        <v>641</v>
      </c>
      <c r="C1242" s="19"/>
      <c r="D1242" s="265">
        <v>1</v>
      </c>
      <c r="E1242" s="102"/>
      <c r="F1242" s="102"/>
      <c r="G1242" s="102"/>
      <c r="H1242" s="102"/>
      <c r="I1242" s="102"/>
      <c r="J1242" s="102">
        <f>D1242</f>
        <v>1</v>
      </c>
    </row>
    <row r="1243" spans="1:10" x14ac:dyDescent="0.2">
      <c r="A1243" s="19"/>
      <c r="B1243" s="80" t="s">
        <v>644</v>
      </c>
      <c r="C1243" s="19"/>
      <c r="D1243" s="265">
        <v>1</v>
      </c>
      <c r="E1243" s="102"/>
      <c r="F1243" s="102"/>
      <c r="G1243" s="102"/>
      <c r="H1243" s="102"/>
      <c r="I1243" s="102"/>
      <c r="J1243" s="102">
        <f>D1243</f>
        <v>1</v>
      </c>
    </row>
    <row r="1244" spans="1:10" x14ac:dyDescent="0.2">
      <c r="A1244" s="19"/>
      <c r="B1244" s="80"/>
      <c r="C1244" s="19"/>
      <c r="D1244" s="265"/>
      <c r="E1244" s="102"/>
      <c r="F1244" s="102"/>
      <c r="G1244" s="102"/>
      <c r="H1244" s="102"/>
      <c r="I1244" s="91" t="s">
        <v>604</v>
      </c>
      <c r="J1244" s="90">
        <f>SUM(J1241:J1243)</f>
        <v>3</v>
      </c>
    </row>
    <row r="1245" spans="1:10" x14ac:dyDescent="0.2">
      <c r="A1245" s="19"/>
      <c r="B1245" s="21"/>
      <c r="C1245" s="19"/>
      <c r="D1245" s="99"/>
      <c r="E1245" s="41"/>
      <c r="F1245" s="41"/>
      <c r="G1245" s="41"/>
      <c r="H1245" s="41"/>
      <c r="I1245" s="41"/>
      <c r="J1245" s="41"/>
    </row>
    <row r="1246" spans="1:10" x14ac:dyDescent="0.2">
      <c r="A1246" s="23" t="s">
        <v>410</v>
      </c>
      <c r="B1246" s="18" t="s">
        <v>203</v>
      </c>
      <c r="C1246" s="19"/>
      <c r="D1246" s="99"/>
      <c r="E1246" s="41"/>
      <c r="F1246" s="41"/>
      <c r="G1246" s="41"/>
      <c r="H1246" s="41"/>
      <c r="I1246" s="41"/>
      <c r="J1246" s="41"/>
    </row>
    <row r="1247" spans="1:10" ht="25.5" x14ac:dyDescent="0.2">
      <c r="A1247" s="19" t="s">
        <v>411</v>
      </c>
      <c r="B1247" s="21" t="s">
        <v>205</v>
      </c>
      <c r="C1247" s="19" t="s">
        <v>39</v>
      </c>
      <c r="D1247" s="263" t="s">
        <v>257</v>
      </c>
      <c r="E1247" s="93" t="s">
        <v>258</v>
      </c>
      <c r="F1247" s="93" t="s">
        <v>259</v>
      </c>
      <c r="G1247" s="93" t="s">
        <v>260</v>
      </c>
      <c r="H1247" s="93" t="s">
        <v>261</v>
      </c>
      <c r="I1247" s="93" t="s">
        <v>262</v>
      </c>
      <c r="J1247" s="94" t="s">
        <v>263</v>
      </c>
    </row>
    <row r="1248" spans="1:10" x14ac:dyDescent="0.2">
      <c r="A1248" s="19"/>
      <c r="B1248" s="80" t="s">
        <v>642</v>
      </c>
      <c r="C1248" s="19"/>
      <c r="D1248" s="265">
        <v>1</v>
      </c>
      <c r="E1248" s="102">
        <v>1</v>
      </c>
      <c r="F1248" s="102">
        <v>0.5</v>
      </c>
      <c r="G1248" s="102"/>
      <c r="H1248" s="102">
        <f>D1248*E1248*F1248</f>
        <v>0.5</v>
      </c>
      <c r="I1248" s="102"/>
      <c r="J1248" s="102">
        <f t="shared" ref="J1248:J1255" si="61">H1248</f>
        <v>0.5</v>
      </c>
    </row>
    <row r="1249" spans="1:10" x14ac:dyDescent="0.2">
      <c r="A1249" s="19"/>
      <c r="B1249" s="80" t="s">
        <v>641</v>
      </c>
      <c r="C1249" s="19"/>
      <c r="D1249" s="265">
        <v>1</v>
      </c>
      <c r="E1249" s="102">
        <v>1</v>
      </c>
      <c r="F1249" s="102">
        <v>0.5</v>
      </c>
      <c r="G1249" s="102"/>
      <c r="H1249" s="102">
        <f t="shared" ref="H1249:H1254" si="62">D1249*E1249*F1249</f>
        <v>0.5</v>
      </c>
      <c r="I1249" s="102"/>
      <c r="J1249" s="102">
        <f t="shared" si="61"/>
        <v>0.5</v>
      </c>
    </row>
    <row r="1250" spans="1:10" x14ac:dyDescent="0.2">
      <c r="A1250" s="19"/>
      <c r="B1250" s="80" t="s">
        <v>644</v>
      </c>
      <c r="C1250" s="19"/>
      <c r="D1250" s="265">
        <v>1</v>
      </c>
      <c r="E1250" s="102">
        <v>1</v>
      </c>
      <c r="F1250" s="102">
        <v>0.5</v>
      </c>
      <c r="G1250" s="102"/>
      <c r="H1250" s="102">
        <f t="shared" si="62"/>
        <v>0.5</v>
      </c>
      <c r="I1250" s="102"/>
      <c r="J1250" s="102">
        <f t="shared" si="61"/>
        <v>0.5</v>
      </c>
    </row>
    <row r="1251" spans="1:10" x14ac:dyDescent="0.2">
      <c r="A1251" s="19"/>
      <c r="B1251" s="421" t="s">
        <v>888</v>
      </c>
      <c r="C1251" s="19"/>
      <c r="D1251" s="265">
        <v>1</v>
      </c>
      <c r="E1251" s="102">
        <v>2.15</v>
      </c>
      <c r="F1251" s="102">
        <v>0.6</v>
      </c>
      <c r="G1251" s="102"/>
      <c r="H1251" s="102">
        <f t="shared" si="62"/>
        <v>1.2899999999999998</v>
      </c>
      <c r="I1251" s="102"/>
      <c r="J1251" s="102">
        <f t="shared" si="61"/>
        <v>1.2899999999999998</v>
      </c>
    </row>
    <row r="1252" spans="1:10" x14ac:dyDescent="0.2">
      <c r="A1252" s="19"/>
      <c r="B1252" s="426"/>
      <c r="C1252" s="19"/>
      <c r="D1252" s="265">
        <v>2</v>
      </c>
      <c r="E1252" s="102">
        <v>0.6</v>
      </c>
      <c r="F1252" s="102">
        <v>0.6</v>
      </c>
      <c r="G1252" s="102"/>
      <c r="H1252" s="102">
        <f t="shared" si="62"/>
        <v>0.72</v>
      </c>
      <c r="I1252" s="102"/>
      <c r="J1252" s="102">
        <f t="shared" si="61"/>
        <v>0.72</v>
      </c>
    </row>
    <row r="1253" spans="1:10" x14ac:dyDescent="0.2">
      <c r="A1253" s="19"/>
      <c r="B1253" s="421" t="s">
        <v>889</v>
      </c>
      <c r="C1253" s="19"/>
      <c r="D1253" s="265">
        <v>1</v>
      </c>
      <c r="E1253" s="102">
        <v>2.15</v>
      </c>
      <c r="F1253" s="102">
        <v>0.6</v>
      </c>
      <c r="G1253" s="102"/>
      <c r="H1253" s="102">
        <f t="shared" si="62"/>
        <v>1.2899999999999998</v>
      </c>
      <c r="I1253" s="102"/>
      <c r="J1253" s="102">
        <f t="shared" si="61"/>
        <v>1.2899999999999998</v>
      </c>
    </row>
    <row r="1254" spans="1:10" x14ac:dyDescent="0.2">
      <c r="A1254" s="19"/>
      <c r="B1254" s="422"/>
      <c r="C1254" s="19"/>
      <c r="D1254" s="265">
        <v>2</v>
      </c>
      <c r="E1254" s="102">
        <v>0.6</v>
      </c>
      <c r="F1254" s="102">
        <v>0.6</v>
      </c>
      <c r="G1254" s="102"/>
      <c r="H1254" s="102">
        <f t="shared" si="62"/>
        <v>0.72</v>
      </c>
      <c r="I1254" s="102"/>
      <c r="J1254" s="102">
        <f t="shared" si="61"/>
        <v>0.72</v>
      </c>
    </row>
    <row r="1255" spans="1:10" x14ac:dyDescent="0.2">
      <c r="A1255" s="19"/>
      <c r="B1255" s="80" t="s">
        <v>890</v>
      </c>
      <c r="C1255" s="19"/>
      <c r="D1255" s="265">
        <v>1</v>
      </c>
      <c r="E1255" s="102"/>
      <c r="F1255" s="102"/>
      <c r="G1255" s="102"/>
      <c r="H1255" s="102">
        <v>1.82</v>
      </c>
      <c r="I1255" s="102"/>
      <c r="J1255" s="102">
        <f t="shared" si="61"/>
        <v>1.82</v>
      </c>
    </row>
    <row r="1256" spans="1:10" x14ac:dyDescent="0.2">
      <c r="A1256" s="19"/>
      <c r="B1256" s="21"/>
      <c r="C1256" s="19"/>
      <c r="D1256" s="99"/>
      <c r="E1256" s="41"/>
      <c r="F1256" s="41"/>
      <c r="G1256" s="41"/>
      <c r="H1256" s="41"/>
      <c r="I1256" s="91" t="s">
        <v>604</v>
      </c>
      <c r="J1256" s="90">
        <f>SUM(J1248:J1255)</f>
        <v>7.34</v>
      </c>
    </row>
    <row r="1257" spans="1:10" x14ac:dyDescent="0.2">
      <c r="A1257" s="19"/>
      <c r="B1257" s="21"/>
      <c r="C1257" s="19"/>
      <c r="D1257" s="99"/>
      <c r="E1257" s="41"/>
      <c r="F1257" s="41"/>
      <c r="G1257" s="41"/>
      <c r="H1257" s="41"/>
      <c r="I1257" s="41"/>
      <c r="J1257" s="41"/>
    </row>
    <row r="1258" spans="1:10" x14ac:dyDescent="0.2">
      <c r="A1258" s="23" t="s">
        <v>412</v>
      </c>
      <c r="B1258" s="18" t="s">
        <v>204</v>
      </c>
      <c r="C1258" s="19"/>
      <c r="D1258" s="99"/>
      <c r="E1258" s="41"/>
      <c r="F1258" s="41"/>
      <c r="G1258" s="41"/>
      <c r="H1258" s="41"/>
      <c r="I1258" s="41"/>
      <c r="J1258" s="41"/>
    </row>
    <row r="1259" spans="1:10" ht="25.5" x14ac:dyDescent="0.2">
      <c r="A1259" s="19" t="s">
        <v>413</v>
      </c>
      <c r="B1259" s="21" t="s">
        <v>206</v>
      </c>
      <c r="C1259" s="19" t="s">
        <v>25</v>
      </c>
      <c r="D1259" s="263" t="s">
        <v>257</v>
      </c>
      <c r="E1259" s="93" t="s">
        <v>258</v>
      </c>
      <c r="F1259" s="93" t="s">
        <v>259</v>
      </c>
      <c r="G1259" s="93" t="s">
        <v>260</v>
      </c>
      <c r="H1259" s="93" t="s">
        <v>261</v>
      </c>
      <c r="I1259" s="93" t="s">
        <v>262</v>
      </c>
      <c r="J1259" s="94" t="s">
        <v>263</v>
      </c>
    </row>
    <row r="1260" spans="1:10" x14ac:dyDescent="0.2">
      <c r="A1260" s="19"/>
      <c r="B1260" s="80" t="s">
        <v>642</v>
      </c>
      <c r="C1260" s="19"/>
      <c r="D1260" s="265">
        <v>1</v>
      </c>
      <c r="E1260" s="41"/>
      <c r="F1260" s="41"/>
      <c r="G1260" s="41"/>
      <c r="H1260" s="41"/>
      <c r="I1260" s="41"/>
      <c r="J1260" s="102">
        <f>D1260</f>
        <v>1</v>
      </c>
    </row>
    <row r="1261" spans="1:10" x14ac:dyDescent="0.2">
      <c r="A1261" s="19"/>
      <c r="B1261" s="80" t="s">
        <v>641</v>
      </c>
      <c r="C1261" s="19"/>
      <c r="D1261" s="265">
        <v>1</v>
      </c>
      <c r="E1261" s="41"/>
      <c r="F1261" s="41"/>
      <c r="G1261" s="41"/>
      <c r="H1261" s="41"/>
      <c r="I1261" s="41"/>
      <c r="J1261" s="102">
        <f>D1261</f>
        <v>1</v>
      </c>
    </row>
    <row r="1262" spans="1:10" x14ac:dyDescent="0.2">
      <c r="A1262" s="19"/>
      <c r="B1262" s="80" t="s">
        <v>644</v>
      </c>
      <c r="C1262" s="19"/>
      <c r="D1262" s="265">
        <v>1</v>
      </c>
      <c r="E1262" s="41"/>
      <c r="F1262" s="41"/>
      <c r="G1262" s="41"/>
      <c r="H1262" s="41"/>
      <c r="I1262" s="41"/>
      <c r="J1262" s="102">
        <f>D1262</f>
        <v>1</v>
      </c>
    </row>
    <row r="1263" spans="1:10" s="253" customFormat="1" x14ac:dyDescent="0.2">
      <c r="A1263" s="254"/>
      <c r="B1263" s="285" t="s">
        <v>1274</v>
      </c>
      <c r="C1263" s="254"/>
      <c r="D1263" s="265"/>
      <c r="E1263" s="256"/>
      <c r="F1263" s="256"/>
      <c r="G1263" s="256"/>
      <c r="H1263" s="256"/>
      <c r="I1263" s="256"/>
      <c r="J1263" s="265">
        <v>2</v>
      </c>
    </row>
    <row r="1264" spans="1:10" x14ac:dyDescent="0.2">
      <c r="A1264" s="19"/>
      <c r="B1264" s="80"/>
      <c r="C1264" s="19"/>
      <c r="D1264" s="265"/>
      <c r="E1264" s="41"/>
      <c r="F1264" s="41"/>
      <c r="G1264" s="41"/>
      <c r="H1264" s="41"/>
      <c r="I1264" s="91" t="s">
        <v>604</v>
      </c>
      <c r="J1264" s="90">
        <f>SUM(J1260:J1263)</f>
        <v>5</v>
      </c>
    </row>
    <row r="1265" spans="1:10" x14ac:dyDescent="0.2">
      <c r="A1265" s="19"/>
      <c r="B1265" s="21"/>
      <c r="C1265" s="19"/>
      <c r="D1265" s="99"/>
      <c r="E1265" s="41"/>
      <c r="F1265" s="41"/>
      <c r="G1265" s="41"/>
      <c r="H1265" s="41"/>
      <c r="I1265" s="41"/>
      <c r="J1265" s="41"/>
    </row>
    <row r="1266" spans="1:10" ht="25.5" x14ac:dyDescent="0.2">
      <c r="A1266" s="19" t="s">
        <v>414</v>
      </c>
      <c r="B1266" s="21" t="s">
        <v>207</v>
      </c>
      <c r="C1266" s="19" t="s">
        <v>43</v>
      </c>
      <c r="D1266" s="263" t="s">
        <v>257</v>
      </c>
      <c r="E1266" s="93" t="s">
        <v>258</v>
      </c>
      <c r="F1266" s="93" t="s">
        <v>259</v>
      </c>
      <c r="G1266" s="93" t="s">
        <v>260</v>
      </c>
      <c r="H1266" s="93" t="s">
        <v>261</v>
      </c>
      <c r="I1266" s="93" t="s">
        <v>262</v>
      </c>
      <c r="J1266" s="94" t="s">
        <v>263</v>
      </c>
    </row>
    <row r="1267" spans="1:10" x14ac:dyDescent="0.2">
      <c r="A1267" s="19"/>
      <c r="B1267" s="80" t="s">
        <v>643</v>
      </c>
      <c r="C1267" s="19"/>
      <c r="D1267" s="265">
        <v>1</v>
      </c>
      <c r="E1267" s="41"/>
      <c r="F1267" s="41"/>
      <c r="G1267" s="41"/>
      <c r="H1267" s="41"/>
      <c r="I1267" s="41"/>
      <c r="J1267" s="102">
        <f>D1267</f>
        <v>1</v>
      </c>
    </row>
    <row r="1268" spans="1:10" x14ac:dyDescent="0.2">
      <c r="A1268" s="19"/>
      <c r="B1268" s="21"/>
      <c r="C1268" s="19"/>
      <c r="D1268" s="99"/>
      <c r="E1268" s="41"/>
      <c r="F1268" s="41"/>
      <c r="G1268" s="41"/>
      <c r="H1268" s="41"/>
      <c r="I1268" s="91" t="s">
        <v>604</v>
      </c>
      <c r="J1268" s="90">
        <f>SUM(J1267)</f>
        <v>1</v>
      </c>
    </row>
    <row r="1269" spans="1:10" x14ac:dyDescent="0.2">
      <c r="A1269" s="19"/>
      <c r="B1269" s="21"/>
      <c r="C1269" s="19"/>
      <c r="D1269" s="99"/>
      <c r="E1269" s="41"/>
      <c r="F1269" s="41"/>
      <c r="G1269" s="41"/>
      <c r="H1269" s="41"/>
      <c r="I1269" s="103"/>
      <c r="J1269" s="104"/>
    </row>
    <row r="1270" spans="1:10" ht="25.5" x14ac:dyDescent="0.2">
      <c r="A1270" s="19" t="s">
        <v>415</v>
      </c>
      <c r="B1270" s="21" t="s">
        <v>208</v>
      </c>
      <c r="C1270" s="19" t="s">
        <v>43</v>
      </c>
      <c r="D1270" s="263" t="s">
        <v>257</v>
      </c>
      <c r="E1270" s="93" t="s">
        <v>258</v>
      </c>
      <c r="F1270" s="93" t="s">
        <v>259</v>
      </c>
      <c r="G1270" s="93" t="s">
        <v>260</v>
      </c>
      <c r="H1270" s="93" t="s">
        <v>261</v>
      </c>
      <c r="I1270" s="93" t="s">
        <v>262</v>
      </c>
      <c r="J1270" s="94" t="s">
        <v>263</v>
      </c>
    </row>
    <row r="1271" spans="1:10" x14ac:dyDescent="0.2">
      <c r="A1271" s="19"/>
      <c r="B1271" s="80" t="s">
        <v>777</v>
      </c>
      <c r="C1271" s="19"/>
      <c r="D1271" s="265">
        <v>2</v>
      </c>
      <c r="E1271" s="41"/>
      <c r="F1271" s="41"/>
      <c r="G1271" s="41"/>
      <c r="H1271" s="41"/>
      <c r="I1271" s="41"/>
      <c r="J1271" s="102">
        <f>D1271</f>
        <v>2</v>
      </c>
    </row>
    <row r="1272" spans="1:10" x14ac:dyDescent="0.2">
      <c r="A1272" s="19"/>
      <c r="B1272" s="80"/>
      <c r="C1272" s="19"/>
      <c r="D1272" s="265"/>
      <c r="E1272" s="41"/>
      <c r="F1272" s="41"/>
      <c r="G1272" s="41"/>
      <c r="H1272" s="41"/>
      <c r="I1272" s="91" t="s">
        <v>604</v>
      </c>
      <c r="J1272" s="90">
        <f>SUM(J1271)</f>
        <v>2</v>
      </c>
    </row>
    <row r="1273" spans="1:10" x14ac:dyDescent="0.2">
      <c r="A1273" s="19"/>
      <c r="B1273" s="21"/>
      <c r="C1273" s="19"/>
      <c r="D1273" s="99"/>
      <c r="E1273" s="41"/>
      <c r="F1273" s="41"/>
      <c r="G1273" s="41"/>
      <c r="H1273" s="41"/>
      <c r="I1273" s="41"/>
      <c r="J1273" s="41"/>
    </row>
    <row r="1274" spans="1:10" ht="25.5" x14ac:dyDescent="0.2">
      <c r="A1274" s="19" t="s">
        <v>416</v>
      </c>
      <c r="B1274" s="21" t="s">
        <v>209</v>
      </c>
      <c r="C1274" s="19" t="s">
        <v>43</v>
      </c>
      <c r="D1274" s="263" t="s">
        <v>257</v>
      </c>
      <c r="E1274" s="93" t="s">
        <v>258</v>
      </c>
      <c r="F1274" s="93" t="s">
        <v>259</v>
      </c>
      <c r="G1274" s="93" t="s">
        <v>260</v>
      </c>
      <c r="H1274" s="93" t="s">
        <v>261</v>
      </c>
      <c r="I1274" s="93" t="s">
        <v>262</v>
      </c>
      <c r="J1274" s="94" t="s">
        <v>263</v>
      </c>
    </row>
    <row r="1275" spans="1:10" x14ac:dyDescent="0.2">
      <c r="A1275" s="19"/>
      <c r="B1275" s="80" t="s">
        <v>888</v>
      </c>
      <c r="C1275" s="19"/>
      <c r="D1275" s="265">
        <v>1</v>
      </c>
      <c r="E1275" s="41"/>
      <c r="F1275" s="41"/>
      <c r="G1275" s="41"/>
      <c r="H1275" s="41"/>
      <c r="I1275" s="41"/>
      <c r="J1275" s="102">
        <f>D1275</f>
        <v>1</v>
      </c>
    </row>
    <row r="1276" spans="1:10" x14ac:dyDescent="0.2">
      <c r="A1276" s="19"/>
      <c r="B1276" s="80" t="s">
        <v>889</v>
      </c>
      <c r="C1276" s="19"/>
      <c r="D1276" s="265">
        <v>1</v>
      </c>
      <c r="E1276" s="41"/>
      <c r="F1276" s="41"/>
      <c r="G1276" s="41"/>
      <c r="H1276" s="41"/>
      <c r="I1276" s="41"/>
      <c r="J1276" s="102">
        <f>D1276</f>
        <v>1</v>
      </c>
    </row>
    <row r="1277" spans="1:10" x14ac:dyDescent="0.2">
      <c r="A1277" s="19"/>
      <c r="B1277" s="21"/>
      <c r="C1277" s="19"/>
      <c r="D1277" s="265"/>
      <c r="E1277" s="41"/>
      <c r="F1277" s="41"/>
      <c r="G1277" s="41"/>
      <c r="H1277" s="41"/>
      <c r="I1277" s="91" t="s">
        <v>604</v>
      </c>
      <c r="J1277" s="90">
        <f>SUM(J1275:J1276)</f>
        <v>2</v>
      </c>
    </row>
    <row r="1278" spans="1:10" x14ac:dyDescent="0.2">
      <c r="A1278" s="19"/>
      <c r="B1278" s="21"/>
      <c r="C1278" s="19"/>
      <c r="D1278" s="99"/>
      <c r="E1278" s="41"/>
      <c r="F1278" s="41"/>
      <c r="G1278" s="41"/>
      <c r="H1278" s="41"/>
      <c r="I1278" s="41"/>
      <c r="J1278" s="41"/>
    </row>
    <row r="1279" spans="1:10" ht="25.5" x14ac:dyDescent="0.2">
      <c r="A1279" s="19" t="s">
        <v>417</v>
      </c>
      <c r="B1279" s="21" t="s">
        <v>210</v>
      </c>
      <c r="C1279" s="19" t="s">
        <v>43</v>
      </c>
      <c r="D1279" s="263" t="s">
        <v>257</v>
      </c>
      <c r="E1279" s="93" t="s">
        <v>258</v>
      </c>
      <c r="F1279" s="93" t="s">
        <v>259</v>
      </c>
      <c r="G1279" s="93" t="s">
        <v>260</v>
      </c>
      <c r="H1279" s="93" t="s">
        <v>261</v>
      </c>
      <c r="I1279" s="93" t="s">
        <v>262</v>
      </c>
      <c r="J1279" s="94" t="s">
        <v>263</v>
      </c>
    </row>
    <row r="1280" spans="1:10" x14ac:dyDescent="0.2">
      <c r="A1280" s="19"/>
      <c r="B1280" s="80" t="s">
        <v>682</v>
      </c>
      <c r="C1280" s="19"/>
      <c r="D1280" s="265">
        <v>1</v>
      </c>
      <c r="E1280" s="41"/>
      <c r="F1280" s="41"/>
      <c r="G1280" s="41"/>
      <c r="H1280" s="41"/>
      <c r="I1280" s="41"/>
      <c r="J1280" s="102">
        <f>D1280</f>
        <v>1</v>
      </c>
    </row>
    <row r="1281" spans="1:10" x14ac:dyDescent="0.2">
      <c r="A1281" s="19"/>
      <c r="B1281" s="80" t="s">
        <v>641</v>
      </c>
      <c r="C1281" s="19"/>
      <c r="D1281" s="265">
        <v>1</v>
      </c>
      <c r="E1281" s="41"/>
      <c r="F1281" s="41"/>
      <c r="G1281" s="41"/>
      <c r="H1281" s="41"/>
      <c r="I1281" s="41"/>
      <c r="J1281" s="102">
        <f>D1281</f>
        <v>1</v>
      </c>
    </row>
    <row r="1282" spans="1:10" x14ac:dyDescent="0.2">
      <c r="A1282" s="19"/>
      <c r="B1282" s="80" t="s">
        <v>644</v>
      </c>
      <c r="C1282" s="19"/>
      <c r="D1282" s="265">
        <v>1</v>
      </c>
      <c r="E1282" s="41"/>
      <c r="F1282" s="41"/>
      <c r="G1282" s="41"/>
      <c r="H1282" s="41"/>
      <c r="I1282" s="41"/>
      <c r="J1282" s="102">
        <f>D1282</f>
        <v>1</v>
      </c>
    </row>
    <row r="1283" spans="1:10" x14ac:dyDescent="0.2">
      <c r="A1283" s="19"/>
      <c r="B1283" s="80"/>
      <c r="C1283" s="19"/>
      <c r="D1283" s="265"/>
      <c r="E1283" s="41"/>
      <c r="F1283" s="41"/>
      <c r="G1283" s="41"/>
      <c r="H1283" s="41"/>
      <c r="I1283" s="91" t="s">
        <v>604</v>
      </c>
      <c r="J1283" s="90">
        <f>SUM(J1280:J1282)</f>
        <v>3</v>
      </c>
    </row>
    <row r="1284" spans="1:10" x14ac:dyDescent="0.2">
      <c r="A1284" s="19"/>
      <c r="B1284" s="21"/>
      <c r="C1284" s="19"/>
      <c r="D1284" s="99"/>
      <c r="E1284" s="41"/>
      <c r="F1284" s="41"/>
      <c r="G1284" s="41"/>
      <c r="H1284" s="41"/>
      <c r="I1284" s="41"/>
      <c r="J1284" s="41"/>
    </row>
    <row r="1285" spans="1:10" ht="25.5" x14ac:dyDescent="0.2">
      <c r="A1285" s="19" t="s">
        <v>418</v>
      </c>
      <c r="B1285" s="21" t="s">
        <v>211</v>
      </c>
      <c r="C1285" s="19" t="s">
        <v>43</v>
      </c>
      <c r="D1285" s="263" t="s">
        <v>257</v>
      </c>
      <c r="E1285" s="93" t="s">
        <v>258</v>
      </c>
      <c r="F1285" s="93" t="s">
        <v>259</v>
      </c>
      <c r="G1285" s="93" t="s">
        <v>260</v>
      </c>
      <c r="H1285" s="93" t="s">
        <v>261</v>
      </c>
      <c r="I1285" s="93" t="s">
        <v>262</v>
      </c>
      <c r="J1285" s="94" t="s">
        <v>263</v>
      </c>
    </row>
    <row r="1286" spans="1:10" x14ac:dyDescent="0.2">
      <c r="A1286" s="19"/>
      <c r="B1286" s="98" t="s">
        <v>882</v>
      </c>
      <c r="C1286" s="41"/>
      <c r="D1286" s="265">
        <v>2</v>
      </c>
      <c r="E1286" s="41"/>
      <c r="F1286" s="41"/>
      <c r="G1286" s="41"/>
      <c r="H1286" s="41"/>
      <c r="I1286" s="41"/>
      <c r="J1286" s="102">
        <f>D1286</f>
        <v>2</v>
      </c>
    </row>
    <row r="1287" spans="1:10" x14ac:dyDescent="0.2">
      <c r="A1287" s="19"/>
      <c r="B1287" s="98" t="s">
        <v>883</v>
      </c>
      <c r="C1287" s="41"/>
      <c r="D1287" s="265">
        <v>1</v>
      </c>
      <c r="E1287" s="41"/>
      <c r="F1287" s="41"/>
      <c r="G1287" s="41"/>
      <c r="H1287" s="41"/>
      <c r="I1287" s="41"/>
      <c r="J1287" s="102">
        <f>D1287</f>
        <v>1</v>
      </c>
    </row>
    <row r="1288" spans="1:10" x14ac:dyDescent="0.2">
      <c r="A1288" s="19"/>
      <c r="B1288" s="41"/>
      <c r="C1288" s="41"/>
      <c r="D1288" s="265"/>
      <c r="E1288" s="41"/>
      <c r="F1288" s="41"/>
      <c r="G1288" s="41"/>
      <c r="H1288" s="41"/>
      <c r="I1288" s="91" t="s">
        <v>604</v>
      </c>
      <c r="J1288" s="90">
        <f>SUM(J1286:J1287)</f>
        <v>3</v>
      </c>
    </row>
    <row r="1289" spans="1:10" x14ac:dyDescent="0.2">
      <c r="A1289" s="19"/>
      <c r="B1289" s="41"/>
      <c r="C1289" s="41"/>
      <c r="D1289" s="99"/>
      <c r="E1289" s="41"/>
      <c r="F1289" s="41"/>
      <c r="G1289" s="41"/>
      <c r="H1289" s="41"/>
      <c r="I1289" s="41"/>
      <c r="J1289" s="41"/>
    </row>
    <row r="1290" spans="1:10" x14ac:dyDescent="0.2">
      <c r="A1290" s="19"/>
      <c r="B1290" s="21"/>
      <c r="C1290" s="19"/>
      <c r="D1290" s="99"/>
      <c r="E1290" s="41"/>
      <c r="F1290" s="41"/>
      <c r="G1290" s="41"/>
      <c r="H1290" s="41"/>
      <c r="I1290" s="41"/>
      <c r="J1290" s="41"/>
    </row>
    <row r="1291" spans="1:10" ht="25.5" x14ac:dyDescent="0.2">
      <c r="A1291" s="19" t="s">
        <v>419</v>
      </c>
      <c r="B1291" s="21" t="s">
        <v>212</v>
      </c>
      <c r="C1291" s="19" t="s">
        <v>96</v>
      </c>
      <c r="D1291" s="263" t="s">
        <v>257</v>
      </c>
      <c r="E1291" s="93" t="s">
        <v>258</v>
      </c>
      <c r="F1291" s="93" t="s">
        <v>259</v>
      </c>
      <c r="G1291" s="93" t="s">
        <v>260</v>
      </c>
      <c r="H1291" s="93" t="s">
        <v>261</v>
      </c>
      <c r="I1291" s="93" t="s">
        <v>262</v>
      </c>
      <c r="J1291" s="94" t="s">
        <v>263</v>
      </c>
    </row>
    <row r="1292" spans="1:10" x14ac:dyDescent="0.2">
      <c r="A1292" s="19"/>
      <c r="B1292" s="80" t="s">
        <v>884</v>
      </c>
      <c r="C1292" s="19"/>
      <c r="D1292" s="265">
        <v>2</v>
      </c>
      <c r="E1292" s="41"/>
      <c r="F1292" s="41"/>
      <c r="G1292" s="41"/>
      <c r="H1292" s="41"/>
      <c r="I1292" s="41"/>
      <c r="J1292" s="102">
        <f>D1292</f>
        <v>2</v>
      </c>
    </row>
    <row r="1293" spans="1:10" x14ac:dyDescent="0.2">
      <c r="A1293" s="19"/>
      <c r="B1293" s="80" t="s">
        <v>885</v>
      </c>
      <c r="C1293" s="19"/>
      <c r="D1293" s="265">
        <v>1</v>
      </c>
      <c r="E1293" s="41"/>
      <c r="F1293" s="41"/>
      <c r="G1293" s="41"/>
      <c r="H1293" s="41"/>
      <c r="I1293" s="41"/>
      <c r="J1293" s="102">
        <f>D1293</f>
        <v>1</v>
      </c>
    </row>
    <row r="1294" spans="1:10" x14ac:dyDescent="0.2">
      <c r="A1294" s="19"/>
      <c r="B1294" s="80" t="s">
        <v>886</v>
      </c>
      <c r="C1294" s="19"/>
      <c r="D1294" s="265">
        <v>1</v>
      </c>
      <c r="E1294" s="41"/>
      <c r="F1294" s="41"/>
      <c r="G1294" s="41"/>
      <c r="H1294" s="41"/>
      <c r="I1294" s="41"/>
      <c r="J1294" s="102">
        <f>D1294</f>
        <v>1</v>
      </c>
    </row>
    <row r="1295" spans="1:10" x14ac:dyDescent="0.2">
      <c r="A1295" s="19"/>
      <c r="B1295" s="80"/>
      <c r="C1295" s="19"/>
      <c r="D1295" s="265"/>
      <c r="E1295" s="41"/>
      <c r="F1295" s="41"/>
      <c r="G1295" s="41"/>
      <c r="H1295" s="41"/>
      <c r="I1295" s="91" t="s">
        <v>604</v>
      </c>
      <c r="J1295" s="90">
        <f>SUM(J1292:J1294)</f>
        <v>4</v>
      </c>
    </row>
    <row r="1296" spans="1:10" x14ac:dyDescent="0.2">
      <c r="A1296" s="19"/>
      <c r="B1296" s="21"/>
      <c r="C1296" s="19"/>
      <c r="D1296" s="99"/>
      <c r="E1296" s="41"/>
      <c r="F1296" s="41"/>
      <c r="G1296" s="41"/>
      <c r="H1296" s="41"/>
      <c r="I1296" s="41"/>
      <c r="J1296" s="41"/>
    </row>
    <row r="1297" spans="1:10" ht="25.5" x14ac:dyDescent="0.2">
      <c r="A1297" s="19" t="s">
        <v>420</v>
      </c>
      <c r="B1297" s="21" t="s">
        <v>213</v>
      </c>
      <c r="C1297" s="19" t="s">
        <v>43</v>
      </c>
      <c r="D1297" s="263" t="s">
        <v>257</v>
      </c>
      <c r="E1297" s="93" t="s">
        <v>258</v>
      </c>
      <c r="F1297" s="93" t="s">
        <v>259</v>
      </c>
      <c r="G1297" s="93" t="s">
        <v>260</v>
      </c>
      <c r="H1297" s="93" t="s">
        <v>261</v>
      </c>
      <c r="I1297" s="93" t="s">
        <v>262</v>
      </c>
      <c r="J1297" s="94" t="s">
        <v>263</v>
      </c>
    </row>
    <row r="1298" spans="1:10" x14ac:dyDescent="0.2">
      <c r="A1298" s="19"/>
      <c r="B1298" s="80" t="s">
        <v>634</v>
      </c>
      <c r="C1298" s="19"/>
      <c r="D1298" s="263">
        <v>1</v>
      </c>
      <c r="E1298" s="93"/>
      <c r="F1298" s="93"/>
      <c r="G1298" s="93"/>
      <c r="H1298" s="93"/>
      <c r="I1298" s="93"/>
      <c r="J1298" s="94">
        <f t="shared" ref="J1298:J1306" si="63">D1298</f>
        <v>1</v>
      </c>
    </row>
    <row r="1299" spans="1:10" x14ac:dyDescent="0.2">
      <c r="A1299" s="19"/>
      <c r="B1299" s="80" t="s">
        <v>681</v>
      </c>
      <c r="C1299" s="19"/>
      <c r="D1299" s="263">
        <v>1</v>
      </c>
      <c r="E1299" s="93"/>
      <c r="F1299" s="93"/>
      <c r="G1299" s="93"/>
      <c r="H1299" s="93"/>
      <c r="I1299" s="93"/>
      <c r="J1299" s="94">
        <f t="shared" si="63"/>
        <v>1</v>
      </c>
    </row>
    <row r="1300" spans="1:10" x14ac:dyDescent="0.2">
      <c r="A1300" s="19"/>
      <c r="B1300" s="80" t="s">
        <v>637</v>
      </c>
      <c r="C1300" s="19"/>
      <c r="D1300" s="263">
        <v>1</v>
      </c>
      <c r="E1300" s="93"/>
      <c r="F1300" s="93"/>
      <c r="G1300" s="93"/>
      <c r="H1300" s="93"/>
      <c r="I1300" s="93"/>
      <c r="J1300" s="94">
        <f t="shared" si="63"/>
        <v>1</v>
      </c>
    </row>
    <row r="1301" spans="1:10" x14ac:dyDescent="0.2">
      <c r="A1301" s="19"/>
      <c r="B1301" s="80" t="s">
        <v>682</v>
      </c>
      <c r="C1301" s="19"/>
      <c r="D1301" s="265">
        <v>1</v>
      </c>
      <c r="E1301" s="41"/>
      <c r="F1301" s="41"/>
      <c r="G1301" s="41"/>
      <c r="H1301" s="41"/>
      <c r="I1301" s="41"/>
      <c r="J1301" s="102">
        <f t="shared" si="63"/>
        <v>1</v>
      </c>
    </row>
    <row r="1302" spans="1:10" x14ac:dyDescent="0.2">
      <c r="A1302" s="19"/>
      <c r="B1302" s="80" t="s">
        <v>641</v>
      </c>
      <c r="C1302" s="19"/>
      <c r="D1302" s="265">
        <v>1</v>
      </c>
      <c r="E1302" s="41"/>
      <c r="F1302" s="41"/>
      <c r="G1302" s="41"/>
      <c r="H1302" s="41"/>
      <c r="I1302" s="41"/>
      <c r="J1302" s="102">
        <f t="shared" si="63"/>
        <v>1</v>
      </c>
    </row>
    <row r="1303" spans="1:10" x14ac:dyDescent="0.2">
      <c r="A1303" s="19"/>
      <c r="B1303" s="80" t="s">
        <v>644</v>
      </c>
      <c r="C1303" s="19"/>
      <c r="D1303" s="265">
        <v>1</v>
      </c>
      <c r="E1303" s="41"/>
      <c r="F1303" s="41"/>
      <c r="G1303" s="41"/>
      <c r="H1303" s="41"/>
      <c r="I1303" s="41"/>
      <c r="J1303" s="102">
        <f t="shared" si="63"/>
        <v>1</v>
      </c>
    </row>
    <row r="1304" spans="1:10" x14ac:dyDescent="0.2">
      <c r="A1304" s="19"/>
      <c r="B1304" s="80" t="s">
        <v>888</v>
      </c>
      <c r="C1304" s="19"/>
      <c r="D1304" s="265">
        <v>1</v>
      </c>
      <c r="E1304" s="41"/>
      <c r="F1304" s="41"/>
      <c r="G1304" s="41"/>
      <c r="H1304" s="41"/>
      <c r="I1304" s="41"/>
      <c r="J1304" s="102">
        <f t="shared" si="63"/>
        <v>1</v>
      </c>
    </row>
    <row r="1305" spans="1:10" x14ac:dyDescent="0.2">
      <c r="A1305" s="19"/>
      <c r="B1305" s="80" t="s">
        <v>643</v>
      </c>
      <c r="C1305" s="19"/>
      <c r="D1305" s="265">
        <v>1</v>
      </c>
      <c r="E1305" s="41"/>
      <c r="F1305" s="41"/>
      <c r="G1305" s="41"/>
      <c r="H1305" s="41"/>
      <c r="I1305" s="41"/>
      <c r="J1305" s="102">
        <f t="shared" si="63"/>
        <v>1</v>
      </c>
    </row>
    <row r="1306" spans="1:10" x14ac:dyDescent="0.2">
      <c r="A1306" s="19"/>
      <c r="B1306" s="80" t="s">
        <v>889</v>
      </c>
      <c r="C1306" s="19"/>
      <c r="D1306" s="265">
        <v>1</v>
      </c>
      <c r="E1306" s="41"/>
      <c r="F1306" s="41"/>
      <c r="G1306" s="41"/>
      <c r="H1306" s="41"/>
      <c r="I1306" s="41"/>
      <c r="J1306" s="102">
        <f t="shared" si="63"/>
        <v>1</v>
      </c>
    </row>
    <row r="1307" spans="1:10" x14ac:dyDescent="0.2">
      <c r="A1307" s="19"/>
      <c r="B1307" s="21"/>
      <c r="C1307" s="19"/>
      <c r="D1307" s="99"/>
      <c r="E1307" s="41"/>
      <c r="F1307" s="41"/>
      <c r="G1307" s="41"/>
      <c r="H1307" s="41"/>
      <c r="I1307" s="91" t="s">
        <v>604</v>
      </c>
      <c r="J1307" s="90">
        <f>SUM(J1298:J1306)</f>
        <v>9</v>
      </c>
    </row>
    <row r="1308" spans="1:10" x14ac:dyDescent="0.2">
      <c r="A1308" s="19"/>
      <c r="B1308" s="21"/>
      <c r="C1308" s="19"/>
      <c r="D1308" s="99"/>
      <c r="E1308" s="41"/>
      <c r="F1308" s="41"/>
      <c r="G1308" s="41"/>
      <c r="H1308" s="41"/>
      <c r="I1308" s="41"/>
      <c r="J1308" s="41"/>
    </row>
    <row r="1309" spans="1:10" x14ac:dyDescent="0.2">
      <c r="A1309" s="23" t="s">
        <v>404</v>
      </c>
      <c r="B1309" s="18" t="s">
        <v>214</v>
      </c>
      <c r="C1309" s="19"/>
      <c r="D1309" s="99"/>
      <c r="E1309" s="41"/>
      <c r="F1309" s="41"/>
      <c r="G1309" s="41"/>
      <c r="H1309" s="41"/>
      <c r="I1309" s="41"/>
      <c r="J1309" s="41"/>
    </row>
    <row r="1310" spans="1:10" ht="25.5" x14ac:dyDescent="0.2">
      <c r="A1310" s="19" t="s">
        <v>421</v>
      </c>
      <c r="B1310" s="21" t="s">
        <v>215</v>
      </c>
      <c r="C1310" s="19" t="s">
        <v>25</v>
      </c>
      <c r="D1310" s="263" t="s">
        <v>257</v>
      </c>
      <c r="E1310" s="93" t="s">
        <v>258</v>
      </c>
      <c r="F1310" s="93" t="s">
        <v>259</v>
      </c>
      <c r="G1310" s="93" t="s">
        <v>260</v>
      </c>
      <c r="H1310" s="93" t="s">
        <v>261</v>
      </c>
      <c r="I1310" s="93" t="s">
        <v>262</v>
      </c>
      <c r="J1310" s="94" t="s">
        <v>263</v>
      </c>
    </row>
    <row r="1311" spans="1:10" x14ac:dyDescent="0.2">
      <c r="A1311" s="19"/>
      <c r="B1311" s="80" t="s">
        <v>681</v>
      </c>
      <c r="C1311" s="19"/>
      <c r="D1311" s="263">
        <v>1</v>
      </c>
      <c r="E1311" s="93"/>
      <c r="F1311" s="93"/>
      <c r="G1311" s="93"/>
      <c r="H1311" s="93"/>
      <c r="I1311" s="93"/>
      <c r="J1311" s="94">
        <f>D1311</f>
        <v>1</v>
      </c>
    </row>
    <row r="1312" spans="1:10" x14ac:dyDescent="0.2">
      <c r="A1312" s="19"/>
      <c r="B1312" s="80" t="s">
        <v>637</v>
      </c>
      <c r="C1312" s="19"/>
      <c r="D1312" s="263">
        <v>1</v>
      </c>
      <c r="E1312" s="93"/>
      <c r="F1312" s="93"/>
      <c r="G1312" s="93"/>
      <c r="H1312" s="93"/>
      <c r="I1312" s="93"/>
      <c r="J1312" s="94">
        <f>D1312</f>
        <v>1</v>
      </c>
    </row>
    <row r="1313" spans="1:10" x14ac:dyDescent="0.2">
      <c r="A1313" s="19"/>
      <c r="B1313" s="80" t="s">
        <v>682</v>
      </c>
      <c r="C1313" s="19"/>
      <c r="D1313" s="265">
        <v>1</v>
      </c>
      <c r="E1313" s="93"/>
      <c r="F1313" s="93"/>
      <c r="G1313" s="93"/>
      <c r="H1313" s="93"/>
      <c r="I1313" s="93"/>
      <c r="J1313" s="94">
        <f>D1313</f>
        <v>1</v>
      </c>
    </row>
    <row r="1314" spans="1:10" x14ac:dyDescent="0.2">
      <c r="A1314" s="19"/>
      <c r="B1314" s="80" t="s">
        <v>641</v>
      </c>
      <c r="C1314" s="19"/>
      <c r="D1314" s="265">
        <v>1</v>
      </c>
      <c r="E1314" s="41"/>
      <c r="F1314" s="41"/>
      <c r="G1314" s="41"/>
      <c r="H1314" s="41"/>
      <c r="I1314" s="41"/>
      <c r="J1314" s="94">
        <f>D1314</f>
        <v>1</v>
      </c>
    </row>
    <row r="1315" spans="1:10" x14ac:dyDescent="0.2">
      <c r="A1315" s="19"/>
      <c r="B1315" s="80" t="s">
        <v>644</v>
      </c>
      <c r="C1315" s="19"/>
      <c r="D1315" s="265">
        <v>1</v>
      </c>
      <c r="E1315" s="41"/>
      <c r="F1315" s="41"/>
      <c r="G1315" s="41"/>
      <c r="H1315" s="41"/>
      <c r="I1315" s="41"/>
      <c r="J1315" s="94">
        <f>D1315</f>
        <v>1</v>
      </c>
    </row>
    <row r="1316" spans="1:10" x14ac:dyDescent="0.2">
      <c r="A1316" s="19"/>
      <c r="B1316" s="80"/>
      <c r="C1316" s="19"/>
      <c r="D1316" s="265"/>
      <c r="E1316" s="41"/>
      <c r="F1316" s="41"/>
      <c r="G1316" s="41"/>
      <c r="H1316" s="41"/>
      <c r="I1316" s="91" t="s">
        <v>604</v>
      </c>
      <c r="J1316" s="90">
        <f>SUM(J1311:J1315)</f>
        <v>5</v>
      </c>
    </row>
    <row r="1317" spans="1:10" x14ac:dyDescent="0.2">
      <c r="A1317" s="19"/>
      <c r="B1317" s="21"/>
      <c r="C1317" s="19"/>
      <c r="D1317" s="99"/>
      <c r="E1317" s="41"/>
      <c r="F1317" s="41"/>
      <c r="G1317" s="41"/>
      <c r="H1317" s="41"/>
      <c r="I1317" s="41"/>
      <c r="J1317" s="102"/>
    </row>
    <row r="1318" spans="1:10" ht="38.25" x14ac:dyDescent="0.2">
      <c r="A1318" s="19" t="s">
        <v>422</v>
      </c>
      <c r="B1318" s="21" t="s">
        <v>216</v>
      </c>
      <c r="C1318" s="19" t="s">
        <v>43</v>
      </c>
      <c r="D1318" s="263" t="s">
        <v>257</v>
      </c>
      <c r="E1318" s="93" t="s">
        <v>258</v>
      </c>
      <c r="F1318" s="93" t="s">
        <v>259</v>
      </c>
      <c r="G1318" s="93" t="s">
        <v>260</v>
      </c>
      <c r="H1318" s="93" t="s">
        <v>261</v>
      </c>
      <c r="I1318" s="93" t="s">
        <v>262</v>
      </c>
      <c r="J1318" s="94" t="s">
        <v>263</v>
      </c>
    </row>
    <row r="1319" spans="1:10" x14ac:dyDescent="0.2">
      <c r="A1319" s="19"/>
      <c r="B1319" s="80" t="s">
        <v>888</v>
      </c>
      <c r="C1319" s="19"/>
      <c r="D1319" s="263">
        <v>1</v>
      </c>
      <c r="E1319" s="93"/>
      <c r="F1319" s="93"/>
      <c r="G1319" s="93"/>
      <c r="H1319" s="93"/>
      <c r="I1319" s="93"/>
      <c r="J1319" s="94">
        <f>D1319</f>
        <v>1</v>
      </c>
    </row>
    <row r="1320" spans="1:10" x14ac:dyDescent="0.2">
      <c r="A1320" s="19"/>
      <c r="B1320" s="80" t="s">
        <v>889</v>
      </c>
      <c r="C1320" s="19"/>
      <c r="D1320" s="263">
        <v>1</v>
      </c>
      <c r="E1320" s="93"/>
      <c r="F1320" s="93"/>
      <c r="G1320" s="93"/>
      <c r="H1320" s="93"/>
      <c r="I1320" s="93"/>
      <c r="J1320" s="94">
        <f>D1320</f>
        <v>1</v>
      </c>
    </row>
    <row r="1321" spans="1:10" x14ac:dyDescent="0.2">
      <c r="A1321" s="19"/>
      <c r="B1321" s="21"/>
      <c r="C1321" s="19"/>
      <c r="D1321" s="99"/>
      <c r="E1321" s="41"/>
      <c r="F1321" s="41"/>
      <c r="G1321" s="41"/>
      <c r="H1321" s="41"/>
      <c r="I1321" s="91" t="s">
        <v>604</v>
      </c>
      <c r="J1321" s="90">
        <f>SUM(J1319:J1320)</f>
        <v>2</v>
      </c>
    </row>
    <row r="1322" spans="1:10" x14ac:dyDescent="0.2">
      <c r="A1322" s="19"/>
      <c r="B1322" s="21"/>
      <c r="C1322" s="19"/>
      <c r="D1322" s="99"/>
      <c r="E1322" s="41"/>
      <c r="F1322" s="41"/>
      <c r="G1322" s="41"/>
      <c r="H1322" s="41"/>
      <c r="I1322" s="41"/>
      <c r="J1322" s="41"/>
    </row>
    <row r="1323" spans="1:10" x14ac:dyDescent="0.2">
      <c r="A1323" s="19"/>
      <c r="B1323" s="21"/>
      <c r="C1323" s="19"/>
      <c r="D1323" s="99"/>
      <c r="E1323" s="41"/>
      <c r="F1323" s="41"/>
      <c r="G1323" s="41"/>
      <c r="H1323" s="41"/>
      <c r="I1323" s="41"/>
      <c r="J1323" s="41"/>
    </row>
    <row r="1324" spans="1:10" ht="25.5" x14ac:dyDescent="0.2">
      <c r="A1324" s="19" t="s">
        <v>423</v>
      </c>
      <c r="B1324" s="21" t="s">
        <v>217</v>
      </c>
      <c r="C1324" s="19" t="s">
        <v>43</v>
      </c>
      <c r="D1324" s="263" t="s">
        <v>257</v>
      </c>
      <c r="E1324" s="93" t="s">
        <v>258</v>
      </c>
      <c r="F1324" s="93" t="s">
        <v>259</v>
      </c>
      <c r="G1324" s="93" t="s">
        <v>260</v>
      </c>
      <c r="H1324" s="93" t="s">
        <v>261</v>
      </c>
      <c r="I1324" s="93" t="s">
        <v>262</v>
      </c>
      <c r="J1324" s="94" t="s">
        <v>263</v>
      </c>
    </row>
    <row r="1325" spans="1:10" x14ac:dyDescent="0.2">
      <c r="A1325" s="19"/>
      <c r="B1325" s="80" t="s">
        <v>891</v>
      </c>
      <c r="C1325" s="93"/>
      <c r="D1325" s="263">
        <v>1</v>
      </c>
      <c r="E1325" s="93"/>
      <c r="F1325" s="93"/>
      <c r="G1325" s="93"/>
      <c r="H1325" s="93"/>
      <c r="I1325" s="94"/>
      <c r="J1325" s="93">
        <f>D1325</f>
        <v>1</v>
      </c>
    </row>
    <row r="1326" spans="1:10" x14ac:dyDescent="0.2">
      <c r="A1326" s="19"/>
      <c r="B1326" s="21"/>
      <c r="C1326" s="93"/>
      <c r="D1326" s="263"/>
      <c r="E1326" s="93"/>
      <c r="F1326" s="93"/>
      <c r="G1326" s="93"/>
      <c r="H1326" s="93"/>
      <c r="I1326" s="91" t="s">
        <v>604</v>
      </c>
      <c r="J1326" s="90">
        <f>SUM(J1325)</f>
        <v>1</v>
      </c>
    </row>
    <row r="1327" spans="1:10" x14ac:dyDescent="0.2">
      <c r="A1327" s="19"/>
      <c r="B1327" s="21"/>
      <c r="C1327" s="19"/>
      <c r="D1327" s="99"/>
      <c r="E1327" s="41"/>
      <c r="F1327" s="41"/>
      <c r="G1327" s="41"/>
      <c r="H1327" s="41"/>
      <c r="I1327" s="41"/>
      <c r="J1327" s="41"/>
    </row>
    <row r="1328" spans="1:10" x14ac:dyDescent="0.2">
      <c r="A1328" s="19"/>
      <c r="B1328" s="21"/>
      <c r="C1328" s="19"/>
      <c r="D1328" s="99"/>
      <c r="E1328" s="41"/>
      <c r="F1328" s="41"/>
      <c r="G1328" s="41"/>
      <c r="H1328" s="41"/>
      <c r="I1328" s="41"/>
      <c r="J1328" s="41"/>
    </row>
    <row r="1329" spans="1:10" ht="25.5" x14ac:dyDescent="0.2">
      <c r="A1329" s="19" t="s">
        <v>424</v>
      </c>
      <c r="B1329" s="21" t="s">
        <v>218</v>
      </c>
      <c r="C1329" s="19" t="s">
        <v>43</v>
      </c>
      <c r="D1329" s="263" t="s">
        <v>257</v>
      </c>
      <c r="E1329" s="93" t="s">
        <v>258</v>
      </c>
      <c r="F1329" s="93" t="s">
        <v>259</v>
      </c>
      <c r="G1329" s="93" t="s">
        <v>260</v>
      </c>
      <c r="H1329" s="93" t="s">
        <v>261</v>
      </c>
      <c r="I1329" s="93" t="s">
        <v>262</v>
      </c>
      <c r="J1329" s="94" t="s">
        <v>263</v>
      </c>
    </row>
    <row r="1330" spans="1:10" x14ac:dyDescent="0.2">
      <c r="A1330" s="19"/>
      <c r="B1330" s="80" t="s">
        <v>892</v>
      </c>
      <c r="C1330" s="93"/>
      <c r="D1330" s="263">
        <v>1</v>
      </c>
      <c r="E1330" s="93"/>
      <c r="F1330" s="93"/>
      <c r="G1330" s="93"/>
      <c r="H1330" s="93"/>
      <c r="I1330" s="94"/>
      <c r="J1330" s="93">
        <f>D1330</f>
        <v>1</v>
      </c>
    </row>
    <row r="1331" spans="1:10" x14ac:dyDescent="0.2">
      <c r="A1331" s="19"/>
      <c r="B1331" s="21"/>
      <c r="C1331" s="93"/>
      <c r="D1331" s="263"/>
      <c r="E1331" s="93"/>
      <c r="F1331" s="93"/>
      <c r="G1331" s="93"/>
      <c r="H1331" s="93"/>
      <c r="I1331" s="91" t="s">
        <v>604</v>
      </c>
      <c r="J1331" s="90">
        <f>SUM(J1330)</f>
        <v>1</v>
      </c>
    </row>
    <row r="1332" spans="1:10" x14ac:dyDescent="0.2">
      <c r="A1332" s="19"/>
      <c r="B1332" s="21"/>
      <c r="C1332" s="93"/>
      <c r="D1332" s="263"/>
      <c r="E1332" s="93"/>
      <c r="F1332" s="93"/>
      <c r="G1332" s="93"/>
      <c r="H1332" s="93"/>
      <c r="I1332" s="94"/>
      <c r="J1332" s="93"/>
    </row>
    <row r="1333" spans="1:10" x14ac:dyDescent="0.2">
      <c r="A1333" s="19"/>
      <c r="B1333" s="21"/>
      <c r="C1333" s="19"/>
      <c r="D1333" s="99"/>
      <c r="E1333" s="41"/>
      <c r="F1333" s="41"/>
      <c r="G1333" s="41"/>
      <c r="H1333" s="41"/>
      <c r="I1333" s="41"/>
      <c r="J1333" s="41"/>
    </row>
    <row r="1334" spans="1:10" ht="25.5" x14ac:dyDescent="0.2">
      <c r="A1334" s="19" t="s">
        <v>425</v>
      </c>
      <c r="B1334" s="21" t="s">
        <v>219</v>
      </c>
      <c r="C1334" s="19" t="s">
        <v>43</v>
      </c>
      <c r="D1334" s="263" t="s">
        <v>257</v>
      </c>
      <c r="E1334" s="93" t="s">
        <v>258</v>
      </c>
      <c r="F1334" s="93" t="s">
        <v>259</v>
      </c>
      <c r="G1334" s="93" t="s">
        <v>260</v>
      </c>
      <c r="H1334" s="93" t="s">
        <v>261</v>
      </c>
      <c r="I1334" s="93" t="s">
        <v>262</v>
      </c>
      <c r="J1334" s="94" t="s">
        <v>263</v>
      </c>
    </row>
    <row r="1335" spans="1:10" x14ac:dyDescent="0.2">
      <c r="A1335" s="41"/>
      <c r="B1335" s="98" t="s">
        <v>643</v>
      </c>
      <c r="C1335" s="41"/>
      <c r="D1335" s="263">
        <v>1</v>
      </c>
      <c r="E1335" s="93"/>
      <c r="F1335" s="93"/>
      <c r="G1335" s="93"/>
      <c r="H1335" s="93"/>
      <c r="I1335" s="94"/>
      <c r="J1335" s="93">
        <f>D1335</f>
        <v>1</v>
      </c>
    </row>
    <row r="1336" spans="1:10" x14ac:dyDescent="0.2">
      <c r="A1336" s="41"/>
      <c r="B1336" s="98"/>
      <c r="C1336" s="41"/>
      <c r="D1336" s="263"/>
      <c r="E1336" s="93"/>
      <c r="F1336" s="93"/>
      <c r="G1336" s="93"/>
      <c r="H1336" s="93"/>
      <c r="I1336" s="91" t="s">
        <v>604</v>
      </c>
      <c r="J1336" s="90">
        <f>SUM(J1335)</f>
        <v>1</v>
      </c>
    </row>
    <row r="1337" spans="1:10" x14ac:dyDescent="0.2">
      <c r="A1337" s="41"/>
      <c r="B1337" s="41"/>
      <c r="C1337" s="41"/>
      <c r="D1337" s="99"/>
      <c r="E1337" s="41"/>
      <c r="F1337" s="41"/>
      <c r="G1337" s="41"/>
      <c r="H1337" s="41"/>
      <c r="I1337" s="41"/>
      <c r="J1337" s="41"/>
    </row>
    <row r="1338" spans="1:10" x14ac:dyDescent="0.2">
      <c r="A1338" s="11">
        <v>18</v>
      </c>
      <c r="B1338" s="7" t="s">
        <v>220</v>
      </c>
      <c r="C1338" s="5"/>
      <c r="D1338" s="277"/>
      <c r="E1338" s="77"/>
      <c r="F1338" s="77"/>
      <c r="G1338" s="77"/>
      <c r="H1338" s="77"/>
      <c r="I1338" s="77"/>
      <c r="J1338" s="77"/>
    </row>
    <row r="1339" spans="1:10" x14ac:dyDescent="0.2">
      <c r="A1339" s="23" t="s">
        <v>426</v>
      </c>
      <c r="B1339" s="18" t="s">
        <v>221</v>
      </c>
      <c r="C1339" s="19"/>
      <c r="D1339" s="99"/>
      <c r="E1339" s="41"/>
      <c r="F1339" s="41"/>
      <c r="G1339" s="41"/>
      <c r="H1339" s="41"/>
      <c r="I1339" s="41"/>
      <c r="J1339" s="41"/>
    </row>
    <row r="1340" spans="1:10" ht="25.5" x14ac:dyDescent="0.2">
      <c r="A1340" s="19" t="s">
        <v>427</v>
      </c>
      <c r="B1340" s="21" t="s">
        <v>222</v>
      </c>
      <c r="C1340" s="19" t="s">
        <v>43</v>
      </c>
      <c r="D1340" s="263" t="s">
        <v>257</v>
      </c>
      <c r="E1340" s="93" t="s">
        <v>258</v>
      </c>
      <c r="F1340" s="93" t="s">
        <v>259</v>
      </c>
      <c r="G1340" s="93" t="s">
        <v>260</v>
      </c>
      <c r="H1340" s="93" t="s">
        <v>261</v>
      </c>
      <c r="I1340" s="93" t="s">
        <v>262</v>
      </c>
      <c r="J1340" s="94" t="s">
        <v>263</v>
      </c>
    </row>
    <row r="1341" spans="1:10" x14ac:dyDescent="0.2">
      <c r="A1341" s="19"/>
      <c r="B1341" s="84" t="s">
        <v>676</v>
      </c>
      <c r="C1341" s="19"/>
      <c r="D1341" s="265"/>
      <c r="E1341" s="41"/>
      <c r="F1341" s="41"/>
      <c r="G1341" s="41"/>
      <c r="H1341" s="41"/>
      <c r="I1341" s="41"/>
      <c r="J1341" s="102"/>
    </row>
    <row r="1342" spans="1:10" s="253" customFormat="1" x14ac:dyDescent="0.2">
      <c r="A1342" s="254"/>
      <c r="B1342" s="359" t="s">
        <v>739</v>
      </c>
      <c r="C1342" s="254"/>
      <c r="D1342" s="265">
        <v>1</v>
      </c>
      <c r="E1342" s="256"/>
      <c r="F1342" s="256"/>
      <c r="G1342" s="256"/>
      <c r="H1342" s="256"/>
      <c r="I1342" s="256"/>
      <c r="J1342" s="265">
        <f>D1342</f>
        <v>1</v>
      </c>
    </row>
    <row r="1343" spans="1:10" s="253" customFormat="1" x14ac:dyDescent="0.2">
      <c r="A1343" s="254"/>
      <c r="B1343" s="379" t="s">
        <v>680</v>
      </c>
      <c r="C1343" s="254"/>
      <c r="D1343" s="265">
        <v>1</v>
      </c>
      <c r="E1343" s="256"/>
      <c r="F1343" s="256"/>
      <c r="G1343" s="256"/>
      <c r="H1343" s="256"/>
      <c r="I1343" s="256"/>
      <c r="J1343" s="265"/>
    </row>
    <row r="1344" spans="1:10" s="253" customFormat="1" x14ac:dyDescent="0.2">
      <c r="A1344" s="254"/>
      <c r="B1344" s="84" t="s">
        <v>1445</v>
      </c>
      <c r="C1344" s="254"/>
      <c r="D1344" s="265"/>
      <c r="E1344" s="256"/>
      <c r="F1344" s="256"/>
      <c r="G1344" s="256"/>
      <c r="H1344" s="256"/>
      <c r="I1344" s="256"/>
      <c r="J1344" s="265">
        <f t="shared" ref="J1344:J1349" si="64">D1344</f>
        <v>0</v>
      </c>
    </row>
    <row r="1345" spans="1:10" s="253" customFormat="1" x14ac:dyDescent="0.2">
      <c r="A1345" s="254"/>
      <c r="B1345" s="368" t="s">
        <v>1444</v>
      </c>
      <c r="C1345" s="254"/>
      <c r="D1345" s="265">
        <v>1</v>
      </c>
      <c r="E1345" s="256"/>
      <c r="F1345" s="256"/>
      <c r="G1345" s="256"/>
      <c r="H1345" s="256"/>
      <c r="I1345" s="256"/>
      <c r="J1345" s="265">
        <f t="shared" si="64"/>
        <v>1</v>
      </c>
    </row>
    <row r="1346" spans="1:10" s="253" customFormat="1" x14ac:dyDescent="0.2">
      <c r="A1346" s="254"/>
      <c r="B1346" s="368" t="s">
        <v>624</v>
      </c>
      <c r="C1346" s="254"/>
      <c r="D1346" s="265">
        <v>1</v>
      </c>
      <c r="E1346" s="256"/>
      <c r="F1346" s="256"/>
      <c r="G1346" s="256"/>
      <c r="H1346" s="256"/>
      <c r="I1346" s="256"/>
      <c r="J1346" s="265">
        <f t="shared" si="64"/>
        <v>1</v>
      </c>
    </row>
    <row r="1347" spans="1:10" s="253" customFormat="1" x14ac:dyDescent="0.2">
      <c r="A1347" s="254"/>
      <c r="B1347" s="368" t="s">
        <v>628</v>
      </c>
      <c r="C1347" s="254"/>
      <c r="D1347" s="265">
        <v>2</v>
      </c>
      <c r="E1347" s="256"/>
      <c r="F1347" s="256"/>
      <c r="G1347" s="256"/>
      <c r="H1347" s="256"/>
      <c r="I1347" s="256"/>
      <c r="J1347" s="265">
        <f t="shared" si="64"/>
        <v>2</v>
      </c>
    </row>
    <row r="1348" spans="1:10" s="253" customFormat="1" x14ac:dyDescent="0.2">
      <c r="A1348" s="254"/>
      <c r="B1348" s="368" t="s">
        <v>675</v>
      </c>
      <c r="C1348" s="254"/>
      <c r="D1348" s="265">
        <v>3</v>
      </c>
      <c r="E1348" s="256"/>
      <c r="F1348" s="256"/>
      <c r="G1348" s="256"/>
      <c r="H1348" s="256"/>
      <c r="I1348" s="256"/>
      <c r="J1348" s="265">
        <f t="shared" si="64"/>
        <v>3</v>
      </c>
    </row>
    <row r="1349" spans="1:10" s="253" customFormat="1" x14ac:dyDescent="0.2">
      <c r="A1349" s="254"/>
      <c r="B1349" s="84" t="s">
        <v>1084</v>
      </c>
      <c r="C1349" s="254"/>
      <c r="D1349" s="265">
        <v>1</v>
      </c>
      <c r="E1349" s="256"/>
      <c r="F1349" s="256"/>
      <c r="G1349" s="256"/>
      <c r="H1349" s="256"/>
      <c r="I1349" s="256"/>
      <c r="J1349" s="265">
        <f t="shared" si="64"/>
        <v>1</v>
      </c>
    </row>
    <row r="1350" spans="1:10" x14ac:dyDescent="0.2">
      <c r="A1350" s="19"/>
      <c r="B1350" s="21"/>
      <c r="C1350" s="19"/>
      <c r="D1350" s="99"/>
      <c r="E1350" s="41"/>
      <c r="F1350" s="41"/>
      <c r="G1350" s="41"/>
      <c r="H1350" s="41"/>
      <c r="I1350" s="91" t="s">
        <v>604</v>
      </c>
      <c r="J1350" s="90">
        <f>SUM(J1342:J1349)</f>
        <v>9</v>
      </c>
    </row>
    <row r="1351" spans="1:10" x14ac:dyDescent="0.2">
      <c r="A1351" s="19"/>
      <c r="B1351" s="21"/>
      <c r="C1351" s="19"/>
      <c r="D1351" s="99"/>
      <c r="E1351" s="41"/>
      <c r="F1351" s="41"/>
      <c r="G1351" s="41"/>
      <c r="H1351" s="41"/>
      <c r="I1351" s="41"/>
      <c r="J1351" s="41"/>
    </row>
    <row r="1352" spans="1:10" ht="25.5" x14ac:dyDescent="0.2">
      <c r="A1352" s="19" t="s">
        <v>428</v>
      </c>
      <c r="B1352" s="21" t="s">
        <v>223</v>
      </c>
      <c r="C1352" s="19" t="s">
        <v>25</v>
      </c>
      <c r="D1352" s="263" t="s">
        <v>257</v>
      </c>
      <c r="E1352" s="93" t="s">
        <v>258</v>
      </c>
      <c r="F1352" s="93" t="s">
        <v>259</v>
      </c>
      <c r="G1352" s="93" t="s">
        <v>260</v>
      </c>
      <c r="H1352" s="93" t="s">
        <v>261</v>
      </c>
      <c r="I1352" s="93" t="s">
        <v>262</v>
      </c>
      <c r="J1352" s="94" t="s">
        <v>263</v>
      </c>
    </row>
    <row r="1353" spans="1:10" s="253" customFormat="1" x14ac:dyDescent="0.2">
      <c r="A1353" s="254"/>
      <c r="B1353" s="84" t="s">
        <v>676</v>
      </c>
      <c r="C1353" s="254"/>
      <c r="D1353" s="265"/>
      <c r="E1353" s="256"/>
      <c r="F1353" s="256"/>
      <c r="G1353" s="256"/>
      <c r="H1353" s="256"/>
      <c r="I1353" s="256"/>
      <c r="J1353" s="265"/>
    </row>
    <row r="1354" spans="1:10" s="253" customFormat="1" x14ac:dyDescent="0.2">
      <c r="A1354" s="254"/>
      <c r="B1354" s="359" t="s">
        <v>675</v>
      </c>
      <c r="C1354" s="254"/>
      <c r="D1354" s="265">
        <v>1</v>
      </c>
      <c r="E1354" s="256"/>
      <c r="F1354" s="256"/>
      <c r="G1354" s="256"/>
      <c r="H1354" s="256"/>
      <c r="I1354" s="256"/>
      <c r="J1354" s="265">
        <f>D1354</f>
        <v>1</v>
      </c>
    </row>
    <row r="1355" spans="1:10" s="253" customFormat="1" x14ac:dyDescent="0.2">
      <c r="A1355" s="254"/>
      <c r="B1355" s="359" t="s">
        <v>1444</v>
      </c>
      <c r="C1355" s="254"/>
      <c r="D1355" s="265">
        <v>1</v>
      </c>
      <c r="E1355" s="256"/>
      <c r="F1355" s="256"/>
      <c r="G1355" s="256"/>
      <c r="H1355" s="256"/>
      <c r="I1355" s="256"/>
      <c r="J1355" s="265">
        <f>D1355</f>
        <v>1</v>
      </c>
    </row>
    <row r="1356" spans="1:10" s="253" customFormat="1" x14ac:dyDescent="0.2">
      <c r="A1356" s="254"/>
      <c r="B1356" s="84" t="s">
        <v>1445</v>
      </c>
      <c r="C1356" s="254"/>
      <c r="D1356" s="265"/>
      <c r="E1356" s="256"/>
      <c r="F1356" s="256"/>
      <c r="G1356" s="256"/>
      <c r="H1356" s="256"/>
      <c r="I1356" s="256"/>
      <c r="J1356" s="265">
        <f t="shared" ref="J1356:J1357" si="65">D1356</f>
        <v>0</v>
      </c>
    </row>
    <row r="1357" spans="1:10" s="253" customFormat="1" x14ac:dyDescent="0.2">
      <c r="A1357" s="254"/>
      <c r="B1357" s="368" t="s">
        <v>675</v>
      </c>
      <c r="C1357" s="254"/>
      <c r="D1357" s="265">
        <v>1</v>
      </c>
      <c r="E1357" s="256"/>
      <c r="F1357" s="256"/>
      <c r="G1357" s="256"/>
      <c r="H1357" s="256"/>
      <c r="I1357" s="256"/>
      <c r="J1357" s="265">
        <f t="shared" si="65"/>
        <v>1</v>
      </c>
    </row>
    <row r="1358" spans="1:10" x14ac:dyDescent="0.2">
      <c r="A1358" s="19"/>
      <c r="B1358" s="21"/>
      <c r="C1358" s="19"/>
      <c r="D1358" s="99"/>
      <c r="E1358" s="41"/>
      <c r="F1358" s="41"/>
      <c r="G1358" s="41"/>
      <c r="H1358" s="41"/>
      <c r="I1358" s="91" t="s">
        <v>604</v>
      </c>
      <c r="J1358" s="90">
        <f>SUM(J1354:J1357)</f>
        <v>3</v>
      </c>
    </row>
    <row r="1359" spans="1:10" x14ac:dyDescent="0.2">
      <c r="A1359" s="19"/>
      <c r="B1359" s="21"/>
      <c r="C1359" s="19"/>
      <c r="D1359" s="99"/>
      <c r="E1359" s="41"/>
      <c r="F1359" s="41"/>
      <c r="G1359" s="41"/>
      <c r="H1359" s="41"/>
      <c r="I1359" s="41"/>
      <c r="J1359" s="41"/>
    </row>
    <row r="1360" spans="1:10" ht="25.5" x14ac:dyDescent="0.2">
      <c r="A1360" s="19" t="s">
        <v>429</v>
      </c>
      <c r="B1360" s="21" t="s">
        <v>224</v>
      </c>
      <c r="C1360" s="19" t="s">
        <v>43</v>
      </c>
      <c r="D1360" s="263" t="s">
        <v>257</v>
      </c>
      <c r="E1360" s="93" t="s">
        <v>258</v>
      </c>
      <c r="F1360" s="93" t="s">
        <v>259</v>
      </c>
      <c r="G1360" s="93" t="s">
        <v>260</v>
      </c>
      <c r="H1360" s="93" t="s">
        <v>261</v>
      </c>
      <c r="I1360" s="93" t="s">
        <v>262</v>
      </c>
      <c r="J1360" s="94" t="s">
        <v>263</v>
      </c>
    </row>
    <row r="1361" spans="1:10" s="253" customFormat="1" x14ac:dyDescent="0.2">
      <c r="A1361" s="254"/>
      <c r="B1361" s="84" t="s">
        <v>676</v>
      </c>
      <c r="C1361" s="254"/>
      <c r="D1361" s="263"/>
      <c r="E1361" s="263"/>
      <c r="F1361" s="263"/>
      <c r="G1361" s="263"/>
      <c r="H1361" s="263"/>
      <c r="I1361" s="263"/>
      <c r="J1361" s="264"/>
    </row>
    <row r="1362" spans="1:10" s="253" customFormat="1" x14ac:dyDescent="0.2">
      <c r="A1362" s="254"/>
      <c r="B1362" s="359" t="s">
        <v>680</v>
      </c>
      <c r="C1362" s="254"/>
      <c r="D1362" s="263">
        <v>1</v>
      </c>
      <c r="E1362" s="263"/>
      <c r="F1362" s="263"/>
      <c r="G1362" s="263"/>
      <c r="H1362" s="263"/>
      <c r="I1362" s="263"/>
      <c r="J1362" s="264">
        <f>D1362</f>
        <v>1</v>
      </c>
    </row>
    <row r="1363" spans="1:10" s="253" customFormat="1" x14ac:dyDescent="0.2">
      <c r="A1363" s="254"/>
      <c r="B1363" s="359" t="s">
        <v>1440</v>
      </c>
      <c r="C1363" s="254"/>
      <c r="D1363" s="263">
        <v>1</v>
      </c>
      <c r="E1363" s="263"/>
      <c r="F1363" s="263"/>
      <c r="G1363" s="263"/>
      <c r="H1363" s="263"/>
      <c r="I1363" s="263"/>
      <c r="J1363" s="264">
        <f t="shared" ref="J1363:J1378" si="66">D1363</f>
        <v>1</v>
      </c>
    </row>
    <row r="1364" spans="1:10" s="253" customFormat="1" x14ac:dyDescent="0.2">
      <c r="A1364" s="254"/>
      <c r="B1364" s="359" t="s">
        <v>1441</v>
      </c>
      <c r="C1364" s="254"/>
      <c r="D1364" s="263">
        <v>1</v>
      </c>
      <c r="E1364" s="263"/>
      <c r="F1364" s="263"/>
      <c r="G1364" s="263"/>
      <c r="H1364" s="263"/>
      <c r="I1364" s="263"/>
      <c r="J1364" s="264">
        <f t="shared" si="66"/>
        <v>1</v>
      </c>
    </row>
    <row r="1365" spans="1:10" s="253" customFormat="1" x14ac:dyDescent="0.2">
      <c r="A1365" s="254"/>
      <c r="B1365" s="359" t="s">
        <v>1442</v>
      </c>
      <c r="C1365" s="254"/>
      <c r="D1365" s="263">
        <v>1</v>
      </c>
      <c r="E1365" s="263"/>
      <c r="F1365" s="263"/>
      <c r="G1365" s="263"/>
      <c r="H1365" s="263"/>
      <c r="I1365" s="263"/>
      <c r="J1365" s="264">
        <f t="shared" si="66"/>
        <v>1</v>
      </c>
    </row>
    <row r="1366" spans="1:10" s="253" customFormat="1" x14ac:dyDescent="0.2">
      <c r="A1366" s="254"/>
      <c r="B1366" s="359" t="s">
        <v>622</v>
      </c>
      <c r="C1366" s="254"/>
      <c r="D1366" s="263">
        <v>1</v>
      </c>
      <c r="E1366" s="263"/>
      <c r="F1366" s="263"/>
      <c r="G1366" s="263"/>
      <c r="H1366" s="263"/>
      <c r="I1366" s="263"/>
      <c r="J1366" s="264">
        <f t="shared" si="66"/>
        <v>1</v>
      </c>
    </row>
    <row r="1367" spans="1:10" s="253" customFormat="1" x14ac:dyDescent="0.2">
      <c r="A1367" s="254"/>
      <c r="B1367" s="359" t="s">
        <v>1443</v>
      </c>
      <c r="C1367" s="254"/>
      <c r="D1367" s="263">
        <v>1</v>
      </c>
      <c r="E1367" s="263"/>
      <c r="F1367" s="263"/>
      <c r="G1367" s="263"/>
      <c r="H1367" s="263"/>
      <c r="I1367" s="263"/>
      <c r="J1367" s="264">
        <f t="shared" si="66"/>
        <v>1</v>
      </c>
    </row>
    <row r="1368" spans="1:10" s="253" customFormat="1" x14ac:dyDescent="0.2">
      <c r="A1368" s="254"/>
      <c r="B1368" s="359" t="s">
        <v>675</v>
      </c>
      <c r="C1368" s="254"/>
      <c r="D1368" s="263">
        <v>1</v>
      </c>
      <c r="E1368" s="263"/>
      <c r="F1368" s="263"/>
      <c r="G1368" s="263"/>
      <c r="H1368" s="263"/>
      <c r="I1368" s="263"/>
      <c r="J1368" s="264">
        <f t="shared" si="66"/>
        <v>1</v>
      </c>
    </row>
    <row r="1369" spans="1:10" x14ac:dyDescent="0.2">
      <c r="A1369" s="19"/>
      <c r="B1369" s="359" t="s">
        <v>739</v>
      </c>
      <c r="C1369" s="19"/>
      <c r="D1369" s="265">
        <v>1</v>
      </c>
      <c r="E1369" s="41"/>
      <c r="F1369" s="41"/>
      <c r="G1369" s="41"/>
      <c r="H1369" s="41"/>
      <c r="I1369" s="41"/>
      <c r="J1369" s="264">
        <f t="shared" si="66"/>
        <v>1</v>
      </c>
    </row>
    <row r="1370" spans="1:10" s="253" customFormat="1" x14ac:dyDescent="0.2">
      <c r="A1370" s="254"/>
      <c r="B1370" s="84" t="s">
        <v>1445</v>
      </c>
      <c r="C1370" s="254"/>
      <c r="D1370" s="265"/>
      <c r="E1370" s="256"/>
      <c r="F1370" s="256"/>
      <c r="G1370" s="256"/>
      <c r="H1370" s="256"/>
      <c r="I1370" s="256"/>
      <c r="J1370" s="264"/>
    </row>
    <row r="1371" spans="1:10" s="253" customFormat="1" x14ac:dyDescent="0.2">
      <c r="A1371" s="254"/>
      <c r="B1371" s="368" t="s">
        <v>1446</v>
      </c>
      <c r="C1371" s="254"/>
      <c r="D1371" s="265">
        <v>1</v>
      </c>
      <c r="E1371" s="256"/>
      <c r="F1371" s="256"/>
      <c r="G1371" s="256"/>
      <c r="H1371" s="256"/>
      <c r="I1371" s="256"/>
      <c r="J1371" s="264">
        <f t="shared" si="66"/>
        <v>1</v>
      </c>
    </row>
    <row r="1372" spans="1:10" s="253" customFormat="1" x14ac:dyDescent="0.2">
      <c r="A1372" s="254"/>
      <c r="B1372" s="368" t="s">
        <v>624</v>
      </c>
      <c r="C1372" s="254"/>
      <c r="D1372" s="265">
        <v>1</v>
      </c>
      <c r="E1372" s="256"/>
      <c r="F1372" s="256"/>
      <c r="G1372" s="256"/>
      <c r="H1372" s="256"/>
      <c r="I1372" s="256"/>
      <c r="J1372" s="264">
        <f t="shared" si="66"/>
        <v>1</v>
      </c>
    </row>
    <row r="1373" spans="1:10" s="253" customFormat="1" x14ac:dyDescent="0.2">
      <c r="A1373" s="254"/>
      <c r="B1373" s="368" t="s">
        <v>625</v>
      </c>
      <c r="C1373" s="254"/>
      <c r="D1373" s="265">
        <v>1</v>
      </c>
      <c r="E1373" s="256"/>
      <c r="F1373" s="256"/>
      <c r="G1373" s="256"/>
      <c r="H1373" s="256"/>
      <c r="I1373" s="256"/>
      <c r="J1373" s="264">
        <f t="shared" si="66"/>
        <v>1</v>
      </c>
    </row>
    <row r="1374" spans="1:10" s="253" customFormat="1" x14ac:dyDescent="0.2">
      <c r="A1374" s="254"/>
      <c r="B1374" s="368" t="s">
        <v>639</v>
      </c>
      <c r="C1374" s="254"/>
      <c r="D1374" s="265">
        <v>1</v>
      </c>
      <c r="E1374" s="256"/>
      <c r="F1374" s="256"/>
      <c r="G1374" s="256"/>
      <c r="H1374" s="256"/>
      <c r="I1374" s="256"/>
      <c r="J1374" s="264">
        <f t="shared" si="66"/>
        <v>1</v>
      </c>
    </row>
    <row r="1375" spans="1:10" s="253" customFormat="1" x14ac:dyDescent="0.2">
      <c r="A1375" s="254"/>
      <c r="B1375" s="368" t="s">
        <v>675</v>
      </c>
      <c r="C1375" s="254"/>
      <c r="D1375" s="265">
        <v>1</v>
      </c>
      <c r="E1375" s="256"/>
      <c r="F1375" s="256"/>
      <c r="G1375" s="256"/>
      <c r="H1375" s="256"/>
      <c r="I1375" s="256"/>
      <c r="J1375" s="264">
        <f t="shared" si="66"/>
        <v>1</v>
      </c>
    </row>
    <row r="1376" spans="1:10" s="253" customFormat="1" x14ac:dyDescent="0.2">
      <c r="A1376" s="254"/>
      <c r="B1376" s="368" t="s">
        <v>680</v>
      </c>
      <c r="C1376" s="254"/>
      <c r="D1376" s="265">
        <v>1</v>
      </c>
      <c r="E1376" s="256"/>
      <c r="F1376" s="256"/>
      <c r="G1376" s="256"/>
      <c r="H1376" s="256"/>
      <c r="I1376" s="256"/>
      <c r="J1376" s="264">
        <f t="shared" si="66"/>
        <v>1</v>
      </c>
    </row>
    <row r="1377" spans="1:10" s="253" customFormat="1" x14ac:dyDescent="0.2">
      <c r="A1377" s="254"/>
      <c r="B1377" s="368" t="s">
        <v>628</v>
      </c>
      <c r="C1377" s="254"/>
      <c r="D1377" s="265">
        <v>1</v>
      </c>
      <c r="E1377" s="256"/>
      <c r="F1377" s="256"/>
      <c r="G1377" s="256"/>
      <c r="H1377" s="256"/>
      <c r="I1377" s="256"/>
      <c r="J1377" s="264">
        <f t="shared" si="66"/>
        <v>1</v>
      </c>
    </row>
    <row r="1378" spans="1:10" s="253" customFormat="1" x14ac:dyDescent="0.2">
      <c r="A1378" s="254"/>
      <c r="B1378" s="84" t="s">
        <v>1084</v>
      </c>
      <c r="C1378" s="254"/>
      <c r="D1378" s="265">
        <v>1</v>
      </c>
      <c r="E1378" s="256"/>
      <c r="F1378" s="256"/>
      <c r="G1378" s="256"/>
      <c r="H1378" s="256"/>
      <c r="I1378" s="256"/>
      <c r="J1378" s="264">
        <f t="shared" si="66"/>
        <v>1</v>
      </c>
    </row>
    <row r="1379" spans="1:10" x14ac:dyDescent="0.2">
      <c r="A1379" s="19"/>
      <c r="B1379" s="21"/>
      <c r="C1379" s="19"/>
      <c r="D1379" s="99"/>
      <c r="E1379" s="41"/>
      <c r="F1379" s="41"/>
      <c r="G1379" s="41"/>
      <c r="H1379" s="41"/>
      <c r="I1379" s="91" t="s">
        <v>604</v>
      </c>
      <c r="J1379" s="90">
        <f>SUM(J1362:J1378)</f>
        <v>16</v>
      </c>
    </row>
    <row r="1380" spans="1:10" x14ac:dyDescent="0.2">
      <c r="A1380" s="19"/>
      <c r="B1380" s="21"/>
      <c r="C1380" s="19"/>
      <c r="D1380" s="99"/>
      <c r="E1380" s="41"/>
      <c r="F1380" s="41"/>
      <c r="G1380" s="41"/>
      <c r="H1380" s="41"/>
      <c r="I1380" s="41"/>
      <c r="J1380" s="41"/>
    </row>
    <row r="1381" spans="1:10" ht="25.5" x14ac:dyDescent="0.2">
      <c r="A1381" s="19" t="s">
        <v>430</v>
      </c>
      <c r="B1381" s="21" t="s">
        <v>225</v>
      </c>
      <c r="C1381" s="19" t="s">
        <v>43</v>
      </c>
      <c r="D1381" s="263" t="s">
        <v>257</v>
      </c>
      <c r="E1381" s="93" t="s">
        <v>258</v>
      </c>
      <c r="F1381" s="93" t="s">
        <v>259</v>
      </c>
      <c r="G1381" s="93" t="s">
        <v>260</v>
      </c>
      <c r="H1381" s="93" t="s">
        <v>261</v>
      </c>
      <c r="I1381" s="93" t="s">
        <v>262</v>
      </c>
      <c r="J1381" s="94" t="s">
        <v>263</v>
      </c>
    </row>
    <row r="1382" spans="1:10" s="253" customFormat="1" x14ac:dyDescent="0.2">
      <c r="A1382" s="254"/>
      <c r="B1382" s="84" t="s">
        <v>1445</v>
      </c>
      <c r="C1382" s="254"/>
      <c r="D1382" s="263"/>
      <c r="E1382" s="263"/>
      <c r="F1382" s="263"/>
      <c r="G1382" s="263"/>
      <c r="H1382" s="263"/>
      <c r="I1382" s="263"/>
      <c r="J1382" s="264"/>
    </row>
    <row r="1383" spans="1:10" s="253" customFormat="1" x14ac:dyDescent="0.2">
      <c r="A1383" s="254"/>
      <c r="B1383" s="368" t="s">
        <v>1447</v>
      </c>
      <c r="C1383" s="254"/>
      <c r="D1383" s="263">
        <v>1</v>
      </c>
      <c r="E1383" s="263"/>
      <c r="F1383" s="263"/>
      <c r="G1383" s="263"/>
      <c r="H1383" s="263"/>
      <c r="I1383" s="263"/>
      <c r="J1383" s="264">
        <f>D1383</f>
        <v>1</v>
      </c>
    </row>
    <row r="1384" spans="1:10" x14ac:dyDescent="0.2">
      <c r="A1384" s="19"/>
      <c r="B1384" s="21"/>
      <c r="C1384" s="19"/>
      <c r="D1384" s="99"/>
      <c r="E1384" s="41"/>
      <c r="F1384" s="41"/>
      <c r="G1384" s="41"/>
      <c r="H1384" s="41"/>
      <c r="I1384" s="91" t="s">
        <v>604</v>
      </c>
      <c r="J1384" s="90">
        <f>SUM(J1383)</f>
        <v>1</v>
      </c>
    </row>
    <row r="1385" spans="1:10" x14ac:dyDescent="0.2">
      <c r="A1385" s="19"/>
      <c r="B1385" s="21"/>
      <c r="C1385" s="19"/>
      <c r="D1385" s="99"/>
      <c r="E1385" s="41"/>
      <c r="F1385" s="41"/>
      <c r="G1385" s="41"/>
      <c r="H1385" s="41"/>
      <c r="I1385" s="164"/>
      <c r="J1385" s="165"/>
    </row>
    <row r="1386" spans="1:10" ht="25.5" x14ac:dyDescent="0.2">
      <c r="A1386" s="19" t="s">
        <v>431</v>
      </c>
      <c r="B1386" s="21" t="s">
        <v>1131</v>
      </c>
      <c r="C1386" s="19" t="s">
        <v>43</v>
      </c>
      <c r="D1386" s="263" t="s">
        <v>257</v>
      </c>
      <c r="E1386" s="93" t="s">
        <v>258</v>
      </c>
      <c r="F1386" s="93" t="s">
        <v>259</v>
      </c>
      <c r="G1386" s="93" t="s">
        <v>260</v>
      </c>
      <c r="H1386" s="93" t="s">
        <v>261</v>
      </c>
      <c r="I1386" s="93" t="s">
        <v>262</v>
      </c>
      <c r="J1386" s="94" t="s">
        <v>263</v>
      </c>
    </row>
    <row r="1387" spans="1:10" x14ac:dyDescent="0.2">
      <c r="A1387" s="19"/>
      <c r="B1387" s="84" t="s">
        <v>676</v>
      </c>
      <c r="C1387" s="19"/>
      <c r="D1387" s="265"/>
      <c r="E1387" s="41"/>
      <c r="F1387" s="41"/>
      <c r="G1387" s="41"/>
      <c r="H1387" s="41"/>
      <c r="I1387" s="41"/>
      <c r="J1387" s="102"/>
    </row>
    <row r="1388" spans="1:10" s="253" customFormat="1" x14ac:dyDescent="0.2">
      <c r="A1388" s="254"/>
      <c r="B1388" s="237" t="s">
        <v>679</v>
      </c>
      <c r="C1388" s="254"/>
      <c r="D1388" s="265">
        <v>1</v>
      </c>
      <c r="E1388" s="256"/>
      <c r="F1388" s="256"/>
      <c r="G1388" s="256"/>
      <c r="H1388" s="256"/>
      <c r="I1388" s="256"/>
      <c r="J1388" s="265">
        <f>D1388</f>
        <v>1</v>
      </c>
    </row>
    <row r="1389" spans="1:10" x14ac:dyDescent="0.2">
      <c r="A1389" s="19"/>
      <c r="B1389" s="21"/>
      <c r="C1389" s="19"/>
      <c r="D1389" s="99"/>
      <c r="E1389" s="41"/>
      <c r="F1389" s="41"/>
      <c r="G1389" s="41"/>
      <c r="H1389" s="41"/>
      <c r="I1389" s="91" t="s">
        <v>604</v>
      </c>
      <c r="J1389" s="90">
        <f>SUM(J1388)</f>
        <v>1</v>
      </c>
    </row>
    <row r="1390" spans="1:10" x14ac:dyDescent="0.2">
      <c r="A1390" s="19"/>
      <c r="B1390" s="21"/>
      <c r="C1390" s="19"/>
      <c r="D1390" s="99"/>
      <c r="E1390" s="41"/>
      <c r="F1390" s="41"/>
      <c r="G1390" s="41"/>
      <c r="H1390" s="41"/>
      <c r="I1390" s="41"/>
      <c r="J1390" s="41"/>
    </row>
    <row r="1391" spans="1:10" ht="25.5" x14ac:dyDescent="0.2">
      <c r="A1391" s="19" t="s">
        <v>432</v>
      </c>
      <c r="B1391" s="21" t="s">
        <v>226</v>
      </c>
      <c r="C1391" s="19" t="s">
        <v>43</v>
      </c>
      <c r="D1391" s="263" t="s">
        <v>257</v>
      </c>
      <c r="E1391" s="93" t="s">
        <v>258</v>
      </c>
      <c r="F1391" s="93" t="s">
        <v>259</v>
      </c>
      <c r="G1391" s="93" t="s">
        <v>260</v>
      </c>
      <c r="H1391" s="93" t="s">
        <v>261</v>
      </c>
      <c r="I1391" s="93" t="s">
        <v>262</v>
      </c>
      <c r="J1391" s="94" t="s">
        <v>263</v>
      </c>
    </row>
    <row r="1392" spans="1:10" x14ac:dyDescent="0.2">
      <c r="A1392" s="19"/>
      <c r="B1392" s="84" t="s">
        <v>676</v>
      </c>
      <c r="C1392" s="19"/>
      <c r="D1392" s="265"/>
      <c r="E1392" s="41"/>
      <c r="F1392" s="41"/>
      <c r="G1392" s="41"/>
      <c r="H1392" s="41"/>
      <c r="I1392" s="41"/>
      <c r="J1392" s="102"/>
    </row>
    <row r="1393" spans="1:10" s="253" customFormat="1" x14ac:dyDescent="0.2">
      <c r="A1393" s="254"/>
      <c r="B1393" s="359" t="s">
        <v>736</v>
      </c>
      <c r="C1393" s="254"/>
      <c r="D1393" s="265">
        <v>1</v>
      </c>
      <c r="E1393" s="256"/>
      <c r="F1393" s="256"/>
      <c r="G1393" s="256"/>
      <c r="H1393" s="256"/>
      <c r="I1393" s="256"/>
      <c r="J1393" s="265">
        <f>D1393</f>
        <v>1</v>
      </c>
    </row>
    <row r="1394" spans="1:10" s="253" customFormat="1" x14ac:dyDescent="0.2">
      <c r="A1394" s="254"/>
      <c r="B1394" s="359" t="s">
        <v>735</v>
      </c>
      <c r="C1394" s="254"/>
      <c r="D1394" s="265">
        <v>1</v>
      </c>
      <c r="E1394" s="256"/>
      <c r="F1394" s="256"/>
      <c r="G1394" s="256"/>
      <c r="H1394" s="256"/>
      <c r="I1394" s="256"/>
      <c r="J1394" s="265">
        <f t="shared" ref="J1394:J1398" si="67">D1394</f>
        <v>1</v>
      </c>
    </row>
    <row r="1395" spans="1:10" s="253" customFormat="1" x14ac:dyDescent="0.2">
      <c r="A1395" s="254"/>
      <c r="B1395" s="359" t="s">
        <v>738</v>
      </c>
      <c r="C1395" s="254"/>
      <c r="D1395" s="265">
        <v>1</v>
      </c>
      <c r="E1395" s="256"/>
      <c r="F1395" s="256"/>
      <c r="G1395" s="256"/>
      <c r="H1395" s="256"/>
      <c r="I1395" s="256"/>
      <c r="J1395" s="265">
        <f t="shared" si="67"/>
        <v>1</v>
      </c>
    </row>
    <row r="1396" spans="1:10" s="253" customFormat="1" x14ac:dyDescent="0.2">
      <c r="A1396" s="254"/>
      <c r="B1396" s="359" t="s">
        <v>737</v>
      </c>
      <c r="C1396" s="254"/>
      <c r="D1396" s="265">
        <v>1</v>
      </c>
      <c r="E1396" s="256"/>
      <c r="F1396" s="256"/>
      <c r="G1396" s="256"/>
      <c r="H1396" s="256"/>
      <c r="I1396" s="256"/>
      <c r="J1396" s="265">
        <f t="shared" si="67"/>
        <v>1</v>
      </c>
    </row>
    <row r="1397" spans="1:10" s="253" customFormat="1" x14ac:dyDescent="0.2">
      <c r="A1397" s="254"/>
      <c r="B1397" s="84" t="s">
        <v>1445</v>
      </c>
      <c r="C1397" s="254"/>
      <c r="D1397" s="265"/>
      <c r="E1397" s="256"/>
      <c r="F1397" s="256"/>
      <c r="G1397" s="256"/>
      <c r="H1397" s="256"/>
      <c r="I1397" s="256"/>
      <c r="J1397" s="265"/>
    </row>
    <row r="1398" spans="1:10" s="253" customFormat="1" x14ac:dyDescent="0.2">
      <c r="A1398" s="254"/>
      <c r="B1398" s="368" t="s">
        <v>658</v>
      </c>
      <c r="C1398" s="254"/>
      <c r="D1398" s="265">
        <v>1</v>
      </c>
      <c r="E1398" s="256"/>
      <c r="F1398" s="256"/>
      <c r="G1398" s="256"/>
      <c r="H1398" s="256"/>
      <c r="I1398" s="256"/>
      <c r="J1398" s="265">
        <f t="shared" si="67"/>
        <v>1</v>
      </c>
    </row>
    <row r="1399" spans="1:10" x14ac:dyDescent="0.2">
      <c r="A1399" s="19"/>
      <c r="B1399" s="21"/>
      <c r="C1399" s="19"/>
      <c r="D1399" s="99"/>
      <c r="E1399" s="41"/>
      <c r="F1399" s="41"/>
      <c r="G1399" s="41"/>
      <c r="H1399" s="41"/>
      <c r="I1399" s="91" t="s">
        <v>604</v>
      </c>
      <c r="J1399" s="90">
        <f>SUM(J1393:J1398)</f>
        <v>5</v>
      </c>
    </row>
    <row r="1400" spans="1:10" x14ac:dyDescent="0.2">
      <c r="A1400" s="19"/>
      <c r="B1400" s="21"/>
      <c r="C1400" s="19"/>
      <c r="D1400" s="99"/>
      <c r="E1400" s="41"/>
      <c r="F1400" s="41"/>
      <c r="G1400" s="41"/>
      <c r="H1400" s="41"/>
      <c r="I1400" s="41"/>
      <c r="J1400" s="41"/>
    </row>
    <row r="1401" spans="1:10" ht="25.5" x14ac:dyDescent="0.2">
      <c r="A1401" s="19" t="s">
        <v>433</v>
      </c>
      <c r="B1401" s="21" t="s">
        <v>1132</v>
      </c>
      <c r="C1401" s="19" t="s">
        <v>43</v>
      </c>
      <c r="D1401" s="263" t="s">
        <v>257</v>
      </c>
      <c r="E1401" s="93" t="s">
        <v>258</v>
      </c>
      <c r="F1401" s="93" t="s">
        <v>259</v>
      </c>
      <c r="G1401" s="93" t="s">
        <v>260</v>
      </c>
      <c r="H1401" s="93" t="s">
        <v>261</v>
      </c>
      <c r="I1401" s="93" t="s">
        <v>262</v>
      </c>
      <c r="J1401" s="94" t="s">
        <v>263</v>
      </c>
    </row>
    <row r="1402" spans="1:10" x14ac:dyDescent="0.2">
      <c r="A1402" s="19"/>
      <c r="B1402" s="84" t="s">
        <v>676</v>
      </c>
      <c r="C1402" s="19"/>
      <c r="D1402" s="265"/>
      <c r="E1402" s="41"/>
      <c r="F1402" s="41"/>
      <c r="G1402" s="41"/>
      <c r="H1402" s="41"/>
      <c r="I1402" s="41"/>
      <c r="J1402" s="102"/>
    </row>
    <row r="1403" spans="1:10" s="253" customFormat="1" x14ac:dyDescent="0.2">
      <c r="A1403" s="254"/>
      <c r="B1403" s="237" t="s">
        <v>634</v>
      </c>
      <c r="C1403" s="254"/>
      <c r="D1403" s="265">
        <v>1</v>
      </c>
      <c r="E1403" s="256"/>
      <c r="F1403" s="256"/>
      <c r="G1403" s="256"/>
      <c r="H1403" s="256"/>
      <c r="I1403" s="256"/>
      <c r="J1403" s="265">
        <f>D1403</f>
        <v>1</v>
      </c>
    </row>
    <row r="1404" spans="1:10" x14ac:dyDescent="0.2">
      <c r="A1404" s="19"/>
      <c r="B1404" s="21"/>
      <c r="C1404" s="19"/>
      <c r="D1404" s="99"/>
      <c r="E1404" s="41"/>
      <c r="F1404" s="41"/>
      <c r="G1404" s="41"/>
      <c r="H1404" s="41"/>
      <c r="I1404" s="91" t="s">
        <v>604</v>
      </c>
      <c r="J1404" s="90">
        <f>SUM(J1402:J1403)</f>
        <v>1</v>
      </c>
    </row>
    <row r="1405" spans="1:10" x14ac:dyDescent="0.2">
      <c r="A1405" s="19"/>
      <c r="B1405" s="21"/>
      <c r="C1405" s="19"/>
      <c r="D1405" s="99"/>
      <c r="E1405" s="41"/>
      <c r="F1405" s="41"/>
      <c r="G1405" s="41"/>
      <c r="H1405" s="41"/>
      <c r="I1405" s="41"/>
      <c r="J1405" s="41"/>
    </row>
    <row r="1406" spans="1:10" ht="25.5" x14ac:dyDescent="0.2">
      <c r="A1406" s="19" t="s">
        <v>434</v>
      </c>
      <c r="B1406" s="21" t="s">
        <v>227</v>
      </c>
      <c r="C1406" s="19" t="s">
        <v>43</v>
      </c>
      <c r="D1406" s="263" t="s">
        <v>257</v>
      </c>
      <c r="E1406" s="93" t="s">
        <v>258</v>
      </c>
      <c r="F1406" s="93" t="s">
        <v>259</v>
      </c>
      <c r="G1406" s="93" t="s">
        <v>260</v>
      </c>
      <c r="H1406" s="93" t="s">
        <v>261</v>
      </c>
      <c r="I1406" s="93" t="s">
        <v>262</v>
      </c>
      <c r="J1406" s="94" t="s">
        <v>263</v>
      </c>
    </row>
    <row r="1407" spans="1:10" s="253" customFormat="1" x14ac:dyDescent="0.2">
      <c r="A1407" s="254"/>
      <c r="B1407" s="84" t="s">
        <v>676</v>
      </c>
      <c r="C1407" s="254"/>
      <c r="D1407" s="265"/>
      <c r="E1407" s="256"/>
      <c r="F1407" s="256"/>
      <c r="G1407" s="256"/>
      <c r="H1407" s="256"/>
      <c r="I1407" s="256"/>
      <c r="J1407" s="265"/>
    </row>
    <row r="1408" spans="1:10" s="253" customFormat="1" x14ac:dyDescent="0.2">
      <c r="A1408" s="254"/>
      <c r="B1408" s="359" t="s">
        <v>738</v>
      </c>
      <c r="C1408" s="254"/>
      <c r="D1408" s="265">
        <v>1</v>
      </c>
      <c r="E1408" s="256"/>
      <c r="F1408" s="256"/>
      <c r="G1408" s="256"/>
      <c r="H1408" s="256"/>
      <c r="I1408" s="256"/>
      <c r="J1408" s="265">
        <f>D1408</f>
        <v>1</v>
      </c>
    </row>
    <row r="1409" spans="1:10" s="253" customFormat="1" x14ac:dyDescent="0.2">
      <c r="A1409" s="254"/>
      <c r="B1409" s="359" t="s">
        <v>737</v>
      </c>
      <c r="C1409" s="254"/>
      <c r="D1409" s="265">
        <v>1</v>
      </c>
      <c r="E1409" s="256"/>
      <c r="F1409" s="256"/>
      <c r="G1409" s="256"/>
      <c r="H1409" s="256"/>
      <c r="I1409" s="256"/>
      <c r="J1409" s="265">
        <f>D1409</f>
        <v>1</v>
      </c>
    </row>
    <row r="1410" spans="1:10" s="253" customFormat="1" x14ac:dyDescent="0.2">
      <c r="A1410" s="254"/>
      <c r="B1410" s="237" t="s">
        <v>634</v>
      </c>
      <c r="C1410" s="254"/>
      <c r="D1410" s="263">
        <v>1</v>
      </c>
      <c r="E1410" s="263"/>
      <c r="F1410" s="263"/>
      <c r="G1410" s="263"/>
      <c r="H1410" s="263"/>
      <c r="I1410" s="263"/>
      <c r="J1410" s="265">
        <f t="shared" ref="J1410:J1425" si="68">D1410</f>
        <v>1</v>
      </c>
    </row>
    <row r="1411" spans="1:10" x14ac:dyDescent="0.2">
      <c r="A1411" s="19"/>
      <c r="B1411" s="359" t="s">
        <v>1440</v>
      </c>
      <c r="C1411" s="19"/>
      <c r="D1411" s="265">
        <v>1</v>
      </c>
      <c r="E1411" s="41"/>
      <c r="F1411" s="41"/>
      <c r="G1411" s="41"/>
      <c r="H1411" s="41"/>
      <c r="I1411" s="41"/>
      <c r="J1411" s="265">
        <f t="shared" si="68"/>
        <v>1</v>
      </c>
    </row>
    <row r="1412" spans="1:10" s="253" customFormat="1" x14ac:dyDescent="0.2">
      <c r="A1412" s="254"/>
      <c r="B1412" s="359" t="s">
        <v>1441</v>
      </c>
      <c r="C1412" s="254"/>
      <c r="D1412" s="265">
        <v>1</v>
      </c>
      <c r="E1412" s="256"/>
      <c r="F1412" s="256"/>
      <c r="G1412" s="256"/>
      <c r="H1412" s="256"/>
      <c r="I1412" s="256"/>
      <c r="J1412" s="265">
        <f t="shared" si="68"/>
        <v>1</v>
      </c>
    </row>
    <row r="1413" spans="1:10" s="253" customFormat="1" x14ac:dyDescent="0.2">
      <c r="A1413" s="254"/>
      <c r="B1413" s="359" t="s">
        <v>1442</v>
      </c>
      <c r="C1413" s="254"/>
      <c r="D1413" s="265">
        <v>1</v>
      </c>
      <c r="E1413" s="256"/>
      <c r="F1413" s="256"/>
      <c r="G1413" s="256"/>
      <c r="H1413" s="256"/>
      <c r="I1413" s="256"/>
      <c r="J1413" s="265">
        <f t="shared" si="68"/>
        <v>1</v>
      </c>
    </row>
    <row r="1414" spans="1:10" s="253" customFormat="1" x14ac:dyDescent="0.2">
      <c r="A1414" s="254"/>
      <c r="B1414" s="359" t="s">
        <v>622</v>
      </c>
      <c r="C1414" s="254"/>
      <c r="D1414" s="265">
        <v>1</v>
      </c>
      <c r="E1414" s="256"/>
      <c r="F1414" s="256"/>
      <c r="G1414" s="256"/>
      <c r="H1414" s="256"/>
      <c r="I1414" s="256"/>
      <c r="J1414" s="265">
        <f t="shared" si="68"/>
        <v>1</v>
      </c>
    </row>
    <row r="1415" spans="1:10" s="253" customFormat="1" x14ac:dyDescent="0.2">
      <c r="A1415" s="254"/>
      <c r="B1415" s="359" t="s">
        <v>1443</v>
      </c>
      <c r="C1415" s="254"/>
      <c r="D1415" s="265">
        <v>1</v>
      </c>
      <c r="E1415" s="256"/>
      <c r="F1415" s="256"/>
      <c r="G1415" s="256"/>
      <c r="H1415" s="256"/>
      <c r="I1415" s="256"/>
      <c r="J1415" s="265">
        <f t="shared" si="68"/>
        <v>1</v>
      </c>
    </row>
    <row r="1416" spans="1:10" s="253" customFormat="1" x14ac:dyDescent="0.2">
      <c r="A1416" s="254"/>
      <c r="B1416" s="84" t="s">
        <v>1445</v>
      </c>
      <c r="C1416" s="254"/>
      <c r="D1416" s="265"/>
      <c r="E1416" s="256"/>
      <c r="F1416" s="256"/>
      <c r="G1416" s="256"/>
      <c r="H1416" s="256"/>
      <c r="I1416" s="256"/>
      <c r="J1416" s="265"/>
    </row>
    <row r="1417" spans="1:10" s="253" customFormat="1" x14ac:dyDescent="0.2">
      <c r="A1417" s="254"/>
      <c r="B1417" s="368" t="s">
        <v>1446</v>
      </c>
      <c r="C1417" s="254"/>
      <c r="D1417" s="265">
        <v>1</v>
      </c>
      <c r="E1417" s="256"/>
      <c r="F1417" s="256"/>
      <c r="G1417" s="256"/>
      <c r="H1417" s="256"/>
      <c r="I1417" s="256"/>
      <c r="J1417" s="265">
        <f t="shared" si="68"/>
        <v>1</v>
      </c>
    </row>
    <row r="1418" spans="1:10" s="253" customFormat="1" x14ac:dyDescent="0.2">
      <c r="A1418" s="254"/>
      <c r="B1418" s="368" t="s">
        <v>624</v>
      </c>
      <c r="C1418" s="254"/>
      <c r="D1418" s="265">
        <v>1</v>
      </c>
      <c r="E1418" s="256"/>
      <c r="F1418" s="256"/>
      <c r="G1418" s="256"/>
      <c r="H1418" s="256"/>
      <c r="I1418" s="256"/>
      <c r="J1418" s="265">
        <f t="shared" si="68"/>
        <v>1</v>
      </c>
    </row>
    <row r="1419" spans="1:10" s="253" customFormat="1" x14ac:dyDescent="0.2">
      <c r="A1419" s="254"/>
      <c r="B1419" s="368" t="s">
        <v>625</v>
      </c>
      <c r="C1419" s="254"/>
      <c r="D1419" s="265">
        <v>1</v>
      </c>
      <c r="E1419" s="256"/>
      <c r="F1419" s="256"/>
      <c r="G1419" s="256"/>
      <c r="H1419" s="256"/>
      <c r="I1419" s="256"/>
      <c r="J1419" s="265">
        <f t="shared" si="68"/>
        <v>1</v>
      </c>
    </row>
    <row r="1420" spans="1:10" s="253" customFormat="1" x14ac:dyDescent="0.2">
      <c r="A1420" s="254"/>
      <c r="B1420" s="368" t="s">
        <v>639</v>
      </c>
      <c r="C1420" s="254"/>
      <c r="D1420" s="265">
        <v>1</v>
      </c>
      <c r="E1420" s="256"/>
      <c r="F1420" s="256"/>
      <c r="G1420" s="256"/>
      <c r="H1420" s="256"/>
      <c r="I1420" s="256"/>
      <c r="J1420" s="265">
        <f t="shared" si="68"/>
        <v>1</v>
      </c>
    </row>
    <row r="1421" spans="1:10" s="253" customFormat="1" x14ac:dyDescent="0.2">
      <c r="A1421" s="254"/>
      <c r="B1421" s="368" t="s">
        <v>1447</v>
      </c>
      <c r="C1421" s="254"/>
      <c r="D1421" s="265">
        <v>2</v>
      </c>
      <c r="E1421" s="256"/>
      <c r="F1421" s="256"/>
      <c r="G1421" s="256"/>
      <c r="H1421" s="256"/>
      <c r="I1421" s="256"/>
      <c r="J1421" s="265">
        <f t="shared" si="68"/>
        <v>2</v>
      </c>
    </row>
    <row r="1422" spans="1:10" s="253" customFormat="1" x14ac:dyDescent="0.2">
      <c r="A1422" s="254"/>
      <c r="B1422" s="368" t="s">
        <v>628</v>
      </c>
      <c r="C1422" s="254"/>
      <c r="D1422" s="265">
        <v>1</v>
      </c>
      <c r="E1422" s="256"/>
      <c r="F1422" s="256"/>
      <c r="G1422" s="256"/>
      <c r="H1422" s="256"/>
      <c r="I1422" s="256"/>
      <c r="J1422" s="265">
        <f t="shared" si="68"/>
        <v>1</v>
      </c>
    </row>
    <row r="1423" spans="1:10" s="253" customFormat="1" x14ac:dyDescent="0.2">
      <c r="A1423" s="254"/>
      <c r="B1423" s="368" t="s">
        <v>658</v>
      </c>
      <c r="C1423" s="254"/>
      <c r="D1423" s="265">
        <v>1</v>
      </c>
      <c r="E1423" s="256"/>
      <c r="F1423" s="256"/>
      <c r="G1423" s="256"/>
      <c r="H1423" s="256"/>
      <c r="I1423" s="256"/>
      <c r="J1423" s="265">
        <f t="shared" si="68"/>
        <v>1</v>
      </c>
    </row>
    <row r="1424" spans="1:10" s="253" customFormat="1" x14ac:dyDescent="0.2">
      <c r="A1424" s="254"/>
      <c r="B1424" s="368"/>
      <c r="C1424" s="254"/>
      <c r="D1424" s="265"/>
      <c r="E1424" s="256"/>
      <c r="F1424" s="256"/>
      <c r="G1424" s="256"/>
      <c r="H1424" s="256"/>
      <c r="I1424" s="256"/>
      <c r="J1424" s="265"/>
    </row>
    <row r="1425" spans="1:10" s="253" customFormat="1" x14ac:dyDescent="0.2">
      <c r="A1425" s="254"/>
      <c r="B1425" s="368" t="s">
        <v>1450</v>
      </c>
      <c r="C1425" s="254"/>
      <c r="D1425" s="265">
        <v>2</v>
      </c>
      <c r="E1425" s="256"/>
      <c r="F1425" s="256"/>
      <c r="G1425" s="256"/>
      <c r="H1425" s="256"/>
      <c r="I1425" s="256"/>
      <c r="J1425" s="265">
        <f t="shared" si="68"/>
        <v>2</v>
      </c>
    </row>
    <row r="1426" spans="1:10" s="253" customFormat="1" x14ac:dyDescent="0.2">
      <c r="A1426" s="254"/>
      <c r="B1426" s="368"/>
      <c r="C1426" s="254"/>
      <c r="D1426" s="265"/>
      <c r="E1426" s="256"/>
      <c r="F1426" s="256"/>
      <c r="G1426" s="256"/>
      <c r="H1426" s="256"/>
      <c r="I1426" s="256"/>
      <c r="J1426" s="265"/>
    </row>
    <row r="1427" spans="1:10" x14ac:dyDescent="0.2">
      <c r="A1427" s="19"/>
      <c r="B1427" s="21"/>
      <c r="C1427" s="19"/>
      <c r="D1427" s="99"/>
      <c r="E1427" s="41"/>
      <c r="F1427" s="41"/>
      <c r="G1427" s="41"/>
      <c r="H1427" s="41"/>
      <c r="I1427" s="261" t="s">
        <v>604</v>
      </c>
      <c r="J1427" s="260">
        <f>SUM(J1408:J1425)</f>
        <v>18</v>
      </c>
    </row>
    <row r="1428" spans="1:10" x14ac:dyDescent="0.2">
      <c r="A1428" s="19"/>
      <c r="B1428" s="21"/>
      <c r="C1428" s="19"/>
      <c r="D1428" s="99"/>
      <c r="E1428" s="41"/>
      <c r="F1428" s="41"/>
      <c r="G1428" s="41"/>
      <c r="H1428" s="41"/>
      <c r="I1428" s="41"/>
      <c r="J1428" s="41"/>
    </row>
    <row r="1429" spans="1:10" x14ac:dyDescent="0.2">
      <c r="A1429" s="19"/>
      <c r="B1429" s="21"/>
      <c r="C1429" s="19"/>
      <c r="D1429" s="99"/>
      <c r="E1429" s="41"/>
      <c r="F1429" s="41"/>
      <c r="G1429" s="41"/>
      <c r="H1429" s="41"/>
      <c r="I1429" s="41"/>
      <c r="J1429" s="41"/>
    </row>
    <row r="1430" spans="1:10" ht="25.5" x14ac:dyDescent="0.2">
      <c r="A1430" s="19" t="s">
        <v>1363</v>
      </c>
      <c r="B1430" s="21" t="s">
        <v>1249</v>
      </c>
      <c r="C1430" s="19" t="s">
        <v>43</v>
      </c>
      <c r="D1430" s="263" t="s">
        <v>257</v>
      </c>
      <c r="E1430" s="93" t="s">
        <v>258</v>
      </c>
      <c r="F1430" s="93" t="s">
        <v>259</v>
      </c>
      <c r="G1430" s="93" t="s">
        <v>260</v>
      </c>
      <c r="H1430" s="93" t="s">
        <v>261</v>
      </c>
      <c r="I1430" s="93" t="s">
        <v>262</v>
      </c>
      <c r="J1430" s="94" t="s">
        <v>263</v>
      </c>
    </row>
    <row r="1431" spans="1:10" x14ac:dyDescent="0.2">
      <c r="A1431" s="19"/>
      <c r="B1431" s="84" t="s">
        <v>1445</v>
      </c>
      <c r="C1431" s="19"/>
      <c r="D1431" s="265"/>
      <c r="E1431" s="41"/>
      <c r="F1431" s="41"/>
      <c r="G1431" s="41"/>
      <c r="H1431" s="41"/>
      <c r="I1431" s="41"/>
      <c r="J1431" s="256"/>
    </row>
    <row r="1432" spans="1:10" x14ac:dyDescent="0.2">
      <c r="A1432" s="19"/>
      <c r="B1432" s="237" t="s">
        <v>679</v>
      </c>
      <c r="C1432" s="19"/>
      <c r="D1432" s="265">
        <v>1</v>
      </c>
      <c r="E1432" s="41"/>
      <c r="F1432" s="41"/>
      <c r="G1432" s="41"/>
      <c r="H1432" s="41"/>
      <c r="I1432" s="256"/>
      <c r="J1432" s="265">
        <f>D1432</f>
        <v>1</v>
      </c>
    </row>
    <row r="1433" spans="1:10" s="253" customFormat="1" x14ac:dyDescent="0.2">
      <c r="A1433" s="254"/>
      <c r="B1433" s="255"/>
      <c r="C1433" s="254"/>
      <c r="D1433" s="99"/>
      <c r="E1433" s="256"/>
      <c r="F1433" s="256"/>
      <c r="G1433" s="256"/>
      <c r="H1433" s="256"/>
      <c r="I1433" s="91" t="s">
        <v>604</v>
      </c>
      <c r="J1433" s="90">
        <f>SUM(J1432)</f>
        <v>1</v>
      </c>
    </row>
    <row r="1434" spans="1:10" s="253" customFormat="1" ht="25.5" x14ac:dyDescent="0.2">
      <c r="A1434" s="254" t="s">
        <v>1133</v>
      </c>
      <c r="B1434" s="255" t="s">
        <v>1435</v>
      </c>
      <c r="C1434" s="254" t="s">
        <v>43</v>
      </c>
      <c r="D1434" s="263" t="s">
        <v>257</v>
      </c>
      <c r="E1434" s="263" t="s">
        <v>258</v>
      </c>
      <c r="F1434" s="263" t="s">
        <v>259</v>
      </c>
      <c r="G1434" s="263" t="s">
        <v>260</v>
      </c>
      <c r="H1434" s="263" t="s">
        <v>261</v>
      </c>
      <c r="I1434" s="263" t="s">
        <v>262</v>
      </c>
      <c r="J1434" s="264" t="s">
        <v>263</v>
      </c>
    </row>
    <row r="1435" spans="1:10" s="253" customFormat="1" x14ac:dyDescent="0.2">
      <c r="A1435" s="254"/>
      <c r="B1435" s="84" t="s">
        <v>676</v>
      </c>
      <c r="C1435" s="254"/>
      <c r="D1435" s="265"/>
      <c r="E1435" s="256"/>
      <c r="F1435" s="256"/>
      <c r="G1435" s="256"/>
      <c r="H1435" s="256"/>
      <c r="I1435" s="256"/>
      <c r="J1435" s="265"/>
    </row>
    <row r="1436" spans="1:10" s="253" customFormat="1" x14ac:dyDescent="0.2">
      <c r="A1436" s="254"/>
      <c r="B1436" s="359" t="s">
        <v>634</v>
      </c>
      <c r="C1436" s="254"/>
      <c r="D1436" s="265">
        <v>2</v>
      </c>
      <c r="E1436" s="256"/>
      <c r="F1436" s="256"/>
      <c r="G1436" s="256"/>
      <c r="H1436" s="256"/>
      <c r="I1436" s="256"/>
      <c r="J1436" s="265">
        <f t="shared" ref="J1436:J1450" si="69">D1436</f>
        <v>2</v>
      </c>
    </row>
    <row r="1437" spans="1:10" s="253" customFormat="1" x14ac:dyDescent="0.2">
      <c r="A1437" s="254"/>
      <c r="B1437" s="359" t="s">
        <v>1440</v>
      </c>
      <c r="C1437" s="254"/>
      <c r="D1437" s="265">
        <v>2</v>
      </c>
      <c r="E1437" s="256"/>
      <c r="F1437" s="256"/>
      <c r="G1437" s="256"/>
      <c r="H1437" s="256"/>
      <c r="I1437" s="256"/>
      <c r="J1437" s="265">
        <f t="shared" si="69"/>
        <v>2</v>
      </c>
    </row>
    <row r="1438" spans="1:10" s="253" customFormat="1" x14ac:dyDescent="0.2">
      <c r="A1438" s="254"/>
      <c r="B1438" s="359" t="s">
        <v>1441</v>
      </c>
      <c r="C1438" s="254"/>
      <c r="D1438" s="265">
        <v>1</v>
      </c>
      <c r="E1438" s="256"/>
      <c r="F1438" s="256"/>
      <c r="G1438" s="256"/>
      <c r="H1438" s="256"/>
      <c r="I1438" s="256"/>
      <c r="J1438" s="265">
        <f t="shared" si="69"/>
        <v>1</v>
      </c>
    </row>
    <row r="1439" spans="1:10" s="253" customFormat="1" x14ac:dyDescent="0.2">
      <c r="A1439" s="254"/>
      <c r="B1439" s="359" t="s">
        <v>1442</v>
      </c>
      <c r="C1439" s="254"/>
      <c r="D1439" s="265">
        <v>2</v>
      </c>
      <c r="E1439" s="256"/>
      <c r="F1439" s="256"/>
      <c r="G1439" s="256"/>
      <c r="H1439" s="256"/>
      <c r="I1439" s="256"/>
      <c r="J1439" s="265">
        <f t="shared" si="69"/>
        <v>2</v>
      </c>
    </row>
    <row r="1440" spans="1:10" s="253" customFormat="1" x14ac:dyDescent="0.2">
      <c r="A1440" s="254"/>
      <c r="B1440" s="359" t="s">
        <v>622</v>
      </c>
      <c r="C1440" s="254"/>
      <c r="D1440" s="265">
        <v>4</v>
      </c>
      <c r="E1440" s="256"/>
      <c r="F1440" s="256"/>
      <c r="G1440" s="256"/>
      <c r="H1440" s="256"/>
      <c r="I1440" s="256"/>
      <c r="J1440" s="265">
        <f t="shared" si="69"/>
        <v>4</v>
      </c>
    </row>
    <row r="1441" spans="1:10" s="253" customFormat="1" x14ac:dyDescent="0.2">
      <c r="A1441" s="254"/>
      <c r="B1441" s="359" t="s">
        <v>1443</v>
      </c>
      <c r="C1441" s="254"/>
      <c r="D1441" s="265">
        <v>5</v>
      </c>
      <c r="E1441" s="256"/>
      <c r="F1441" s="256"/>
      <c r="G1441" s="256"/>
      <c r="H1441" s="256"/>
      <c r="I1441" s="256"/>
      <c r="J1441" s="265">
        <f t="shared" si="69"/>
        <v>5</v>
      </c>
    </row>
    <row r="1442" spans="1:10" s="253" customFormat="1" x14ac:dyDescent="0.2">
      <c r="A1442" s="254"/>
      <c r="B1442" s="359" t="s">
        <v>680</v>
      </c>
      <c r="C1442" s="254"/>
      <c r="D1442" s="265">
        <v>2</v>
      </c>
      <c r="E1442" s="256"/>
      <c r="F1442" s="256"/>
      <c r="G1442" s="256"/>
      <c r="H1442" s="256"/>
      <c r="I1442" s="256"/>
      <c r="J1442" s="265">
        <f t="shared" si="69"/>
        <v>2</v>
      </c>
    </row>
    <row r="1443" spans="1:10" s="253" customFormat="1" x14ac:dyDescent="0.2">
      <c r="A1443" s="254"/>
      <c r="B1443" s="84" t="s">
        <v>1445</v>
      </c>
      <c r="C1443" s="254"/>
      <c r="D1443" s="265"/>
      <c r="E1443" s="256"/>
      <c r="F1443" s="256"/>
      <c r="G1443" s="256"/>
      <c r="H1443" s="256"/>
      <c r="I1443" s="256"/>
      <c r="J1443" s="265">
        <f t="shared" si="69"/>
        <v>0</v>
      </c>
    </row>
    <row r="1444" spans="1:10" s="253" customFormat="1" x14ac:dyDescent="0.2">
      <c r="A1444" s="254"/>
      <c r="B1444" s="368" t="s">
        <v>680</v>
      </c>
      <c r="C1444" s="254"/>
      <c r="D1444" s="265">
        <v>2</v>
      </c>
      <c r="E1444" s="256"/>
      <c r="F1444" s="256"/>
      <c r="G1444" s="256"/>
      <c r="H1444" s="256"/>
      <c r="I1444" s="256"/>
      <c r="J1444" s="265">
        <f t="shared" si="69"/>
        <v>2</v>
      </c>
    </row>
    <row r="1445" spans="1:10" s="253" customFormat="1" x14ac:dyDescent="0.2">
      <c r="A1445" s="254"/>
      <c r="B1445" s="368" t="s">
        <v>1446</v>
      </c>
      <c r="C1445" s="254"/>
      <c r="D1445" s="265">
        <v>3</v>
      </c>
      <c r="E1445" s="256"/>
      <c r="F1445" s="256"/>
      <c r="G1445" s="256"/>
      <c r="H1445" s="256"/>
      <c r="I1445" s="256"/>
      <c r="J1445" s="265">
        <f t="shared" si="69"/>
        <v>3</v>
      </c>
    </row>
    <row r="1446" spans="1:10" s="253" customFormat="1" x14ac:dyDescent="0.2">
      <c r="A1446" s="254"/>
      <c r="B1446" s="368" t="s">
        <v>624</v>
      </c>
      <c r="C1446" s="254"/>
      <c r="D1446" s="265">
        <v>1</v>
      </c>
      <c r="E1446" s="256"/>
      <c r="F1446" s="256"/>
      <c r="G1446" s="256"/>
      <c r="H1446" s="256"/>
      <c r="I1446" s="256"/>
      <c r="J1446" s="265">
        <f t="shared" si="69"/>
        <v>1</v>
      </c>
    </row>
    <row r="1447" spans="1:10" s="253" customFormat="1" x14ac:dyDescent="0.2">
      <c r="A1447" s="254"/>
      <c r="B1447" s="368" t="s">
        <v>625</v>
      </c>
      <c r="C1447" s="254"/>
      <c r="D1447" s="265">
        <v>2</v>
      </c>
      <c r="E1447" s="256"/>
      <c r="F1447" s="256"/>
      <c r="G1447" s="256"/>
      <c r="H1447" s="256"/>
      <c r="I1447" s="256"/>
      <c r="J1447" s="265">
        <f t="shared" si="69"/>
        <v>2</v>
      </c>
    </row>
    <row r="1448" spans="1:10" s="253" customFormat="1" x14ac:dyDescent="0.2">
      <c r="A1448" s="254"/>
      <c r="B1448" s="368" t="s">
        <v>639</v>
      </c>
      <c r="C1448" s="254"/>
      <c r="D1448" s="265">
        <v>2</v>
      </c>
      <c r="E1448" s="256"/>
      <c r="F1448" s="256"/>
      <c r="G1448" s="256"/>
      <c r="H1448" s="256"/>
      <c r="I1448" s="256"/>
      <c r="J1448" s="265">
        <f t="shared" si="69"/>
        <v>2</v>
      </c>
    </row>
    <row r="1449" spans="1:10" s="253" customFormat="1" x14ac:dyDescent="0.2">
      <c r="A1449" s="254"/>
      <c r="B1449" s="368" t="s">
        <v>1447</v>
      </c>
      <c r="C1449" s="254"/>
      <c r="D1449" s="265">
        <v>4</v>
      </c>
      <c r="E1449" s="256"/>
      <c r="F1449" s="256"/>
      <c r="G1449" s="256"/>
      <c r="H1449" s="256"/>
      <c r="I1449" s="256"/>
      <c r="J1449" s="265">
        <f t="shared" si="69"/>
        <v>4</v>
      </c>
    </row>
    <row r="1450" spans="1:10" s="253" customFormat="1" x14ac:dyDescent="0.2">
      <c r="A1450" s="254"/>
      <c r="B1450" s="368" t="s">
        <v>628</v>
      </c>
      <c r="C1450" s="254"/>
      <c r="D1450" s="265">
        <v>1</v>
      </c>
      <c r="E1450" s="256"/>
      <c r="F1450" s="256"/>
      <c r="G1450" s="256"/>
      <c r="H1450" s="256"/>
      <c r="I1450" s="256"/>
      <c r="J1450" s="265">
        <f t="shared" si="69"/>
        <v>1</v>
      </c>
    </row>
    <row r="1451" spans="1:10" s="253" customFormat="1" x14ac:dyDescent="0.2">
      <c r="A1451" s="254"/>
      <c r="B1451" s="255"/>
      <c r="C1451" s="254"/>
      <c r="D1451" s="99"/>
      <c r="E1451" s="256"/>
      <c r="F1451" s="256"/>
      <c r="G1451" s="256"/>
      <c r="H1451" s="256"/>
      <c r="I1451" s="261" t="s">
        <v>604</v>
      </c>
      <c r="J1451" s="260">
        <f>SUM(J1436:J1450)</f>
        <v>33</v>
      </c>
    </row>
    <row r="1452" spans="1:10" s="253" customFormat="1" x14ac:dyDescent="0.2">
      <c r="A1452" s="254"/>
      <c r="B1452" s="255"/>
      <c r="C1452" s="254"/>
      <c r="D1452" s="99"/>
      <c r="E1452" s="256"/>
      <c r="F1452" s="256"/>
      <c r="G1452" s="256"/>
      <c r="H1452" s="256"/>
      <c r="I1452" s="256"/>
      <c r="J1452" s="256"/>
    </row>
    <row r="1453" spans="1:10" s="253" customFormat="1" ht="25.5" x14ac:dyDescent="0.2">
      <c r="A1453" s="254" t="s">
        <v>1434</v>
      </c>
      <c r="B1453" s="255" t="s">
        <v>1439</v>
      </c>
      <c r="C1453" s="254" t="s">
        <v>43</v>
      </c>
      <c r="D1453" s="263" t="s">
        <v>257</v>
      </c>
      <c r="E1453" s="263" t="s">
        <v>258</v>
      </c>
      <c r="F1453" s="263" t="s">
        <v>259</v>
      </c>
      <c r="G1453" s="263" t="s">
        <v>260</v>
      </c>
      <c r="H1453" s="263" t="s">
        <v>261</v>
      </c>
      <c r="I1453" s="263" t="s">
        <v>262</v>
      </c>
      <c r="J1453" s="264" t="s">
        <v>263</v>
      </c>
    </row>
    <row r="1454" spans="1:10" s="253" customFormat="1" x14ac:dyDescent="0.2">
      <c r="A1454" s="254"/>
      <c r="B1454" s="84" t="s">
        <v>676</v>
      </c>
      <c r="C1454" s="254"/>
      <c r="D1454" s="265"/>
      <c r="E1454" s="256"/>
      <c r="F1454" s="256"/>
      <c r="G1454" s="256"/>
      <c r="H1454" s="256"/>
      <c r="I1454" s="256"/>
      <c r="J1454" s="265"/>
    </row>
    <row r="1455" spans="1:10" s="253" customFormat="1" x14ac:dyDescent="0.2">
      <c r="A1455" s="254"/>
      <c r="B1455" s="359" t="s">
        <v>675</v>
      </c>
      <c r="C1455" s="254"/>
      <c r="D1455" s="265">
        <v>1</v>
      </c>
      <c r="E1455" s="256"/>
      <c r="F1455" s="256"/>
      <c r="G1455" s="256"/>
      <c r="H1455" s="256"/>
      <c r="I1455" s="256"/>
      <c r="J1455" s="265">
        <f t="shared" ref="J1455" si="70">D1455</f>
        <v>1</v>
      </c>
    </row>
    <row r="1456" spans="1:10" s="253" customFormat="1" x14ac:dyDescent="0.2">
      <c r="A1456" s="254"/>
      <c r="B1456" s="255"/>
      <c r="C1456" s="254"/>
      <c r="D1456" s="99"/>
      <c r="E1456" s="256"/>
      <c r="F1456" s="256"/>
      <c r="G1456" s="256"/>
      <c r="H1456" s="256"/>
      <c r="I1456" s="261" t="s">
        <v>604</v>
      </c>
      <c r="J1456" s="260">
        <f>SUM(J1455)</f>
        <v>1</v>
      </c>
    </row>
    <row r="1457" spans="1:10" s="253" customFormat="1" x14ac:dyDescent="0.2">
      <c r="A1457" s="254"/>
      <c r="B1457" s="255"/>
      <c r="C1457" s="254"/>
      <c r="D1457" s="99"/>
      <c r="E1457" s="256"/>
      <c r="F1457" s="256"/>
      <c r="G1457" s="256"/>
      <c r="H1457" s="256"/>
      <c r="I1457" s="164"/>
      <c r="J1457" s="165"/>
    </row>
    <row r="1458" spans="1:10" s="253" customFormat="1" ht="25.5" x14ac:dyDescent="0.2">
      <c r="A1458" s="254" t="s">
        <v>1448</v>
      </c>
      <c r="B1458" s="255" t="s">
        <v>1449</v>
      </c>
      <c r="C1458" s="254" t="s">
        <v>43</v>
      </c>
      <c r="D1458" s="263" t="s">
        <v>257</v>
      </c>
      <c r="E1458" s="263" t="s">
        <v>258</v>
      </c>
      <c r="F1458" s="263" t="s">
        <v>259</v>
      </c>
      <c r="G1458" s="263" t="s">
        <v>260</v>
      </c>
      <c r="H1458" s="263" t="s">
        <v>261</v>
      </c>
      <c r="I1458" s="263" t="s">
        <v>262</v>
      </c>
      <c r="J1458" s="264" t="s">
        <v>263</v>
      </c>
    </row>
    <row r="1459" spans="1:10" s="253" customFormat="1" x14ac:dyDescent="0.2">
      <c r="A1459" s="254"/>
      <c r="B1459" s="101" t="s">
        <v>1243</v>
      </c>
      <c r="C1459" s="254"/>
      <c r="D1459" s="263"/>
      <c r="E1459" s="263"/>
      <c r="F1459" s="263"/>
      <c r="G1459" s="263"/>
      <c r="H1459" s="263"/>
      <c r="I1459" s="263"/>
      <c r="J1459" s="264"/>
    </row>
    <row r="1460" spans="1:10" s="253" customFormat="1" x14ac:dyDescent="0.2">
      <c r="A1460" s="254"/>
      <c r="B1460" s="368" t="s">
        <v>1084</v>
      </c>
      <c r="C1460" s="254"/>
      <c r="D1460" s="265">
        <v>1</v>
      </c>
      <c r="E1460" s="256"/>
      <c r="F1460" s="256"/>
      <c r="G1460" s="256"/>
      <c r="H1460" s="256"/>
      <c r="I1460" s="164"/>
      <c r="J1460" s="179">
        <f>D1460</f>
        <v>1</v>
      </c>
    </row>
    <row r="1461" spans="1:10" s="253" customFormat="1" x14ac:dyDescent="0.2">
      <c r="A1461" s="254"/>
      <c r="B1461" s="368"/>
      <c r="C1461" s="254"/>
      <c r="D1461" s="265"/>
      <c r="E1461" s="256"/>
      <c r="F1461" s="256"/>
      <c r="G1461" s="256"/>
      <c r="H1461" s="256"/>
      <c r="I1461" s="164"/>
      <c r="J1461" s="179"/>
    </row>
    <row r="1462" spans="1:10" s="253" customFormat="1" x14ac:dyDescent="0.2">
      <c r="A1462" s="254"/>
      <c r="B1462" s="101" t="s">
        <v>1450</v>
      </c>
      <c r="C1462" s="254"/>
      <c r="D1462" s="265">
        <v>3</v>
      </c>
      <c r="E1462" s="256"/>
      <c r="F1462" s="256"/>
      <c r="G1462" s="256"/>
      <c r="H1462" s="256"/>
      <c r="I1462" s="164"/>
      <c r="J1462" s="179">
        <f t="shared" ref="J1462" si="71">D1462</f>
        <v>3</v>
      </c>
    </row>
    <row r="1463" spans="1:10" s="253" customFormat="1" x14ac:dyDescent="0.2">
      <c r="A1463" s="254"/>
      <c r="B1463" s="255"/>
      <c r="C1463" s="254"/>
      <c r="D1463" s="99"/>
      <c r="E1463" s="256"/>
      <c r="F1463" s="256"/>
      <c r="G1463" s="256"/>
      <c r="H1463" s="256"/>
      <c r="I1463" s="261" t="s">
        <v>604</v>
      </c>
      <c r="J1463" s="260">
        <f>SUM(J1460:J1462)</f>
        <v>4</v>
      </c>
    </row>
    <row r="1464" spans="1:10" s="253" customFormat="1" x14ac:dyDescent="0.2">
      <c r="A1464" s="254"/>
      <c r="B1464" s="255"/>
      <c r="C1464" s="254"/>
      <c r="D1464" s="99"/>
      <c r="E1464" s="256"/>
      <c r="F1464" s="256"/>
      <c r="G1464" s="256"/>
      <c r="H1464" s="256"/>
      <c r="I1464" s="164"/>
      <c r="J1464" s="165"/>
    </row>
    <row r="1465" spans="1:10" s="253" customFormat="1" ht="25.5" x14ac:dyDescent="0.2">
      <c r="A1465" s="254" t="s">
        <v>1455</v>
      </c>
      <c r="B1465" s="268" t="s">
        <v>1456</v>
      </c>
      <c r="C1465" s="254" t="s">
        <v>43</v>
      </c>
      <c r="D1465" s="263" t="s">
        <v>257</v>
      </c>
      <c r="E1465" s="263" t="s">
        <v>258</v>
      </c>
      <c r="F1465" s="263" t="s">
        <v>259</v>
      </c>
      <c r="G1465" s="263" t="s">
        <v>260</v>
      </c>
      <c r="H1465" s="263" t="s">
        <v>261</v>
      </c>
      <c r="I1465" s="263" t="s">
        <v>262</v>
      </c>
      <c r="J1465" s="264" t="s">
        <v>263</v>
      </c>
    </row>
    <row r="1466" spans="1:10" s="253" customFormat="1" x14ac:dyDescent="0.2">
      <c r="A1466" s="254"/>
      <c r="B1466" s="84" t="s">
        <v>676</v>
      </c>
      <c r="C1466" s="254"/>
      <c r="D1466" s="99"/>
      <c r="E1466" s="256"/>
      <c r="F1466" s="256"/>
      <c r="G1466" s="256"/>
      <c r="H1466" s="256"/>
      <c r="I1466" s="164"/>
      <c r="J1466" s="165"/>
    </row>
    <row r="1467" spans="1:10" s="253" customFormat="1" x14ac:dyDescent="0.2">
      <c r="A1467" s="254"/>
      <c r="B1467" s="368" t="s">
        <v>634</v>
      </c>
      <c r="C1467" s="254"/>
      <c r="D1467" s="265">
        <v>1</v>
      </c>
      <c r="E1467" s="256"/>
      <c r="F1467" s="256"/>
      <c r="G1467" s="256"/>
      <c r="H1467" s="256"/>
      <c r="I1467" s="164"/>
      <c r="J1467" s="179">
        <f>D1467</f>
        <v>1</v>
      </c>
    </row>
    <row r="1468" spans="1:10" s="253" customFormat="1" x14ac:dyDescent="0.2">
      <c r="A1468" s="254"/>
      <c r="B1468" s="84" t="s">
        <v>1445</v>
      </c>
      <c r="C1468" s="254"/>
      <c r="D1468" s="265"/>
      <c r="E1468" s="256"/>
      <c r="F1468" s="256"/>
      <c r="G1468" s="256"/>
      <c r="H1468" s="256"/>
      <c r="I1468" s="164"/>
      <c r="J1468" s="179"/>
    </row>
    <row r="1469" spans="1:10" s="253" customFormat="1" x14ac:dyDescent="0.2">
      <c r="A1469" s="254"/>
      <c r="B1469" s="368" t="s">
        <v>1447</v>
      </c>
      <c r="C1469" s="254"/>
      <c r="D1469" s="265">
        <v>1</v>
      </c>
      <c r="E1469" s="256"/>
      <c r="F1469" s="256"/>
      <c r="G1469" s="256"/>
      <c r="H1469" s="256"/>
      <c r="I1469" s="164"/>
      <c r="J1469" s="179">
        <f t="shared" ref="J1469" si="72">D1469</f>
        <v>1</v>
      </c>
    </row>
    <row r="1470" spans="1:10" s="253" customFormat="1" x14ac:dyDescent="0.2">
      <c r="A1470" s="254"/>
      <c r="B1470" s="368"/>
      <c r="C1470" s="254"/>
      <c r="D1470" s="99"/>
      <c r="E1470" s="256"/>
      <c r="F1470" s="256"/>
      <c r="G1470" s="256"/>
      <c r="H1470" s="256"/>
      <c r="I1470" s="261" t="s">
        <v>604</v>
      </c>
      <c r="J1470" s="260">
        <f>SUM(J1467:J1469)</f>
        <v>2</v>
      </c>
    </row>
    <row r="1471" spans="1:10" s="253" customFormat="1" x14ac:dyDescent="0.2">
      <c r="A1471" s="254"/>
      <c r="B1471" s="368"/>
      <c r="C1471" s="254"/>
      <c r="D1471" s="99"/>
      <c r="E1471" s="256"/>
      <c r="F1471" s="256"/>
      <c r="G1471" s="256"/>
      <c r="H1471" s="256"/>
      <c r="I1471" s="164"/>
      <c r="J1471" s="165"/>
    </row>
    <row r="1472" spans="1:10" x14ac:dyDescent="0.2">
      <c r="A1472" s="23" t="s">
        <v>435</v>
      </c>
      <c r="B1472" s="18" t="s">
        <v>214</v>
      </c>
      <c r="C1472" s="19"/>
      <c r="D1472" s="99"/>
      <c r="E1472" s="41"/>
      <c r="F1472" s="41"/>
      <c r="G1472" s="41"/>
      <c r="H1472" s="41"/>
      <c r="I1472" s="41"/>
      <c r="J1472" s="41"/>
    </row>
    <row r="1473" spans="1:10" ht="25.5" x14ac:dyDescent="0.2">
      <c r="A1473" s="19" t="s">
        <v>437</v>
      </c>
      <c r="B1473" s="21" t="s">
        <v>228</v>
      </c>
      <c r="C1473" s="19" t="s">
        <v>43</v>
      </c>
      <c r="D1473" s="263" t="s">
        <v>257</v>
      </c>
      <c r="E1473" s="93" t="s">
        <v>258</v>
      </c>
      <c r="F1473" s="93" t="s">
        <v>259</v>
      </c>
      <c r="G1473" s="93" t="s">
        <v>260</v>
      </c>
      <c r="H1473" s="93" t="s">
        <v>261</v>
      </c>
      <c r="I1473" s="93" t="s">
        <v>262</v>
      </c>
      <c r="J1473" s="94" t="s">
        <v>263</v>
      </c>
    </row>
    <row r="1474" spans="1:10" x14ac:dyDescent="0.2">
      <c r="A1474" s="19"/>
      <c r="B1474" s="80" t="s">
        <v>682</v>
      </c>
      <c r="C1474" s="19"/>
      <c r="D1474" s="265">
        <v>1</v>
      </c>
      <c r="E1474" s="93"/>
      <c r="F1474" s="93"/>
      <c r="G1474" s="93"/>
      <c r="H1474" s="93"/>
      <c r="I1474" s="93"/>
      <c r="J1474" s="94">
        <f>D1474</f>
        <v>1</v>
      </c>
    </row>
    <row r="1475" spans="1:10" x14ac:dyDescent="0.2">
      <c r="A1475" s="19"/>
      <c r="B1475" s="80" t="s">
        <v>641</v>
      </c>
      <c r="C1475" s="19"/>
      <c r="D1475" s="265">
        <v>1</v>
      </c>
      <c r="E1475" s="41"/>
      <c r="F1475" s="41"/>
      <c r="G1475" s="41"/>
      <c r="H1475" s="41"/>
      <c r="I1475" s="41"/>
      <c r="J1475" s="94">
        <f>D1475</f>
        <v>1</v>
      </c>
    </row>
    <row r="1476" spans="1:10" x14ac:dyDescent="0.2">
      <c r="A1476" s="19"/>
      <c r="B1476" s="80" t="s">
        <v>644</v>
      </c>
      <c r="C1476" s="19"/>
      <c r="D1476" s="265">
        <v>1</v>
      </c>
      <c r="E1476" s="41"/>
      <c r="F1476" s="41"/>
      <c r="G1476" s="41"/>
      <c r="H1476" s="41"/>
      <c r="I1476" s="41"/>
      <c r="J1476" s="94">
        <f>D1476</f>
        <v>1</v>
      </c>
    </row>
    <row r="1477" spans="1:10" x14ac:dyDescent="0.2">
      <c r="A1477" s="41"/>
      <c r="B1477" s="80"/>
      <c r="C1477" s="19"/>
      <c r="D1477" s="265"/>
      <c r="E1477" s="41"/>
      <c r="F1477" s="41"/>
      <c r="G1477" s="41"/>
      <c r="H1477" s="41"/>
      <c r="I1477" s="91" t="s">
        <v>604</v>
      </c>
      <c r="J1477" s="90">
        <f>SUM(J1474:J1476)</f>
        <v>3</v>
      </c>
    </row>
    <row r="1478" spans="1:10" x14ac:dyDescent="0.2">
      <c r="A1478" s="41"/>
      <c r="B1478" s="174"/>
      <c r="C1478" s="19"/>
      <c r="D1478" s="265"/>
      <c r="E1478" s="41"/>
      <c r="F1478" s="41"/>
      <c r="G1478" s="41"/>
      <c r="H1478" s="41"/>
      <c r="I1478" s="164"/>
      <c r="J1478" s="165"/>
    </row>
    <row r="1479" spans="1:10" x14ac:dyDescent="0.2">
      <c r="A1479" s="23" t="s">
        <v>839</v>
      </c>
      <c r="B1479" s="18" t="s">
        <v>841</v>
      </c>
      <c r="C1479" s="19"/>
      <c r="D1479" s="99"/>
      <c r="E1479" s="41"/>
      <c r="F1479" s="41"/>
      <c r="G1479" s="41"/>
      <c r="H1479" s="41"/>
      <c r="I1479" s="41"/>
      <c r="J1479" s="41"/>
    </row>
    <row r="1480" spans="1:10" ht="25.5" x14ac:dyDescent="0.2">
      <c r="A1480" s="19" t="s">
        <v>840</v>
      </c>
      <c r="B1480" s="21" t="s">
        <v>843</v>
      </c>
      <c r="C1480" s="19" t="s">
        <v>43</v>
      </c>
      <c r="D1480" s="263" t="s">
        <v>257</v>
      </c>
      <c r="E1480" s="93" t="s">
        <v>258</v>
      </c>
      <c r="F1480" s="93" t="s">
        <v>259</v>
      </c>
      <c r="G1480" s="93" t="s">
        <v>260</v>
      </c>
      <c r="H1480" s="93" t="s">
        <v>261</v>
      </c>
      <c r="I1480" s="93" t="s">
        <v>262</v>
      </c>
      <c r="J1480" s="94" t="s">
        <v>263</v>
      </c>
    </row>
    <row r="1481" spans="1:10" x14ac:dyDescent="0.2">
      <c r="A1481" s="19"/>
      <c r="B1481" s="271" t="s">
        <v>1411</v>
      </c>
      <c r="C1481" s="19"/>
      <c r="D1481" s="263">
        <v>40</v>
      </c>
      <c r="E1481" s="93"/>
      <c r="F1481" s="93"/>
      <c r="G1481" s="93"/>
      <c r="H1481" s="93"/>
      <c r="I1481" s="93"/>
      <c r="J1481" s="94">
        <f>D1481</f>
        <v>40</v>
      </c>
    </row>
    <row r="1482" spans="1:10" x14ac:dyDescent="0.2">
      <c r="A1482" s="19"/>
      <c r="B1482" s="174"/>
      <c r="C1482" s="19"/>
      <c r="D1482" s="265"/>
      <c r="E1482" s="41"/>
      <c r="F1482" s="41"/>
      <c r="G1482" s="41"/>
      <c r="H1482" s="41"/>
      <c r="I1482" s="91" t="s">
        <v>604</v>
      </c>
      <c r="J1482" s="90">
        <f>SUM(J1479:J1481)</f>
        <v>40</v>
      </c>
    </row>
    <row r="1483" spans="1:10" x14ac:dyDescent="0.2">
      <c r="A1483" s="41"/>
      <c r="B1483" s="174"/>
      <c r="C1483" s="19"/>
      <c r="D1483" s="265"/>
      <c r="E1483" s="41"/>
      <c r="F1483" s="41"/>
      <c r="G1483" s="41"/>
      <c r="H1483" s="41"/>
      <c r="I1483" s="41"/>
      <c r="J1483" s="41"/>
    </row>
    <row r="1484" spans="1:10" x14ac:dyDescent="0.2">
      <c r="A1484" s="11">
        <v>19</v>
      </c>
      <c r="B1484" s="7" t="s">
        <v>229</v>
      </c>
      <c r="C1484" s="5"/>
      <c r="D1484" s="277"/>
      <c r="E1484" s="77"/>
      <c r="F1484" s="77"/>
      <c r="G1484" s="77"/>
      <c r="H1484" s="77"/>
      <c r="I1484" s="77"/>
      <c r="J1484" s="77"/>
    </row>
    <row r="1485" spans="1:10" x14ac:dyDescent="0.2">
      <c r="A1485" s="23" t="s">
        <v>438</v>
      </c>
      <c r="B1485" s="18" t="s">
        <v>230</v>
      </c>
      <c r="C1485" s="19"/>
      <c r="D1485" s="99"/>
      <c r="E1485" s="41"/>
      <c r="F1485" s="41"/>
      <c r="G1485" s="41"/>
      <c r="H1485" s="41"/>
      <c r="I1485" s="41"/>
      <c r="J1485" s="41"/>
    </row>
    <row r="1486" spans="1:10" ht="25.5" x14ac:dyDescent="0.2">
      <c r="A1486" s="19" t="s">
        <v>439</v>
      </c>
      <c r="B1486" s="21" t="s">
        <v>231</v>
      </c>
      <c r="C1486" s="19" t="s">
        <v>39</v>
      </c>
      <c r="D1486" s="263" t="s">
        <v>257</v>
      </c>
      <c r="E1486" s="93" t="s">
        <v>258</v>
      </c>
      <c r="F1486" s="93" t="s">
        <v>259</v>
      </c>
      <c r="G1486" s="93" t="s">
        <v>260</v>
      </c>
      <c r="H1486" s="93" t="s">
        <v>261</v>
      </c>
      <c r="I1486" s="93" t="s">
        <v>262</v>
      </c>
      <c r="J1486" s="94" t="s">
        <v>263</v>
      </c>
    </row>
    <row r="1487" spans="1:10" x14ac:dyDescent="0.2">
      <c r="A1487" s="19"/>
      <c r="B1487" s="101" t="s">
        <v>893</v>
      </c>
      <c r="C1487" s="19"/>
      <c r="D1487" s="263"/>
      <c r="E1487" s="93"/>
      <c r="F1487" s="93"/>
      <c r="G1487" s="93"/>
      <c r="H1487" s="93"/>
      <c r="I1487" s="93"/>
      <c r="J1487" s="94"/>
    </row>
    <row r="1488" spans="1:10" ht="25.5" x14ac:dyDescent="0.2">
      <c r="A1488" s="19"/>
      <c r="B1488" s="101" t="s">
        <v>676</v>
      </c>
      <c r="C1488" s="19"/>
      <c r="D1488" s="263"/>
      <c r="E1488" s="93"/>
      <c r="F1488" s="93"/>
      <c r="G1488" s="93"/>
      <c r="H1488" s="93"/>
      <c r="I1488" s="168" t="s">
        <v>864</v>
      </c>
      <c r="J1488" s="94"/>
    </row>
    <row r="1489" spans="1:10" x14ac:dyDescent="0.2">
      <c r="A1489" s="19"/>
      <c r="B1489" s="421" t="s">
        <v>634</v>
      </c>
      <c r="C1489" s="19"/>
      <c r="D1489" s="263">
        <v>2</v>
      </c>
      <c r="E1489" s="93">
        <v>3.15</v>
      </c>
      <c r="F1489" s="93"/>
      <c r="G1489" s="93">
        <v>2.64</v>
      </c>
      <c r="H1489" s="93">
        <f>D1489*E1489*G1489</f>
        <v>16.632000000000001</v>
      </c>
      <c r="I1489" s="93"/>
      <c r="J1489" s="94">
        <f>H1489-I1489</f>
        <v>16.632000000000001</v>
      </c>
    </row>
    <row r="1490" spans="1:10" x14ac:dyDescent="0.2">
      <c r="A1490" s="19"/>
      <c r="B1490" s="422"/>
      <c r="C1490" s="19"/>
      <c r="D1490" s="263">
        <v>2</v>
      </c>
      <c r="E1490" s="93">
        <v>3</v>
      </c>
      <c r="F1490" s="93"/>
      <c r="G1490" s="93">
        <v>2.64</v>
      </c>
      <c r="H1490" s="93">
        <f>D1490*E1490*G1490</f>
        <v>15.84</v>
      </c>
      <c r="I1490" s="93">
        <f>4.4+2.1</f>
        <v>6.5</v>
      </c>
      <c r="J1490" s="94">
        <f>H1490-I1490</f>
        <v>9.34</v>
      </c>
    </row>
    <row r="1491" spans="1:10" x14ac:dyDescent="0.2">
      <c r="A1491" s="19"/>
      <c r="B1491" s="421" t="s">
        <v>618</v>
      </c>
      <c r="C1491" s="19"/>
      <c r="D1491" s="263">
        <v>2</v>
      </c>
      <c r="E1491" s="93">
        <v>4.25</v>
      </c>
      <c r="F1491" s="93"/>
      <c r="G1491" s="93">
        <v>2.64</v>
      </c>
      <c r="H1491" s="93">
        <f>D1491*E1491*G1491</f>
        <v>22.44</v>
      </c>
      <c r="I1491" s="93">
        <v>2.4</v>
      </c>
      <c r="J1491" s="94">
        <f>H1491-I1491</f>
        <v>20.040000000000003</v>
      </c>
    </row>
    <row r="1492" spans="1:10" x14ac:dyDescent="0.2">
      <c r="A1492" s="19"/>
      <c r="B1492" s="422"/>
      <c r="C1492" s="19"/>
      <c r="D1492" s="263">
        <v>2</v>
      </c>
      <c r="E1492" s="93">
        <v>3.15</v>
      </c>
      <c r="F1492" s="93"/>
      <c r="G1492" s="93">
        <v>2.64</v>
      </c>
      <c r="H1492" s="93">
        <f>D1492*E1492*G1492</f>
        <v>16.632000000000001</v>
      </c>
      <c r="I1492" s="93">
        <v>2.4</v>
      </c>
      <c r="J1492" s="94">
        <f>H1492-I1492</f>
        <v>14.232000000000001</v>
      </c>
    </row>
    <row r="1493" spans="1:10" x14ac:dyDescent="0.2">
      <c r="A1493" s="19"/>
      <c r="B1493" s="421" t="s">
        <v>680</v>
      </c>
      <c r="C1493" s="19"/>
      <c r="D1493" s="263">
        <v>1</v>
      </c>
      <c r="E1493" s="93">
        <v>9.5500000000000007</v>
      </c>
      <c r="F1493" s="93"/>
      <c r="G1493" s="93">
        <v>2.64</v>
      </c>
      <c r="H1493" s="93">
        <f>D1493*E1493*G1493</f>
        <v>25.212000000000003</v>
      </c>
      <c r="I1493" s="93">
        <v>2.1</v>
      </c>
      <c r="J1493" s="94">
        <f t="shared" ref="J1493:J1505" si="73">H1493-I1493</f>
        <v>23.112000000000002</v>
      </c>
    </row>
    <row r="1494" spans="1:10" x14ac:dyDescent="0.2">
      <c r="A1494" s="19"/>
      <c r="B1494" s="426"/>
      <c r="C1494" s="19"/>
      <c r="D1494" s="263">
        <v>1</v>
      </c>
      <c r="E1494" s="93">
        <v>3.55</v>
      </c>
      <c r="F1494" s="93"/>
      <c r="G1494" s="93">
        <v>2.64</v>
      </c>
      <c r="H1494" s="93">
        <f t="shared" ref="H1494:H1513" si="74">D1494*E1494*G1494</f>
        <v>9.3719999999999999</v>
      </c>
      <c r="I1494" s="93"/>
      <c r="J1494" s="94">
        <f t="shared" si="73"/>
        <v>9.3719999999999999</v>
      </c>
    </row>
    <row r="1495" spans="1:10" x14ac:dyDescent="0.2">
      <c r="A1495" s="19"/>
      <c r="B1495" s="426"/>
      <c r="C1495" s="19"/>
      <c r="D1495" s="263">
        <v>1</v>
      </c>
      <c r="E1495" s="93">
        <v>0.9</v>
      </c>
      <c r="F1495" s="93"/>
      <c r="G1495" s="93">
        <v>2.64</v>
      </c>
      <c r="H1495" s="93">
        <f t="shared" si="74"/>
        <v>2.3760000000000003</v>
      </c>
      <c r="I1495" s="93"/>
      <c r="J1495" s="94">
        <f t="shared" si="73"/>
        <v>2.3760000000000003</v>
      </c>
    </row>
    <row r="1496" spans="1:10" x14ac:dyDescent="0.2">
      <c r="A1496" s="19"/>
      <c r="B1496" s="426"/>
      <c r="C1496" s="19"/>
      <c r="D1496" s="263">
        <v>1</v>
      </c>
      <c r="E1496" s="93">
        <v>2.9</v>
      </c>
      <c r="F1496" s="93"/>
      <c r="G1496" s="93">
        <v>2.64</v>
      </c>
      <c r="H1496" s="93">
        <f t="shared" si="74"/>
        <v>7.6559999999999997</v>
      </c>
      <c r="I1496" s="93"/>
      <c r="J1496" s="94">
        <f t="shared" si="73"/>
        <v>7.6559999999999997</v>
      </c>
    </row>
    <row r="1497" spans="1:10" x14ac:dyDescent="0.2">
      <c r="A1497" s="19"/>
      <c r="B1497" s="426"/>
      <c r="C1497" s="19"/>
      <c r="D1497" s="263">
        <v>1</v>
      </c>
      <c r="E1497" s="93">
        <v>1.95</v>
      </c>
      <c r="F1497" s="93"/>
      <c r="G1497" s="93">
        <v>2.64</v>
      </c>
      <c r="H1497" s="93">
        <f t="shared" si="74"/>
        <v>5.1479999999999997</v>
      </c>
      <c r="I1497" s="93"/>
      <c r="J1497" s="94">
        <f t="shared" si="73"/>
        <v>5.1479999999999997</v>
      </c>
    </row>
    <row r="1498" spans="1:10" x14ac:dyDescent="0.2">
      <c r="A1498" s="19"/>
      <c r="B1498" s="426"/>
      <c r="C1498" s="19"/>
      <c r="D1498" s="263">
        <v>1</v>
      </c>
      <c r="E1498" s="93">
        <v>1.8</v>
      </c>
      <c r="F1498" s="93"/>
      <c r="G1498" s="93">
        <v>2.64</v>
      </c>
      <c r="H1498" s="93">
        <f t="shared" si="74"/>
        <v>4.7520000000000007</v>
      </c>
      <c r="I1498" s="93"/>
      <c r="J1498" s="94">
        <f t="shared" si="73"/>
        <v>4.7520000000000007</v>
      </c>
    </row>
    <row r="1499" spans="1:10" x14ac:dyDescent="0.2">
      <c r="A1499" s="19"/>
      <c r="B1499" s="426"/>
      <c r="C1499" s="19"/>
      <c r="D1499" s="263">
        <v>1</v>
      </c>
      <c r="E1499" s="93">
        <v>4.3</v>
      </c>
      <c r="F1499" s="93"/>
      <c r="G1499" s="93">
        <v>2.64</v>
      </c>
      <c r="H1499" s="93">
        <f t="shared" si="74"/>
        <v>11.352</v>
      </c>
      <c r="I1499" s="93"/>
      <c r="J1499" s="94">
        <f t="shared" si="73"/>
        <v>11.352</v>
      </c>
    </row>
    <row r="1500" spans="1:10" x14ac:dyDescent="0.2">
      <c r="A1500" s="19"/>
      <c r="B1500" s="422"/>
      <c r="C1500" s="19"/>
      <c r="D1500" s="263">
        <v>1</v>
      </c>
      <c r="E1500" s="93">
        <v>1.2</v>
      </c>
      <c r="F1500" s="93"/>
      <c r="G1500" s="93">
        <v>2.64</v>
      </c>
      <c r="H1500" s="93">
        <f t="shared" si="74"/>
        <v>3.1680000000000001</v>
      </c>
      <c r="I1500" s="93"/>
      <c r="J1500" s="94">
        <f t="shared" si="73"/>
        <v>3.1680000000000001</v>
      </c>
    </row>
    <row r="1501" spans="1:10" x14ac:dyDescent="0.2">
      <c r="A1501" s="19"/>
      <c r="B1501" s="421" t="s">
        <v>679</v>
      </c>
      <c r="C1501" s="19"/>
      <c r="D1501" s="263">
        <v>1</v>
      </c>
      <c r="E1501" s="93">
        <v>2.4</v>
      </c>
      <c r="F1501" s="93"/>
      <c r="G1501" s="93">
        <v>5.7</v>
      </c>
      <c r="H1501" s="93">
        <f t="shared" si="74"/>
        <v>13.68</v>
      </c>
      <c r="I1501" s="93"/>
      <c r="J1501" s="94">
        <f t="shared" si="73"/>
        <v>13.68</v>
      </c>
    </row>
    <row r="1502" spans="1:10" x14ac:dyDescent="0.2">
      <c r="A1502" s="19"/>
      <c r="B1502" s="422"/>
      <c r="C1502" s="19"/>
      <c r="D1502" s="263">
        <v>1</v>
      </c>
      <c r="E1502" s="93">
        <v>3.44</v>
      </c>
      <c r="F1502" s="93"/>
      <c r="G1502" s="93">
        <v>5.7</v>
      </c>
      <c r="H1502" s="93">
        <f t="shared" si="74"/>
        <v>19.608000000000001</v>
      </c>
      <c r="I1502" s="93"/>
      <c r="J1502" s="94">
        <f t="shared" si="73"/>
        <v>19.608000000000001</v>
      </c>
    </row>
    <row r="1503" spans="1:10" x14ac:dyDescent="0.2">
      <c r="A1503" s="19"/>
      <c r="B1503" s="421" t="s">
        <v>620</v>
      </c>
      <c r="C1503" s="19"/>
      <c r="D1503" s="263">
        <v>2</v>
      </c>
      <c r="E1503" s="93">
        <v>2.9</v>
      </c>
      <c r="F1503" s="93"/>
      <c r="G1503" s="93">
        <v>2.64</v>
      </c>
      <c r="H1503" s="93">
        <f t="shared" si="74"/>
        <v>15.311999999999999</v>
      </c>
      <c r="I1503" s="93">
        <v>2.4</v>
      </c>
      <c r="J1503" s="94">
        <f t="shared" si="73"/>
        <v>12.911999999999999</v>
      </c>
    </row>
    <row r="1504" spans="1:10" x14ac:dyDescent="0.2">
      <c r="A1504" s="19"/>
      <c r="B1504" s="422"/>
      <c r="C1504" s="19"/>
      <c r="D1504" s="263">
        <v>2</v>
      </c>
      <c r="E1504" s="93">
        <v>3.15</v>
      </c>
      <c r="F1504" s="93"/>
      <c r="G1504" s="93">
        <v>2.64</v>
      </c>
      <c r="H1504" s="93">
        <f t="shared" si="74"/>
        <v>16.632000000000001</v>
      </c>
      <c r="I1504" s="93"/>
      <c r="J1504" s="94">
        <f t="shared" si="73"/>
        <v>16.632000000000001</v>
      </c>
    </row>
    <row r="1505" spans="1:10" x14ac:dyDescent="0.2">
      <c r="A1505" s="19"/>
      <c r="B1505" s="421" t="s">
        <v>621</v>
      </c>
      <c r="C1505" s="19"/>
      <c r="D1505" s="263">
        <v>2</v>
      </c>
      <c r="E1505" s="93">
        <v>2.85</v>
      </c>
      <c r="F1505" s="93"/>
      <c r="G1505" s="93">
        <v>2.64</v>
      </c>
      <c r="H1505" s="93">
        <f t="shared" si="74"/>
        <v>15.048000000000002</v>
      </c>
      <c r="I1505" s="93">
        <v>2.4</v>
      </c>
      <c r="J1505" s="94">
        <f t="shared" si="73"/>
        <v>12.648000000000001</v>
      </c>
    </row>
    <row r="1506" spans="1:10" x14ac:dyDescent="0.2">
      <c r="A1506" s="19"/>
      <c r="B1506" s="422"/>
      <c r="C1506" s="19"/>
      <c r="D1506" s="263">
        <v>2</v>
      </c>
      <c r="E1506" s="93">
        <v>3.83</v>
      </c>
      <c r="F1506" s="93"/>
      <c r="G1506" s="93">
        <v>2.64</v>
      </c>
      <c r="H1506" s="93">
        <f t="shared" si="74"/>
        <v>20.2224</v>
      </c>
      <c r="I1506" s="93"/>
      <c r="J1506" s="94">
        <f t="shared" ref="J1506:J1513" si="75">H1506-I1506</f>
        <v>20.2224</v>
      </c>
    </row>
    <row r="1507" spans="1:10" x14ac:dyDescent="0.2">
      <c r="A1507" s="19"/>
      <c r="B1507" s="421" t="s">
        <v>674</v>
      </c>
      <c r="C1507" s="19"/>
      <c r="D1507" s="263">
        <v>2</v>
      </c>
      <c r="E1507" s="93">
        <v>6.58</v>
      </c>
      <c r="F1507" s="93"/>
      <c r="G1507" s="93">
        <v>2.64</v>
      </c>
      <c r="H1507" s="93">
        <f t="shared" si="74"/>
        <v>34.742400000000004</v>
      </c>
      <c r="I1507" s="93">
        <f>2.4+2.4</f>
        <v>4.8</v>
      </c>
      <c r="J1507" s="94">
        <f t="shared" si="75"/>
        <v>29.942400000000003</v>
      </c>
    </row>
    <row r="1508" spans="1:10" x14ac:dyDescent="0.2">
      <c r="A1508" s="19"/>
      <c r="B1508" s="422"/>
      <c r="C1508" s="19"/>
      <c r="D1508" s="263">
        <v>2</v>
      </c>
      <c r="E1508" s="93">
        <v>2.85</v>
      </c>
      <c r="F1508" s="93"/>
      <c r="G1508" s="93">
        <v>2.64</v>
      </c>
      <c r="H1508" s="93">
        <f t="shared" si="74"/>
        <v>15.048000000000002</v>
      </c>
      <c r="I1508" s="93"/>
      <c r="J1508" s="94">
        <f t="shared" si="75"/>
        <v>15.048000000000002</v>
      </c>
    </row>
    <row r="1509" spans="1:10" x14ac:dyDescent="0.2">
      <c r="A1509" s="19"/>
      <c r="B1509" s="421" t="s">
        <v>632</v>
      </c>
      <c r="C1509" s="19"/>
      <c r="D1509" s="263">
        <v>2</v>
      </c>
      <c r="E1509" s="93">
        <v>5.9</v>
      </c>
      <c r="F1509" s="93"/>
      <c r="G1509" s="93">
        <v>2.64</v>
      </c>
      <c r="H1509" s="93">
        <f t="shared" si="74"/>
        <v>31.152000000000005</v>
      </c>
      <c r="I1509" s="93"/>
      <c r="J1509" s="94">
        <f t="shared" si="75"/>
        <v>31.152000000000005</v>
      </c>
    </row>
    <row r="1510" spans="1:10" x14ac:dyDescent="0.2">
      <c r="A1510" s="19"/>
      <c r="B1510" s="422"/>
      <c r="C1510" s="19"/>
      <c r="D1510" s="263">
        <v>2</v>
      </c>
      <c r="E1510" s="93">
        <v>2.9</v>
      </c>
      <c r="F1510" s="93"/>
      <c r="G1510" s="93">
        <v>2.64</v>
      </c>
      <c r="H1510" s="93">
        <f t="shared" si="74"/>
        <v>15.311999999999999</v>
      </c>
      <c r="I1510" s="93">
        <v>3.48</v>
      </c>
      <c r="J1510" s="94">
        <f t="shared" si="75"/>
        <v>11.831999999999999</v>
      </c>
    </row>
    <row r="1511" spans="1:10" x14ac:dyDescent="0.2">
      <c r="A1511" s="19"/>
      <c r="B1511" s="421" t="s">
        <v>643</v>
      </c>
      <c r="C1511" s="19"/>
      <c r="D1511" s="263">
        <v>2</v>
      </c>
      <c r="E1511" s="93">
        <v>2.4</v>
      </c>
      <c r="F1511" s="93"/>
      <c r="G1511" s="93">
        <f>2.64-1.5</f>
        <v>1.1400000000000001</v>
      </c>
      <c r="H1511" s="93">
        <f t="shared" si="74"/>
        <v>5.4720000000000004</v>
      </c>
      <c r="I1511" s="93"/>
      <c r="J1511" s="94">
        <f t="shared" si="75"/>
        <v>5.4720000000000004</v>
      </c>
    </row>
    <row r="1512" spans="1:10" s="253" customFormat="1" x14ac:dyDescent="0.2">
      <c r="A1512" s="254"/>
      <c r="B1512" s="426"/>
      <c r="C1512" s="254"/>
      <c r="D1512" s="263">
        <v>1</v>
      </c>
      <c r="E1512" s="263">
        <v>2.15</v>
      </c>
      <c r="F1512" s="263"/>
      <c r="G1512" s="263">
        <v>1.1399999999999999</v>
      </c>
      <c r="H1512" s="263">
        <f t="shared" si="74"/>
        <v>2.4509999999999996</v>
      </c>
      <c r="I1512" s="263"/>
      <c r="J1512" s="264">
        <f t="shared" si="75"/>
        <v>2.4509999999999996</v>
      </c>
    </row>
    <row r="1513" spans="1:10" x14ac:dyDescent="0.2">
      <c r="A1513" s="19"/>
      <c r="B1513" s="422"/>
      <c r="C1513" s="19"/>
      <c r="D1513" s="263">
        <v>1</v>
      </c>
      <c r="E1513" s="93">
        <v>0.8</v>
      </c>
      <c r="F1513" s="93"/>
      <c r="G1513" s="93">
        <f>2.64-1.5</f>
        <v>1.1400000000000001</v>
      </c>
      <c r="H1513" s="93">
        <f t="shared" si="74"/>
        <v>0.91200000000000014</v>
      </c>
      <c r="I1513" s="93"/>
      <c r="J1513" s="264">
        <f t="shared" si="75"/>
        <v>0.91200000000000014</v>
      </c>
    </row>
    <row r="1514" spans="1:10" x14ac:dyDescent="0.2">
      <c r="A1514" s="19"/>
      <c r="B1514" s="101" t="s">
        <v>877</v>
      </c>
      <c r="C1514" s="19"/>
      <c r="D1514" s="263"/>
      <c r="E1514" s="93"/>
      <c r="F1514" s="93"/>
      <c r="G1514" s="93"/>
      <c r="H1514" s="93"/>
      <c r="I1514" s="93"/>
      <c r="J1514" s="94"/>
    </row>
    <row r="1515" spans="1:10" x14ac:dyDescent="0.2">
      <c r="A1515" s="19"/>
      <c r="B1515" s="426" t="s">
        <v>680</v>
      </c>
      <c r="C1515" s="19"/>
      <c r="D1515" s="264">
        <v>1</v>
      </c>
      <c r="E1515" s="264">
        <v>1.8</v>
      </c>
      <c r="F1515" s="264"/>
      <c r="G1515" s="93">
        <v>2.64</v>
      </c>
      <c r="H1515" s="93">
        <f t="shared" ref="H1515:H1532" si="76">D1515*E1515*G1515</f>
        <v>4.7520000000000007</v>
      </c>
      <c r="I1515" s="93"/>
      <c r="J1515" s="94">
        <f>H1515-I1515</f>
        <v>4.7520000000000007</v>
      </c>
    </row>
    <row r="1516" spans="1:10" x14ac:dyDescent="0.2">
      <c r="A1516" s="19"/>
      <c r="B1516" s="426"/>
      <c r="C1516" s="19"/>
      <c r="D1516" s="264">
        <v>1</v>
      </c>
      <c r="E1516" s="264">
        <v>1.2</v>
      </c>
      <c r="F1516" s="264"/>
      <c r="G1516" s="93">
        <v>2.64</v>
      </c>
      <c r="H1516" s="93">
        <f t="shared" si="76"/>
        <v>3.1680000000000001</v>
      </c>
      <c r="I1516" s="93"/>
      <c r="J1516" s="94">
        <f t="shared" ref="J1516:J1522" si="77">H1516-I1516</f>
        <v>3.1680000000000001</v>
      </c>
    </row>
    <row r="1517" spans="1:10" x14ac:dyDescent="0.2">
      <c r="A1517" s="19"/>
      <c r="B1517" s="426"/>
      <c r="C1517" s="19"/>
      <c r="D1517" s="264">
        <v>1</v>
      </c>
      <c r="E1517" s="264">
        <v>6.44</v>
      </c>
      <c r="F1517" s="264"/>
      <c r="G1517" s="93">
        <v>2.64</v>
      </c>
      <c r="H1517" s="93">
        <f t="shared" si="76"/>
        <v>17.001600000000003</v>
      </c>
      <c r="I1517" s="93"/>
      <c r="J1517" s="94">
        <f t="shared" si="77"/>
        <v>17.001600000000003</v>
      </c>
    </row>
    <row r="1518" spans="1:10" x14ac:dyDescent="0.2">
      <c r="A1518" s="19"/>
      <c r="B1518" s="426"/>
      <c r="C1518" s="19"/>
      <c r="D1518" s="264">
        <v>1</v>
      </c>
      <c r="E1518" s="264">
        <v>8.65</v>
      </c>
      <c r="F1518" s="264"/>
      <c r="G1518" s="93">
        <v>2.64</v>
      </c>
      <c r="H1518" s="93">
        <f t="shared" si="76"/>
        <v>22.836000000000002</v>
      </c>
      <c r="I1518" s="93"/>
      <c r="J1518" s="94">
        <f t="shared" si="77"/>
        <v>22.836000000000002</v>
      </c>
    </row>
    <row r="1519" spans="1:10" x14ac:dyDescent="0.2">
      <c r="A1519" s="19"/>
      <c r="B1519" s="426"/>
      <c r="C1519" s="19"/>
      <c r="D1519" s="264">
        <v>1</v>
      </c>
      <c r="E1519" s="264">
        <v>1.95</v>
      </c>
      <c r="F1519" s="264"/>
      <c r="G1519" s="93">
        <v>2.64</v>
      </c>
      <c r="H1519" s="93">
        <f t="shared" si="76"/>
        <v>5.1479999999999997</v>
      </c>
      <c r="I1519" s="93"/>
      <c r="J1519" s="94">
        <f t="shared" si="77"/>
        <v>5.1479999999999997</v>
      </c>
    </row>
    <row r="1520" spans="1:10" x14ac:dyDescent="0.2">
      <c r="A1520" s="19"/>
      <c r="B1520" s="422"/>
      <c r="C1520" s="19"/>
      <c r="D1520" s="264">
        <v>1</v>
      </c>
      <c r="E1520" s="264">
        <v>4.3</v>
      </c>
      <c r="F1520" s="264"/>
      <c r="G1520" s="93">
        <v>2.64</v>
      </c>
      <c r="H1520" s="93">
        <f t="shared" si="76"/>
        <v>11.352</v>
      </c>
      <c r="I1520" s="93"/>
      <c r="J1520" s="94">
        <f t="shared" si="77"/>
        <v>11.352</v>
      </c>
    </row>
    <row r="1521" spans="1:10" x14ac:dyDescent="0.2">
      <c r="A1521" s="19"/>
      <c r="B1521" s="421" t="s">
        <v>655</v>
      </c>
      <c r="C1521" s="19"/>
      <c r="D1521" s="263">
        <v>2</v>
      </c>
      <c r="E1521" s="93">
        <v>4.25</v>
      </c>
      <c r="F1521" s="93"/>
      <c r="G1521" s="93">
        <v>2.64</v>
      </c>
      <c r="H1521" s="93">
        <f t="shared" si="76"/>
        <v>22.44</v>
      </c>
      <c r="I1521" s="93">
        <v>2.4</v>
      </c>
      <c r="J1521" s="94">
        <f t="shared" si="77"/>
        <v>20.040000000000003</v>
      </c>
    </row>
    <row r="1522" spans="1:10" x14ac:dyDescent="0.2">
      <c r="A1522" s="19"/>
      <c r="B1522" s="422"/>
      <c r="C1522" s="19"/>
      <c r="D1522" s="263">
        <v>2</v>
      </c>
      <c r="E1522" s="93">
        <v>3.15</v>
      </c>
      <c r="F1522" s="93"/>
      <c r="G1522" s="93">
        <v>2.64</v>
      </c>
      <c r="H1522" s="93">
        <f t="shared" si="76"/>
        <v>16.632000000000001</v>
      </c>
      <c r="I1522" s="93">
        <v>2.4</v>
      </c>
      <c r="J1522" s="94">
        <f t="shared" si="77"/>
        <v>14.232000000000001</v>
      </c>
    </row>
    <row r="1523" spans="1:10" x14ac:dyDescent="0.2">
      <c r="A1523" s="19"/>
      <c r="B1523" s="421" t="s">
        <v>624</v>
      </c>
      <c r="C1523" s="19"/>
      <c r="D1523" s="263">
        <v>2</v>
      </c>
      <c r="E1523" s="93">
        <v>3</v>
      </c>
      <c r="F1523" s="93"/>
      <c r="G1523" s="93">
        <v>2.64</v>
      </c>
      <c r="H1523" s="93">
        <f t="shared" si="76"/>
        <v>15.84</v>
      </c>
      <c r="I1523" s="93">
        <v>2.4</v>
      </c>
      <c r="J1523" s="94">
        <f t="shared" ref="J1523:J1529" si="78">H1523-I1523</f>
        <v>13.44</v>
      </c>
    </row>
    <row r="1524" spans="1:10" x14ac:dyDescent="0.2">
      <c r="A1524" s="19"/>
      <c r="B1524" s="422"/>
      <c r="C1524" s="19"/>
      <c r="D1524" s="263">
        <v>2</v>
      </c>
      <c r="E1524" s="93">
        <v>3.15</v>
      </c>
      <c r="F1524" s="93"/>
      <c r="G1524" s="93">
        <v>2.64</v>
      </c>
      <c r="H1524" s="93">
        <f t="shared" si="76"/>
        <v>16.632000000000001</v>
      </c>
      <c r="I1524" s="93"/>
      <c r="J1524" s="94">
        <f t="shared" si="78"/>
        <v>16.632000000000001</v>
      </c>
    </row>
    <row r="1525" spans="1:10" x14ac:dyDescent="0.2">
      <c r="A1525" s="19"/>
      <c r="B1525" s="421" t="s">
        <v>625</v>
      </c>
      <c r="C1525" s="19"/>
      <c r="D1525" s="263">
        <v>2</v>
      </c>
      <c r="E1525" s="93">
        <v>2.9</v>
      </c>
      <c r="F1525" s="93"/>
      <c r="G1525" s="93">
        <v>2.64</v>
      </c>
      <c r="H1525" s="93">
        <f t="shared" si="76"/>
        <v>15.311999999999999</v>
      </c>
      <c r="I1525" s="93">
        <v>2.4</v>
      </c>
      <c r="J1525" s="94">
        <f t="shared" si="78"/>
        <v>12.911999999999999</v>
      </c>
    </row>
    <row r="1526" spans="1:10" x14ac:dyDescent="0.2">
      <c r="A1526" s="19"/>
      <c r="B1526" s="422"/>
      <c r="C1526" s="19"/>
      <c r="D1526" s="263">
        <v>2</v>
      </c>
      <c r="E1526" s="93">
        <v>3.15</v>
      </c>
      <c r="F1526" s="93"/>
      <c r="G1526" s="93">
        <v>2.64</v>
      </c>
      <c r="H1526" s="93">
        <f t="shared" si="76"/>
        <v>16.632000000000001</v>
      </c>
      <c r="I1526" s="93"/>
      <c r="J1526" s="94">
        <f t="shared" si="78"/>
        <v>16.632000000000001</v>
      </c>
    </row>
    <row r="1527" spans="1:10" x14ac:dyDescent="0.2">
      <c r="A1527" s="19"/>
      <c r="B1527" s="421" t="s">
        <v>639</v>
      </c>
      <c r="C1527" s="19"/>
      <c r="D1527" s="263">
        <v>2</v>
      </c>
      <c r="E1527" s="93">
        <v>3.83</v>
      </c>
      <c r="F1527" s="93"/>
      <c r="G1527" s="93">
        <v>2.64</v>
      </c>
      <c r="H1527" s="93">
        <f t="shared" si="76"/>
        <v>20.2224</v>
      </c>
      <c r="I1527" s="93"/>
      <c r="J1527" s="94">
        <f t="shared" si="78"/>
        <v>20.2224</v>
      </c>
    </row>
    <row r="1528" spans="1:10" x14ac:dyDescent="0.2">
      <c r="A1528" s="19"/>
      <c r="B1528" s="422"/>
      <c r="C1528" s="19"/>
      <c r="D1528" s="263">
        <v>2</v>
      </c>
      <c r="E1528" s="93">
        <v>2.85</v>
      </c>
      <c r="F1528" s="93"/>
      <c r="G1528" s="93">
        <v>2.64</v>
      </c>
      <c r="H1528" s="93">
        <f t="shared" si="76"/>
        <v>15.048000000000002</v>
      </c>
      <c r="I1528" s="93">
        <v>2.4</v>
      </c>
      <c r="J1528" s="94">
        <f t="shared" si="78"/>
        <v>12.648000000000001</v>
      </c>
    </row>
    <row r="1529" spans="1:10" x14ac:dyDescent="0.2">
      <c r="A1529" s="19"/>
      <c r="B1529" s="421" t="s">
        <v>627</v>
      </c>
      <c r="C1529" s="19"/>
      <c r="D1529" s="263">
        <v>2</v>
      </c>
      <c r="E1529" s="93">
        <v>5.9</v>
      </c>
      <c r="F1529" s="93"/>
      <c r="G1529" s="93">
        <v>2.64</v>
      </c>
      <c r="H1529" s="93">
        <f t="shared" si="76"/>
        <v>31.152000000000005</v>
      </c>
      <c r="I1529" s="93">
        <f>2.4+2.4</f>
        <v>4.8</v>
      </c>
      <c r="J1529" s="94">
        <f t="shared" si="78"/>
        <v>26.352000000000004</v>
      </c>
    </row>
    <row r="1530" spans="1:10" x14ac:dyDescent="0.2">
      <c r="A1530" s="19"/>
      <c r="B1530" s="422"/>
      <c r="C1530" s="19"/>
      <c r="D1530" s="263">
        <v>2</v>
      </c>
      <c r="E1530" s="93">
        <v>6.58</v>
      </c>
      <c r="F1530" s="93"/>
      <c r="G1530" s="93">
        <v>2.64</v>
      </c>
      <c r="H1530" s="93">
        <f t="shared" si="76"/>
        <v>34.742400000000004</v>
      </c>
      <c r="I1530" s="93">
        <f>2.4+2.4</f>
        <v>4.8</v>
      </c>
      <c r="J1530" s="94">
        <f>H1530-I1530</f>
        <v>29.942400000000003</v>
      </c>
    </row>
    <row r="1531" spans="1:10" x14ac:dyDescent="0.2">
      <c r="A1531" s="19"/>
      <c r="B1531" s="421" t="s">
        <v>628</v>
      </c>
      <c r="C1531" s="19"/>
      <c r="D1531" s="263">
        <v>2</v>
      </c>
      <c r="E1531" s="93">
        <v>5</v>
      </c>
      <c r="F1531" s="93"/>
      <c r="G1531" s="93">
        <v>2.64</v>
      </c>
      <c r="H1531" s="93">
        <f t="shared" si="76"/>
        <v>26.400000000000002</v>
      </c>
      <c r="I1531" s="93"/>
      <c r="J1531" s="94">
        <f>H1531-I1531</f>
        <v>26.400000000000002</v>
      </c>
    </row>
    <row r="1532" spans="1:10" x14ac:dyDescent="0.2">
      <c r="A1532" s="19"/>
      <c r="B1532" s="422"/>
      <c r="C1532" s="19"/>
      <c r="D1532" s="263">
        <v>2</v>
      </c>
      <c r="E1532" s="93">
        <v>2.9</v>
      </c>
      <c r="F1532" s="93"/>
      <c r="G1532" s="93">
        <v>2.64</v>
      </c>
      <c r="H1532" s="93">
        <f t="shared" si="76"/>
        <v>15.311999999999999</v>
      </c>
      <c r="I1532" s="93"/>
      <c r="J1532" s="94">
        <f>H1532-I1532</f>
        <v>15.311999999999999</v>
      </c>
    </row>
    <row r="1533" spans="1:10" x14ac:dyDescent="0.2">
      <c r="A1533" s="19"/>
      <c r="B1533" s="101" t="s">
        <v>894</v>
      </c>
      <c r="C1533" s="19"/>
      <c r="D1533" s="263"/>
      <c r="E1533" s="93"/>
      <c r="F1533" s="93"/>
      <c r="G1533" s="93"/>
      <c r="H1533" s="93"/>
      <c r="I1533" s="93"/>
      <c r="J1533" s="94"/>
    </row>
    <row r="1534" spans="1:10" x14ac:dyDescent="0.2">
      <c r="A1534" s="19"/>
      <c r="B1534" s="101" t="s">
        <v>676</v>
      </c>
      <c r="C1534" s="254"/>
      <c r="D1534" s="263"/>
      <c r="E1534" s="263"/>
      <c r="F1534" s="263"/>
      <c r="G1534" s="263"/>
      <c r="H1534" s="253"/>
      <c r="I1534" s="93"/>
      <c r="J1534" s="94"/>
    </row>
    <row r="1535" spans="1:10" x14ac:dyDescent="0.2">
      <c r="A1535" s="19"/>
      <c r="B1535" s="352" t="s">
        <v>634</v>
      </c>
      <c r="C1535" s="254"/>
      <c r="D1535" s="263"/>
      <c r="E1535" s="263"/>
      <c r="F1535" s="263"/>
      <c r="G1535" s="263"/>
      <c r="H1535" s="263">
        <v>9.4499999999999993</v>
      </c>
      <c r="I1535" s="93"/>
      <c r="J1535" s="94">
        <f>H1535</f>
        <v>9.4499999999999993</v>
      </c>
    </row>
    <row r="1536" spans="1:10" x14ac:dyDescent="0.2">
      <c r="A1536" s="19"/>
      <c r="B1536" s="352" t="s">
        <v>618</v>
      </c>
      <c r="C1536" s="254"/>
      <c r="D1536" s="263"/>
      <c r="E1536" s="263"/>
      <c r="F1536" s="263"/>
      <c r="G1536" s="263"/>
      <c r="H1536" s="263">
        <v>13.18</v>
      </c>
      <c r="I1536" s="93"/>
      <c r="J1536" s="94">
        <f t="shared" ref="J1536:J1558" si="79">H1536</f>
        <v>13.18</v>
      </c>
    </row>
    <row r="1537" spans="1:10" x14ac:dyDescent="0.2">
      <c r="A1537" s="19"/>
      <c r="B1537" s="352" t="s">
        <v>680</v>
      </c>
      <c r="C1537" s="254"/>
      <c r="D1537" s="263"/>
      <c r="E1537" s="263"/>
      <c r="F1537" s="263"/>
      <c r="G1537" s="263"/>
      <c r="H1537" s="263">
        <v>23.8</v>
      </c>
      <c r="I1537" s="93"/>
      <c r="J1537" s="94">
        <f t="shared" si="79"/>
        <v>23.8</v>
      </c>
    </row>
    <row r="1538" spans="1:10" x14ac:dyDescent="0.2">
      <c r="A1538" s="19"/>
      <c r="B1538" s="352" t="s">
        <v>620</v>
      </c>
      <c r="C1538" s="254"/>
      <c r="D1538" s="263"/>
      <c r="E1538" s="263"/>
      <c r="F1538" s="263"/>
      <c r="G1538" s="263"/>
      <c r="H1538" s="263">
        <v>8.98</v>
      </c>
      <c r="I1538" s="93"/>
      <c r="J1538" s="94">
        <f t="shared" si="79"/>
        <v>8.98</v>
      </c>
    </row>
    <row r="1539" spans="1:10" x14ac:dyDescent="0.2">
      <c r="A1539" s="19"/>
      <c r="B1539" s="352" t="s">
        <v>621</v>
      </c>
      <c r="C1539" s="254"/>
      <c r="D1539" s="263"/>
      <c r="E1539" s="263"/>
      <c r="F1539" s="263"/>
      <c r="G1539" s="263"/>
      <c r="H1539" s="263">
        <v>10.06</v>
      </c>
      <c r="I1539" s="93"/>
      <c r="J1539" s="94">
        <f t="shared" si="79"/>
        <v>10.06</v>
      </c>
    </row>
    <row r="1540" spans="1:10" x14ac:dyDescent="0.2">
      <c r="A1540" s="19"/>
      <c r="B1540" s="352" t="s">
        <v>674</v>
      </c>
      <c r="C1540" s="254"/>
      <c r="D1540" s="263"/>
      <c r="E1540" s="263"/>
      <c r="F1540" s="263"/>
      <c r="G1540" s="263"/>
      <c r="H1540" s="263">
        <v>17.899999999999999</v>
      </c>
      <c r="I1540" s="93"/>
      <c r="J1540" s="94">
        <f t="shared" si="79"/>
        <v>17.899999999999999</v>
      </c>
    </row>
    <row r="1541" spans="1:10" x14ac:dyDescent="0.2">
      <c r="A1541" s="19"/>
      <c r="B1541" s="352" t="s">
        <v>632</v>
      </c>
      <c r="C1541" s="254"/>
      <c r="D1541" s="263"/>
      <c r="E1541" s="263"/>
      <c r="F1541" s="263"/>
      <c r="G1541" s="263"/>
      <c r="H1541" s="263">
        <v>17.11</v>
      </c>
      <c r="I1541" s="93"/>
      <c r="J1541" s="94">
        <f t="shared" si="79"/>
        <v>17.11</v>
      </c>
    </row>
    <row r="1542" spans="1:10" x14ac:dyDescent="0.2">
      <c r="A1542" s="19"/>
      <c r="B1542" s="352" t="s">
        <v>681</v>
      </c>
      <c r="C1542" s="256"/>
      <c r="D1542" s="99"/>
      <c r="E1542" s="256"/>
      <c r="F1542" s="256"/>
      <c r="G1542" s="256"/>
      <c r="H1542" s="263">
        <v>3.4</v>
      </c>
      <c r="I1542" s="93"/>
      <c r="J1542" s="94">
        <f t="shared" si="79"/>
        <v>3.4</v>
      </c>
    </row>
    <row r="1543" spans="1:10" x14ac:dyDescent="0.2">
      <c r="A1543" s="19"/>
      <c r="B1543" s="352" t="s">
        <v>683</v>
      </c>
      <c r="C1543" s="256"/>
      <c r="D1543" s="99"/>
      <c r="E1543" s="256"/>
      <c r="F1543" s="256"/>
      <c r="G1543" s="256"/>
      <c r="H1543" s="263">
        <v>3.4</v>
      </c>
      <c r="I1543" s="93"/>
      <c r="J1543" s="94">
        <f t="shared" si="79"/>
        <v>3.4</v>
      </c>
    </row>
    <row r="1544" spans="1:10" x14ac:dyDescent="0.2">
      <c r="A1544" s="19"/>
      <c r="B1544" s="352" t="s">
        <v>682</v>
      </c>
      <c r="C1544" s="254"/>
      <c r="D1544" s="263"/>
      <c r="E1544" s="263"/>
      <c r="F1544" s="263"/>
      <c r="G1544" s="263"/>
      <c r="H1544" s="263">
        <v>3.77</v>
      </c>
      <c r="I1544" s="93"/>
      <c r="J1544" s="94">
        <f t="shared" si="79"/>
        <v>3.77</v>
      </c>
    </row>
    <row r="1545" spans="1:10" x14ac:dyDescent="0.2">
      <c r="A1545" s="19"/>
      <c r="B1545" s="352" t="s">
        <v>641</v>
      </c>
      <c r="C1545" s="254"/>
      <c r="D1545" s="263"/>
      <c r="E1545" s="263"/>
      <c r="F1545" s="263"/>
      <c r="G1545" s="263"/>
      <c r="H1545" s="263">
        <v>3.77</v>
      </c>
      <c r="I1545" s="93"/>
      <c r="J1545" s="94">
        <f t="shared" si="79"/>
        <v>3.77</v>
      </c>
    </row>
    <row r="1546" spans="1:10" x14ac:dyDescent="0.2">
      <c r="A1546" s="19"/>
      <c r="B1546" s="352" t="s">
        <v>675</v>
      </c>
      <c r="C1546" s="254"/>
      <c r="D1546" s="263"/>
      <c r="E1546" s="263"/>
      <c r="F1546" s="263"/>
      <c r="G1546" s="263"/>
      <c r="H1546" s="263">
        <v>10.76</v>
      </c>
      <c r="I1546" s="93"/>
      <c r="J1546" s="94">
        <f t="shared" si="79"/>
        <v>10.76</v>
      </c>
    </row>
    <row r="1547" spans="1:10" x14ac:dyDescent="0.2">
      <c r="A1547" s="19"/>
      <c r="B1547" s="352" t="s">
        <v>643</v>
      </c>
      <c r="C1547" s="254"/>
      <c r="D1547" s="263"/>
      <c r="E1547" s="263"/>
      <c r="F1547" s="263"/>
      <c r="G1547" s="263"/>
      <c r="H1547" s="263">
        <v>4.84</v>
      </c>
      <c r="I1547" s="93"/>
      <c r="J1547" s="94">
        <f t="shared" si="79"/>
        <v>4.84</v>
      </c>
    </row>
    <row r="1548" spans="1:10" x14ac:dyDescent="0.2">
      <c r="A1548" s="19"/>
      <c r="B1548" s="101" t="s">
        <v>677</v>
      </c>
      <c r="C1548" s="254"/>
      <c r="D1548" s="263"/>
      <c r="E1548" s="263"/>
      <c r="F1548" s="263"/>
      <c r="G1548" s="263"/>
      <c r="H1548" s="263"/>
      <c r="I1548" s="93"/>
      <c r="J1548" s="94">
        <f t="shared" si="79"/>
        <v>0</v>
      </c>
    </row>
    <row r="1549" spans="1:10" x14ac:dyDescent="0.2">
      <c r="A1549" s="19"/>
      <c r="B1549" s="352" t="s">
        <v>679</v>
      </c>
      <c r="C1549" s="254"/>
      <c r="D1549" s="263"/>
      <c r="E1549" s="263"/>
      <c r="F1549" s="263"/>
      <c r="G1549" s="263"/>
      <c r="H1549" s="263">
        <v>8.26</v>
      </c>
      <c r="I1549" s="93"/>
      <c r="J1549" s="94">
        <f t="shared" si="79"/>
        <v>8.26</v>
      </c>
    </row>
    <row r="1550" spans="1:10" x14ac:dyDescent="0.2">
      <c r="A1550" s="19"/>
      <c r="B1550" s="352" t="s">
        <v>680</v>
      </c>
      <c r="C1550" s="254"/>
      <c r="D1550" s="263"/>
      <c r="E1550" s="263"/>
      <c r="F1550" s="263"/>
      <c r="G1550" s="263"/>
      <c r="H1550" s="263">
        <v>20.61</v>
      </c>
      <c r="I1550" s="93"/>
      <c r="J1550" s="94">
        <f t="shared" si="79"/>
        <v>20.61</v>
      </c>
    </row>
    <row r="1551" spans="1:10" x14ac:dyDescent="0.2">
      <c r="A1551" s="19"/>
      <c r="B1551" s="352" t="s">
        <v>655</v>
      </c>
      <c r="C1551" s="254"/>
      <c r="D1551" s="263"/>
      <c r="E1551" s="263"/>
      <c r="F1551" s="263"/>
      <c r="G1551" s="263"/>
      <c r="H1551" s="263">
        <v>13.18</v>
      </c>
      <c r="I1551" s="93"/>
      <c r="J1551" s="94">
        <f t="shared" si="79"/>
        <v>13.18</v>
      </c>
    </row>
    <row r="1552" spans="1:10" x14ac:dyDescent="0.2">
      <c r="A1552" s="19"/>
      <c r="B1552" s="352" t="s">
        <v>624</v>
      </c>
      <c r="C1552" s="254"/>
      <c r="D1552" s="263"/>
      <c r="E1552" s="263"/>
      <c r="F1552" s="263"/>
      <c r="G1552" s="263"/>
      <c r="H1552" s="263">
        <v>9.4499999999999993</v>
      </c>
      <c r="I1552" s="93"/>
      <c r="J1552" s="94">
        <f t="shared" si="79"/>
        <v>9.4499999999999993</v>
      </c>
    </row>
    <row r="1553" spans="1:10" x14ac:dyDescent="0.2">
      <c r="A1553" s="19"/>
      <c r="B1553" s="352" t="s">
        <v>625</v>
      </c>
      <c r="C1553" s="254"/>
      <c r="D1553" s="263"/>
      <c r="E1553" s="263"/>
      <c r="F1553" s="263"/>
      <c r="G1553" s="263"/>
      <c r="H1553" s="263">
        <v>8.98</v>
      </c>
      <c r="I1553" s="93"/>
      <c r="J1553" s="94">
        <f t="shared" si="79"/>
        <v>8.98</v>
      </c>
    </row>
    <row r="1554" spans="1:10" x14ac:dyDescent="0.2">
      <c r="A1554" s="19"/>
      <c r="B1554" s="352" t="s">
        <v>1379</v>
      </c>
      <c r="C1554" s="254"/>
      <c r="D1554" s="263"/>
      <c r="E1554" s="263"/>
      <c r="F1554" s="263"/>
      <c r="G1554" s="263"/>
      <c r="H1554" s="263">
        <v>10.06</v>
      </c>
      <c r="I1554" s="93"/>
      <c r="J1554" s="94">
        <f t="shared" si="79"/>
        <v>10.06</v>
      </c>
    </row>
    <row r="1555" spans="1:10" x14ac:dyDescent="0.2">
      <c r="A1555" s="19"/>
      <c r="B1555" s="352" t="s">
        <v>678</v>
      </c>
      <c r="C1555" s="254"/>
      <c r="D1555" s="263"/>
      <c r="E1555" s="263"/>
      <c r="F1555" s="263"/>
      <c r="G1555" s="263"/>
      <c r="H1555" s="263">
        <v>35.89</v>
      </c>
      <c r="I1555" s="93"/>
      <c r="J1555" s="94">
        <f t="shared" si="79"/>
        <v>35.89</v>
      </c>
    </row>
    <row r="1556" spans="1:10" x14ac:dyDescent="0.2">
      <c r="A1556" s="19"/>
      <c r="B1556" s="352" t="s">
        <v>675</v>
      </c>
      <c r="C1556" s="254"/>
      <c r="D1556" s="263"/>
      <c r="E1556" s="263"/>
      <c r="F1556" s="263"/>
      <c r="G1556" s="263"/>
      <c r="H1556" s="263">
        <v>15.93</v>
      </c>
      <c r="I1556" s="93"/>
      <c r="J1556" s="94">
        <f t="shared" si="79"/>
        <v>15.93</v>
      </c>
    </row>
    <row r="1557" spans="1:10" x14ac:dyDescent="0.2">
      <c r="A1557" s="19"/>
      <c r="B1557" s="352" t="s">
        <v>644</v>
      </c>
      <c r="C1557" s="254"/>
      <c r="D1557" s="263"/>
      <c r="E1557" s="263"/>
      <c r="F1557" s="263"/>
      <c r="G1557" s="263"/>
      <c r="H1557" s="263">
        <v>3.77</v>
      </c>
      <c r="I1557" s="93"/>
      <c r="J1557" s="94">
        <f t="shared" si="79"/>
        <v>3.77</v>
      </c>
    </row>
    <row r="1558" spans="1:10" x14ac:dyDescent="0.2">
      <c r="A1558" s="19"/>
      <c r="B1558" s="352" t="s">
        <v>628</v>
      </c>
      <c r="C1558" s="254"/>
      <c r="D1558" s="263"/>
      <c r="E1558" s="263"/>
      <c r="F1558" s="263"/>
      <c r="G1558" s="263"/>
      <c r="H1558" s="263">
        <v>14.49</v>
      </c>
      <c r="I1558" s="93"/>
      <c r="J1558" s="94">
        <f t="shared" si="79"/>
        <v>14.49</v>
      </c>
    </row>
    <row r="1559" spans="1:10" s="253" customFormat="1" x14ac:dyDescent="0.2">
      <c r="A1559" s="254"/>
      <c r="B1559" s="257"/>
      <c r="C1559" s="254"/>
      <c r="D1559" s="263"/>
      <c r="E1559" s="263"/>
      <c r="F1559" s="263"/>
      <c r="G1559" s="263"/>
      <c r="H1559" s="263"/>
      <c r="I1559" s="263"/>
      <c r="J1559" s="264"/>
    </row>
    <row r="1560" spans="1:10" s="253" customFormat="1" x14ac:dyDescent="0.2">
      <c r="A1560" s="254"/>
      <c r="B1560" s="257" t="s">
        <v>1231</v>
      </c>
      <c r="C1560" s="254"/>
      <c r="D1560" s="263">
        <v>3</v>
      </c>
      <c r="E1560" s="263">
        <v>45.2</v>
      </c>
      <c r="F1560" s="263">
        <v>0.5</v>
      </c>
      <c r="G1560" s="263">
        <v>0.5</v>
      </c>
      <c r="H1560" s="263">
        <f>(E1560*F1560*2)+(E1560*G1560)</f>
        <v>67.800000000000011</v>
      </c>
      <c r="I1560" s="263"/>
      <c r="J1560" s="264">
        <f>H1560</f>
        <v>67.800000000000011</v>
      </c>
    </row>
    <row r="1561" spans="1:10" s="253" customFormat="1" x14ac:dyDescent="0.2">
      <c r="A1561" s="254"/>
      <c r="B1561" s="257"/>
      <c r="C1561" s="254"/>
      <c r="D1561" s="263"/>
      <c r="E1561" s="263"/>
      <c r="F1561" s="263"/>
      <c r="G1561" s="263"/>
      <c r="H1561" s="263"/>
      <c r="I1561" s="263"/>
      <c r="J1561" s="264"/>
    </row>
    <row r="1562" spans="1:10" x14ac:dyDescent="0.2">
      <c r="A1562" s="19"/>
      <c r="B1562" s="41"/>
      <c r="C1562" s="41"/>
      <c r="D1562" s="99"/>
      <c r="E1562" s="41"/>
      <c r="F1562" s="41"/>
      <c r="G1562" s="41"/>
      <c r="H1562" s="41"/>
      <c r="I1562" s="91" t="s">
        <v>604</v>
      </c>
      <c r="J1562" s="90">
        <f>SUM(J1489:J1560)</f>
        <v>947.55419999999981</v>
      </c>
    </row>
    <row r="1563" spans="1:10" x14ac:dyDescent="0.2">
      <c r="A1563" s="19"/>
      <c r="B1563" s="21"/>
      <c r="C1563" s="19"/>
      <c r="D1563" s="99"/>
      <c r="E1563" s="41"/>
      <c r="F1563" s="41"/>
      <c r="G1563" s="41"/>
      <c r="H1563" s="41"/>
      <c r="I1563" s="41"/>
      <c r="J1563" s="41"/>
    </row>
    <row r="1564" spans="1:10" ht="25.5" x14ac:dyDescent="0.2">
      <c r="A1564" s="19" t="s">
        <v>440</v>
      </c>
      <c r="B1564" s="21" t="s">
        <v>232</v>
      </c>
      <c r="C1564" s="19" t="s">
        <v>39</v>
      </c>
      <c r="D1564" s="263" t="s">
        <v>257</v>
      </c>
      <c r="E1564" s="93" t="s">
        <v>258</v>
      </c>
      <c r="F1564" s="93" t="s">
        <v>259</v>
      </c>
      <c r="G1564" s="93" t="s">
        <v>260</v>
      </c>
      <c r="H1564" s="93" t="s">
        <v>261</v>
      </c>
      <c r="I1564" s="93" t="s">
        <v>262</v>
      </c>
      <c r="J1564" s="94" t="s">
        <v>263</v>
      </c>
    </row>
    <row r="1565" spans="1:10" x14ac:dyDescent="0.2">
      <c r="A1565" s="19"/>
      <c r="B1565" s="80" t="s">
        <v>895</v>
      </c>
      <c r="C1565" s="19"/>
      <c r="D1565" s="99"/>
      <c r="E1565" s="41"/>
      <c r="F1565" s="41"/>
      <c r="G1565" s="41"/>
      <c r="H1565" s="41"/>
      <c r="I1565" s="41"/>
      <c r="J1565" s="41"/>
    </row>
    <row r="1566" spans="1:10" x14ac:dyDescent="0.2">
      <c r="A1566" s="19"/>
      <c r="B1566" s="80" t="s">
        <v>872</v>
      </c>
      <c r="C1566" s="19"/>
      <c r="D1566" s="99"/>
      <c r="E1566" s="41"/>
      <c r="F1566" s="41"/>
      <c r="G1566" s="41"/>
      <c r="H1566" s="82">
        <f>J606</f>
        <v>1362.9630000000002</v>
      </c>
      <c r="I1566" s="41"/>
      <c r="J1566" s="102">
        <f>H1566</f>
        <v>1362.9630000000002</v>
      </c>
    </row>
    <row r="1567" spans="1:10" x14ac:dyDescent="0.2">
      <c r="A1567" s="19"/>
      <c r="B1567" s="80" t="s">
        <v>896</v>
      </c>
      <c r="C1567" s="19"/>
      <c r="D1567" s="99"/>
      <c r="E1567" s="41"/>
      <c r="F1567" s="41"/>
      <c r="G1567" s="41"/>
      <c r="H1567" s="82">
        <f>J567</f>
        <v>271.04000000000002</v>
      </c>
      <c r="I1567" s="41"/>
      <c r="J1567" s="102">
        <f>H1567</f>
        <v>271.04000000000002</v>
      </c>
    </row>
    <row r="1568" spans="1:10" s="253" customFormat="1" x14ac:dyDescent="0.2">
      <c r="A1568" s="254"/>
      <c r="B1568" s="257" t="s">
        <v>1231</v>
      </c>
      <c r="C1568" s="254"/>
      <c r="D1568" s="263">
        <v>3</v>
      </c>
      <c r="E1568" s="263">
        <v>45.2</v>
      </c>
      <c r="F1568" s="263">
        <v>0.5</v>
      </c>
      <c r="G1568" s="263">
        <v>0.5</v>
      </c>
      <c r="H1568" s="263">
        <f>(E1568*F1568*2)+(E1568*G1568)</f>
        <v>67.800000000000011</v>
      </c>
      <c r="I1568" s="263"/>
      <c r="J1568" s="264">
        <f>H1568</f>
        <v>67.800000000000011</v>
      </c>
    </row>
    <row r="1569" spans="1:10" s="253" customFormat="1" x14ac:dyDescent="0.2">
      <c r="A1569" s="254"/>
      <c r="B1569" s="271" t="s">
        <v>1380</v>
      </c>
      <c r="C1569" s="254"/>
      <c r="D1569" s="265"/>
      <c r="E1569" s="265">
        <f>10.15+2.59+14.1+1.95</f>
        <v>28.79</v>
      </c>
      <c r="F1569" s="256"/>
      <c r="G1569" s="265">
        <v>3</v>
      </c>
      <c r="H1569" s="265">
        <f>E1569*G1569</f>
        <v>86.37</v>
      </c>
      <c r="I1569" s="266"/>
      <c r="J1569" s="249">
        <f>H1569</f>
        <v>86.37</v>
      </c>
    </row>
    <row r="1570" spans="1:10" x14ac:dyDescent="0.2">
      <c r="A1570" s="19"/>
      <c r="B1570" s="80"/>
      <c r="C1570" s="19"/>
      <c r="D1570" s="99"/>
      <c r="E1570" s="41"/>
      <c r="F1570" s="41"/>
      <c r="G1570" s="41"/>
      <c r="H1570" s="41"/>
      <c r="I1570" s="91" t="s">
        <v>604</v>
      </c>
      <c r="J1570" s="90">
        <f>SUM(J1566:J1569)</f>
        <v>1788.1730000000002</v>
      </c>
    </row>
    <row r="1571" spans="1:10" x14ac:dyDescent="0.2">
      <c r="A1571" s="19"/>
      <c r="B1571" s="80"/>
      <c r="C1571" s="19"/>
      <c r="D1571" s="99"/>
      <c r="E1571" s="41"/>
      <c r="F1571" s="41"/>
      <c r="G1571" s="41"/>
      <c r="H1571" s="41"/>
      <c r="I1571" s="41"/>
      <c r="J1571" s="41"/>
    </row>
    <row r="1572" spans="1:10" x14ac:dyDescent="0.2">
      <c r="A1572" s="23" t="s">
        <v>436</v>
      </c>
      <c r="B1572" s="18" t="s">
        <v>233</v>
      </c>
      <c r="C1572" s="19"/>
      <c r="D1572" s="99"/>
      <c r="E1572" s="41"/>
      <c r="F1572" s="41"/>
      <c r="G1572" s="41"/>
      <c r="H1572" s="41"/>
      <c r="I1572" s="41"/>
      <c r="J1572" s="41"/>
    </row>
    <row r="1573" spans="1:10" ht="25.5" x14ac:dyDescent="0.2">
      <c r="A1573" s="19" t="s">
        <v>442</v>
      </c>
      <c r="B1573" s="21" t="s">
        <v>234</v>
      </c>
      <c r="C1573" s="19" t="s">
        <v>39</v>
      </c>
      <c r="D1573" s="263" t="s">
        <v>257</v>
      </c>
      <c r="E1573" s="93" t="s">
        <v>258</v>
      </c>
      <c r="F1573" s="93" t="s">
        <v>259</v>
      </c>
      <c r="G1573" s="93" t="s">
        <v>260</v>
      </c>
      <c r="H1573" s="93" t="s">
        <v>261</v>
      </c>
      <c r="I1573" s="93" t="s">
        <v>262</v>
      </c>
      <c r="J1573" s="94" t="s">
        <v>263</v>
      </c>
    </row>
    <row r="1574" spans="1:10" x14ac:dyDescent="0.2">
      <c r="A1574" s="19"/>
      <c r="B1574" s="101" t="s">
        <v>897</v>
      </c>
      <c r="C1574" s="19"/>
      <c r="D1574" s="263"/>
      <c r="E1574" s="93"/>
      <c r="F1574" s="168" t="s">
        <v>898</v>
      </c>
      <c r="G1574" s="93"/>
      <c r="H1574" s="93"/>
      <c r="I1574" s="93"/>
      <c r="J1574" s="94"/>
    </row>
    <row r="1575" spans="1:10" x14ac:dyDescent="0.2">
      <c r="A1575" s="19"/>
      <c r="B1575" s="80" t="s">
        <v>899</v>
      </c>
      <c r="C1575" s="19"/>
      <c r="D1575" s="263">
        <v>1</v>
      </c>
      <c r="E1575" s="93">
        <v>1</v>
      </c>
      <c r="F1575" s="423">
        <v>3</v>
      </c>
      <c r="G1575" s="93">
        <v>2.1</v>
      </c>
      <c r="H1575" s="93">
        <f>E1575*$F$1575*G1575</f>
        <v>6.3000000000000007</v>
      </c>
      <c r="I1575" s="93"/>
      <c r="J1575" s="94">
        <f>D1575*H1575</f>
        <v>6.3000000000000007</v>
      </c>
    </row>
    <row r="1576" spans="1:10" x14ac:dyDescent="0.2">
      <c r="A1576" s="19"/>
      <c r="B1576" s="80" t="s">
        <v>900</v>
      </c>
      <c r="C1576" s="19"/>
      <c r="D1576" s="263">
        <v>2</v>
      </c>
      <c r="E1576" s="93">
        <v>0.9</v>
      </c>
      <c r="F1576" s="424"/>
      <c r="G1576" s="93">
        <v>2.1</v>
      </c>
      <c r="H1576" s="93">
        <f>E1576*$F$1575*G1576</f>
        <v>5.6700000000000008</v>
      </c>
      <c r="I1576" s="93"/>
      <c r="J1576" s="94">
        <f>D1576*H1576</f>
        <v>11.340000000000002</v>
      </c>
    </row>
    <row r="1577" spans="1:10" x14ac:dyDescent="0.2">
      <c r="A1577" s="19"/>
      <c r="B1577" s="80" t="s">
        <v>901</v>
      </c>
      <c r="C1577" s="19"/>
      <c r="D1577" s="263">
        <v>17</v>
      </c>
      <c r="E1577" s="93">
        <v>0.9</v>
      </c>
      <c r="F1577" s="424"/>
      <c r="G1577" s="93">
        <v>2.1</v>
      </c>
      <c r="H1577" s="93">
        <f>E1577*$F$1575*G1577</f>
        <v>5.6700000000000008</v>
      </c>
      <c r="I1577" s="93"/>
      <c r="J1577" s="94">
        <f>D1577*H1577</f>
        <v>96.390000000000015</v>
      </c>
    </row>
    <row r="1578" spans="1:10" x14ac:dyDescent="0.2">
      <c r="A1578" s="19"/>
      <c r="B1578" s="80" t="s">
        <v>902</v>
      </c>
      <c r="C1578" s="19"/>
      <c r="D1578" s="263">
        <v>4</v>
      </c>
      <c r="E1578" s="93">
        <v>0.7</v>
      </c>
      <c r="F1578" s="425"/>
      <c r="G1578" s="93">
        <v>2.1</v>
      </c>
      <c r="H1578" s="93">
        <f>E1578*$F$1575*G1578</f>
        <v>4.4099999999999993</v>
      </c>
      <c r="I1578" s="93"/>
      <c r="J1578" s="94">
        <f>D1578*H1578</f>
        <v>17.639999999999997</v>
      </c>
    </row>
    <row r="1579" spans="1:10" x14ac:dyDescent="0.2">
      <c r="A1579" s="19"/>
      <c r="B1579" s="21"/>
      <c r="C1579" s="19"/>
      <c r="D1579" s="263"/>
      <c r="E1579" s="93"/>
      <c r="F1579" s="93"/>
      <c r="G1579" s="93"/>
      <c r="H1579" s="93"/>
      <c r="I1579" s="91" t="s">
        <v>604</v>
      </c>
      <c r="J1579" s="90">
        <f>SUM(J1575:J1578)</f>
        <v>131.67000000000002</v>
      </c>
    </row>
    <row r="1580" spans="1:10" x14ac:dyDescent="0.2">
      <c r="A1580" s="19"/>
      <c r="B1580" s="21"/>
      <c r="C1580" s="19"/>
      <c r="D1580" s="99"/>
      <c r="E1580" s="41"/>
      <c r="F1580" s="41"/>
      <c r="G1580" s="41"/>
      <c r="H1580" s="41"/>
      <c r="I1580" s="41"/>
      <c r="J1580" s="41"/>
    </row>
    <row r="1581" spans="1:10" x14ac:dyDescent="0.2">
      <c r="A1581" s="23" t="s">
        <v>443</v>
      </c>
      <c r="B1581" s="18" t="s">
        <v>235</v>
      </c>
      <c r="C1581" s="19"/>
      <c r="D1581" s="99"/>
      <c r="E1581" s="41"/>
      <c r="F1581" s="41"/>
      <c r="G1581" s="41"/>
      <c r="H1581" s="41"/>
      <c r="I1581" s="41"/>
      <c r="J1581" s="41"/>
    </row>
    <row r="1582" spans="1:10" ht="38.25" x14ac:dyDescent="0.2">
      <c r="A1582" s="19" t="s">
        <v>444</v>
      </c>
      <c r="B1582" s="21" t="s">
        <v>236</v>
      </c>
      <c r="C1582" s="19" t="s">
        <v>39</v>
      </c>
      <c r="D1582" s="263" t="s">
        <v>257</v>
      </c>
      <c r="E1582" s="93" t="s">
        <v>258</v>
      </c>
      <c r="F1582" s="93" t="s">
        <v>259</v>
      </c>
      <c r="G1582" s="93" t="s">
        <v>260</v>
      </c>
      <c r="H1582" s="93" t="s">
        <v>261</v>
      </c>
      <c r="I1582" s="93" t="s">
        <v>262</v>
      </c>
      <c r="J1582" s="94" t="s">
        <v>263</v>
      </c>
    </row>
    <row r="1583" spans="1:10" x14ac:dyDescent="0.2">
      <c r="A1583" s="19"/>
      <c r="B1583" s="97" t="s">
        <v>1382</v>
      </c>
      <c r="C1583" s="19"/>
      <c r="D1583" s="263"/>
      <c r="E1583" s="93"/>
      <c r="F1583" s="168" t="s">
        <v>898</v>
      </c>
      <c r="G1583" s="93"/>
      <c r="H1583" s="93"/>
      <c r="I1583" s="93"/>
      <c r="J1583" s="94"/>
    </row>
    <row r="1584" spans="1:10" x14ac:dyDescent="0.2">
      <c r="A1584" s="19"/>
      <c r="B1584" s="231" t="s">
        <v>663</v>
      </c>
      <c r="C1584" s="19"/>
      <c r="D1584" s="263">
        <v>18</v>
      </c>
      <c r="E1584" s="93">
        <v>2.2000000000000002</v>
      </c>
      <c r="F1584" s="423">
        <v>2</v>
      </c>
      <c r="G1584" s="93">
        <v>1.4</v>
      </c>
      <c r="H1584" s="93">
        <f>E1584*G1584</f>
        <v>3.08</v>
      </c>
      <c r="I1584" s="93"/>
      <c r="J1584" s="94">
        <f>D1584*$F$1584*H1584</f>
        <v>110.88</v>
      </c>
    </row>
    <row r="1585" spans="1:10" x14ac:dyDescent="0.2">
      <c r="A1585" s="19"/>
      <c r="B1585" s="231" t="s">
        <v>664</v>
      </c>
      <c r="C1585" s="19"/>
      <c r="D1585" s="263">
        <v>1</v>
      </c>
      <c r="E1585" s="93">
        <v>3.1</v>
      </c>
      <c r="F1585" s="424"/>
      <c r="G1585" s="93">
        <v>1.4</v>
      </c>
      <c r="H1585" s="93">
        <f>E1585*G1585</f>
        <v>4.34</v>
      </c>
      <c r="I1585" s="93"/>
      <c r="J1585" s="94">
        <f t="shared" ref="J1585:J1593" si="80">D1585*$F$1584*H1585</f>
        <v>8.68</v>
      </c>
    </row>
    <row r="1586" spans="1:10" x14ac:dyDescent="0.2">
      <c r="A1586" s="19"/>
      <c r="B1586" s="231" t="s">
        <v>1378</v>
      </c>
      <c r="C1586" s="19"/>
      <c r="D1586" s="263">
        <v>1</v>
      </c>
      <c r="E1586" s="93">
        <v>1.4</v>
      </c>
      <c r="F1586" s="424"/>
      <c r="G1586" s="93">
        <v>1.4</v>
      </c>
      <c r="H1586" s="93">
        <f>E1586*G1586</f>
        <v>1.9599999999999997</v>
      </c>
      <c r="I1586" s="93"/>
      <c r="J1586" s="94">
        <f t="shared" si="80"/>
        <v>3.9199999999999995</v>
      </c>
    </row>
    <row r="1587" spans="1:10" x14ac:dyDescent="0.2">
      <c r="A1587" s="19"/>
      <c r="B1587" s="97" t="s">
        <v>1383</v>
      </c>
      <c r="C1587" s="19"/>
      <c r="D1587" s="263"/>
      <c r="E1587" s="93"/>
      <c r="F1587" s="424"/>
      <c r="G1587" s="93"/>
      <c r="H1587" s="93"/>
      <c r="I1587" s="93"/>
      <c r="J1587" s="94"/>
    </row>
    <row r="1588" spans="1:10" x14ac:dyDescent="0.2">
      <c r="A1588" s="19"/>
      <c r="B1588" s="231" t="s">
        <v>667</v>
      </c>
      <c r="C1588" s="19"/>
      <c r="D1588" s="263">
        <v>5</v>
      </c>
      <c r="E1588" s="93">
        <v>1</v>
      </c>
      <c r="F1588" s="424"/>
      <c r="G1588" s="93">
        <v>0.8</v>
      </c>
      <c r="H1588" s="93">
        <f>E1588*G1588</f>
        <v>0.8</v>
      </c>
      <c r="I1588" s="93"/>
      <c r="J1588" s="94">
        <f t="shared" si="80"/>
        <v>8</v>
      </c>
    </row>
    <row r="1589" spans="1:10" ht="25.5" x14ac:dyDescent="0.2">
      <c r="A1589" s="19"/>
      <c r="B1589" s="231"/>
      <c r="C1589" s="19"/>
      <c r="D1589" s="263"/>
      <c r="E1589" s="93"/>
      <c r="F1589" s="424"/>
      <c r="G1589" s="168" t="s">
        <v>864</v>
      </c>
      <c r="H1589" s="93"/>
      <c r="I1589" s="41"/>
      <c r="J1589" s="94"/>
    </row>
    <row r="1590" spans="1:10" x14ac:dyDescent="0.2">
      <c r="A1590" s="19"/>
      <c r="B1590" s="231" t="s">
        <v>865</v>
      </c>
      <c r="C1590" s="19"/>
      <c r="D1590" s="263">
        <v>1</v>
      </c>
      <c r="E1590" s="93"/>
      <c r="F1590" s="424"/>
      <c r="G1590" s="93">
        <v>1.54</v>
      </c>
      <c r="H1590" s="93">
        <f>2.64*1.35-G1590</f>
        <v>2.0240000000000005</v>
      </c>
      <c r="I1590" s="100"/>
      <c r="J1590" s="94">
        <f>D1590*$F$1584*H1590</f>
        <v>4.0480000000000009</v>
      </c>
    </row>
    <row r="1591" spans="1:10" x14ac:dyDescent="0.2">
      <c r="A1591" s="19"/>
      <c r="B1591" s="231"/>
      <c r="C1591" s="19"/>
      <c r="D1591" s="263"/>
      <c r="E1591" s="93"/>
      <c r="F1591" s="424"/>
      <c r="G1591" s="93"/>
      <c r="H1591" s="93"/>
      <c r="I1591" s="100"/>
      <c r="J1591" s="94"/>
    </row>
    <row r="1592" spans="1:10" x14ac:dyDescent="0.2">
      <c r="A1592" s="19"/>
      <c r="B1592" s="231" t="s">
        <v>662</v>
      </c>
      <c r="C1592" s="19"/>
      <c r="D1592" s="263">
        <v>2</v>
      </c>
      <c r="E1592" s="93">
        <v>1.1000000000000001</v>
      </c>
      <c r="F1592" s="424"/>
      <c r="G1592" s="93">
        <v>2.2999999999999998</v>
      </c>
      <c r="H1592" s="93">
        <f>E1592*G1592</f>
        <v>2.5299999999999998</v>
      </c>
      <c r="I1592" s="93"/>
      <c r="J1592" s="94">
        <f t="shared" si="80"/>
        <v>10.119999999999999</v>
      </c>
    </row>
    <row r="1593" spans="1:10" x14ac:dyDescent="0.2">
      <c r="A1593" s="19"/>
      <c r="B1593" s="231" t="s">
        <v>661</v>
      </c>
      <c r="C1593" s="19"/>
      <c r="D1593" s="263">
        <v>1</v>
      </c>
      <c r="E1593" s="93">
        <v>0.7</v>
      </c>
      <c r="F1593" s="425"/>
      <c r="G1593" s="93">
        <v>2.2000000000000002</v>
      </c>
      <c r="H1593" s="93">
        <f>E1593*G1593</f>
        <v>1.54</v>
      </c>
      <c r="I1593" s="93"/>
      <c r="J1593" s="94">
        <f t="shared" si="80"/>
        <v>3.08</v>
      </c>
    </row>
    <row r="1594" spans="1:10" x14ac:dyDescent="0.2">
      <c r="A1594" s="19"/>
      <c r="B1594" s="231"/>
      <c r="C1594" s="19"/>
      <c r="D1594" s="99"/>
      <c r="E1594" s="41"/>
      <c r="F1594" s="41"/>
      <c r="G1594" s="41"/>
      <c r="H1594" s="41"/>
      <c r="I1594" s="91" t="s">
        <v>604</v>
      </c>
      <c r="J1594" s="90">
        <f>SUM(J1584:J1593)</f>
        <v>148.72800000000004</v>
      </c>
    </row>
    <row r="1595" spans="1:10" x14ac:dyDescent="0.2">
      <c r="A1595" s="19"/>
      <c r="B1595" s="21"/>
      <c r="C1595" s="19"/>
      <c r="D1595" s="263"/>
      <c r="E1595" s="93"/>
      <c r="F1595" s="93"/>
      <c r="G1595" s="93"/>
      <c r="H1595" s="93"/>
      <c r="I1595" s="93"/>
      <c r="J1595" s="94"/>
    </row>
    <row r="1596" spans="1:10" x14ac:dyDescent="0.2">
      <c r="A1596" s="23" t="s">
        <v>445</v>
      </c>
      <c r="B1596" s="18" t="s">
        <v>237</v>
      </c>
      <c r="C1596" s="19"/>
      <c r="D1596" s="99"/>
      <c r="E1596" s="41"/>
      <c r="F1596" s="41"/>
      <c r="G1596" s="41"/>
      <c r="H1596" s="41"/>
      <c r="I1596" s="41"/>
      <c r="J1596" s="41"/>
    </row>
    <row r="1597" spans="1:10" ht="25.5" x14ac:dyDescent="0.2">
      <c r="A1597" s="19" t="s">
        <v>446</v>
      </c>
      <c r="B1597" s="268" t="s">
        <v>238</v>
      </c>
      <c r="C1597" s="19" t="s">
        <v>39</v>
      </c>
      <c r="D1597" s="263" t="s">
        <v>257</v>
      </c>
      <c r="E1597" s="93" t="s">
        <v>258</v>
      </c>
      <c r="F1597" s="93" t="s">
        <v>259</v>
      </c>
      <c r="G1597" s="93" t="s">
        <v>260</v>
      </c>
      <c r="H1597" s="93" t="s">
        <v>261</v>
      </c>
      <c r="I1597" s="93" t="s">
        <v>262</v>
      </c>
      <c r="J1597" s="94" t="s">
        <v>263</v>
      </c>
    </row>
    <row r="1598" spans="1:10" x14ac:dyDescent="0.2">
      <c r="A1598" s="19"/>
      <c r="B1598" s="231" t="s">
        <v>876</v>
      </c>
      <c r="C1598" s="19"/>
      <c r="D1598" s="263"/>
      <c r="E1598" s="93"/>
      <c r="F1598" s="93"/>
      <c r="G1598" s="93"/>
      <c r="H1598" s="102">
        <v>53.47</v>
      </c>
      <c r="I1598" s="41"/>
      <c r="J1598" s="102">
        <f>H1598</f>
        <v>53.47</v>
      </c>
    </row>
    <row r="1599" spans="1:10" x14ac:dyDescent="0.2">
      <c r="A1599" s="19"/>
      <c r="B1599" s="21"/>
      <c r="C1599" s="19"/>
      <c r="D1599" s="263"/>
      <c r="E1599" s="93"/>
      <c r="F1599" s="93"/>
      <c r="G1599" s="93"/>
      <c r="H1599" s="102"/>
      <c r="I1599" s="91" t="s">
        <v>604</v>
      </c>
      <c r="J1599" s="90">
        <f>SUM(J1598:J1598)</f>
        <v>53.47</v>
      </c>
    </row>
    <row r="1600" spans="1:10" x14ac:dyDescent="0.2">
      <c r="A1600" s="41"/>
      <c r="B1600" s="41"/>
      <c r="C1600" s="41"/>
      <c r="D1600" s="99"/>
      <c r="E1600" s="41"/>
      <c r="F1600" s="41"/>
      <c r="G1600" s="41"/>
      <c r="H1600" s="41"/>
      <c r="I1600" s="41"/>
      <c r="J1600" s="41"/>
    </row>
    <row r="1601" spans="1:10" x14ac:dyDescent="0.2">
      <c r="A1601" s="11">
        <v>20</v>
      </c>
      <c r="B1601" s="7" t="s">
        <v>254</v>
      </c>
      <c r="C1601" s="5"/>
      <c r="D1601" s="277"/>
      <c r="E1601" s="77"/>
      <c r="F1601" s="77"/>
      <c r="G1601" s="77"/>
      <c r="H1601" s="77"/>
      <c r="I1601" s="77"/>
      <c r="J1601" s="77"/>
    </row>
    <row r="1602" spans="1:10" x14ac:dyDescent="0.2">
      <c r="A1602" s="23" t="s">
        <v>447</v>
      </c>
      <c r="B1602" s="18" t="s">
        <v>239</v>
      </c>
      <c r="C1602" s="19"/>
      <c r="D1602" s="99"/>
      <c r="E1602" s="41"/>
      <c r="F1602" s="41"/>
      <c r="G1602" s="41"/>
      <c r="H1602" s="41"/>
      <c r="I1602" s="41"/>
      <c r="J1602" s="41"/>
    </row>
    <row r="1603" spans="1:10" ht="25.5" x14ac:dyDescent="0.2">
      <c r="A1603" s="19" t="s">
        <v>448</v>
      </c>
      <c r="B1603" s="268" t="s">
        <v>240</v>
      </c>
      <c r="C1603" s="19" t="s">
        <v>49</v>
      </c>
      <c r="D1603" s="263" t="s">
        <v>257</v>
      </c>
      <c r="E1603" s="93" t="s">
        <v>258</v>
      </c>
      <c r="F1603" s="93" t="s">
        <v>259</v>
      </c>
      <c r="G1603" s="93" t="s">
        <v>260</v>
      </c>
      <c r="H1603" s="93" t="s">
        <v>261</v>
      </c>
      <c r="I1603" s="93" t="s">
        <v>262</v>
      </c>
      <c r="J1603" s="94" t="s">
        <v>263</v>
      </c>
    </row>
    <row r="1604" spans="1:10" x14ac:dyDescent="0.2">
      <c r="A1604" s="19"/>
      <c r="B1604" s="80" t="s">
        <v>903</v>
      </c>
      <c r="C1604" s="19"/>
      <c r="D1604" s="99"/>
      <c r="E1604" s="99">
        <v>39.57</v>
      </c>
      <c r="F1604" s="41"/>
      <c r="G1604" s="41"/>
      <c r="H1604" s="41"/>
      <c r="I1604" s="41"/>
      <c r="J1604" s="99">
        <f>E1604</f>
        <v>39.57</v>
      </c>
    </row>
    <row r="1605" spans="1:10" x14ac:dyDescent="0.2">
      <c r="A1605" s="19"/>
      <c r="B1605" s="21"/>
      <c r="C1605" s="19"/>
      <c r="D1605" s="99"/>
      <c r="E1605" s="41"/>
      <c r="F1605" s="41"/>
      <c r="G1605" s="41"/>
      <c r="H1605" s="41"/>
      <c r="I1605" s="91" t="s">
        <v>604</v>
      </c>
      <c r="J1605" s="90">
        <f>SUM(J1604)</f>
        <v>39.57</v>
      </c>
    </row>
    <row r="1606" spans="1:10" ht="13.5" customHeight="1" x14ac:dyDescent="0.2">
      <c r="A1606" s="19"/>
      <c r="B1606" s="21"/>
      <c r="C1606" s="19"/>
      <c r="D1606" s="99"/>
      <c r="E1606" s="41"/>
      <c r="F1606" s="41"/>
      <c r="G1606" s="41"/>
      <c r="H1606" s="41"/>
      <c r="I1606" s="41"/>
      <c r="J1606" s="41"/>
    </row>
    <row r="1607" spans="1:10" x14ac:dyDescent="0.2">
      <c r="A1607" s="19"/>
      <c r="B1607" s="21"/>
      <c r="C1607" s="19"/>
      <c r="D1607" s="99"/>
      <c r="E1607" s="41"/>
      <c r="F1607" s="41"/>
      <c r="G1607" s="41"/>
      <c r="H1607" s="41"/>
      <c r="I1607" s="41"/>
      <c r="J1607" s="41"/>
    </row>
    <row r="1608" spans="1:10" ht="38.25" x14ac:dyDescent="0.2">
      <c r="A1608" s="19" t="s">
        <v>449</v>
      </c>
      <c r="B1608" s="21" t="s">
        <v>241</v>
      </c>
      <c r="C1608" s="19" t="s">
        <v>39</v>
      </c>
      <c r="D1608" s="263" t="s">
        <v>257</v>
      </c>
      <c r="E1608" s="93" t="s">
        <v>258</v>
      </c>
      <c r="F1608" s="93" t="s">
        <v>259</v>
      </c>
      <c r="G1608" s="93" t="s">
        <v>260</v>
      </c>
      <c r="H1608" s="93" t="s">
        <v>261</v>
      </c>
      <c r="I1608" s="93" t="s">
        <v>262</v>
      </c>
      <c r="J1608" s="94" t="s">
        <v>263</v>
      </c>
    </row>
    <row r="1609" spans="1:10" x14ac:dyDescent="0.2">
      <c r="A1609" s="19"/>
      <c r="B1609" s="231" t="s">
        <v>876</v>
      </c>
      <c r="C1609" s="19"/>
      <c r="D1609" s="263"/>
      <c r="E1609" s="93"/>
      <c r="F1609" s="93"/>
      <c r="G1609" s="93"/>
      <c r="H1609" s="102">
        <f>J1599</f>
        <v>53.47</v>
      </c>
      <c r="I1609" s="41"/>
      <c r="J1609" s="102">
        <f>H1609</f>
        <v>53.47</v>
      </c>
    </row>
    <row r="1610" spans="1:10" x14ac:dyDescent="0.2">
      <c r="A1610" s="19"/>
      <c r="B1610" s="21"/>
      <c r="C1610" s="19"/>
      <c r="D1610" s="263"/>
      <c r="E1610" s="93"/>
      <c r="F1610" s="93"/>
      <c r="G1610" s="93"/>
      <c r="H1610" s="102"/>
      <c r="I1610" s="91" t="s">
        <v>604</v>
      </c>
      <c r="J1610" s="90">
        <f>SUM(J1609:J1609)</f>
        <v>53.47</v>
      </c>
    </row>
    <row r="1611" spans="1:10" x14ac:dyDescent="0.2">
      <c r="A1611" s="19"/>
      <c r="B1611" s="21"/>
      <c r="C1611" s="19"/>
      <c r="D1611" s="99"/>
      <c r="E1611" s="41"/>
      <c r="F1611" s="41"/>
      <c r="G1611" s="41"/>
      <c r="H1611" s="41"/>
      <c r="I1611" s="41"/>
      <c r="J1611" s="41"/>
    </row>
    <row r="1612" spans="1:10" s="112" customFormat="1" ht="38.25" x14ac:dyDescent="0.2">
      <c r="A1612" s="106" t="s">
        <v>450</v>
      </c>
      <c r="B1612" s="109" t="s">
        <v>1134</v>
      </c>
      <c r="C1612" s="106" t="s">
        <v>39</v>
      </c>
      <c r="D1612" s="263" t="s">
        <v>257</v>
      </c>
      <c r="E1612" s="93" t="s">
        <v>258</v>
      </c>
      <c r="F1612" s="93" t="s">
        <v>259</v>
      </c>
      <c r="G1612" s="93" t="s">
        <v>260</v>
      </c>
      <c r="H1612" s="93" t="s">
        <v>261</v>
      </c>
      <c r="I1612" s="93" t="s">
        <v>262</v>
      </c>
      <c r="J1612" s="93" t="s">
        <v>263</v>
      </c>
    </row>
    <row r="1613" spans="1:10" x14ac:dyDescent="0.2">
      <c r="A1613" s="85"/>
      <c r="B1613" s="240" t="s">
        <v>1217</v>
      </c>
      <c r="C1613" s="85"/>
      <c r="D1613" s="99"/>
      <c r="E1613" s="41"/>
      <c r="F1613" s="41"/>
      <c r="G1613" s="41"/>
      <c r="H1613" s="99">
        <v>92.03</v>
      </c>
      <c r="I1613" s="41"/>
      <c r="J1613" s="99">
        <f>H1613</f>
        <v>92.03</v>
      </c>
    </row>
    <row r="1614" spans="1:10" x14ac:dyDescent="0.2">
      <c r="A1614" s="85"/>
      <c r="B1614" s="177"/>
      <c r="C1614" s="85"/>
      <c r="D1614" s="99"/>
      <c r="E1614" s="41"/>
      <c r="F1614" s="41"/>
      <c r="G1614" s="41"/>
      <c r="H1614" s="41"/>
      <c r="I1614" s="91" t="s">
        <v>604</v>
      </c>
      <c r="J1614" s="90">
        <f>SUM(J1613:J1613)</f>
        <v>92.03</v>
      </c>
    </row>
    <row r="1615" spans="1:10" x14ac:dyDescent="0.2">
      <c r="A1615" s="19"/>
      <c r="B1615" s="21"/>
      <c r="C1615" s="19"/>
      <c r="D1615" s="99"/>
      <c r="E1615" s="41"/>
      <c r="F1615" s="41"/>
      <c r="G1615" s="41"/>
      <c r="H1615" s="41"/>
      <c r="I1615" s="41"/>
      <c r="J1615" s="41"/>
    </row>
    <row r="1616" spans="1:10" ht="38.25" x14ac:dyDescent="0.2">
      <c r="A1616" s="19" t="s">
        <v>451</v>
      </c>
      <c r="B1616" s="21" t="s">
        <v>242</v>
      </c>
      <c r="C1616" s="19" t="s">
        <v>39</v>
      </c>
      <c r="D1616" s="263" t="s">
        <v>257</v>
      </c>
      <c r="E1616" s="93" t="s">
        <v>258</v>
      </c>
      <c r="F1616" s="93" t="s">
        <v>259</v>
      </c>
      <c r="G1616" s="93" t="s">
        <v>260</v>
      </c>
      <c r="H1616" s="93" t="s">
        <v>261</v>
      </c>
      <c r="I1616" s="93" t="s">
        <v>262</v>
      </c>
      <c r="J1616" s="94" t="s">
        <v>263</v>
      </c>
    </row>
    <row r="1617" spans="1:10" x14ac:dyDescent="0.2">
      <c r="A1617" s="19"/>
      <c r="B1617" s="171" t="s">
        <v>876</v>
      </c>
      <c r="C1617" s="19"/>
      <c r="D1617" s="99"/>
      <c r="E1617" s="102">
        <f>12+1.3+2+2+1.3+21.8</f>
        <v>40.400000000000006</v>
      </c>
      <c r="F1617" s="102">
        <v>0.2</v>
      </c>
      <c r="G1617" s="41"/>
      <c r="H1617" s="102">
        <f>E1617*F1617</f>
        <v>8.0800000000000018</v>
      </c>
      <c r="I1617" s="41"/>
      <c r="J1617" s="102">
        <f>H1617</f>
        <v>8.0800000000000018</v>
      </c>
    </row>
    <row r="1618" spans="1:10" x14ac:dyDescent="0.2">
      <c r="A1618" s="19"/>
      <c r="B1618" s="257"/>
      <c r="C1618" s="19"/>
      <c r="D1618" s="99"/>
      <c r="E1618" s="41"/>
      <c r="F1618" s="41"/>
      <c r="G1618" s="41"/>
      <c r="H1618" s="41"/>
      <c r="I1618" s="91" t="s">
        <v>604</v>
      </c>
      <c r="J1618" s="90">
        <f>SUM(J1617)</f>
        <v>8.0800000000000018</v>
      </c>
    </row>
    <row r="1619" spans="1:10" x14ac:dyDescent="0.2">
      <c r="A1619" s="19"/>
      <c r="B1619" s="21"/>
      <c r="C1619" s="19"/>
      <c r="D1619" s="99"/>
      <c r="E1619" s="41"/>
      <c r="F1619" s="41"/>
      <c r="G1619" s="41"/>
      <c r="H1619" s="41"/>
      <c r="I1619" s="41"/>
      <c r="J1619" s="41"/>
    </row>
    <row r="1620" spans="1:10" x14ac:dyDescent="0.2">
      <c r="A1620" s="19"/>
      <c r="B1620" s="21"/>
      <c r="C1620" s="19"/>
      <c r="D1620" s="99"/>
      <c r="E1620" s="41"/>
      <c r="F1620" s="41"/>
      <c r="G1620" s="41"/>
      <c r="H1620" s="41"/>
      <c r="I1620" s="41"/>
      <c r="J1620" s="41"/>
    </row>
    <row r="1621" spans="1:10" ht="38.25" x14ac:dyDescent="0.2">
      <c r="A1621" s="19" t="s">
        <v>1135</v>
      </c>
      <c r="B1621" s="21" t="s">
        <v>243</v>
      </c>
      <c r="C1621" s="19" t="s">
        <v>39</v>
      </c>
      <c r="D1621" s="263" t="s">
        <v>257</v>
      </c>
      <c r="E1621" s="93" t="s">
        <v>258</v>
      </c>
      <c r="F1621" s="93" t="s">
        <v>259</v>
      </c>
      <c r="G1621" s="93" t="s">
        <v>260</v>
      </c>
      <c r="H1621" s="93" t="s">
        <v>261</v>
      </c>
      <c r="I1621" s="93" t="s">
        <v>262</v>
      </c>
      <c r="J1621" s="94" t="s">
        <v>263</v>
      </c>
    </row>
    <row r="1622" spans="1:10" x14ac:dyDescent="0.2">
      <c r="A1622" s="19"/>
      <c r="B1622" s="171" t="s">
        <v>875</v>
      </c>
      <c r="C1622" s="19"/>
      <c r="D1622" s="265">
        <v>2</v>
      </c>
      <c r="E1622" s="102">
        <v>2.95</v>
      </c>
      <c r="F1622" s="102">
        <v>0.2</v>
      </c>
      <c r="G1622" s="41"/>
      <c r="H1622" s="102">
        <f>E1622*F1622</f>
        <v>0.59000000000000008</v>
      </c>
      <c r="I1622" s="41"/>
      <c r="J1622" s="102">
        <f>D1622*H1622</f>
        <v>1.1800000000000002</v>
      </c>
    </row>
    <row r="1623" spans="1:10" x14ac:dyDescent="0.2">
      <c r="A1623" s="19"/>
      <c r="B1623" s="21"/>
      <c r="C1623" s="19"/>
      <c r="D1623" s="99"/>
      <c r="E1623" s="41"/>
      <c r="F1623" s="41"/>
      <c r="G1623" s="41"/>
      <c r="H1623" s="41"/>
      <c r="I1623" s="91" t="s">
        <v>604</v>
      </c>
      <c r="J1623" s="90">
        <f>SUM(J1622)</f>
        <v>1.1800000000000002</v>
      </c>
    </row>
    <row r="1624" spans="1:10" s="253" customFormat="1" x14ac:dyDescent="0.2">
      <c r="A1624" s="254"/>
      <c r="B1624" s="255"/>
      <c r="C1624" s="254"/>
      <c r="D1624" s="99"/>
      <c r="E1624" s="256"/>
      <c r="F1624" s="256"/>
      <c r="G1624" s="256"/>
      <c r="H1624" s="256"/>
      <c r="I1624" s="266"/>
      <c r="J1624" s="267"/>
    </row>
    <row r="1625" spans="1:10" x14ac:dyDescent="0.2">
      <c r="A1625" s="23" t="s">
        <v>441</v>
      </c>
      <c r="B1625" s="18" t="s">
        <v>244</v>
      </c>
      <c r="C1625" s="19"/>
      <c r="D1625" s="99"/>
      <c r="E1625" s="41"/>
      <c r="F1625" s="41"/>
      <c r="G1625" s="41"/>
      <c r="H1625" s="41"/>
      <c r="I1625" s="41"/>
      <c r="J1625" s="41"/>
    </row>
    <row r="1626" spans="1:10" ht="25.5" x14ac:dyDescent="0.2">
      <c r="A1626" s="19" t="s">
        <v>452</v>
      </c>
      <c r="B1626" s="21" t="s">
        <v>245</v>
      </c>
      <c r="C1626" s="19" t="s">
        <v>39</v>
      </c>
      <c r="D1626" s="263" t="s">
        <v>257</v>
      </c>
      <c r="E1626" s="93" t="s">
        <v>258</v>
      </c>
      <c r="F1626" s="93" t="s">
        <v>259</v>
      </c>
      <c r="G1626" s="93" t="s">
        <v>260</v>
      </c>
      <c r="H1626" s="93" t="s">
        <v>261</v>
      </c>
      <c r="I1626" s="93" t="s">
        <v>262</v>
      </c>
      <c r="J1626" s="94" t="s">
        <v>263</v>
      </c>
    </row>
    <row r="1627" spans="1:10" x14ac:dyDescent="0.2">
      <c r="A1627" s="19"/>
      <c r="B1627" s="171" t="s">
        <v>912</v>
      </c>
      <c r="C1627" s="19"/>
      <c r="D1627" s="99"/>
      <c r="E1627" s="41"/>
      <c r="F1627" s="41"/>
      <c r="G1627" s="41"/>
      <c r="H1627" s="102">
        <f>29.32+17.23</f>
        <v>46.55</v>
      </c>
      <c r="I1627" s="41"/>
      <c r="J1627" s="102">
        <f>H1627</f>
        <v>46.55</v>
      </c>
    </row>
    <row r="1628" spans="1:10" x14ac:dyDescent="0.2">
      <c r="A1628" s="19"/>
      <c r="B1628" s="21"/>
      <c r="C1628" s="19"/>
      <c r="D1628" s="99"/>
      <c r="E1628" s="41"/>
      <c r="F1628" s="41"/>
      <c r="G1628" s="41"/>
      <c r="H1628" s="41"/>
      <c r="I1628" s="91" t="s">
        <v>604</v>
      </c>
      <c r="J1628" s="90">
        <f>SUM(J1627)</f>
        <v>46.55</v>
      </c>
    </row>
    <row r="1629" spans="1:10" x14ac:dyDescent="0.2">
      <c r="A1629" s="19"/>
      <c r="B1629" s="21"/>
      <c r="C1629" s="19"/>
      <c r="D1629" s="99"/>
      <c r="E1629" s="41"/>
      <c r="F1629" s="41"/>
      <c r="G1629" s="41"/>
      <c r="H1629" s="41"/>
      <c r="I1629" s="41"/>
      <c r="J1629" s="41"/>
    </row>
    <row r="1630" spans="1:10" x14ac:dyDescent="0.2">
      <c r="A1630" s="19"/>
      <c r="B1630" s="21"/>
      <c r="C1630" s="19"/>
      <c r="D1630" s="99"/>
      <c r="E1630" s="41"/>
      <c r="F1630" s="41"/>
      <c r="G1630" s="41"/>
      <c r="H1630" s="41"/>
      <c r="I1630" s="41"/>
      <c r="J1630" s="41"/>
    </row>
    <row r="1631" spans="1:10" x14ac:dyDescent="0.2">
      <c r="A1631" s="23" t="s">
        <v>453</v>
      </c>
      <c r="B1631" s="18" t="s">
        <v>246</v>
      </c>
      <c r="C1631" s="19"/>
      <c r="D1631" s="99"/>
      <c r="E1631" s="41"/>
      <c r="F1631" s="41"/>
      <c r="G1631" s="41"/>
      <c r="H1631" s="41"/>
      <c r="I1631" s="41"/>
      <c r="J1631" s="41"/>
    </row>
    <row r="1632" spans="1:10" ht="25.5" x14ac:dyDescent="0.2">
      <c r="A1632" s="19" t="s">
        <v>454</v>
      </c>
      <c r="B1632" s="268" t="s">
        <v>247</v>
      </c>
      <c r="C1632" s="19" t="s">
        <v>39</v>
      </c>
      <c r="D1632" s="263" t="s">
        <v>257</v>
      </c>
      <c r="E1632" s="93" t="s">
        <v>258</v>
      </c>
      <c r="F1632" s="93" t="s">
        <v>259</v>
      </c>
      <c r="G1632" s="93" t="s">
        <v>260</v>
      </c>
      <c r="H1632" s="93" t="s">
        <v>261</v>
      </c>
      <c r="I1632" s="93" t="s">
        <v>262</v>
      </c>
      <c r="J1632" s="94" t="s">
        <v>263</v>
      </c>
    </row>
    <row r="1633" spans="1:10" x14ac:dyDescent="0.2">
      <c r="A1633" s="19"/>
      <c r="B1633" s="171" t="s">
        <v>913</v>
      </c>
      <c r="C1633" s="19"/>
      <c r="D1633" s="99"/>
      <c r="E1633" s="41"/>
      <c r="F1633" s="41"/>
      <c r="G1633" s="41"/>
      <c r="H1633" s="93">
        <f>160.74*2</f>
        <v>321.48</v>
      </c>
      <c r="I1633" s="93"/>
      <c r="J1633" s="94">
        <f>H1633</f>
        <v>321.48</v>
      </c>
    </row>
    <row r="1634" spans="1:10" x14ac:dyDescent="0.2">
      <c r="A1634" s="19"/>
      <c r="B1634" s="21"/>
      <c r="C1634" s="19"/>
      <c r="D1634" s="99"/>
      <c r="E1634" s="41"/>
      <c r="F1634" s="41"/>
      <c r="G1634" s="41"/>
      <c r="H1634" s="41"/>
      <c r="I1634" s="91" t="s">
        <v>604</v>
      </c>
      <c r="J1634" s="90">
        <f>SUM(J1633)</f>
        <v>321.48</v>
      </c>
    </row>
    <row r="1635" spans="1:10" x14ac:dyDescent="0.2">
      <c r="A1635" s="19"/>
      <c r="B1635" s="21"/>
      <c r="C1635" s="19"/>
      <c r="D1635" s="99"/>
      <c r="E1635" s="41"/>
      <c r="F1635" s="41"/>
      <c r="G1635" s="41"/>
      <c r="H1635" s="41"/>
      <c r="I1635" s="41"/>
      <c r="J1635" s="41"/>
    </row>
    <row r="1636" spans="1:10" x14ac:dyDescent="0.2">
      <c r="A1636" s="19"/>
      <c r="B1636" s="21"/>
      <c r="C1636" s="19"/>
      <c r="D1636" s="99"/>
      <c r="E1636" s="41"/>
      <c r="F1636" s="41"/>
      <c r="G1636" s="41"/>
      <c r="H1636" s="41"/>
      <c r="I1636" s="41"/>
      <c r="J1636" s="41"/>
    </row>
    <row r="1637" spans="1:10" ht="25.5" x14ac:dyDescent="0.2">
      <c r="A1637" s="19" t="s">
        <v>817</v>
      </c>
      <c r="B1637" s="268" t="s">
        <v>818</v>
      </c>
      <c r="C1637" s="19" t="s">
        <v>39</v>
      </c>
      <c r="D1637" s="263" t="s">
        <v>257</v>
      </c>
      <c r="E1637" s="93" t="s">
        <v>258</v>
      </c>
      <c r="F1637" s="93" t="s">
        <v>259</v>
      </c>
      <c r="G1637" s="93" t="s">
        <v>260</v>
      </c>
      <c r="H1637" s="93" t="s">
        <v>261</v>
      </c>
      <c r="I1637" s="93" t="s">
        <v>262</v>
      </c>
      <c r="J1637" s="94" t="s">
        <v>263</v>
      </c>
    </row>
    <row r="1638" spans="1:10" x14ac:dyDescent="0.2">
      <c r="A1638" s="19"/>
      <c r="B1638" s="171" t="s">
        <v>914</v>
      </c>
      <c r="C1638" s="19"/>
      <c r="D1638" s="99"/>
      <c r="E1638" s="41"/>
      <c r="F1638" s="41"/>
      <c r="G1638" s="41"/>
      <c r="H1638" s="99">
        <f>341.18-160.74</f>
        <v>180.44</v>
      </c>
      <c r="I1638" s="41"/>
      <c r="J1638" s="99">
        <f>H1638</f>
        <v>180.44</v>
      </c>
    </row>
    <row r="1639" spans="1:10" x14ac:dyDescent="0.2">
      <c r="A1639" s="19"/>
      <c r="B1639" s="21"/>
      <c r="C1639" s="19"/>
      <c r="D1639" s="99"/>
      <c r="E1639" s="41"/>
      <c r="F1639" s="41"/>
      <c r="G1639" s="41"/>
      <c r="H1639" s="41"/>
      <c r="I1639" s="91" t="s">
        <v>604</v>
      </c>
      <c r="J1639" s="90">
        <f>SUM(J1638)</f>
        <v>180.44</v>
      </c>
    </row>
    <row r="1640" spans="1:10" x14ac:dyDescent="0.2">
      <c r="A1640" s="19"/>
      <c r="B1640" s="21"/>
      <c r="C1640" s="19"/>
      <c r="D1640" s="99"/>
      <c r="E1640" s="41"/>
      <c r="F1640" s="41"/>
      <c r="G1640" s="41"/>
      <c r="H1640" s="41"/>
      <c r="I1640" s="41"/>
      <c r="J1640" s="41"/>
    </row>
    <row r="1641" spans="1:10" x14ac:dyDescent="0.2">
      <c r="A1641" s="23" t="s">
        <v>455</v>
      </c>
      <c r="B1641" s="18" t="s">
        <v>249</v>
      </c>
      <c r="C1641" s="19"/>
      <c r="D1641" s="99"/>
      <c r="E1641" s="41"/>
      <c r="F1641" s="41"/>
      <c r="G1641" s="41"/>
      <c r="H1641" s="41"/>
      <c r="I1641" s="41"/>
      <c r="J1641" s="41"/>
    </row>
    <row r="1642" spans="1:10" ht="25.5" x14ac:dyDescent="0.2">
      <c r="A1642" s="19" t="s">
        <v>456</v>
      </c>
      <c r="B1642" s="21" t="s">
        <v>248</v>
      </c>
      <c r="C1642" s="19" t="s">
        <v>43</v>
      </c>
      <c r="D1642" s="263" t="s">
        <v>257</v>
      </c>
      <c r="E1642" s="93" t="s">
        <v>258</v>
      </c>
      <c r="F1642" s="93" t="s">
        <v>259</v>
      </c>
      <c r="G1642" s="93" t="s">
        <v>260</v>
      </c>
      <c r="H1642" s="93" t="s">
        <v>261</v>
      </c>
      <c r="I1642" s="93" t="s">
        <v>262</v>
      </c>
      <c r="J1642" s="94" t="s">
        <v>263</v>
      </c>
    </row>
    <row r="1643" spans="1:10" x14ac:dyDescent="0.2">
      <c r="A1643" s="41"/>
      <c r="B1643" s="41"/>
      <c r="C1643" s="41"/>
      <c r="D1643" s="265">
        <v>1</v>
      </c>
      <c r="E1643" s="102"/>
      <c r="F1643" s="102"/>
      <c r="G1643" s="102"/>
      <c r="H1643" s="102"/>
      <c r="I1643" s="102"/>
      <c r="J1643" s="102">
        <f>D1643</f>
        <v>1</v>
      </c>
    </row>
    <row r="1644" spans="1:10" x14ac:dyDescent="0.2">
      <c r="A1644" s="41"/>
      <c r="B1644" s="41"/>
      <c r="C1644" s="41"/>
      <c r="D1644" s="265"/>
      <c r="E1644" s="102"/>
      <c r="F1644" s="102"/>
      <c r="G1644" s="102"/>
      <c r="H1644" s="102"/>
      <c r="I1644" s="91" t="s">
        <v>604</v>
      </c>
      <c r="J1644" s="90">
        <f>SUM(J1643)</f>
        <v>1</v>
      </c>
    </row>
    <row r="1645" spans="1:10" s="253" customFormat="1" x14ac:dyDescent="0.2">
      <c r="A1645" s="256"/>
      <c r="B1645" s="256"/>
      <c r="C1645" s="256"/>
      <c r="D1645" s="265"/>
      <c r="E1645" s="265"/>
      <c r="F1645" s="265"/>
      <c r="G1645" s="265"/>
      <c r="H1645" s="265"/>
      <c r="I1645" s="266"/>
      <c r="J1645" s="267"/>
    </row>
    <row r="1646" spans="1:10" s="253" customFormat="1" ht="25.5" x14ac:dyDescent="0.2">
      <c r="A1646" s="254" t="s">
        <v>1330</v>
      </c>
      <c r="B1646" s="255" t="s">
        <v>1263</v>
      </c>
      <c r="C1646" s="254" t="s">
        <v>24</v>
      </c>
      <c r="D1646" s="263" t="s">
        <v>257</v>
      </c>
      <c r="E1646" s="263" t="s">
        <v>258</v>
      </c>
      <c r="F1646" s="263" t="s">
        <v>259</v>
      </c>
      <c r="G1646" s="263" t="s">
        <v>260</v>
      </c>
      <c r="H1646" s="263" t="s">
        <v>261</v>
      </c>
      <c r="I1646" s="263" t="s">
        <v>262</v>
      </c>
      <c r="J1646" s="264" t="s">
        <v>263</v>
      </c>
    </row>
    <row r="1647" spans="1:10" s="253" customFormat="1" x14ac:dyDescent="0.2">
      <c r="A1647" s="254"/>
      <c r="B1647" s="98" t="s">
        <v>1264</v>
      </c>
      <c r="C1647" s="256"/>
      <c r="D1647" s="265">
        <v>1</v>
      </c>
      <c r="E1647" s="265">
        <f>14.75+10.85+6.55+0.85+12.2</f>
        <v>45.2</v>
      </c>
      <c r="F1647" s="265">
        <v>0.5</v>
      </c>
      <c r="G1647" s="265"/>
      <c r="H1647" s="265">
        <f>(E1647*F1647)</f>
        <v>22.6</v>
      </c>
      <c r="I1647" s="256"/>
      <c r="J1647" s="265">
        <f>H1647*D1647</f>
        <v>22.6</v>
      </c>
    </row>
    <row r="1648" spans="1:10" s="253" customFormat="1" x14ac:dyDescent="0.2">
      <c r="A1648" s="256"/>
      <c r="B1648" s="256"/>
      <c r="C1648" s="256"/>
      <c r="D1648" s="256"/>
      <c r="E1648" s="256"/>
      <c r="F1648" s="256"/>
      <c r="G1648" s="256"/>
      <c r="H1648" s="256"/>
      <c r="I1648" s="261" t="s">
        <v>604</v>
      </c>
      <c r="J1648" s="260">
        <f>SUM(J1647)</f>
        <v>22.6</v>
      </c>
    </row>
    <row r="1649" spans="1:10" s="253" customFormat="1" x14ac:dyDescent="0.2">
      <c r="A1649" s="256"/>
      <c r="B1649" s="256"/>
      <c r="C1649" s="256"/>
      <c r="D1649" s="265"/>
      <c r="E1649" s="265"/>
      <c r="F1649" s="265"/>
      <c r="G1649" s="265"/>
      <c r="H1649" s="265"/>
      <c r="I1649" s="266"/>
      <c r="J1649" s="267"/>
    </row>
    <row r="1650" spans="1:10" s="253" customFormat="1" ht="25.5" x14ac:dyDescent="0.2">
      <c r="A1650" s="254" t="s">
        <v>1331</v>
      </c>
      <c r="B1650" s="255" t="s">
        <v>1338</v>
      </c>
      <c r="C1650" s="254" t="s">
        <v>43</v>
      </c>
      <c r="D1650" s="263" t="s">
        <v>257</v>
      </c>
      <c r="E1650" s="263" t="s">
        <v>258</v>
      </c>
      <c r="F1650" s="263" t="s">
        <v>259</v>
      </c>
      <c r="G1650" s="263" t="s">
        <v>260</v>
      </c>
      <c r="H1650" s="263" t="s">
        <v>261</v>
      </c>
      <c r="I1650" s="263" t="s">
        <v>262</v>
      </c>
      <c r="J1650" s="264" t="s">
        <v>263</v>
      </c>
    </row>
    <row r="1651" spans="1:10" s="253" customFormat="1" x14ac:dyDescent="0.2">
      <c r="A1651" s="256"/>
      <c r="B1651" s="98" t="s">
        <v>1339</v>
      </c>
      <c r="C1651" s="256"/>
      <c r="D1651" s="265">
        <v>26</v>
      </c>
      <c r="E1651" s="265"/>
      <c r="F1651" s="265"/>
      <c r="G1651" s="265"/>
      <c r="H1651" s="265"/>
      <c r="I1651" s="265"/>
      <c r="J1651" s="265">
        <f>D1651</f>
        <v>26</v>
      </c>
    </row>
    <row r="1652" spans="1:10" s="253" customFormat="1" x14ac:dyDescent="0.2">
      <c r="A1652" s="256"/>
      <c r="B1652" s="256"/>
      <c r="C1652" s="256"/>
      <c r="D1652" s="265"/>
      <c r="E1652" s="265"/>
      <c r="F1652" s="265"/>
      <c r="G1652" s="265"/>
      <c r="H1652" s="265"/>
      <c r="I1652" s="261" t="s">
        <v>604</v>
      </c>
      <c r="J1652" s="260">
        <f>SUM(J1651)</f>
        <v>26</v>
      </c>
    </row>
    <row r="1653" spans="1:10" s="253" customFormat="1" x14ac:dyDescent="0.2">
      <c r="A1653" s="256"/>
      <c r="B1653" s="256"/>
      <c r="C1653" s="256"/>
      <c r="D1653" s="265"/>
      <c r="E1653" s="265"/>
      <c r="F1653" s="265"/>
      <c r="G1653" s="265"/>
      <c r="H1653" s="265"/>
      <c r="I1653" s="266"/>
      <c r="J1653" s="267"/>
    </row>
    <row r="1654" spans="1:10" s="253" customFormat="1" ht="25.5" x14ac:dyDescent="0.2">
      <c r="A1654" s="254" t="s">
        <v>1332</v>
      </c>
      <c r="B1654" s="255" t="s">
        <v>1329</v>
      </c>
      <c r="C1654" s="254" t="s">
        <v>43</v>
      </c>
      <c r="D1654" s="263" t="s">
        <v>257</v>
      </c>
      <c r="E1654" s="263" t="s">
        <v>258</v>
      </c>
      <c r="F1654" s="263" t="s">
        <v>259</v>
      </c>
      <c r="G1654" s="263" t="s">
        <v>260</v>
      </c>
      <c r="H1654" s="263" t="s">
        <v>261</v>
      </c>
      <c r="I1654" s="263" t="s">
        <v>262</v>
      </c>
      <c r="J1654" s="264" t="s">
        <v>263</v>
      </c>
    </row>
    <row r="1655" spans="1:10" s="253" customFormat="1" x14ac:dyDescent="0.2">
      <c r="A1655" s="256"/>
      <c r="B1655" s="98" t="s">
        <v>1339</v>
      </c>
      <c r="C1655" s="256"/>
      <c r="D1655" s="265">
        <v>3</v>
      </c>
      <c r="E1655" s="265"/>
      <c r="F1655" s="265"/>
      <c r="G1655" s="265"/>
      <c r="H1655" s="265"/>
      <c r="I1655" s="265"/>
      <c r="J1655" s="265">
        <f>D1655</f>
        <v>3</v>
      </c>
    </row>
    <row r="1656" spans="1:10" s="253" customFormat="1" x14ac:dyDescent="0.2">
      <c r="A1656" s="256"/>
      <c r="B1656" s="256"/>
      <c r="C1656" s="256"/>
      <c r="D1656" s="265"/>
      <c r="E1656" s="265"/>
      <c r="F1656" s="265"/>
      <c r="G1656" s="265"/>
      <c r="H1656" s="265"/>
      <c r="I1656" s="261" t="s">
        <v>604</v>
      </c>
      <c r="J1656" s="260">
        <f>SUM(J1655)</f>
        <v>3</v>
      </c>
    </row>
    <row r="1657" spans="1:10" s="253" customFormat="1" x14ac:dyDescent="0.2">
      <c r="A1657" s="256"/>
      <c r="B1657" s="256"/>
      <c r="C1657" s="256"/>
      <c r="D1657" s="265"/>
      <c r="E1657" s="265"/>
      <c r="F1657" s="265"/>
      <c r="G1657" s="265"/>
      <c r="H1657" s="265"/>
      <c r="I1657" s="266"/>
      <c r="J1657" s="267"/>
    </row>
    <row r="1658" spans="1:10" s="253" customFormat="1" ht="25.5" x14ac:dyDescent="0.2">
      <c r="A1658" s="254" t="s">
        <v>1333</v>
      </c>
      <c r="B1658" s="255" t="s">
        <v>1356</v>
      </c>
      <c r="C1658" s="254" t="s">
        <v>43</v>
      </c>
      <c r="D1658" s="263" t="s">
        <v>257</v>
      </c>
      <c r="E1658" s="263" t="s">
        <v>258</v>
      </c>
      <c r="F1658" s="263" t="s">
        <v>259</v>
      </c>
      <c r="G1658" s="263" t="s">
        <v>260</v>
      </c>
      <c r="H1658" s="263" t="s">
        <v>261</v>
      </c>
      <c r="I1658" s="263" t="s">
        <v>262</v>
      </c>
      <c r="J1658" s="264" t="s">
        <v>263</v>
      </c>
    </row>
    <row r="1659" spans="1:10" s="253" customFormat="1" x14ac:dyDescent="0.2">
      <c r="A1659" s="256"/>
      <c r="B1659" s="98" t="s">
        <v>1357</v>
      </c>
      <c r="C1659" s="256"/>
      <c r="D1659" s="265">
        <v>1</v>
      </c>
      <c r="E1659" s="265"/>
      <c r="F1659" s="265"/>
      <c r="G1659" s="265"/>
      <c r="H1659" s="265"/>
      <c r="I1659" s="265"/>
      <c r="J1659" s="265">
        <f>D1659</f>
        <v>1</v>
      </c>
    </row>
    <row r="1660" spans="1:10" s="253" customFormat="1" x14ac:dyDescent="0.2">
      <c r="A1660" s="256"/>
      <c r="B1660" s="256"/>
      <c r="C1660" s="256"/>
      <c r="D1660" s="265"/>
      <c r="E1660" s="265"/>
      <c r="F1660" s="265"/>
      <c r="G1660" s="265"/>
      <c r="H1660" s="265"/>
      <c r="I1660" s="261" t="s">
        <v>604</v>
      </c>
      <c r="J1660" s="260">
        <f>SUM(J1659)</f>
        <v>1</v>
      </c>
    </row>
    <row r="1661" spans="1:10" s="253" customFormat="1" x14ac:dyDescent="0.2">
      <c r="A1661" s="256"/>
      <c r="B1661" s="256"/>
      <c r="C1661" s="256"/>
      <c r="D1661" s="265"/>
      <c r="E1661" s="265"/>
      <c r="F1661" s="265"/>
      <c r="G1661" s="265"/>
      <c r="H1661" s="265"/>
      <c r="I1661" s="266"/>
      <c r="J1661" s="267"/>
    </row>
    <row r="1662" spans="1:10" x14ac:dyDescent="0.2">
      <c r="A1662" s="11">
        <v>21</v>
      </c>
      <c r="B1662" s="7" t="s">
        <v>255</v>
      </c>
      <c r="C1662" s="5"/>
      <c r="D1662" s="277"/>
      <c r="E1662" s="77"/>
      <c r="F1662" s="77"/>
      <c r="G1662" s="77"/>
      <c r="H1662" s="77"/>
      <c r="I1662" s="77"/>
      <c r="J1662" s="77"/>
    </row>
    <row r="1663" spans="1:10" x14ac:dyDescent="0.2">
      <c r="A1663" s="23" t="s">
        <v>457</v>
      </c>
      <c r="B1663" s="18" t="s">
        <v>250</v>
      </c>
      <c r="C1663" s="19"/>
      <c r="D1663" s="99"/>
      <c r="E1663" s="41"/>
      <c r="F1663" s="41"/>
      <c r="G1663" s="41"/>
      <c r="H1663" s="41"/>
      <c r="I1663" s="41"/>
      <c r="J1663" s="41"/>
    </row>
    <row r="1664" spans="1:10" ht="38.25" x14ac:dyDescent="0.2">
      <c r="A1664" s="19" t="s">
        <v>458</v>
      </c>
      <c r="B1664" s="21" t="s">
        <v>251</v>
      </c>
      <c r="C1664" s="19" t="s">
        <v>96</v>
      </c>
      <c r="D1664" s="263" t="s">
        <v>257</v>
      </c>
      <c r="E1664" s="93" t="s">
        <v>258</v>
      </c>
      <c r="F1664" s="93" t="s">
        <v>259</v>
      </c>
      <c r="G1664" s="93" t="s">
        <v>260</v>
      </c>
      <c r="H1664" s="93" t="s">
        <v>261</v>
      </c>
      <c r="I1664" s="93" t="s">
        <v>262</v>
      </c>
      <c r="J1664" s="94" t="s">
        <v>263</v>
      </c>
    </row>
    <row r="1665" spans="1:10" x14ac:dyDescent="0.2">
      <c r="A1665" s="41"/>
      <c r="B1665" s="98" t="s">
        <v>917</v>
      </c>
      <c r="C1665" s="41"/>
      <c r="D1665" s="265">
        <v>1</v>
      </c>
      <c r="E1665" s="41"/>
      <c r="F1665" s="41"/>
      <c r="G1665" s="41"/>
      <c r="H1665" s="41"/>
      <c r="I1665" s="102"/>
      <c r="J1665" s="102">
        <f>D1665</f>
        <v>1</v>
      </c>
    </row>
    <row r="1666" spans="1:10" x14ac:dyDescent="0.2">
      <c r="A1666" s="41"/>
      <c r="B1666" s="41"/>
      <c r="C1666" s="41"/>
      <c r="D1666" s="99"/>
      <c r="E1666" s="41"/>
      <c r="F1666" s="41"/>
      <c r="G1666" s="41"/>
      <c r="H1666" s="41"/>
      <c r="I1666" s="91" t="s">
        <v>604</v>
      </c>
      <c r="J1666" s="90">
        <f>SUM(J1665)</f>
        <v>1</v>
      </c>
    </row>
    <row r="1667" spans="1:10" x14ac:dyDescent="0.2">
      <c r="A1667" s="41"/>
      <c r="B1667" s="41"/>
      <c r="C1667" s="41"/>
      <c r="D1667" s="99"/>
      <c r="E1667" s="41"/>
      <c r="F1667" s="41"/>
      <c r="G1667" s="41"/>
      <c r="H1667" s="41"/>
      <c r="I1667" s="41"/>
      <c r="J1667" s="41"/>
    </row>
    <row r="1668" spans="1:10" ht="25.5" x14ac:dyDescent="0.2">
      <c r="A1668" s="19" t="s">
        <v>911</v>
      </c>
      <c r="B1668" s="21" t="s">
        <v>852</v>
      </c>
      <c r="C1668" s="19" t="s">
        <v>43</v>
      </c>
      <c r="D1668" s="263" t="s">
        <v>257</v>
      </c>
      <c r="E1668" s="93" t="s">
        <v>258</v>
      </c>
      <c r="F1668" s="93" t="s">
        <v>259</v>
      </c>
      <c r="G1668" s="93" t="s">
        <v>260</v>
      </c>
      <c r="H1668" s="93" t="s">
        <v>261</v>
      </c>
      <c r="I1668" s="93" t="s">
        <v>262</v>
      </c>
      <c r="J1668" s="94" t="s">
        <v>263</v>
      </c>
    </row>
    <row r="1669" spans="1:10" x14ac:dyDescent="0.2">
      <c r="A1669" s="19"/>
      <c r="B1669" s="171" t="s">
        <v>681</v>
      </c>
      <c r="C1669" s="19"/>
      <c r="D1669" s="152">
        <v>1</v>
      </c>
      <c r="E1669" s="152"/>
      <c r="F1669" s="93"/>
      <c r="G1669" s="93"/>
      <c r="H1669" s="93"/>
      <c r="I1669" s="93"/>
      <c r="J1669" s="94">
        <f>D1669</f>
        <v>1</v>
      </c>
    </row>
    <row r="1670" spans="1:10" x14ac:dyDescent="0.2">
      <c r="A1670" s="19"/>
      <c r="B1670" s="171" t="s">
        <v>683</v>
      </c>
      <c r="C1670" s="19"/>
      <c r="D1670" s="152">
        <v>1</v>
      </c>
      <c r="E1670" s="152"/>
      <c r="F1670" s="93"/>
      <c r="G1670" s="93"/>
      <c r="H1670" s="93"/>
      <c r="I1670" s="93"/>
      <c r="J1670" s="94">
        <f>D1670</f>
        <v>1</v>
      </c>
    </row>
    <row r="1671" spans="1:10" x14ac:dyDescent="0.2">
      <c r="A1671" s="41"/>
      <c r="B1671" s="41"/>
      <c r="C1671" s="41"/>
      <c r="D1671" s="265"/>
      <c r="E1671" s="102"/>
      <c r="F1671" s="102"/>
      <c r="G1671" s="102"/>
      <c r="H1671" s="102"/>
      <c r="I1671" s="91" t="s">
        <v>604</v>
      </c>
      <c r="J1671" s="90">
        <f>SUM(J1669:J1670)</f>
        <v>2</v>
      </c>
    </row>
    <row r="1672" spans="1:10" x14ac:dyDescent="0.2">
      <c r="A1672" s="41"/>
      <c r="B1672" s="41"/>
      <c r="C1672" s="41"/>
      <c r="D1672" s="265"/>
      <c r="E1672" s="102"/>
      <c r="F1672" s="102"/>
      <c r="G1672" s="102"/>
      <c r="H1672" s="102"/>
      <c r="I1672" s="164"/>
      <c r="J1672" s="165"/>
    </row>
    <row r="1673" spans="1:10" ht="25.5" x14ac:dyDescent="0.2">
      <c r="A1673" s="19" t="s">
        <v>959</v>
      </c>
      <c r="B1673" s="21" t="s">
        <v>1252</v>
      </c>
      <c r="C1673" s="19" t="s">
        <v>43</v>
      </c>
      <c r="D1673" s="263" t="s">
        <v>257</v>
      </c>
      <c r="E1673" s="93" t="s">
        <v>258</v>
      </c>
      <c r="F1673" s="93" t="s">
        <v>259</v>
      </c>
      <c r="G1673" s="93" t="s">
        <v>260</v>
      </c>
      <c r="H1673" s="93" t="s">
        <v>261</v>
      </c>
      <c r="I1673" s="93" t="s">
        <v>262</v>
      </c>
      <c r="J1673" s="94" t="s">
        <v>263</v>
      </c>
    </row>
    <row r="1674" spans="1:10" x14ac:dyDescent="0.2">
      <c r="A1674" s="19"/>
      <c r="B1674" s="226" t="s">
        <v>681</v>
      </c>
      <c r="C1674" s="19"/>
      <c r="D1674" s="152">
        <v>1</v>
      </c>
      <c r="E1674" s="152"/>
      <c r="F1674" s="93"/>
      <c r="G1674" s="93"/>
      <c r="H1674" s="93"/>
      <c r="I1674" s="93"/>
      <c r="J1674" s="94">
        <f>D1674</f>
        <v>1</v>
      </c>
    </row>
    <row r="1675" spans="1:10" x14ac:dyDescent="0.2">
      <c r="A1675" s="19"/>
      <c r="B1675" s="226" t="s">
        <v>683</v>
      </c>
      <c r="C1675" s="19"/>
      <c r="D1675" s="152">
        <v>1</v>
      </c>
      <c r="E1675" s="152"/>
      <c r="F1675" s="93"/>
      <c r="G1675" s="93"/>
      <c r="H1675" s="93"/>
      <c r="I1675" s="93"/>
      <c r="J1675" s="94">
        <f>D1675</f>
        <v>1</v>
      </c>
    </row>
    <row r="1676" spans="1:10" x14ac:dyDescent="0.2">
      <c r="A1676" s="41"/>
      <c r="B1676" s="41"/>
      <c r="C1676" s="41"/>
      <c r="D1676" s="265"/>
      <c r="E1676" s="102"/>
      <c r="F1676" s="102"/>
      <c r="G1676" s="102"/>
      <c r="H1676" s="102"/>
      <c r="I1676" s="91" t="s">
        <v>604</v>
      </c>
      <c r="J1676" s="90">
        <f>SUM(J1674:J1675)</f>
        <v>2</v>
      </c>
    </row>
    <row r="1677" spans="1:10" x14ac:dyDescent="0.2">
      <c r="A1677" s="41"/>
      <c r="B1677" s="41"/>
      <c r="C1677" s="41"/>
      <c r="D1677" s="265"/>
      <c r="E1677" s="102"/>
      <c r="F1677" s="102"/>
      <c r="G1677" s="102"/>
      <c r="H1677" s="102"/>
      <c r="I1677" s="164"/>
      <c r="J1677" s="165"/>
    </row>
    <row r="1678" spans="1:10" ht="25.5" x14ac:dyDescent="0.2">
      <c r="A1678" s="19" t="s">
        <v>1155</v>
      </c>
      <c r="B1678" s="21" t="s">
        <v>1361</v>
      </c>
      <c r="C1678" s="19" t="s">
        <v>43</v>
      </c>
      <c r="D1678" s="263" t="s">
        <v>257</v>
      </c>
      <c r="E1678" s="93" t="s">
        <v>258</v>
      </c>
      <c r="F1678" s="93" t="s">
        <v>259</v>
      </c>
      <c r="G1678" s="93" t="s">
        <v>260</v>
      </c>
      <c r="H1678" s="93" t="s">
        <v>261</v>
      </c>
      <c r="I1678" s="93" t="s">
        <v>262</v>
      </c>
      <c r="J1678" s="94" t="s">
        <v>263</v>
      </c>
    </row>
    <row r="1679" spans="1:10" x14ac:dyDescent="0.2">
      <c r="A1679" s="19"/>
      <c r="B1679" s="226" t="s">
        <v>1234</v>
      </c>
      <c r="C1679" s="19"/>
      <c r="D1679" s="152">
        <v>1</v>
      </c>
      <c r="E1679" s="152"/>
      <c r="F1679" s="93"/>
      <c r="G1679" s="93"/>
      <c r="H1679" s="93"/>
      <c r="I1679" s="93"/>
      <c r="J1679" s="94">
        <f>D1679</f>
        <v>1</v>
      </c>
    </row>
    <row r="1680" spans="1:10" x14ac:dyDescent="0.2">
      <c r="A1680" s="41"/>
      <c r="B1680" s="41"/>
      <c r="C1680" s="41"/>
      <c r="D1680" s="265"/>
      <c r="E1680" s="102"/>
      <c r="F1680" s="102"/>
      <c r="G1680" s="102"/>
      <c r="H1680" s="102"/>
      <c r="I1680" s="91" t="s">
        <v>604</v>
      </c>
      <c r="J1680" s="90">
        <f>SUM(J1679:J1679)</f>
        <v>1</v>
      </c>
    </row>
    <row r="1681" spans="1:10" x14ac:dyDescent="0.2">
      <c r="A1681" s="41"/>
      <c r="B1681" s="41"/>
      <c r="C1681" s="41"/>
      <c r="D1681" s="265"/>
      <c r="E1681" s="102"/>
      <c r="F1681" s="102"/>
      <c r="G1681" s="102"/>
      <c r="H1681" s="102"/>
      <c r="I1681" s="164"/>
      <c r="J1681" s="165"/>
    </row>
    <row r="1682" spans="1:10" ht="25.5" x14ac:dyDescent="0.2">
      <c r="A1682" s="19" t="s">
        <v>1157</v>
      </c>
      <c r="B1682" s="109" t="s">
        <v>1156</v>
      </c>
      <c r="C1682" s="19" t="s">
        <v>43</v>
      </c>
      <c r="D1682" s="263" t="s">
        <v>257</v>
      </c>
      <c r="E1682" s="93" t="s">
        <v>258</v>
      </c>
      <c r="F1682" s="93" t="s">
        <v>259</v>
      </c>
      <c r="G1682" s="93" t="s">
        <v>260</v>
      </c>
      <c r="H1682" s="93" t="s">
        <v>261</v>
      </c>
      <c r="I1682" s="93" t="s">
        <v>262</v>
      </c>
      <c r="J1682" s="94" t="s">
        <v>263</v>
      </c>
    </row>
    <row r="1683" spans="1:10" s="253" customFormat="1" x14ac:dyDescent="0.2">
      <c r="A1683" s="254"/>
      <c r="B1683" s="101" t="s">
        <v>677</v>
      </c>
      <c r="C1683" s="254"/>
      <c r="D1683" s="263"/>
      <c r="E1683" s="263"/>
      <c r="F1683" s="263"/>
      <c r="G1683" s="263"/>
      <c r="H1683" s="263"/>
      <c r="I1683" s="263"/>
      <c r="J1683" s="264"/>
    </row>
    <row r="1684" spans="1:10" s="253" customFormat="1" x14ac:dyDescent="0.2">
      <c r="A1684" s="254"/>
      <c r="B1684" s="368" t="s">
        <v>639</v>
      </c>
      <c r="C1684" s="254"/>
      <c r="D1684" s="263">
        <v>1</v>
      </c>
      <c r="E1684" s="263"/>
      <c r="F1684" s="263"/>
      <c r="G1684" s="263"/>
      <c r="H1684" s="263"/>
      <c r="I1684" s="263"/>
      <c r="J1684" s="264">
        <f>D1684</f>
        <v>1</v>
      </c>
    </row>
    <row r="1685" spans="1:10" x14ac:dyDescent="0.2">
      <c r="A1685" s="41"/>
      <c r="B1685" s="41"/>
      <c r="C1685" s="41"/>
      <c r="D1685" s="265"/>
      <c r="E1685" s="102"/>
      <c r="F1685" s="102"/>
      <c r="G1685" s="102"/>
      <c r="H1685" s="102"/>
      <c r="I1685" s="91" t="s">
        <v>604</v>
      </c>
      <c r="J1685" s="90">
        <f>SUM(J1684)</f>
        <v>1</v>
      </c>
    </row>
    <row r="1686" spans="1:10" x14ac:dyDescent="0.2">
      <c r="A1686" s="41"/>
      <c r="B1686" s="41"/>
      <c r="C1686" s="41"/>
      <c r="D1686" s="265"/>
      <c r="E1686" s="102"/>
      <c r="F1686" s="102"/>
      <c r="G1686" s="102"/>
      <c r="H1686" s="102"/>
      <c r="I1686" s="164"/>
      <c r="J1686" s="165"/>
    </row>
    <row r="1687" spans="1:10" ht="25.5" x14ac:dyDescent="0.2">
      <c r="A1687" s="19" t="s">
        <v>1158</v>
      </c>
      <c r="B1687" s="109" t="s">
        <v>1160</v>
      </c>
      <c r="C1687" s="19" t="s">
        <v>43</v>
      </c>
      <c r="D1687" s="263" t="s">
        <v>257</v>
      </c>
      <c r="E1687" s="93" t="s">
        <v>258</v>
      </c>
      <c r="F1687" s="93" t="s">
        <v>259</v>
      </c>
      <c r="G1687" s="93" t="s">
        <v>260</v>
      </c>
      <c r="H1687" s="93" t="s">
        <v>261</v>
      </c>
      <c r="I1687" s="93" t="s">
        <v>262</v>
      </c>
      <c r="J1687" s="94" t="s">
        <v>263</v>
      </c>
    </row>
    <row r="1688" spans="1:10" x14ac:dyDescent="0.2">
      <c r="A1688" s="19"/>
      <c r="B1688" s="101" t="s">
        <v>676</v>
      </c>
      <c r="C1688" s="19"/>
      <c r="D1688" s="152"/>
      <c r="E1688" s="152"/>
      <c r="F1688" s="93"/>
      <c r="G1688" s="93"/>
      <c r="H1688" s="93"/>
      <c r="I1688" s="93"/>
      <c r="J1688" s="94"/>
    </row>
    <row r="1689" spans="1:10" s="253" customFormat="1" x14ac:dyDescent="0.2">
      <c r="A1689" s="254"/>
      <c r="B1689" s="368" t="s">
        <v>634</v>
      </c>
      <c r="C1689" s="254"/>
      <c r="D1689" s="152">
        <v>1</v>
      </c>
      <c r="E1689" s="152"/>
      <c r="F1689" s="263"/>
      <c r="G1689" s="263"/>
      <c r="H1689" s="263"/>
      <c r="I1689" s="263"/>
      <c r="J1689" s="264">
        <f>D1689</f>
        <v>1</v>
      </c>
    </row>
    <row r="1690" spans="1:10" s="253" customFormat="1" x14ac:dyDescent="0.2">
      <c r="A1690" s="254"/>
      <c r="B1690" s="368" t="s">
        <v>620</v>
      </c>
      <c r="C1690" s="254"/>
      <c r="D1690" s="152">
        <v>1</v>
      </c>
      <c r="E1690" s="152"/>
      <c r="F1690" s="263"/>
      <c r="G1690" s="263"/>
      <c r="H1690" s="263"/>
      <c r="I1690" s="263"/>
      <c r="J1690" s="264">
        <f t="shared" ref="J1690:J1694" si="81">D1690</f>
        <v>1</v>
      </c>
    </row>
    <row r="1691" spans="1:10" s="253" customFormat="1" x14ac:dyDescent="0.2">
      <c r="A1691" s="254"/>
      <c r="B1691" s="368" t="s">
        <v>621</v>
      </c>
      <c r="C1691" s="254"/>
      <c r="D1691" s="152">
        <v>1</v>
      </c>
      <c r="E1691" s="152"/>
      <c r="F1691" s="263"/>
      <c r="G1691" s="263"/>
      <c r="H1691" s="263"/>
      <c r="I1691" s="263"/>
      <c r="J1691" s="264">
        <f t="shared" si="81"/>
        <v>1</v>
      </c>
    </row>
    <row r="1692" spans="1:10" s="253" customFormat="1" x14ac:dyDescent="0.2">
      <c r="A1692" s="254"/>
      <c r="B1692" s="101" t="s">
        <v>677</v>
      </c>
      <c r="C1692" s="254"/>
      <c r="D1692" s="152"/>
      <c r="E1692" s="152"/>
      <c r="F1692" s="263"/>
      <c r="G1692" s="263"/>
      <c r="H1692" s="263"/>
      <c r="I1692" s="263"/>
      <c r="J1692" s="264"/>
    </row>
    <row r="1693" spans="1:10" s="253" customFormat="1" x14ac:dyDescent="0.2">
      <c r="A1693" s="254"/>
      <c r="B1693" s="368" t="s">
        <v>624</v>
      </c>
      <c r="C1693" s="254"/>
      <c r="D1693" s="152">
        <v>1</v>
      </c>
      <c r="E1693" s="152"/>
      <c r="F1693" s="263"/>
      <c r="G1693" s="263"/>
      <c r="H1693" s="263"/>
      <c r="I1693" s="263"/>
      <c r="J1693" s="264">
        <f t="shared" si="81"/>
        <v>1</v>
      </c>
    </row>
    <row r="1694" spans="1:10" s="253" customFormat="1" x14ac:dyDescent="0.2">
      <c r="A1694" s="254"/>
      <c r="B1694" s="368" t="s">
        <v>625</v>
      </c>
      <c r="C1694" s="254"/>
      <c r="D1694" s="152">
        <v>1</v>
      </c>
      <c r="E1694" s="152"/>
      <c r="F1694" s="263"/>
      <c r="G1694" s="263"/>
      <c r="H1694" s="263"/>
      <c r="I1694" s="263"/>
      <c r="J1694" s="264">
        <f t="shared" si="81"/>
        <v>1</v>
      </c>
    </row>
    <row r="1695" spans="1:10" x14ac:dyDescent="0.2">
      <c r="A1695" s="41"/>
      <c r="B1695" s="41"/>
      <c r="C1695" s="41"/>
      <c r="D1695" s="265"/>
      <c r="E1695" s="102"/>
      <c r="F1695" s="102"/>
      <c r="G1695" s="102"/>
      <c r="H1695" s="102"/>
      <c r="I1695" s="91" t="s">
        <v>604</v>
      </c>
      <c r="J1695" s="90">
        <f>SUM(J1689:J1694)</f>
        <v>5</v>
      </c>
    </row>
    <row r="1696" spans="1:10" x14ac:dyDescent="0.2">
      <c r="A1696" s="41"/>
      <c r="B1696" s="41"/>
      <c r="C1696" s="41"/>
      <c r="D1696" s="265"/>
      <c r="E1696" s="102"/>
      <c r="F1696" s="102"/>
      <c r="G1696" s="102"/>
      <c r="H1696" s="102"/>
      <c r="I1696" s="164"/>
      <c r="J1696" s="165"/>
    </row>
    <row r="1697" spans="1:10" ht="25.5" x14ac:dyDescent="0.2">
      <c r="A1697" s="19" t="s">
        <v>1159</v>
      </c>
      <c r="B1697" s="109" t="s">
        <v>1163</v>
      </c>
      <c r="C1697" s="19" t="s">
        <v>43</v>
      </c>
      <c r="D1697" s="263" t="s">
        <v>257</v>
      </c>
      <c r="E1697" s="93" t="s">
        <v>258</v>
      </c>
      <c r="F1697" s="93" t="s">
        <v>259</v>
      </c>
      <c r="G1697" s="93" t="s">
        <v>260</v>
      </c>
      <c r="H1697" s="93" t="s">
        <v>261</v>
      </c>
      <c r="I1697" s="93" t="s">
        <v>262</v>
      </c>
      <c r="J1697" s="94" t="s">
        <v>263</v>
      </c>
    </row>
    <row r="1698" spans="1:10" s="253" customFormat="1" x14ac:dyDescent="0.2">
      <c r="A1698" s="254"/>
      <c r="B1698" s="101" t="s">
        <v>676</v>
      </c>
      <c r="C1698" s="254"/>
      <c r="D1698" s="263"/>
      <c r="E1698" s="263"/>
      <c r="F1698" s="263"/>
      <c r="G1698" s="263"/>
      <c r="H1698" s="263"/>
      <c r="I1698" s="263"/>
      <c r="J1698" s="264"/>
    </row>
    <row r="1699" spans="1:10" s="253" customFormat="1" x14ac:dyDescent="0.2">
      <c r="A1699" s="254"/>
      <c r="B1699" s="368" t="s">
        <v>674</v>
      </c>
      <c r="C1699" s="254"/>
      <c r="D1699" s="263">
        <v>1</v>
      </c>
      <c r="E1699" s="263"/>
      <c r="F1699" s="263"/>
      <c r="G1699" s="263"/>
      <c r="H1699" s="263"/>
      <c r="I1699" s="263"/>
      <c r="J1699" s="264">
        <f>D1699</f>
        <v>1</v>
      </c>
    </row>
    <row r="1700" spans="1:10" x14ac:dyDescent="0.2">
      <c r="A1700" s="19"/>
      <c r="B1700" s="368" t="s">
        <v>632</v>
      </c>
      <c r="C1700" s="19"/>
      <c r="D1700" s="152">
        <v>1</v>
      </c>
      <c r="E1700" s="152"/>
      <c r="F1700" s="93"/>
      <c r="G1700" s="93"/>
      <c r="H1700" s="93"/>
      <c r="I1700" s="93"/>
      <c r="J1700" s="94">
        <f>D1700</f>
        <v>1</v>
      </c>
    </row>
    <row r="1701" spans="1:10" s="253" customFormat="1" x14ac:dyDescent="0.2">
      <c r="A1701" s="254"/>
      <c r="B1701" s="368" t="s">
        <v>618</v>
      </c>
      <c r="C1701" s="254"/>
      <c r="D1701" s="152">
        <v>1</v>
      </c>
      <c r="E1701" s="152"/>
      <c r="F1701" s="263"/>
      <c r="G1701" s="263"/>
      <c r="H1701" s="263"/>
      <c r="I1701" s="263"/>
      <c r="J1701" s="264">
        <f t="shared" ref="J1701:J1704" si="82">D1701</f>
        <v>1</v>
      </c>
    </row>
    <row r="1702" spans="1:10" s="253" customFormat="1" x14ac:dyDescent="0.2">
      <c r="A1702" s="254"/>
      <c r="B1702" s="101" t="s">
        <v>677</v>
      </c>
      <c r="C1702" s="254"/>
      <c r="D1702" s="152"/>
      <c r="E1702" s="152"/>
      <c r="F1702" s="263"/>
      <c r="G1702" s="263"/>
      <c r="H1702" s="263"/>
      <c r="I1702" s="263"/>
      <c r="J1702" s="264"/>
    </row>
    <row r="1703" spans="1:10" s="253" customFormat="1" x14ac:dyDescent="0.2">
      <c r="A1703" s="254"/>
      <c r="B1703" s="368" t="s">
        <v>655</v>
      </c>
      <c r="C1703" s="254"/>
      <c r="D1703" s="152">
        <v>1</v>
      </c>
      <c r="E1703" s="152"/>
      <c r="F1703" s="263"/>
      <c r="G1703" s="263"/>
      <c r="H1703" s="263"/>
      <c r="I1703" s="263"/>
      <c r="J1703" s="264">
        <f t="shared" si="82"/>
        <v>1</v>
      </c>
    </row>
    <row r="1704" spans="1:10" s="253" customFormat="1" x14ac:dyDescent="0.2">
      <c r="A1704" s="254"/>
      <c r="B1704" s="368" t="s">
        <v>628</v>
      </c>
      <c r="C1704" s="254"/>
      <c r="D1704" s="152">
        <v>1</v>
      </c>
      <c r="E1704" s="152"/>
      <c r="F1704" s="263"/>
      <c r="G1704" s="263"/>
      <c r="H1704" s="263"/>
      <c r="I1704" s="263"/>
      <c r="J1704" s="264">
        <f t="shared" si="82"/>
        <v>1</v>
      </c>
    </row>
    <row r="1705" spans="1:10" x14ac:dyDescent="0.2">
      <c r="A1705" s="41"/>
      <c r="B1705" s="41"/>
      <c r="C1705" s="41"/>
      <c r="D1705" s="265"/>
      <c r="E1705" s="102"/>
      <c r="F1705" s="102"/>
      <c r="G1705" s="102"/>
      <c r="H1705" s="102"/>
      <c r="I1705" s="91" t="s">
        <v>604</v>
      </c>
      <c r="J1705" s="90">
        <f>SUM(J1699:J1704)</f>
        <v>5</v>
      </c>
    </row>
    <row r="1706" spans="1:10" x14ac:dyDescent="0.2">
      <c r="A1706" s="41"/>
      <c r="B1706" s="41"/>
      <c r="C1706" s="41"/>
      <c r="D1706" s="265"/>
      <c r="E1706" s="102"/>
      <c r="F1706" s="102"/>
      <c r="G1706" s="102"/>
      <c r="H1706" s="102"/>
      <c r="I1706" s="164"/>
      <c r="J1706" s="165"/>
    </row>
    <row r="1707" spans="1:10" ht="25.5" x14ac:dyDescent="0.2">
      <c r="A1707" s="19" t="s">
        <v>1193</v>
      </c>
      <c r="B1707" s="109" t="s">
        <v>1164</v>
      </c>
      <c r="C1707" s="19" t="s">
        <v>43</v>
      </c>
      <c r="D1707" s="263" t="s">
        <v>257</v>
      </c>
      <c r="E1707" s="93" t="s">
        <v>258</v>
      </c>
      <c r="F1707" s="93" t="s">
        <v>259</v>
      </c>
      <c r="G1707" s="93" t="s">
        <v>260</v>
      </c>
      <c r="H1707" s="93" t="s">
        <v>261</v>
      </c>
      <c r="I1707" s="93" t="s">
        <v>262</v>
      </c>
      <c r="J1707" s="94" t="s">
        <v>263</v>
      </c>
    </row>
    <row r="1708" spans="1:10" x14ac:dyDescent="0.2">
      <c r="A1708" s="19"/>
      <c r="B1708" s="101" t="s">
        <v>677</v>
      </c>
      <c r="C1708" s="19"/>
      <c r="D1708" s="152"/>
      <c r="E1708" s="152"/>
      <c r="F1708" s="93"/>
      <c r="G1708" s="93"/>
      <c r="H1708" s="93"/>
      <c r="I1708" s="93"/>
      <c r="J1708" s="94"/>
    </row>
    <row r="1709" spans="1:10" s="253" customFormat="1" x14ac:dyDescent="0.2">
      <c r="A1709" s="254"/>
      <c r="B1709" s="368" t="s">
        <v>678</v>
      </c>
      <c r="C1709" s="254"/>
      <c r="D1709" s="152">
        <v>2</v>
      </c>
      <c r="E1709" s="152"/>
      <c r="F1709" s="263"/>
      <c r="G1709" s="263"/>
      <c r="H1709" s="263"/>
      <c r="I1709" s="263"/>
      <c r="J1709" s="264">
        <f>D1709</f>
        <v>2</v>
      </c>
    </row>
    <row r="1710" spans="1:10" x14ac:dyDescent="0.2">
      <c r="A1710" s="41"/>
      <c r="B1710" s="41"/>
      <c r="C1710" s="41"/>
      <c r="D1710" s="265"/>
      <c r="E1710" s="102"/>
      <c r="F1710" s="102"/>
      <c r="G1710" s="102"/>
      <c r="H1710" s="102"/>
      <c r="I1710" s="91" t="s">
        <v>604</v>
      </c>
      <c r="J1710" s="90">
        <f>SUM(J1709)</f>
        <v>2</v>
      </c>
    </row>
    <row r="1711" spans="1:10" s="253" customFormat="1" x14ac:dyDescent="0.2">
      <c r="A1711" s="256"/>
      <c r="B1711" s="256"/>
      <c r="C1711" s="256"/>
      <c r="D1711" s="265"/>
      <c r="E1711" s="265"/>
      <c r="F1711" s="265"/>
      <c r="G1711" s="265"/>
      <c r="H1711" s="265"/>
      <c r="I1711" s="266"/>
      <c r="J1711" s="267"/>
    </row>
    <row r="1712" spans="1:10" ht="25.5" x14ac:dyDescent="0.2">
      <c r="A1712" s="254" t="s">
        <v>1262</v>
      </c>
      <c r="B1712" s="255" t="s">
        <v>1275</v>
      </c>
      <c r="C1712" s="254" t="s">
        <v>25</v>
      </c>
      <c r="D1712" s="263" t="s">
        <v>257</v>
      </c>
      <c r="E1712" s="263" t="s">
        <v>258</v>
      </c>
      <c r="F1712" s="263" t="s">
        <v>259</v>
      </c>
      <c r="G1712" s="263" t="s">
        <v>260</v>
      </c>
      <c r="H1712" s="263" t="s">
        <v>261</v>
      </c>
      <c r="I1712" s="263" t="s">
        <v>262</v>
      </c>
      <c r="J1712" s="264" t="s">
        <v>263</v>
      </c>
    </row>
    <row r="1713" spans="1:10" s="253" customFormat="1" x14ac:dyDescent="0.2">
      <c r="A1713" s="254"/>
      <c r="B1713" s="285" t="s">
        <v>681</v>
      </c>
      <c r="C1713" s="254"/>
      <c r="D1713" s="152">
        <v>1</v>
      </c>
      <c r="E1713" s="263"/>
      <c r="F1713" s="263"/>
      <c r="G1713" s="263"/>
      <c r="H1713" s="263"/>
      <c r="I1713" s="263"/>
      <c r="J1713" s="264">
        <f>D1713</f>
        <v>1</v>
      </c>
    </row>
    <row r="1714" spans="1:10" s="253" customFormat="1" x14ac:dyDescent="0.2">
      <c r="A1714" s="254"/>
      <c r="B1714" s="285" t="s">
        <v>683</v>
      </c>
      <c r="C1714" s="254"/>
      <c r="D1714" s="152">
        <v>1</v>
      </c>
      <c r="E1714" s="263"/>
      <c r="F1714" s="263"/>
      <c r="G1714" s="263"/>
      <c r="H1714" s="263"/>
      <c r="I1714" s="263"/>
      <c r="J1714" s="264">
        <f t="shared" ref="J1714:J1717" si="83">D1714</f>
        <v>1</v>
      </c>
    </row>
    <row r="1715" spans="1:10" x14ac:dyDescent="0.2">
      <c r="A1715" s="254"/>
      <c r="B1715" s="285" t="s">
        <v>682</v>
      </c>
      <c r="C1715" s="254"/>
      <c r="D1715" s="152">
        <v>1</v>
      </c>
      <c r="E1715" s="265"/>
      <c r="F1715" s="265"/>
      <c r="G1715" s="265"/>
      <c r="H1715" s="265"/>
      <c r="I1715" s="256"/>
      <c r="J1715" s="264">
        <f t="shared" si="83"/>
        <v>1</v>
      </c>
    </row>
    <row r="1716" spans="1:10" s="253" customFormat="1" x14ac:dyDescent="0.2">
      <c r="A1716" s="254"/>
      <c r="B1716" s="285" t="s">
        <v>1283</v>
      </c>
      <c r="C1716" s="254"/>
      <c r="D1716" s="152">
        <v>1</v>
      </c>
      <c r="E1716" s="265"/>
      <c r="F1716" s="265"/>
      <c r="G1716" s="265"/>
      <c r="H1716" s="265"/>
      <c r="I1716" s="256"/>
      <c r="J1716" s="264">
        <f t="shared" si="83"/>
        <v>1</v>
      </c>
    </row>
    <row r="1717" spans="1:10" s="253" customFormat="1" x14ac:dyDescent="0.2">
      <c r="A1717" s="254"/>
      <c r="B1717" s="98" t="s">
        <v>644</v>
      </c>
      <c r="C1717" s="256"/>
      <c r="D1717" s="265">
        <v>1</v>
      </c>
      <c r="E1717" s="265"/>
      <c r="F1717" s="265"/>
      <c r="G1717" s="265"/>
      <c r="H1717" s="265"/>
      <c r="I1717" s="256"/>
      <c r="J1717" s="264">
        <f t="shared" si="83"/>
        <v>1</v>
      </c>
    </row>
    <row r="1718" spans="1:10" x14ac:dyDescent="0.2">
      <c r="A1718" s="256"/>
      <c r="B1718" s="256"/>
      <c r="C1718" s="256"/>
      <c r="D1718" s="256"/>
      <c r="E1718" s="256"/>
      <c r="F1718" s="256"/>
      <c r="G1718" s="256"/>
      <c r="H1718" s="256"/>
      <c r="I1718" s="261" t="s">
        <v>604</v>
      </c>
      <c r="J1718" s="260">
        <f>SUM(J1713:J1717)</f>
        <v>5</v>
      </c>
    </row>
    <row r="1719" spans="1:10" s="253" customFormat="1" x14ac:dyDescent="0.2">
      <c r="A1719" s="256"/>
      <c r="B1719" s="256"/>
      <c r="C1719" s="256"/>
      <c r="D1719" s="256"/>
      <c r="E1719" s="256"/>
      <c r="F1719" s="256"/>
      <c r="G1719" s="256"/>
      <c r="H1719" s="256"/>
      <c r="I1719" s="266"/>
      <c r="J1719" s="267"/>
    </row>
    <row r="1720" spans="1:10" ht="25.5" x14ac:dyDescent="0.2">
      <c r="A1720" s="254" t="s">
        <v>1282</v>
      </c>
      <c r="B1720" s="255" t="s">
        <v>1290</v>
      </c>
      <c r="C1720" s="254" t="s">
        <v>25</v>
      </c>
      <c r="D1720" s="263" t="s">
        <v>257</v>
      </c>
      <c r="E1720" s="263" t="s">
        <v>258</v>
      </c>
      <c r="F1720" s="263" t="s">
        <v>259</v>
      </c>
      <c r="G1720" s="263" t="s">
        <v>260</v>
      </c>
      <c r="H1720" s="263" t="s">
        <v>261</v>
      </c>
      <c r="I1720" s="263" t="s">
        <v>262</v>
      </c>
      <c r="J1720" s="264" t="s">
        <v>263</v>
      </c>
    </row>
    <row r="1721" spans="1:10" x14ac:dyDescent="0.2">
      <c r="A1721" s="254"/>
      <c r="B1721" s="285" t="s">
        <v>681</v>
      </c>
      <c r="C1721" s="254"/>
      <c r="D1721" s="152">
        <v>1</v>
      </c>
      <c r="E1721" s="263"/>
      <c r="F1721" s="263"/>
      <c r="G1721" s="263"/>
      <c r="H1721" s="263"/>
      <c r="I1721" s="263"/>
      <c r="J1721" s="264">
        <f>D1721</f>
        <v>1</v>
      </c>
    </row>
    <row r="1722" spans="1:10" x14ac:dyDescent="0.2">
      <c r="A1722" s="254"/>
      <c r="B1722" s="285" t="s">
        <v>683</v>
      </c>
      <c r="C1722" s="254"/>
      <c r="D1722" s="152">
        <v>1</v>
      </c>
      <c r="E1722" s="263"/>
      <c r="F1722" s="263"/>
      <c r="G1722" s="263"/>
      <c r="H1722" s="263"/>
      <c r="I1722" s="263"/>
      <c r="J1722" s="264">
        <f t="shared" ref="J1722:J1725" si="84">D1722</f>
        <v>1</v>
      </c>
    </row>
    <row r="1723" spans="1:10" x14ac:dyDescent="0.2">
      <c r="A1723" s="254"/>
      <c r="B1723" s="285" t="s">
        <v>682</v>
      </c>
      <c r="C1723" s="254"/>
      <c r="D1723" s="152">
        <v>1</v>
      </c>
      <c r="E1723" s="265"/>
      <c r="F1723" s="265"/>
      <c r="G1723" s="265"/>
      <c r="H1723" s="265"/>
      <c r="I1723" s="256"/>
      <c r="J1723" s="264">
        <f t="shared" si="84"/>
        <v>1</v>
      </c>
    </row>
    <row r="1724" spans="1:10" x14ac:dyDescent="0.2">
      <c r="A1724" s="254"/>
      <c r="B1724" s="285" t="s">
        <v>1283</v>
      </c>
      <c r="C1724" s="254"/>
      <c r="D1724" s="152">
        <v>1</v>
      </c>
      <c r="E1724" s="265"/>
      <c r="F1724" s="265"/>
      <c r="G1724" s="265"/>
      <c r="H1724" s="265"/>
      <c r="I1724" s="256"/>
      <c r="J1724" s="264">
        <f t="shared" si="84"/>
        <v>1</v>
      </c>
    </row>
    <row r="1725" spans="1:10" x14ac:dyDescent="0.2">
      <c r="A1725" s="254"/>
      <c r="B1725" s="98" t="s">
        <v>644</v>
      </c>
      <c r="C1725" s="256"/>
      <c r="D1725" s="265">
        <v>1</v>
      </c>
      <c r="E1725" s="265"/>
      <c r="F1725" s="265"/>
      <c r="G1725" s="265"/>
      <c r="H1725" s="265"/>
      <c r="I1725" s="256"/>
      <c r="J1725" s="264">
        <f t="shared" si="84"/>
        <v>1</v>
      </c>
    </row>
    <row r="1726" spans="1:10" x14ac:dyDescent="0.2">
      <c r="A1726" s="256"/>
      <c r="B1726" s="256"/>
      <c r="C1726" s="256"/>
      <c r="D1726" s="256"/>
      <c r="E1726" s="256"/>
      <c r="F1726" s="256"/>
      <c r="G1726" s="256"/>
      <c r="H1726" s="256"/>
      <c r="I1726" s="261" t="s">
        <v>604</v>
      </c>
      <c r="J1726" s="260">
        <f>SUM(J1721:J1725)</f>
        <v>5</v>
      </c>
    </row>
    <row r="1727" spans="1:10" s="253" customFormat="1" x14ac:dyDescent="0.2">
      <c r="A1727" s="256"/>
      <c r="B1727" s="256"/>
      <c r="C1727" s="256"/>
      <c r="D1727" s="256"/>
      <c r="E1727" s="256"/>
      <c r="F1727" s="256"/>
      <c r="G1727" s="256"/>
      <c r="H1727" s="256"/>
      <c r="I1727" s="266"/>
      <c r="J1727" s="267"/>
    </row>
    <row r="1728" spans="1:10" s="253" customFormat="1" ht="25.5" x14ac:dyDescent="0.2">
      <c r="A1728" s="254" t="s">
        <v>1291</v>
      </c>
      <c r="B1728" s="255" t="s">
        <v>1302</v>
      </c>
      <c r="C1728" s="254" t="s">
        <v>25</v>
      </c>
      <c r="D1728" s="263" t="s">
        <v>257</v>
      </c>
      <c r="E1728" s="263" t="s">
        <v>258</v>
      </c>
      <c r="F1728" s="263" t="s">
        <v>259</v>
      </c>
      <c r="G1728" s="263" t="s">
        <v>260</v>
      </c>
      <c r="H1728" s="263" t="s">
        <v>261</v>
      </c>
      <c r="I1728" s="263" t="s">
        <v>262</v>
      </c>
      <c r="J1728" s="264" t="s">
        <v>263</v>
      </c>
    </row>
    <row r="1729" spans="1:10" s="253" customFormat="1" x14ac:dyDescent="0.2">
      <c r="A1729" s="254"/>
      <c r="B1729" s="285" t="s">
        <v>681</v>
      </c>
      <c r="C1729" s="254"/>
      <c r="D1729" s="152">
        <v>1</v>
      </c>
      <c r="E1729" s="263"/>
      <c r="F1729" s="263"/>
      <c r="G1729" s="263"/>
      <c r="H1729" s="263"/>
      <c r="I1729" s="263"/>
      <c r="J1729" s="264">
        <f>D1729</f>
        <v>1</v>
      </c>
    </row>
    <row r="1730" spans="1:10" s="253" customFormat="1" x14ac:dyDescent="0.2">
      <c r="A1730" s="254"/>
      <c r="B1730" s="285" t="s">
        <v>683</v>
      </c>
      <c r="C1730" s="254"/>
      <c r="D1730" s="152">
        <v>1</v>
      </c>
      <c r="E1730" s="263"/>
      <c r="F1730" s="263"/>
      <c r="G1730" s="263"/>
      <c r="H1730" s="263"/>
      <c r="I1730" s="263"/>
      <c r="J1730" s="264">
        <f t="shared" ref="J1730:J1733" si="85">D1730</f>
        <v>1</v>
      </c>
    </row>
    <row r="1731" spans="1:10" s="253" customFormat="1" x14ac:dyDescent="0.2">
      <c r="A1731" s="254"/>
      <c r="B1731" s="285" t="s">
        <v>682</v>
      </c>
      <c r="C1731" s="254"/>
      <c r="D1731" s="152">
        <v>1</v>
      </c>
      <c r="E1731" s="265"/>
      <c r="F1731" s="265"/>
      <c r="G1731" s="265"/>
      <c r="H1731" s="265"/>
      <c r="I1731" s="256"/>
      <c r="J1731" s="264">
        <f t="shared" si="85"/>
        <v>1</v>
      </c>
    </row>
    <row r="1732" spans="1:10" s="253" customFormat="1" x14ac:dyDescent="0.2">
      <c r="A1732" s="254"/>
      <c r="B1732" s="285" t="s">
        <v>1283</v>
      </c>
      <c r="C1732" s="254"/>
      <c r="D1732" s="152">
        <v>1</v>
      </c>
      <c r="E1732" s="265"/>
      <c r="F1732" s="265"/>
      <c r="G1732" s="265"/>
      <c r="H1732" s="265"/>
      <c r="I1732" s="256"/>
      <c r="J1732" s="264">
        <f t="shared" si="85"/>
        <v>1</v>
      </c>
    </row>
    <row r="1733" spans="1:10" s="253" customFormat="1" x14ac:dyDescent="0.2">
      <c r="A1733" s="254"/>
      <c r="B1733" s="98" t="s">
        <v>644</v>
      </c>
      <c r="C1733" s="256"/>
      <c r="D1733" s="265">
        <v>1</v>
      </c>
      <c r="E1733" s="265"/>
      <c r="F1733" s="265"/>
      <c r="G1733" s="265"/>
      <c r="H1733" s="265"/>
      <c r="I1733" s="256"/>
      <c r="J1733" s="264">
        <f t="shared" si="85"/>
        <v>1</v>
      </c>
    </row>
    <row r="1734" spans="1:10" s="253" customFormat="1" x14ac:dyDescent="0.2">
      <c r="A1734" s="256"/>
      <c r="B1734" s="256"/>
      <c r="C1734" s="256"/>
      <c r="D1734" s="256"/>
      <c r="E1734" s="256"/>
      <c r="F1734" s="256"/>
      <c r="G1734" s="256"/>
      <c r="H1734" s="256"/>
      <c r="I1734" s="261" t="s">
        <v>604</v>
      </c>
      <c r="J1734" s="260">
        <f>SUM(J1729:J1733)</f>
        <v>5</v>
      </c>
    </row>
    <row r="1735" spans="1:10" s="253" customFormat="1" x14ac:dyDescent="0.2">
      <c r="A1735" s="256"/>
      <c r="B1735" s="256"/>
      <c r="C1735" s="256"/>
      <c r="D1735" s="256"/>
      <c r="E1735" s="256"/>
      <c r="F1735" s="256"/>
      <c r="G1735" s="256"/>
      <c r="H1735" s="256"/>
      <c r="I1735" s="266"/>
      <c r="J1735" s="267"/>
    </row>
    <row r="1736" spans="1:10" ht="25.5" x14ac:dyDescent="0.2">
      <c r="A1736" s="254" t="s">
        <v>1300</v>
      </c>
      <c r="B1736" s="109" t="s">
        <v>1316</v>
      </c>
      <c r="C1736" s="254" t="s">
        <v>25</v>
      </c>
      <c r="D1736" s="263" t="s">
        <v>257</v>
      </c>
      <c r="E1736" s="263" t="s">
        <v>258</v>
      </c>
      <c r="F1736" s="263" t="s">
        <v>259</v>
      </c>
      <c r="G1736" s="263" t="s">
        <v>260</v>
      </c>
      <c r="H1736" s="263" t="s">
        <v>261</v>
      </c>
      <c r="I1736" s="263" t="s">
        <v>262</v>
      </c>
      <c r="J1736" s="264" t="s">
        <v>263</v>
      </c>
    </row>
    <row r="1737" spans="1:10" s="253" customFormat="1" x14ac:dyDescent="0.2">
      <c r="A1737" s="254"/>
      <c r="B1737" s="370" t="s">
        <v>777</v>
      </c>
      <c r="C1737" s="254"/>
      <c r="D1737" s="263">
        <v>11</v>
      </c>
      <c r="E1737" s="263"/>
      <c r="F1737" s="263"/>
      <c r="G1737" s="263"/>
      <c r="H1737" s="263"/>
      <c r="I1737" s="263"/>
      <c r="J1737" s="264">
        <f>D1737</f>
        <v>11</v>
      </c>
    </row>
    <row r="1738" spans="1:10" x14ac:dyDescent="0.2">
      <c r="A1738" s="254"/>
      <c r="B1738" s="285" t="s">
        <v>1084</v>
      </c>
      <c r="C1738" s="254"/>
      <c r="D1738" s="152">
        <v>2</v>
      </c>
      <c r="E1738" s="263"/>
      <c r="F1738" s="263"/>
      <c r="G1738" s="263"/>
      <c r="H1738" s="263"/>
      <c r="I1738" s="263"/>
      <c r="J1738" s="264">
        <f>D1738</f>
        <v>2</v>
      </c>
    </row>
    <row r="1739" spans="1:10" x14ac:dyDescent="0.2">
      <c r="A1739" s="256"/>
      <c r="B1739" s="256"/>
      <c r="C1739" s="256"/>
      <c r="D1739" s="256"/>
      <c r="E1739" s="256"/>
      <c r="F1739" s="256"/>
      <c r="G1739" s="256"/>
      <c r="H1739" s="256"/>
      <c r="I1739" s="261" t="s">
        <v>604</v>
      </c>
      <c r="J1739" s="260">
        <f>SUM(J1737:J1738)</f>
        <v>13</v>
      </c>
    </row>
    <row r="1740" spans="1:10" s="253" customFormat="1" x14ac:dyDescent="0.2">
      <c r="A1740" s="254"/>
      <c r="B1740" s="359"/>
      <c r="C1740" s="254"/>
      <c r="D1740" s="152"/>
      <c r="E1740" s="263"/>
      <c r="F1740" s="263"/>
      <c r="G1740" s="263"/>
      <c r="H1740" s="263"/>
      <c r="I1740" s="263"/>
      <c r="J1740" s="264"/>
    </row>
    <row r="1741" spans="1:10" s="253" customFormat="1" ht="25.5" x14ac:dyDescent="0.2">
      <c r="A1741" s="254" t="s">
        <v>1307</v>
      </c>
      <c r="B1741" s="268" t="s">
        <v>1386</v>
      </c>
      <c r="C1741" s="254" t="s">
        <v>25</v>
      </c>
      <c r="D1741" s="263" t="s">
        <v>257</v>
      </c>
      <c r="E1741" s="263" t="s">
        <v>258</v>
      </c>
      <c r="F1741" s="263" t="s">
        <v>259</v>
      </c>
      <c r="G1741" s="263" t="s">
        <v>260</v>
      </c>
      <c r="H1741" s="263" t="s">
        <v>261</v>
      </c>
      <c r="I1741" s="263" t="s">
        <v>262</v>
      </c>
      <c r="J1741" s="264" t="s">
        <v>263</v>
      </c>
    </row>
    <row r="1742" spans="1:10" s="253" customFormat="1" x14ac:dyDescent="0.2">
      <c r="A1742" s="254"/>
      <c r="B1742" s="359" t="s">
        <v>1250</v>
      </c>
      <c r="C1742" s="254"/>
      <c r="D1742" s="152">
        <v>1</v>
      </c>
      <c r="E1742" s="263"/>
      <c r="F1742" s="263"/>
      <c r="G1742" s="263"/>
      <c r="H1742" s="263"/>
      <c r="I1742" s="263"/>
      <c r="J1742" s="264">
        <f>D1742</f>
        <v>1</v>
      </c>
    </row>
    <row r="1743" spans="1:10" s="253" customFormat="1" x14ac:dyDescent="0.2">
      <c r="A1743" s="256"/>
      <c r="B1743" s="256"/>
      <c r="C1743" s="256"/>
      <c r="D1743" s="256"/>
      <c r="E1743" s="256"/>
      <c r="F1743" s="256"/>
      <c r="G1743" s="256"/>
      <c r="H1743" s="256"/>
      <c r="I1743" s="261" t="s">
        <v>604</v>
      </c>
      <c r="J1743" s="260">
        <f>SUM(J1742:J1742)</f>
        <v>1</v>
      </c>
    </row>
    <row r="1744" spans="1:10" x14ac:dyDescent="0.2">
      <c r="A1744" s="256"/>
      <c r="B1744" s="256"/>
      <c r="C1744" s="256"/>
      <c r="D1744" s="99"/>
      <c r="E1744" s="256"/>
      <c r="F1744" s="256"/>
      <c r="G1744" s="256"/>
      <c r="H1744" s="256"/>
      <c r="I1744" s="256"/>
      <c r="J1744" s="256"/>
    </row>
    <row r="1745" spans="1:10" ht="25.5" x14ac:dyDescent="0.2">
      <c r="A1745" s="254" t="s">
        <v>1419</v>
      </c>
      <c r="B1745" s="268" t="s">
        <v>1480</v>
      </c>
      <c r="C1745" s="254" t="s">
        <v>25</v>
      </c>
      <c r="D1745" s="263" t="s">
        <v>257</v>
      </c>
      <c r="E1745" s="263" t="s">
        <v>258</v>
      </c>
      <c r="F1745" s="263" t="s">
        <v>259</v>
      </c>
      <c r="G1745" s="263" t="s">
        <v>260</v>
      </c>
      <c r="H1745" s="263" t="s">
        <v>261</v>
      </c>
      <c r="I1745" s="263" t="s">
        <v>262</v>
      </c>
      <c r="J1745" s="264" t="s">
        <v>263</v>
      </c>
    </row>
    <row r="1746" spans="1:10" x14ac:dyDescent="0.2">
      <c r="A1746" s="256"/>
      <c r="B1746" s="256"/>
      <c r="C1746" s="256"/>
      <c r="E1746" s="265">
        <f>10.15+2.59+14.1+1.95</f>
        <v>28.79</v>
      </c>
      <c r="F1746" s="256"/>
      <c r="G1746" s="265">
        <v>3</v>
      </c>
      <c r="H1746" s="265">
        <f>E1746*G1746</f>
        <v>86.37</v>
      </c>
      <c r="I1746" s="256"/>
      <c r="J1746" s="265">
        <f>H1746</f>
        <v>86.37</v>
      </c>
    </row>
    <row r="1747" spans="1:10" x14ac:dyDescent="0.2">
      <c r="A1747" s="256"/>
      <c r="B1747" s="256"/>
      <c r="C1747" s="256"/>
      <c r="D1747" s="99"/>
      <c r="E1747" s="256"/>
      <c r="F1747" s="256"/>
      <c r="G1747" s="256"/>
      <c r="H1747" s="256"/>
      <c r="I1747" s="261" t="s">
        <v>604</v>
      </c>
      <c r="J1747" s="260">
        <f>SUM(J1746:J1746)</f>
        <v>86.37</v>
      </c>
    </row>
    <row r="1748" spans="1:10" x14ac:dyDescent="0.2">
      <c r="A1748" s="256"/>
      <c r="B1748" s="256"/>
      <c r="C1748" s="256"/>
      <c r="D1748" s="99"/>
      <c r="E1748" s="256"/>
      <c r="F1748" s="256"/>
      <c r="G1748" s="256"/>
      <c r="H1748" s="256"/>
      <c r="I1748" s="256"/>
      <c r="J1748" s="256"/>
    </row>
  </sheetData>
  <mergeCells count="62">
    <mergeCell ref="F1584:F1593"/>
    <mergeCell ref="D454:D458"/>
    <mergeCell ref="J454:J458"/>
    <mergeCell ref="B349:B350"/>
    <mergeCell ref="B1:J1"/>
    <mergeCell ref="B2:D2"/>
    <mergeCell ref="I2:J3"/>
    <mergeCell ref="B3:F3"/>
    <mergeCell ref="B4:D4"/>
    <mergeCell ref="B380:B382"/>
    <mergeCell ref="B351:B353"/>
    <mergeCell ref="B354:B356"/>
    <mergeCell ref="B357:B359"/>
    <mergeCell ref="B360:B362"/>
    <mergeCell ref="B363:B364"/>
    <mergeCell ref="B366:B367"/>
    <mergeCell ref="B371:B372"/>
    <mergeCell ref="B373:B374"/>
    <mergeCell ref="B368:B369"/>
    <mergeCell ref="B375:B376"/>
    <mergeCell ref="B589:B590"/>
    <mergeCell ref="B383:B384"/>
    <mergeCell ref="B385:B387"/>
    <mergeCell ref="B388:B390"/>
    <mergeCell ref="B391:B393"/>
    <mergeCell ref="B395:B396"/>
    <mergeCell ref="B397:B399"/>
    <mergeCell ref="B400:B401"/>
    <mergeCell ref="B581:B582"/>
    <mergeCell ref="B583:B584"/>
    <mergeCell ref="B585:B586"/>
    <mergeCell ref="B587:B588"/>
    <mergeCell ref="B1251:B1252"/>
    <mergeCell ref="B591:B592"/>
    <mergeCell ref="B593:B595"/>
    <mergeCell ref="B596:B597"/>
    <mergeCell ref="B687:B688"/>
    <mergeCell ref="B689:B690"/>
    <mergeCell ref="B691:B692"/>
    <mergeCell ref="B693:B694"/>
    <mergeCell ref="B695:B696"/>
    <mergeCell ref="B697:B698"/>
    <mergeCell ref="B699:B701"/>
    <mergeCell ref="B702:B703"/>
    <mergeCell ref="B1515:B1520"/>
    <mergeCell ref="B1253:B1254"/>
    <mergeCell ref="B1489:B1490"/>
    <mergeCell ref="B1491:B1492"/>
    <mergeCell ref="B1493:B1500"/>
    <mergeCell ref="B1501:B1502"/>
    <mergeCell ref="B1503:B1504"/>
    <mergeCell ref="B1505:B1506"/>
    <mergeCell ref="B1507:B1508"/>
    <mergeCell ref="B1509:B1510"/>
    <mergeCell ref="B1511:B1513"/>
    <mergeCell ref="B1531:B1532"/>
    <mergeCell ref="F1575:F1578"/>
    <mergeCell ref="B1521:B1522"/>
    <mergeCell ref="B1523:B1524"/>
    <mergeCell ref="B1525:B1526"/>
    <mergeCell ref="B1527:B1528"/>
    <mergeCell ref="B1529:B1530"/>
  </mergeCells>
  <pageMargins left="0.51181102362204722" right="0.51181102362204722" top="0.78740157480314965" bottom="0.78740157480314965" header="0.31496062992125984" footer="0.31496062992125984"/>
  <pageSetup paperSize="9" scale="65" fitToHeight="0" orientation="landscape" r:id="rId1"/>
  <rowBreaks count="21" manualBreakCount="21">
    <brk id="48" max="9" man="1"/>
    <brk id="81" max="9" man="1"/>
    <brk id="159" max="9" man="1"/>
    <brk id="201" max="9" man="1"/>
    <brk id="342" max="9" man="1"/>
    <brk id="387" max="9" man="1"/>
    <brk id="516" max="9" man="1"/>
    <brk id="607" max="9" man="1"/>
    <brk id="651" max="9" man="1"/>
    <brk id="694" max="9" man="1"/>
    <brk id="791" max="9" man="1"/>
    <brk id="1031" max="9" man="1"/>
    <brk id="1079" max="9" man="1"/>
    <brk id="1121" max="9" man="1"/>
    <brk id="1163" max="9" man="1"/>
    <brk id="1245" max="9" man="1"/>
    <brk id="1290" max="9" man="1"/>
    <brk id="1478" max="9" man="1"/>
    <brk id="1528" max="9" man="1"/>
    <brk id="1620" max="9" man="1"/>
    <brk id="1661"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3"/>
  <sheetViews>
    <sheetView view="pageBreakPreview" topLeftCell="G1" zoomScale="85" zoomScaleNormal="85" zoomScaleSheetLayoutView="85" workbookViewId="0">
      <selection activeCell="G1" sqref="A1:XFD1048576"/>
    </sheetView>
  </sheetViews>
  <sheetFormatPr defaultColWidth="21.140625" defaultRowHeight="15" customHeight="1" x14ac:dyDescent="0.25"/>
  <cols>
    <col min="1" max="12" width="21.140625" style="408"/>
    <col min="13" max="16384" width="21.140625" style="383"/>
  </cols>
  <sheetData>
    <row r="1" spans="1:17" ht="15" customHeight="1" x14ac:dyDescent="0.25">
      <c r="A1" s="381"/>
      <c r="B1" s="437" t="s">
        <v>0</v>
      </c>
      <c r="C1" s="438"/>
      <c r="D1" s="438"/>
      <c r="E1" s="438"/>
      <c r="F1" s="438"/>
      <c r="G1" s="438"/>
      <c r="H1" s="438"/>
      <c r="I1" s="438"/>
      <c r="J1" s="382"/>
      <c r="K1" s="382"/>
      <c r="L1" s="382"/>
      <c r="M1" s="382"/>
      <c r="N1" s="382"/>
      <c r="O1" s="382"/>
      <c r="P1" s="382"/>
    </row>
    <row r="2" spans="1:17" ht="15" customHeight="1" x14ac:dyDescent="0.25">
      <c r="A2" s="384"/>
      <c r="B2" s="435" t="s">
        <v>1</v>
      </c>
      <c r="C2" s="436"/>
      <c r="D2" s="436"/>
      <c r="E2" s="385"/>
      <c r="F2" s="386"/>
      <c r="G2" s="385"/>
      <c r="H2" s="385"/>
      <c r="I2" s="385"/>
      <c r="J2" s="387"/>
      <c r="K2" s="387"/>
      <c r="L2" s="387"/>
      <c r="M2" s="387"/>
      <c r="N2" s="387"/>
      <c r="O2" s="387"/>
      <c r="P2" s="387"/>
    </row>
    <row r="3" spans="1:17" ht="15" customHeight="1" x14ac:dyDescent="0.25">
      <c r="A3" s="384"/>
      <c r="B3" s="435" t="s">
        <v>19</v>
      </c>
      <c r="C3" s="436"/>
      <c r="D3" s="436"/>
      <c r="E3" s="388" t="s">
        <v>3</v>
      </c>
      <c r="F3" s="389">
        <v>1.5727</v>
      </c>
      <c r="G3" s="439" t="s">
        <v>264</v>
      </c>
      <c r="H3" s="439"/>
      <c r="I3" s="439"/>
      <c r="J3" s="390"/>
      <c r="K3" s="390"/>
      <c r="L3" s="390"/>
      <c r="M3" s="390"/>
      <c r="N3" s="390"/>
      <c r="O3" s="390"/>
      <c r="P3" s="390"/>
    </row>
    <row r="4" spans="1:17" ht="15" customHeight="1" x14ac:dyDescent="0.25">
      <c r="A4" s="384"/>
      <c r="B4" s="435" t="s">
        <v>2</v>
      </c>
      <c r="C4" s="436"/>
      <c r="D4" s="436"/>
      <c r="E4" s="391" t="s">
        <v>5</v>
      </c>
      <c r="F4" s="389">
        <v>0.3196</v>
      </c>
      <c r="G4" s="392"/>
      <c r="H4" s="393" t="s">
        <v>6</v>
      </c>
      <c r="I4" s="394" t="s">
        <v>1369</v>
      </c>
      <c r="J4" s="390"/>
      <c r="K4" s="390"/>
      <c r="L4" s="390"/>
      <c r="M4" s="390"/>
      <c r="N4" s="390"/>
      <c r="O4" s="390"/>
      <c r="P4" s="390"/>
    </row>
    <row r="5" spans="1:17" ht="33" customHeight="1" x14ac:dyDescent="0.25">
      <c r="A5" s="384"/>
      <c r="B5" s="435" t="s">
        <v>1355</v>
      </c>
      <c r="C5" s="436"/>
      <c r="D5" s="436"/>
      <c r="E5" s="391"/>
      <c r="F5" s="389"/>
      <c r="G5" s="393"/>
      <c r="H5" s="393"/>
      <c r="I5" s="394"/>
      <c r="J5" s="395"/>
      <c r="K5" s="390"/>
      <c r="L5" s="390"/>
      <c r="M5" s="390"/>
      <c r="N5" s="390"/>
      <c r="O5" s="390"/>
      <c r="P5" s="390"/>
    </row>
    <row r="6" spans="1:17" ht="24.95" customHeight="1" x14ac:dyDescent="0.25">
      <c r="A6" s="440" t="s">
        <v>7</v>
      </c>
      <c r="B6" s="441" t="s">
        <v>1008</v>
      </c>
      <c r="C6" s="447" t="s">
        <v>1255</v>
      </c>
      <c r="D6" s="448"/>
      <c r="E6" s="440" t="s">
        <v>1009</v>
      </c>
      <c r="F6" s="440"/>
      <c r="G6" s="440"/>
      <c r="H6" s="440"/>
      <c r="I6" s="440"/>
      <c r="J6" s="461"/>
      <c r="K6" s="440"/>
      <c r="L6" s="440"/>
      <c r="M6" s="440"/>
      <c r="N6" s="440"/>
      <c r="O6" s="440"/>
      <c r="P6" s="440"/>
    </row>
    <row r="7" spans="1:17" ht="24.95" customHeight="1" thickBot="1" x14ac:dyDescent="0.3">
      <c r="A7" s="441"/>
      <c r="B7" s="442"/>
      <c r="C7" s="449"/>
      <c r="D7" s="450"/>
      <c r="E7" s="396">
        <v>1</v>
      </c>
      <c r="F7" s="396">
        <v>2</v>
      </c>
      <c r="G7" s="396">
        <v>3</v>
      </c>
      <c r="H7" s="396">
        <v>4</v>
      </c>
      <c r="I7" s="396">
        <v>5</v>
      </c>
      <c r="J7" s="396">
        <v>6</v>
      </c>
      <c r="K7" s="396">
        <v>7</v>
      </c>
      <c r="L7" s="396">
        <v>8</v>
      </c>
      <c r="M7" s="396">
        <v>9</v>
      </c>
      <c r="N7" s="396">
        <v>10</v>
      </c>
      <c r="O7" s="396">
        <v>11</v>
      </c>
      <c r="P7" s="396">
        <v>12</v>
      </c>
    </row>
    <row r="8" spans="1:17" ht="24.95" customHeight="1" x14ac:dyDescent="0.25">
      <c r="A8" s="445" t="s">
        <v>17</v>
      </c>
      <c r="B8" s="443" t="str">
        <f>'PLANILHA ORÇAMENTÁRIA'!D8</f>
        <v>SERVIÇOS PRELIMINARES</v>
      </c>
      <c r="C8" s="397" t="s">
        <v>1010</v>
      </c>
      <c r="D8" s="398">
        <f>D9/$D$50</f>
        <v>1.0166403907509719E-2</v>
      </c>
      <c r="E8" s="399">
        <f>E9/$D$9</f>
        <v>1</v>
      </c>
      <c r="F8" s="399"/>
      <c r="G8" s="399"/>
      <c r="H8" s="399"/>
      <c r="I8" s="399"/>
      <c r="J8" s="399"/>
      <c r="K8" s="399"/>
      <c r="L8" s="399"/>
      <c r="M8" s="399"/>
      <c r="N8" s="399"/>
      <c r="O8" s="399"/>
      <c r="P8" s="399"/>
      <c r="Q8" s="383">
        <f>SUM(E8:P8)</f>
        <v>1</v>
      </c>
    </row>
    <row r="9" spans="1:17" ht="24.95" customHeight="1" thickBot="1" x14ac:dyDescent="0.3">
      <c r="A9" s="446"/>
      <c r="B9" s="444"/>
      <c r="C9" s="400" t="s">
        <v>1011</v>
      </c>
      <c r="D9" s="401">
        <f>'PLANILHA ORÇAMENTÁRIA'!I22</f>
        <v>13389.2</v>
      </c>
      <c r="E9" s="402">
        <f>D9</f>
        <v>13389.2</v>
      </c>
      <c r="F9" s="402"/>
      <c r="G9" s="402"/>
      <c r="H9" s="402"/>
      <c r="I9" s="402"/>
      <c r="J9" s="402"/>
      <c r="K9" s="402"/>
      <c r="L9" s="402"/>
      <c r="M9" s="402"/>
      <c r="N9" s="402"/>
      <c r="O9" s="402"/>
      <c r="P9" s="402"/>
      <c r="Q9" s="383">
        <f t="shared" ref="Q9:Q49" si="0">SUM(E9:P9)</f>
        <v>13389.2</v>
      </c>
    </row>
    <row r="10" spans="1:17" ht="24.95" customHeight="1" x14ac:dyDescent="0.25">
      <c r="A10" s="445" t="s">
        <v>22</v>
      </c>
      <c r="B10" s="443" t="str">
        <f>'PLANILHA ORÇAMENTÁRIA'!D23</f>
        <v>INSTALAÇÃO DO CANTEIRO DE OBRAS</v>
      </c>
      <c r="C10" s="397" t="s">
        <v>1010</v>
      </c>
      <c r="D10" s="398">
        <f>D11/$D$50</f>
        <v>6.1563645494826055E-2</v>
      </c>
      <c r="E10" s="399">
        <f>E11/$D$11</f>
        <v>0.5</v>
      </c>
      <c r="F10" s="399">
        <f>F11/$D$11</f>
        <v>0.5</v>
      </c>
      <c r="G10" s="399"/>
      <c r="H10" s="399"/>
      <c r="I10" s="399"/>
      <c r="J10" s="399"/>
      <c r="K10" s="399"/>
      <c r="L10" s="399"/>
      <c r="M10" s="399"/>
      <c r="N10" s="399"/>
      <c r="O10" s="399"/>
      <c r="P10" s="399"/>
      <c r="Q10" s="383">
        <f t="shared" si="0"/>
        <v>1</v>
      </c>
    </row>
    <row r="11" spans="1:17" ht="24.95" customHeight="1" thickBot="1" x14ac:dyDescent="0.3">
      <c r="A11" s="446"/>
      <c r="B11" s="444"/>
      <c r="C11" s="400" t="s">
        <v>1011</v>
      </c>
      <c r="D11" s="401">
        <f>'PLANILHA ORÇAMENTÁRIA'!I39</f>
        <v>81079.600000000006</v>
      </c>
      <c r="E11" s="402">
        <f>D11/2</f>
        <v>40539.800000000003</v>
      </c>
      <c r="F11" s="402">
        <f>D11/2</f>
        <v>40539.800000000003</v>
      </c>
      <c r="G11" s="402"/>
      <c r="H11" s="402"/>
      <c r="I11" s="402"/>
      <c r="J11" s="402"/>
      <c r="K11" s="402"/>
      <c r="L11" s="402"/>
      <c r="M11" s="402"/>
      <c r="N11" s="402"/>
      <c r="O11" s="402"/>
      <c r="P11" s="402"/>
      <c r="Q11" s="383">
        <f t="shared" si="0"/>
        <v>81079.600000000006</v>
      </c>
    </row>
    <row r="12" spans="1:17" ht="24.95" customHeight="1" x14ac:dyDescent="0.25">
      <c r="A12" s="445" t="s">
        <v>61</v>
      </c>
      <c r="B12" s="443" t="str">
        <f>'PLANILHA ORÇAMENTÁRIA'!D40</f>
        <v xml:space="preserve"> MOVIMENTO DE TERRA</v>
      </c>
      <c r="C12" s="397" t="s">
        <v>1010</v>
      </c>
      <c r="D12" s="398">
        <f>D13/$D$50</f>
        <v>3.6756160588149227E-2</v>
      </c>
      <c r="E12" s="399"/>
      <c r="F12" s="399">
        <f>F13/$D$13</f>
        <v>0.8</v>
      </c>
      <c r="G12" s="399">
        <f>G13/$D$13</f>
        <v>0.2</v>
      </c>
      <c r="H12" s="403"/>
      <c r="I12" s="403"/>
      <c r="J12" s="403"/>
      <c r="K12" s="403"/>
      <c r="L12" s="403"/>
      <c r="M12" s="403"/>
      <c r="N12" s="403"/>
      <c r="O12" s="403"/>
      <c r="P12" s="403"/>
      <c r="Q12" s="383">
        <f t="shared" si="0"/>
        <v>1</v>
      </c>
    </row>
    <row r="13" spans="1:17" ht="24.95" customHeight="1" thickBot="1" x14ac:dyDescent="0.3">
      <c r="A13" s="446"/>
      <c r="B13" s="444"/>
      <c r="C13" s="400" t="s">
        <v>1011</v>
      </c>
      <c r="D13" s="401">
        <f>'PLANILHA ORÇAMENTÁRIA'!I48</f>
        <v>48408.03</v>
      </c>
      <c r="E13" s="402"/>
      <c r="F13" s="402">
        <f>D13*0.8</f>
        <v>38726.423999999999</v>
      </c>
      <c r="G13" s="402">
        <f>D13-F13</f>
        <v>9681.6059999999998</v>
      </c>
      <c r="H13" s="402"/>
      <c r="I13" s="402"/>
      <c r="J13" s="402"/>
      <c r="K13" s="402"/>
      <c r="L13" s="402"/>
      <c r="M13" s="402"/>
      <c r="N13" s="402"/>
      <c r="O13" s="402"/>
      <c r="P13" s="402"/>
      <c r="Q13" s="383">
        <f t="shared" si="0"/>
        <v>48408.03</v>
      </c>
    </row>
    <row r="14" spans="1:17" ht="24.95" customHeight="1" x14ac:dyDescent="0.25">
      <c r="A14" s="445" t="s">
        <v>73</v>
      </c>
      <c r="B14" s="443" t="str">
        <f>'PLANILHA ORÇAMENTÁRIA'!D49</f>
        <v>ESTRUTURAS</v>
      </c>
      <c r="C14" s="397" t="s">
        <v>1010</v>
      </c>
      <c r="D14" s="398">
        <f>D15/$D$50</f>
        <v>0.17364152878046668</v>
      </c>
      <c r="E14" s="404"/>
      <c r="F14" s="399">
        <f>F15/$D$15</f>
        <v>0.19999999999999998</v>
      </c>
      <c r="G14" s="399">
        <f t="shared" ref="G14:J14" si="1">G15/$D$15</f>
        <v>0.19999999999999998</v>
      </c>
      <c r="H14" s="399">
        <f t="shared" si="1"/>
        <v>0.19999999999999998</v>
      </c>
      <c r="I14" s="399">
        <f t="shared" si="1"/>
        <v>0.19999999999999998</v>
      </c>
      <c r="J14" s="399">
        <f t="shared" si="1"/>
        <v>0.19999999999999998</v>
      </c>
      <c r="K14" s="403"/>
      <c r="L14" s="404"/>
      <c r="M14" s="404"/>
      <c r="N14" s="404"/>
      <c r="O14" s="404"/>
      <c r="P14" s="404"/>
      <c r="Q14" s="383">
        <f t="shared" si="0"/>
        <v>0.99999999999999989</v>
      </c>
    </row>
    <row r="15" spans="1:17" ht="24.95" customHeight="1" thickBot="1" x14ac:dyDescent="0.3">
      <c r="A15" s="446"/>
      <c r="B15" s="444"/>
      <c r="C15" s="400" t="s">
        <v>1011</v>
      </c>
      <c r="D15" s="401">
        <f>'PLANILHA ORÇAMENTÁRIA'!I65</f>
        <v>228686.68</v>
      </c>
      <c r="E15" s="402">
        <v>0</v>
      </c>
      <c r="F15" s="402">
        <f>D15/5</f>
        <v>45737.335999999996</v>
      </c>
      <c r="G15" s="402">
        <f>D15/5</f>
        <v>45737.335999999996</v>
      </c>
      <c r="H15" s="402">
        <f>D15/5</f>
        <v>45737.335999999996</v>
      </c>
      <c r="I15" s="402">
        <f>D15/5</f>
        <v>45737.335999999996</v>
      </c>
      <c r="J15" s="402">
        <f>D15/5</f>
        <v>45737.335999999996</v>
      </c>
      <c r="K15" s="402"/>
      <c r="L15" s="402"/>
      <c r="M15" s="402"/>
      <c r="N15" s="402"/>
      <c r="O15" s="402"/>
      <c r="P15" s="402"/>
      <c r="Q15" s="383">
        <f t="shared" si="0"/>
        <v>228686.68</v>
      </c>
    </row>
    <row r="16" spans="1:17" ht="24.95" customHeight="1" x14ac:dyDescent="0.25">
      <c r="A16" s="445" t="s">
        <v>83</v>
      </c>
      <c r="B16" s="451" t="str">
        <f>'PLANILHA ORÇAMENTÁRIA'!D66</f>
        <v>PAREDES E PAINÉIS</v>
      </c>
      <c r="C16" s="397" t="s">
        <v>1010</v>
      </c>
      <c r="D16" s="398">
        <f>D17/$D$50</f>
        <v>4.1545817613854376E-2</v>
      </c>
      <c r="E16" s="404"/>
      <c r="F16" s="404"/>
      <c r="G16" s="404"/>
      <c r="H16" s="404"/>
      <c r="I16" s="404">
        <f>I17/$D$17</f>
        <v>0.25</v>
      </c>
      <c r="J16" s="404">
        <f t="shared" ref="J16:K16" si="2">J17/$D$17</f>
        <v>0.25</v>
      </c>
      <c r="K16" s="404">
        <f t="shared" si="2"/>
        <v>0.5</v>
      </c>
      <c r="L16" s="404"/>
      <c r="M16" s="404"/>
      <c r="N16" s="404"/>
      <c r="O16" s="404"/>
      <c r="P16" s="404"/>
      <c r="Q16" s="383">
        <f t="shared" si="0"/>
        <v>1</v>
      </c>
    </row>
    <row r="17" spans="1:17" ht="24.95" customHeight="1" thickBot="1" x14ac:dyDescent="0.3">
      <c r="A17" s="446"/>
      <c r="B17" s="452"/>
      <c r="C17" s="400" t="s">
        <v>1011</v>
      </c>
      <c r="D17" s="401">
        <f>'PLANILHA ORÇAMENTÁRIA'!I75</f>
        <v>54716.030000000006</v>
      </c>
      <c r="E17" s="402">
        <v>0</v>
      </c>
      <c r="F17" s="402"/>
      <c r="G17" s="402"/>
      <c r="H17" s="402"/>
      <c r="I17" s="402">
        <f>D17/4</f>
        <v>13679.007500000002</v>
      </c>
      <c r="J17" s="402">
        <f>D17/4</f>
        <v>13679.007500000002</v>
      </c>
      <c r="K17" s="402">
        <f>D17*0.5</f>
        <v>27358.015000000003</v>
      </c>
      <c r="L17" s="402"/>
      <c r="M17" s="402"/>
      <c r="N17" s="402"/>
      <c r="O17" s="402"/>
      <c r="P17" s="402"/>
      <c r="Q17" s="383">
        <f t="shared" si="0"/>
        <v>54716.030000000006</v>
      </c>
    </row>
    <row r="18" spans="1:17" ht="24.95" customHeight="1" x14ac:dyDescent="0.25">
      <c r="A18" s="445" t="s">
        <v>93</v>
      </c>
      <c r="B18" s="443" t="str">
        <f>'PLANILHA ORÇAMENTÁRIA'!D76</f>
        <v>ESQUADRIAS DE MADEIRA</v>
      </c>
      <c r="C18" s="397" t="s">
        <v>1010</v>
      </c>
      <c r="D18" s="398">
        <f>D19/$D$50</f>
        <v>2.8683257452425007E-2</v>
      </c>
      <c r="E18" s="404"/>
      <c r="F18" s="404"/>
      <c r="G18" s="404"/>
      <c r="H18" s="404"/>
      <c r="I18" s="404"/>
      <c r="J18" s="404"/>
      <c r="K18" s="404"/>
      <c r="L18" s="404">
        <f>L19/$D$19</f>
        <v>0.3</v>
      </c>
      <c r="M18" s="404">
        <f>M19/$D$19</f>
        <v>0.7</v>
      </c>
      <c r="N18" s="404"/>
      <c r="O18" s="404"/>
      <c r="P18" s="404"/>
      <c r="Q18" s="383">
        <f t="shared" si="0"/>
        <v>1</v>
      </c>
    </row>
    <row r="19" spans="1:17" ht="24.95" customHeight="1" thickBot="1" x14ac:dyDescent="0.3">
      <c r="A19" s="446"/>
      <c r="B19" s="444"/>
      <c r="C19" s="400" t="s">
        <v>1011</v>
      </c>
      <c r="D19" s="401">
        <f>'PLANILHA ORÇAMENTÁRIA'!I85</f>
        <v>37775.979999999996</v>
      </c>
      <c r="E19" s="402">
        <v>0</v>
      </c>
      <c r="F19" s="402"/>
      <c r="G19" s="402"/>
      <c r="H19" s="402"/>
      <c r="I19" s="402"/>
      <c r="J19" s="402"/>
      <c r="K19" s="402"/>
      <c r="L19" s="402">
        <f>D19*0.3</f>
        <v>11332.793999999998</v>
      </c>
      <c r="M19" s="402">
        <f>D19*0.7</f>
        <v>26443.185999999994</v>
      </c>
      <c r="N19" s="402"/>
      <c r="O19" s="402"/>
      <c r="P19" s="402"/>
      <c r="Q19" s="383">
        <f t="shared" si="0"/>
        <v>37775.979999999996</v>
      </c>
    </row>
    <row r="20" spans="1:17" ht="24.95" customHeight="1" x14ac:dyDescent="0.25">
      <c r="A20" s="445" t="s">
        <v>101</v>
      </c>
      <c r="B20" s="443" t="str">
        <f>'PLANILHA ORÇAMENTÁRIA'!D86</f>
        <v>ESQUADRIAS METÁLICAS</v>
      </c>
      <c r="C20" s="397" t="s">
        <v>1010</v>
      </c>
      <c r="D20" s="398">
        <f>D21/$D$50</f>
        <v>7.3608752127830565E-2</v>
      </c>
      <c r="E20" s="404"/>
      <c r="F20" s="404"/>
      <c r="G20" s="404"/>
      <c r="H20" s="404"/>
      <c r="I20" s="404"/>
      <c r="J20" s="404"/>
      <c r="K20" s="404"/>
      <c r="L20" s="404"/>
      <c r="M20" s="404">
        <f>M21/$D$21</f>
        <v>0.5</v>
      </c>
      <c r="N20" s="404">
        <f>N21/$D$21</f>
        <v>0.5</v>
      </c>
      <c r="O20" s="404"/>
      <c r="P20" s="404"/>
      <c r="Q20" s="383">
        <f t="shared" si="0"/>
        <v>1</v>
      </c>
    </row>
    <row r="21" spans="1:17" ht="24.95" customHeight="1" thickBot="1" x14ac:dyDescent="0.3">
      <c r="A21" s="446"/>
      <c r="B21" s="444"/>
      <c r="C21" s="400" t="s">
        <v>1011</v>
      </c>
      <c r="D21" s="401">
        <f>'PLANILHA ORÇAMENTÁRIA'!I94</f>
        <v>96943.06</v>
      </c>
      <c r="E21" s="402"/>
      <c r="F21" s="402"/>
      <c r="G21" s="402"/>
      <c r="H21" s="402"/>
      <c r="I21" s="402"/>
      <c r="J21" s="402"/>
      <c r="K21" s="402"/>
      <c r="L21" s="402"/>
      <c r="M21" s="402">
        <f>D21/2</f>
        <v>48471.53</v>
      </c>
      <c r="N21" s="402">
        <f>D21-M21</f>
        <v>48471.53</v>
      </c>
      <c r="O21" s="402"/>
      <c r="P21" s="402"/>
      <c r="Q21" s="383">
        <f t="shared" si="0"/>
        <v>96943.06</v>
      </c>
    </row>
    <row r="22" spans="1:17" ht="24.95" customHeight="1" x14ac:dyDescent="0.25">
      <c r="A22" s="445" t="s">
        <v>1012</v>
      </c>
      <c r="B22" s="443" t="str">
        <f>'PLANILHA ORÇAMENTÁRIA'!D95</f>
        <v>VIDROS E ESPELHOS</v>
      </c>
      <c r="C22" s="397" t="s">
        <v>1010</v>
      </c>
      <c r="D22" s="398">
        <f>D23/$D$50</f>
        <v>1.4957450450075519E-2</v>
      </c>
      <c r="E22" s="404"/>
      <c r="F22" s="404"/>
      <c r="G22" s="404"/>
      <c r="H22" s="404"/>
      <c r="I22" s="404"/>
      <c r="J22" s="404"/>
      <c r="K22" s="404"/>
      <c r="L22" s="404"/>
      <c r="M22" s="404">
        <f>M23/D23</f>
        <v>0.9</v>
      </c>
      <c r="N22" s="404"/>
      <c r="O22" s="404">
        <f>O23/D23</f>
        <v>9.9999999999999922E-2</v>
      </c>
      <c r="P22" s="404"/>
      <c r="Q22" s="383">
        <f t="shared" si="0"/>
        <v>1</v>
      </c>
    </row>
    <row r="23" spans="1:17" ht="24.95" customHeight="1" thickBot="1" x14ac:dyDescent="0.3">
      <c r="A23" s="446"/>
      <c r="B23" s="444"/>
      <c r="C23" s="400" t="s">
        <v>1011</v>
      </c>
      <c r="D23" s="401">
        <f>'PLANILHA ORÇAMENTÁRIA'!I100</f>
        <v>19699.03</v>
      </c>
      <c r="E23" s="402">
        <v>0</v>
      </c>
      <c r="F23" s="402"/>
      <c r="G23" s="402"/>
      <c r="H23" s="402"/>
      <c r="I23" s="402"/>
      <c r="J23" s="402"/>
      <c r="K23" s="402"/>
      <c r="L23" s="402"/>
      <c r="M23" s="402">
        <f>D23*0.9</f>
        <v>17729.127</v>
      </c>
      <c r="N23" s="402"/>
      <c r="O23" s="402">
        <f>D23-M23</f>
        <v>1969.9029999999984</v>
      </c>
      <c r="P23" s="402"/>
      <c r="Q23" s="383">
        <f t="shared" si="0"/>
        <v>19699.03</v>
      </c>
    </row>
    <row r="24" spans="1:17" ht="24.95" customHeight="1" x14ac:dyDescent="0.25">
      <c r="A24" s="445" t="s">
        <v>120</v>
      </c>
      <c r="B24" s="443" t="str">
        <f>'PLANILHA ORÇAMENTÁRIA'!D101</f>
        <v>COBERTURA</v>
      </c>
      <c r="C24" s="397" t="s">
        <v>1010</v>
      </c>
      <c r="D24" s="398">
        <f>D25/$D$50</f>
        <v>4.5352425629090282E-2</v>
      </c>
      <c r="E24" s="404"/>
      <c r="F24" s="404"/>
      <c r="G24" s="404"/>
      <c r="H24" s="404"/>
      <c r="I24" s="404"/>
      <c r="J24" s="404"/>
      <c r="K24" s="404"/>
      <c r="L24" s="404">
        <f>L25/D25</f>
        <v>1</v>
      </c>
      <c r="M24" s="404"/>
      <c r="N24" s="404"/>
      <c r="O24" s="404"/>
      <c r="P24" s="404"/>
      <c r="Q24" s="383">
        <f t="shared" si="0"/>
        <v>1</v>
      </c>
    </row>
    <row r="25" spans="1:17" ht="24.95" customHeight="1" thickBot="1" x14ac:dyDescent="0.3">
      <c r="A25" s="446"/>
      <c r="B25" s="444"/>
      <c r="C25" s="400" t="s">
        <v>1011</v>
      </c>
      <c r="D25" s="401">
        <f>'PLANILHA ORÇAMENTÁRIA'!I110</f>
        <v>59729.35</v>
      </c>
      <c r="E25" s="402">
        <v>0</v>
      </c>
      <c r="F25" s="402"/>
      <c r="G25" s="402"/>
      <c r="H25" s="402"/>
      <c r="I25" s="402"/>
      <c r="J25" s="402"/>
      <c r="K25" s="402"/>
      <c r="L25" s="402">
        <f>D25</f>
        <v>59729.35</v>
      </c>
      <c r="M25" s="402"/>
      <c r="N25" s="402"/>
      <c r="O25" s="402"/>
      <c r="P25" s="402"/>
      <c r="Q25" s="383">
        <f t="shared" si="0"/>
        <v>59729.35</v>
      </c>
    </row>
    <row r="26" spans="1:17" ht="24.95" customHeight="1" x14ac:dyDescent="0.25">
      <c r="A26" s="459">
        <v>10</v>
      </c>
      <c r="B26" s="443" t="str">
        <f>'PLANILHA ORÇAMENTÁRIA'!D111</f>
        <v>IMPERMEABILIZAÇÃO</v>
      </c>
      <c r="C26" s="397" t="s">
        <v>1010</v>
      </c>
      <c r="D26" s="398">
        <f>D27/$D$50</f>
        <v>2.557800617435993E-2</v>
      </c>
      <c r="E26" s="404"/>
      <c r="F26" s="404">
        <f>F27/$D$27</f>
        <v>0.35</v>
      </c>
      <c r="G26" s="404">
        <f>G27/$D$27</f>
        <v>0.35</v>
      </c>
      <c r="H26" s="404"/>
      <c r="I26" s="404"/>
      <c r="J26" s="404"/>
      <c r="K26" s="404">
        <f>K27/$D$27</f>
        <v>0.3</v>
      </c>
      <c r="L26" s="404"/>
      <c r="M26" s="404"/>
      <c r="N26" s="404"/>
      <c r="O26" s="404"/>
      <c r="P26" s="404"/>
      <c r="Q26" s="383">
        <f t="shared" si="0"/>
        <v>1</v>
      </c>
    </row>
    <row r="27" spans="1:17" ht="24.95" customHeight="1" thickBot="1" x14ac:dyDescent="0.3">
      <c r="A27" s="460"/>
      <c r="B27" s="444"/>
      <c r="C27" s="400" t="s">
        <v>1011</v>
      </c>
      <c r="D27" s="401">
        <f>'PLANILHA ORÇAMENTÁRIA'!I115</f>
        <v>33686.35</v>
      </c>
      <c r="E27" s="402">
        <v>0</v>
      </c>
      <c r="F27" s="402">
        <f>D27*0.35</f>
        <v>11790.222499999998</v>
      </c>
      <c r="G27" s="402">
        <f>D27*0.35</f>
        <v>11790.222499999998</v>
      </c>
      <c r="H27" s="402"/>
      <c r="I27" s="402"/>
      <c r="J27" s="402"/>
      <c r="K27" s="402">
        <f>D27*0.3</f>
        <v>10105.904999999999</v>
      </c>
      <c r="L27" s="402"/>
      <c r="M27" s="402"/>
      <c r="N27" s="402"/>
      <c r="O27" s="402"/>
      <c r="P27" s="402"/>
      <c r="Q27" s="383">
        <f t="shared" si="0"/>
        <v>33686.349999999991</v>
      </c>
    </row>
    <row r="28" spans="1:17" ht="24.95" customHeight="1" x14ac:dyDescent="0.25">
      <c r="A28" s="445" t="s">
        <v>1253</v>
      </c>
      <c r="B28" s="443" t="str">
        <f>'PLANILHA ORÇAMENTÁRIA'!D116</f>
        <v>TETOS E FORROS</v>
      </c>
      <c r="C28" s="397" t="s">
        <v>1010</v>
      </c>
      <c r="D28" s="398">
        <f>D29/$D$50</f>
        <v>9.234258290668141E-3</v>
      </c>
      <c r="E28" s="404"/>
      <c r="F28" s="404"/>
      <c r="G28" s="404"/>
      <c r="H28" s="404"/>
      <c r="I28" s="404"/>
      <c r="J28" s="404"/>
      <c r="K28" s="404"/>
      <c r="L28" s="404"/>
      <c r="M28" s="404">
        <f>M29/D29</f>
        <v>1</v>
      </c>
      <c r="N28" s="404"/>
      <c r="O28" s="404"/>
      <c r="P28" s="404"/>
      <c r="Q28" s="383">
        <f t="shared" si="0"/>
        <v>1</v>
      </c>
    </row>
    <row r="29" spans="1:17" ht="24.95" customHeight="1" thickBot="1" x14ac:dyDescent="0.3">
      <c r="A29" s="446"/>
      <c r="B29" s="444"/>
      <c r="C29" s="400" t="s">
        <v>1011</v>
      </c>
      <c r="D29" s="401">
        <f>'PLANILHA ORÇAMENTÁRIA'!I119</f>
        <v>12161.56</v>
      </c>
      <c r="E29" s="402">
        <v>0</v>
      </c>
      <c r="F29" s="402"/>
      <c r="G29" s="402"/>
      <c r="H29" s="402"/>
      <c r="I29" s="402"/>
      <c r="J29" s="402"/>
      <c r="K29" s="402"/>
      <c r="L29" s="402"/>
      <c r="M29" s="402">
        <f>D29</f>
        <v>12161.56</v>
      </c>
      <c r="N29" s="402"/>
      <c r="O29" s="402"/>
      <c r="P29" s="402"/>
      <c r="Q29" s="383">
        <f t="shared" si="0"/>
        <v>12161.56</v>
      </c>
    </row>
    <row r="30" spans="1:17" ht="24.95" customHeight="1" x14ac:dyDescent="0.25">
      <c r="A30" s="445" t="s">
        <v>1254</v>
      </c>
      <c r="B30" s="443" t="str">
        <f>'PLANILHA ORÇAMENTÁRIA'!D120</f>
        <v>REVESTIMENTO DE PAREDES</v>
      </c>
      <c r="C30" s="397" t="s">
        <v>1010</v>
      </c>
      <c r="D30" s="398">
        <f>D31/$D$50</f>
        <v>7.4670024103865459E-2</v>
      </c>
      <c r="E30" s="404"/>
      <c r="F30" s="404"/>
      <c r="G30" s="404"/>
      <c r="H30" s="404"/>
      <c r="I30" s="404"/>
      <c r="J30" s="404"/>
      <c r="K30" s="404">
        <f>K31/D31</f>
        <v>0.5</v>
      </c>
      <c r="L30" s="404">
        <f>L31/D31</f>
        <v>0.5</v>
      </c>
      <c r="M30" s="404"/>
      <c r="N30" s="404"/>
      <c r="O30" s="404"/>
      <c r="P30" s="404"/>
      <c r="Q30" s="383">
        <f t="shared" si="0"/>
        <v>1</v>
      </c>
    </row>
    <row r="31" spans="1:17" ht="24.95" customHeight="1" thickBot="1" x14ac:dyDescent="0.3">
      <c r="A31" s="446"/>
      <c r="B31" s="444"/>
      <c r="C31" s="400" t="s">
        <v>1011</v>
      </c>
      <c r="D31" s="401">
        <f>'PLANILHA ORÇAMENTÁRIA'!I127</f>
        <v>98340.760000000009</v>
      </c>
      <c r="E31" s="402">
        <v>0</v>
      </c>
      <c r="F31" s="402"/>
      <c r="G31" s="402"/>
      <c r="H31" s="402"/>
      <c r="I31" s="402"/>
      <c r="J31" s="402"/>
      <c r="K31" s="402">
        <f>D31*0.5</f>
        <v>49170.380000000005</v>
      </c>
      <c r="L31" s="402">
        <f>D31*0.5</f>
        <v>49170.380000000005</v>
      </c>
      <c r="M31" s="402"/>
      <c r="N31" s="402"/>
      <c r="O31" s="402"/>
      <c r="P31" s="402"/>
      <c r="Q31" s="383">
        <f t="shared" si="0"/>
        <v>98340.760000000009</v>
      </c>
    </row>
    <row r="32" spans="1:17" ht="24.95" customHeight="1" x14ac:dyDescent="0.25">
      <c r="A32" s="459">
        <v>13</v>
      </c>
      <c r="B32" s="443" t="str">
        <f>'PLANILHA ORÇAMENTÁRIA'!D128</f>
        <v>PISOS INTERNOS E EXTERNOS</v>
      </c>
      <c r="C32" s="397" t="s">
        <v>1010</v>
      </c>
      <c r="D32" s="398">
        <f>D33/$D$50</f>
        <v>8.7983288865376943E-2</v>
      </c>
      <c r="E32" s="404"/>
      <c r="F32" s="404">
        <f>F33/D33</f>
        <v>0.15</v>
      </c>
      <c r="G32" s="404"/>
      <c r="H32" s="404"/>
      <c r="I32" s="404"/>
      <c r="J32" s="404"/>
      <c r="K32" s="404"/>
      <c r="L32" s="404">
        <f>L33/D33</f>
        <v>0.6</v>
      </c>
      <c r="M32" s="404">
        <f>M33/D33</f>
        <v>0.25</v>
      </c>
      <c r="N32" s="404"/>
      <c r="O32" s="404"/>
      <c r="P32" s="404"/>
      <c r="Q32" s="383">
        <f t="shared" si="0"/>
        <v>1</v>
      </c>
    </row>
    <row r="33" spans="1:17" ht="24.95" customHeight="1" thickBot="1" x14ac:dyDescent="0.3">
      <c r="A33" s="460"/>
      <c r="B33" s="444"/>
      <c r="C33" s="400" t="s">
        <v>1011</v>
      </c>
      <c r="D33" s="401">
        <f>'PLANILHA ORÇAMENTÁRIA'!I142</f>
        <v>115874.39</v>
      </c>
      <c r="E33" s="402"/>
      <c r="F33" s="402">
        <f>D33*0.15</f>
        <v>17381.158499999998</v>
      </c>
      <c r="G33" s="402"/>
      <c r="H33" s="402"/>
      <c r="I33" s="402"/>
      <c r="J33" s="402"/>
      <c r="K33" s="402"/>
      <c r="L33" s="402">
        <f>D33*0.6</f>
        <v>69524.633999999991</v>
      </c>
      <c r="M33" s="402">
        <f>D33*0.25</f>
        <v>28968.5975</v>
      </c>
      <c r="N33" s="402"/>
      <c r="O33" s="402"/>
      <c r="P33" s="402"/>
      <c r="Q33" s="383">
        <f t="shared" si="0"/>
        <v>115874.38999999998</v>
      </c>
    </row>
    <row r="34" spans="1:17" ht="24.95" customHeight="1" x14ac:dyDescent="0.25">
      <c r="A34" s="459">
        <v>14</v>
      </c>
      <c r="B34" s="443" t="str">
        <f>'PLANILHA ORÇAMENTÁRIA'!D143</f>
        <v>INSTALAÇÕES HIDRO-SANITÁRIAS</v>
      </c>
      <c r="C34" s="397" t="s">
        <v>1010</v>
      </c>
      <c r="D34" s="398">
        <f>D35/$D$50</f>
        <v>1.8512973527889075E-2</v>
      </c>
      <c r="E34" s="404"/>
      <c r="F34" s="404"/>
      <c r="G34" s="404"/>
      <c r="H34" s="404"/>
      <c r="I34" s="404"/>
      <c r="J34" s="404">
        <f>J35/D35</f>
        <v>0.5</v>
      </c>
      <c r="K34" s="404">
        <f>K35/D35</f>
        <v>0.5</v>
      </c>
      <c r="L34" s="404"/>
      <c r="M34" s="404"/>
      <c r="N34" s="404"/>
      <c r="O34" s="404"/>
      <c r="P34" s="404"/>
      <c r="Q34" s="383">
        <f t="shared" si="0"/>
        <v>1</v>
      </c>
    </row>
    <row r="35" spans="1:17" ht="24.95" customHeight="1" thickBot="1" x14ac:dyDescent="0.3">
      <c r="A35" s="460"/>
      <c r="B35" s="444"/>
      <c r="C35" s="400" t="s">
        <v>1011</v>
      </c>
      <c r="D35" s="401">
        <f>'PLANILHA ORÇAMENTÁRIA'!I169</f>
        <v>24381.669999999995</v>
      </c>
      <c r="E35" s="402"/>
      <c r="F35" s="402"/>
      <c r="G35" s="402"/>
      <c r="H35" s="402"/>
      <c r="I35" s="402"/>
      <c r="J35" s="402">
        <f>D35*0.5</f>
        <v>12190.834999999997</v>
      </c>
      <c r="K35" s="402">
        <f>J35</f>
        <v>12190.834999999997</v>
      </c>
      <c r="L35" s="402"/>
      <c r="M35" s="402"/>
      <c r="N35" s="402"/>
      <c r="O35" s="402"/>
      <c r="P35" s="402"/>
      <c r="Q35" s="383">
        <f t="shared" si="0"/>
        <v>24381.669999999995</v>
      </c>
    </row>
    <row r="36" spans="1:17" ht="24.95" customHeight="1" x14ac:dyDescent="0.25">
      <c r="A36" s="459">
        <v>15</v>
      </c>
      <c r="B36" s="443" t="str">
        <f>'PLANILHA ORÇAMENTÁRIA'!D170</f>
        <v>INSTALAÇÕES ELÉTRICAS</v>
      </c>
      <c r="C36" s="397" t="s">
        <v>1010</v>
      </c>
      <c r="D36" s="398">
        <f>D37/$D$50</f>
        <v>4.2427234475799408E-2</v>
      </c>
      <c r="E36" s="404"/>
      <c r="F36" s="404"/>
      <c r="G36" s="404"/>
      <c r="H36" s="404"/>
      <c r="I36" s="404"/>
      <c r="J36" s="404"/>
      <c r="K36" s="404"/>
      <c r="L36" s="404">
        <f>L37/D37</f>
        <v>0.5</v>
      </c>
      <c r="M36" s="404">
        <f>M37/D37</f>
        <v>0.5</v>
      </c>
      <c r="N36" s="404"/>
      <c r="O36" s="404"/>
      <c r="P36" s="404"/>
      <c r="Q36" s="383">
        <f t="shared" si="0"/>
        <v>1</v>
      </c>
    </row>
    <row r="37" spans="1:17" ht="24.95" customHeight="1" thickBot="1" x14ac:dyDescent="0.3">
      <c r="A37" s="460"/>
      <c r="B37" s="444"/>
      <c r="C37" s="400" t="s">
        <v>1011</v>
      </c>
      <c r="D37" s="401">
        <f>'PLANILHA ORÇAMENTÁRIA'!I202</f>
        <v>55876.86</v>
      </c>
      <c r="E37" s="402"/>
      <c r="F37" s="402"/>
      <c r="G37" s="402"/>
      <c r="H37" s="402"/>
      <c r="I37" s="402"/>
      <c r="J37" s="402"/>
      <c r="K37" s="402"/>
      <c r="L37" s="402">
        <f>D37*0.5</f>
        <v>27938.43</v>
      </c>
      <c r="M37" s="402">
        <f>L37</f>
        <v>27938.43</v>
      </c>
      <c r="N37" s="402"/>
      <c r="O37" s="402"/>
      <c r="P37" s="402"/>
      <c r="Q37" s="383">
        <f t="shared" si="0"/>
        <v>55876.86</v>
      </c>
    </row>
    <row r="38" spans="1:17" ht="24.95" customHeight="1" x14ac:dyDescent="0.25">
      <c r="A38" s="459">
        <v>16</v>
      </c>
      <c r="B38" s="443" t="str">
        <f>'PLANILHA ORÇAMENTÁRIA'!D203</f>
        <v>OUTRAS INSTALAÇÕES</v>
      </c>
      <c r="C38" s="397" t="s">
        <v>1010</v>
      </c>
      <c r="D38" s="398">
        <f>D39/$D$50</f>
        <v>4.7135904688194201E-3</v>
      </c>
      <c r="E38" s="404"/>
      <c r="F38" s="404"/>
      <c r="G38" s="404"/>
      <c r="H38" s="404"/>
      <c r="I38" s="404"/>
      <c r="J38" s="404"/>
      <c r="K38" s="404"/>
      <c r="L38" s="404"/>
      <c r="M38" s="404"/>
      <c r="N38" s="404">
        <f>N39/D39</f>
        <v>1</v>
      </c>
      <c r="O38" s="404"/>
      <c r="P38" s="404"/>
      <c r="Q38" s="383">
        <f t="shared" si="0"/>
        <v>1</v>
      </c>
    </row>
    <row r="39" spans="1:17" ht="24.95" customHeight="1" thickBot="1" x14ac:dyDescent="0.3">
      <c r="A39" s="460"/>
      <c r="B39" s="444"/>
      <c r="C39" s="400" t="s">
        <v>1011</v>
      </c>
      <c r="D39" s="401">
        <f>'PLANILHA ORÇAMENTÁRIA'!I215</f>
        <v>6207.82</v>
      </c>
      <c r="E39" s="402"/>
      <c r="F39" s="402"/>
      <c r="G39" s="402"/>
      <c r="H39" s="402"/>
      <c r="I39" s="402"/>
      <c r="J39" s="402"/>
      <c r="K39" s="402"/>
      <c r="L39" s="402"/>
      <c r="M39" s="402"/>
      <c r="N39" s="402">
        <f>D39</f>
        <v>6207.82</v>
      </c>
      <c r="O39" s="402"/>
      <c r="P39" s="402"/>
      <c r="Q39" s="383">
        <f t="shared" si="0"/>
        <v>6207.82</v>
      </c>
    </row>
    <row r="40" spans="1:17" ht="24.95" customHeight="1" x14ac:dyDescent="0.25">
      <c r="A40" s="459">
        <v>17</v>
      </c>
      <c r="B40" s="443" t="str">
        <f>'PLANILHA ORÇAMENTÁRIA'!D216</f>
        <v>APARELHOS HIDRO-SANITÁRIOS</v>
      </c>
      <c r="C40" s="397" t="s">
        <v>1010</v>
      </c>
      <c r="D40" s="398">
        <f>D41/$D$50</f>
        <v>1.9341528005222576E-2</v>
      </c>
      <c r="E40" s="404"/>
      <c r="F40" s="404"/>
      <c r="G40" s="404"/>
      <c r="H40" s="404"/>
      <c r="I40" s="404"/>
      <c r="J40" s="404"/>
      <c r="K40" s="404"/>
      <c r="L40" s="404"/>
      <c r="M40" s="404"/>
      <c r="N40" s="404">
        <f>N41/D41</f>
        <v>1</v>
      </c>
      <c r="O40" s="404"/>
      <c r="P40" s="404"/>
      <c r="Q40" s="383">
        <f t="shared" si="0"/>
        <v>1</v>
      </c>
    </row>
    <row r="41" spans="1:17" ht="24.95" customHeight="1" thickBot="1" x14ac:dyDescent="0.3">
      <c r="A41" s="460"/>
      <c r="B41" s="444"/>
      <c r="C41" s="400" t="s">
        <v>1011</v>
      </c>
      <c r="D41" s="401">
        <f>'PLANILHA ORÇAMENTÁRIA'!I239</f>
        <v>25472.879999999997</v>
      </c>
      <c r="E41" s="402"/>
      <c r="F41" s="402"/>
      <c r="G41" s="402"/>
      <c r="H41" s="402"/>
      <c r="I41" s="402"/>
      <c r="J41" s="402"/>
      <c r="K41" s="402"/>
      <c r="L41" s="402"/>
      <c r="M41" s="402"/>
      <c r="N41" s="402">
        <f>D41</f>
        <v>25472.879999999997</v>
      </c>
      <c r="O41" s="402"/>
      <c r="P41" s="402"/>
      <c r="Q41" s="383">
        <f t="shared" si="0"/>
        <v>25472.879999999997</v>
      </c>
    </row>
    <row r="42" spans="1:17" ht="24.95" customHeight="1" x14ac:dyDescent="0.25">
      <c r="A42" s="459">
        <v>18</v>
      </c>
      <c r="B42" s="443" t="str">
        <f>'PLANILHA ORÇAMENTÁRIA'!D240</f>
        <v>APARELHOS ELÉTRICOS</v>
      </c>
      <c r="C42" s="397" t="s">
        <v>1010</v>
      </c>
      <c r="D42" s="398">
        <f>D43/$D$50</f>
        <v>7.0789050361125183E-3</v>
      </c>
      <c r="E42" s="404"/>
      <c r="F42" s="404"/>
      <c r="G42" s="404"/>
      <c r="H42" s="404"/>
      <c r="I42" s="404"/>
      <c r="J42" s="404"/>
      <c r="K42" s="404"/>
      <c r="L42" s="404"/>
      <c r="M42" s="404"/>
      <c r="N42" s="404">
        <f>N43/D43</f>
        <v>1</v>
      </c>
      <c r="O42" s="404"/>
      <c r="P42" s="404"/>
      <c r="Q42" s="383">
        <f t="shared" si="0"/>
        <v>1</v>
      </c>
    </row>
    <row r="43" spans="1:17" ht="24.95" customHeight="1" thickBot="1" x14ac:dyDescent="0.3">
      <c r="A43" s="460"/>
      <c r="B43" s="444"/>
      <c r="C43" s="400" t="s">
        <v>1011</v>
      </c>
      <c r="D43" s="401">
        <f>'PLANILHA ORÇAMENTÁRIA'!I259</f>
        <v>9322.9500000000007</v>
      </c>
      <c r="E43" s="402"/>
      <c r="F43" s="402"/>
      <c r="G43" s="402"/>
      <c r="H43" s="402"/>
      <c r="I43" s="402"/>
      <c r="J43" s="402"/>
      <c r="K43" s="402"/>
      <c r="L43" s="402"/>
      <c r="M43" s="402"/>
      <c r="N43" s="402">
        <f>D43</f>
        <v>9322.9500000000007</v>
      </c>
      <c r="O43" s="402"/>
      <c r="P43" s="402"/>
      <c r="Q43" s="383">
        <f t="shared" si="0"/>
        <v>9322.9500000000007</v>
      </c>
    </row>
    <row r="44" spans="1:17" ht="24.95" customHeight="1" x14ac:dyDescent="0.25">
      <c r="A44" s="459">
        <v>19</v>
      </c>
      <c r="B44" s="443" t="str">
        <f>'PLANILHA ORÇAMENTÁRIA'!D260</f>
        <v>PINTURA</v>
      </c>
      <c r="C44" s="397" t="s">
        <v>1010</v>
      </c>
      <c r="D44" s="398">
        <f>D45/$D$50</f>
        <v>5.477955341581095E-2</v>
      </c>
      <c r="E44" s="404"/>
      <c r="F44" s="404"/>
      <c r="G44" s="404"/>
      <c r="H44" s="404"/>
      <c r="I44" s="404"/>
      <c r="J44" s="404"/>
      <c r="K44" s="404"/>
      <c r="L44" s="404"/>
      <c r="M44" s="404"/>
      <c r="N44" s="404">
        <f>N45/D45</f>
        <v>0.5</v>
      </c>
      <c r="O44" s="404">
        <f>O45/D45</f>
        <v>0.5</v>
      </c>
      <c r="P44" s="404"/>
      <c r="Q44" s="383">
        <f t="shared" si="0"/>
        <v>1</v>
      </c>
    </row>
    <row r="45" spans="1:17" ht="24.95" customHeight="1" thickBot="1" x14ac:dyDescent="0.3">
      <c r="A45" s="460"/>
      <c r="B45" s="444"/>
      <c r="C45" s="400" t="s">
        <v>1011</v>
      </c>
      <c r="D45" s="401">
        <f>'PLANILHA ORÇAMENTÁRIA'!I270</f>
        <v>72144.92</v>
      </c>
      <c r="E45" s="402"/>
      <c r="F45" s="402"/>
      <c r="G45" s="402"/>
      <c r="H45" s="402"/>
      <c r="I45" s="402"/>
      <c r="J45" s="402"/>
      <c r="K45" s="402"/>
      <c r="L45" s="402"/>
      <c r="M45" s="402"/>
      <c r="N45" s="402">
        <f>D45*0.5</f>
        <v>36072.46</v>
      </c>
      <c r="O45" s="402">
        <f>D45*0.5</f>
        <v>36072.46</v>
      </c>
      <c r="P45" s="402"/>
      <c r="Q45" s="383">
        <f t="shared" si="0"/>
        <v>72144.92</v>
      </c>
    </row>
    <row r="46" spans="1:17" ht="24.95" customHeight="1" x14ac:dyDescent="0.25">
      <c r="A46" s="459">
        <v>20</v>
      </c>
      <c r="B46" s="443" t="str">
        <f>'PLANILHA ORÇAMENTÁRIA'!D271</f>
        <v>SERVIÇOS COMPLEMENTARES EXTERNOS</v>
      </c>
      <c r="C46" s="397" t="s">
        <v>1010</v>
      </c>
      <c r="D46" s="398">
        <f>D47/$D$50</f>
        <v>3.4707671051063121E-2</v>
      </c>
      <c r="E46" s="404"/>
      <c r="F46" s="404"/>
      <c r="G46" s="404"/>
      <c r="H46" s="404"/>
      <c r="I46" s="404"/>
      <c r="J46" s="404"/>
      <c r="K46" s="404"/>
      <c r="L46" s="404"/>
      <c r="M46" s="404"/>
      <c r="N46" s="404"/>
      <c r="O46" s="404"/>
      <c r="P46" s="404">
        <f>P47/D47</f>
        <v>1</v>
      </c>
      <c r="Q46" s="383">
        <f t="shared" si="0"/>
        <v>1</v>
      </c>
    </row>
    <row r="47" spans="1:17" ht="24.95" customHeight="1" thickBot="1" x14ac:dyDescent="0.3">
      <c r="A47" s="460"/>
      <c r="B47" s="444"/>
      <c r="C47" s="400" t="s">
        <v>1011</v>
      </c>
      <c r="D47" s="401">
        <f>'PLANILHA ORÇAMENTÁRIA'!I289</f>
        <v>45710.159999999996</v>
      </c>
      <c r="E47" s="402"/>
      <c r="F47" s="402"/>
      <c r="G47" s="402"/>
      <c r="H47" s="402"/>
      <c r="I47" s="402"/>
      <c r="J47" s="402"/>
      <c r="K47" s="402"/>
      <c r="L47" s="402"/>
      <c r="M47" s="402"/>
      <c r="N47" s="402"/>
      <c r="O47" s="402"/>
      <c r="P47" s="402">
        <f>D47</f>
        <v>45710.159999999996</v>
      </c>
      <c r="Q47" s="383">
        <f t="shared" si="0"/>
        <v>45710.159999999996</v>
      </c>
    </row>
    <row r="48" spans="1:17" ht="24.95" customHeight="1" x14ac:dyDescent="0.25">
      <c r="A48" s="459">
        <v>21</v>
      </c>
      <c r="B48" s="443" t="str">
        <f>'PLANILHA ORÇAMENTÁRIA'!D290</f>
        <v>SERVIÇOS COMPLEMENTARES INTERNOS</v>
      </c>
      <c r="C48" s="397" t="s">
        <v>1010</v>
      </c>
      <c r="D48" s="398">
        <f>D49/$D$50</f>
        <v>0.13469752454078496</v>
      </c>
      <c r="E48" s="404"/>
      <c r="F48" s="404"/>
      <c r="G48" s="404"/>
      <c r="H48" s="404"/>
      <c r="I48" s="404"/>
      <c r="J48" s="404"/>
      <c r="K48" s="404"/>
      <c r="L48" s="404"/>
      <c r="M48" s="404"/>
      <c r="N48" s="404"/>
      <c r="O48" s="404">
        <f>O49/D49</f>
        <v>0.7</v>
      </c>
      <c r="P48" s="404">
        <f>P49/D49</f>
        <v>0.3</v>
      </c>
      <c r="Q48" s="383">
        <f t="shared" si="0"/>
        <v>1</v>
      </c>
    </row>
    <row r="49" spans="1:17" ht="24.95" customHeight="1" thickBot="1" x14ac:dyDescent="0.3">
      <c r="A49" s="460"/>
      <c r="B49" s="444"/>
      <c r="C49" s="400" t="s">
        <v>1011</v>
      </c>
      <c r="D49" s="401">
        <f>'PLANILHA ORÇAMENTÁRIA'!I306</f>
        <v>177397.24999999997</v>
      </c>
      <c r="E49" s="402"/>
      <c r="F49" s="402"/>
      <c r="G49" s="402"/>
      <c r="H49" s="402"/>
      <c r="I49" s="402"/>
      <c r="J49" s="402"/>
      <c r="K49" s="402"/>
      <c r="L49" s="402"/>
      <c r="M49" s="402"/>
      <c r="N49" s="402"/>
      <c r="O49" s="402">
        <f>D49*0.7</f>
        <v>124178.07499999997</v>
      </c>
      <c r="P49" s="402">
        <f>D49*0.3</f>
        <v>53219.174999999988</v>
      </c>
      <c r="Q49" s="383">
        <f t="shared" si="0"/>
        <v>177397.24999999994</v>
      </c>
    </row>
    <row r="50" spans="1:17" ht="24.95" customHeight="1" x14ac:dyDescent="0.25">
      <c r="A50" s="453" t="s">
        <v>1013</v>
      </c>
      <c r="B50" s="454"/>
      <c r="C50" s="454"/>
      <c r="D50" s="455">
        <f>D9+D11+D13+D15+D17+D19+D21+D23+D25+D27+D29+D31+D33+D35+D37+D39+D41+D43+D45+D47+D49</f>
        <v>1317004.53</v>
      </c>
      <c r="E50" s="405">
        <f>E53/D50</f>
        <v>4.0948226654922745E-2</v>
      </c>
      <c r="F50" s="405">
        <f>F52/$D$50</f>
        <v>0.11706485246485826</v>
      </c>
      <c r="G50" s="405">
        <f>G52/$D$50</f>
        <v>5.1031840034749157E-2</v>
      </c>
      <c r="H50" s="405">
        <f>H52/$D$50</f>
        <v>3.4728305756093335E-2</v>
      </c>
      <c r="I50" s="405">
        <f t="shared" ref="I50:L50" si="3">I52/$D$50</f>
        <v>4.5114760159556927E-2</v>
      </c>
      <c r="J50" s="405">
        <f t="shared" si="3"/>
        <v>5.4371246923501468E-2</v>
      </c>
      <c r="K50" s="405">
        <f t="shared" si="3"/>
        <v>7.5037809475112432E-2</v>
      </c>
      <c r="L50" s="405">
        <f t="shared" si="3"/>
        <v>0.16529600547387638</v>
      </c>
      <c r="M50" s="405">
        <f t="shared" ref="M50:P50" si="4">M52/$D$50</f>
        <v>0.12278805943059283</v>
      </c>
      <c r="N50" s="405">
        <f t="shared" si="4"/>
        <v>9.5328176281975263E-2</v>
      </c>
      <c r="O50" s="405">
        <f t="shared" si="4"/>
        <v>0.1231737889314625</v>
      </c>
      <c r="P50" s="405">
        <f t="shared" si="4"/>
        <v>7.5116928413298617E-2</v>
      </c>
    </row>
    <row r="51" spans="1:17" ht="24.95" customHeight="1" x14ac:dyDescent="0.25">
      <c r="A51" s="457" t="s">
        <v>1014</v>
      </c>
      <c r="B51" s="458"/>
      <c r="C51" s="458"/>
      <c r="D51" s="455"/>
      <c r="E51" s="406">
        <f>E50</f>
        <v>4.0948226654922745E-2</v>
      </c>
      <c r="F51" s="406">
        <f>E51+F50</f>
        <v>0.15801307911978102</v>
      </c>
      <c r="G51" s="406">
        <f>F51+G50</f>
        <v>0.20904491915453016</v>
      </c>
      <c r="H51" s="406">
        <f t="shared" ref="H51:P51" si="5">G51+H50</f>
        <v>0.2437732249106235</v>
      </c>
      <c r="I51" s="406">
        <f t="shared" si="5"/>
        <v>0.28888798507018043</v>
      </c>
      <c r="J51" s="406">
        <f t="shared" si="5"/>
        <v>0.34325923199368191</v>
      </c>
      <c r="K51" s="406">
        <f t="shared" si="5"/>
        <v>0.41829704146879432</v>
      </c>
      <c r="L51" s="406">
        <f t="shared" si="5"/>
        <v>0.58359304694267067</v>
      </c>
      <c r="M51" s="406">
        <f t="shared" si="5"/>
        <v>0.70638110637326346</v>
      </c>
      <c r="N51" s="406">
        <f t="shared" si="5"/>
        <v>0.80170928265523878</v>
      </c>
      <c r="O51" s="406">
        <f t="shared" si="5"/>
        <v>0.92488307158670124</v>
      </c>
      <c r="P51" s="406">
        <f t="shared" si="5"/>
        <v>0.99999999999999989</v>
      </c>
    </row>
    <row r="52" spans="1:17" ht="24.95" customHeight="1" x14ac:dyDescent="0.25">
      <c r="A52" s="457" t="s">
        <v>1015</v>
      </c>
      <c r="B52" s="458"/>
      <c r="C52" s="458"/>
      <c r="D52" s="455"/>
      <c r="E52" s="407">
        <f t="shared" ref="E52:P52" si="6">E9+E11+E13+E15+E17+E19+E21+E23+E25+E27+E29+E31+E33+E35+E37+E39+E41+E43+E45+E47+E49</f>
        <v>53929</v>
      </c>
      <c r="F52" s="407">
        <f t="shared" si="6"/>
        <v>154174.94099999999</v>
      </c>
      <c r="G52" s="407">
        <f t="shared" si="6"/>
        <v>67209.164499999999</v>
      </c>
      <c r="H52" s="407">
        <f t="shared" si="6"/>
        <v>45737.335999999996</v>
      </c>
      <c r="I52" s="407">
        <f t="shared" si="6"/>
        <v>59416.343499999995</v>
      </c>
      <c r="J52" s="407">
        <f t="shared" si="6"/>
        <v>71607.178499999995</v>
      </c>
      <c r="K52" s="407">
        <f t="shared" si="6"/>
        <v>98825.134999999995</v>
      </c>
      <c r="L52" s="407">
        <f t="shared" si="6"/>
        <v>217695.58799999999</v>
      </c>
      <c r="M52" s="407">
        <f t="shared" si="6"/>
        <v>161712.43049999999</v>
      </c>
      <c r="N52" s="407">
        <f t="shared" si="6"/>
        <v>125547.63999999998</v>
      </c>
      <c r="O52" s="407">
        <f t="shared" si="6"/>
        <v>162220.43799999997</v>
      </c>
      <c r="P52" s="407">
        <f t="shared" si="6"/>
        <v>98929.334999999992</v>
      </c>
    </row>
    <row r="53" spans="1:17" ht="24.95" customHeight="1" x14ac:dyDescent="0.25">
      <c r="A53" s="457" t="s">
        <v>1016</v>
      </c>
      <c r="B53" s="458"/>
      <c r="C53" s="458"/>
      <c r="D53" s="456"/>
      <c r="E53" s="407">
        <f>E52</f>
        <v>53929</v>
      </c>
      <c r="F53" s="407">
        <f>E53+F52</f>
        <v>208103.94099999999</v>
      </c>
      <c r="G53" s="407">
        <f t="shared" ref="G53:P53" si="7">F53+G52</f>
        <v>275313.10550000001</v>
      </c>
      <c r="H53" s="407">
        <f t="shared" si="7"/>
        <v>321050.44150000002</v>
      </c>
      <c r="I53" s="407">
        <f t="shared" si="7"/>
        <v>380466.78500000003</v>
      </c>
      <c r="J53" s="407">
        <f t="shared" si="7"/>
        <v>452073.96350000001</v>
      </c>
      <c r="K53" s="407">
        <f t="shared" si="7"/>
        <v>550899.09849999996</v>
      </c>
      <c r="L53" s="407">
        <f t="shared" si="7"/>
        <v>768594.68649999995</v>
      </c>
      <c r="M53" s="407">
        <f t="shared" si="7"/>
        <v>930307.11699999997</v>
      </c>
      <c r="N53" s="407">
        <f t="shared" si="7"/>
        <v>1055854.757</v>
      </c>
      <c r="O53" s="407">
        <f t="shared" si="7"/>
        <v>1218075.1949999998</v>
      </c>
      <c r="P53" s="407">
        <f t="shared" si="7"/>
        <v>1317004.5299999998</v>
      </c>
    </row>
  </sheetData>
  <mergeCells count="57">
    <mergeCell ref="E6:P6"/>
    <mergeCell ref="A46:A47"/>
    <mergeCell ref="B46:B47"/>
    <mergeCell ref="A48:A49"/>
    <mergeCell ref="B48:B49"/>
    <mergeCell ref="A40:A41"/>
    <mergeCell ref="B40:B41"/>
    <mergeCell ref="A42:A43"/>
    <mergeCell ref="B42:B43"/>
    <mergeCell ref="A44:A45"/>
    <mergeCell ref="B44:B45"/>
    <mergeCell ref="A30:A31"/>
    <mergeCell ref="B30:B31"/>
    <mergeCell ref="A32:A33"/>
    <mergeCell ref="B32:B33"/>
    <mergeCell ref="A34:A35"/>
    <mergeCell ref="B34:B35"/>
    <mergeCell ref="A36:A37"/>
    <mergeCell ref="B36:B37"/>
    <mergeCell ref="A38:A39"/>
    <mergeCell ref="B38:B39"/>
    <mergeCell ref="A28:A29"/>
    <mergeCell ref="B28:B29"/>
    <mergeCell ref="A26:A27"/>
    <mergeCell ref="B26:B27"/>
    <mergeCell ref="A24:A25"/>
    <mergeCell ref="B24:B25"/>
    <mergeCell ref="A50:C50"/>
    <mergeCell ref="D50:D53"/>
    <mergeCell ref="A51:C51"/>
    <mergeCell ref="A52:C52"/>
    <mergeCell ref="A53:C53"/>
    <mergeCell ref="A22:A23"/>
    <mergeCell ref="B22:B23"/>
    <mergeCell ref="A18:A19"/>
    <mergeCell ref="B18:B19"/>
    <mergeCell ref="A20:A21"/>
    <mergeCell ref="B20:B21"/>
    <mergeCell ref="A14:A15"/>
    <mergeCell ref="B14:B15"/>
    <mergeCell ref="A16:A17"/>
    <mergeCell ref="B16:B17"/>
    <mergeCell ref="A10:A11"/>
    <mergeCell ref="B10:B11"/>
    <mergeCell ref="A12:A13"/>
    <mergeCell ref="B12:B13"/>
    <mergeCell ref="A6:A7"/>
    <mergeCell ref="B6:B7"/>
    <mergeCell ref="B8:B9"/>
    <mergeCell ref="A8:A9"/>
    <mergeCell ref="C6:D7"/>
    <mergeCell ref="B5:D5"/>
    <mergeCell ref="B1:I1"/>
    <mergeCell ref="B2:D2"/>
    <mergeCell ref="B3:D3"/>
    <mergeCell ref="G3:I3"/>
    <mergeCell ref="B4:D4"/>
  </mergeCells>
  <conditionalFormatting sqref="E8:L10 E16:L16 L18:M18 E50:L52 E53:P53 E12:L12 E18:J18">
    <cfRule type="cellIs" dxfId="200" priority="347" operator="equal">
      <formula>0</formula>
    </cfRule>
  </conditionalFormatting>
  <conditionalFormatting sqref="N36">
    <cfRule type="cellIs" dxfId="199" priority="206" operator="equal">
      <formula>0</formula>
    </cfRule>
  </conditionalFormatting>
  <conditionalFormatting sqref="O32">
    <cfRule type="cellIs" dxfId="198" priority="175" operator="equal">
      <formula>0</formula>
    </cfRule>
  </conditionalFormatting>
  <conditionalFormatting sqref="N38">
    <cfRule type="cellIs" dxfId="197" priority="204" operator="equal">
      <formula>0</formula>
    </cfRule>
  </conditionalFormatting>
  <conditionalFormatting sqref="N40">
    <cfRule type="cellIs" dxfId="196" priority="202" operator="equal">
      <formula>0</formula>
    </cfRule>
  </conditionalFormatting>
  <conditionalFormatting sqref="O26">
    <cfRule type="cellIs" dxfId="195" priority="181" operator="equal">
      <formula>0</formula>
    </cfRule>
  </conditionalFormatting>
  <conditionalFormatting sqref="E13:L13">
    <cfRule type="cellIs" dxfId="194" priority="95" operator="equal">
      <formula>0</formula>
    </cfRule>
  </conditionalFormatting>
  <conditionalFormatting sqref="E14 L14">
    <cfRule type="cellIs" dxfId="193" priority="334" operator="equal">
      <formula>0</formula>
    </cfRule>
  </conditionalFormatting>
  <conditionalFormatting sqref="E20:L20">
    <cfRule type="cellIs" dxfId="192" priority="297" operator="equal">
      <formula>0</formula>
    </cfRule>
  </conditionalFormatting>
  <conditionalFormatting sqref="E22:L22">
    <cfRule type="cellIs" dxfId="191" priority="295" operator="equal">
      <formula>0</formula>
    </cfRule>
  </conditionalFormatting>
  <conditionalFormatting sqref="M48">
    <cfRule type="cellIs" dxfId="190" priority="229" operator="equal">
      <formula>0</formula>
    </cfRule>
  </conditionalFormatting>
  <conditionalFormatting sqref="E24:L24">
    <cfRule type="cellIs" dxfId="189" priority="293" operator="equal">
      <formula>0</formula>
    </cfRule>
  </conditionalFormatting>
  <conditionalFormatting sqref="E26:L26">
    <cfRule type="cellIs" dxfId="188" priority="291" operator="equal">
      <formula>0</formula>
    </cfRule>
  </conditionalFormatting>
  <conditionalFormatting sqref="M42">
    <cfRule type="cellIs" dxfId="187" priority="235" operator="equal">
      <formula>0</formula>
    </cfRule>
  </conditionalFormatting>
  <conditionalFormatting sqref="E28:L28">
    <cfRule type="cellIs" dxfId="186" priority="289" operator="equal">
      <formula>0</formula>
    </cfRule>
  </conditionalFormatting>
  <conditionalFormatting sqref="E30:L30">
    <cfRule type="cellIs" dxfId="185" priority="287" operator="equal">
      <formula>0</formula>
    </cfRule>
  </conditionalFormatting>
  <conditionalFormatting sqref="M36">
    <cfRule type="cellIs" dxfId="184" priority="241" operator="equal">
      <formula>0</formula>
    </cfRule>
  </conditionalFormatting>
  <conditionalFormatting sqref="E32:L32">
    <cfRule type="cellIs" dxfId="183" priority="285" operator="equal">
      <formula>0</formula>
    </cfRule>
  </conditionalFormatting>
  <conditionalFormatting sqref="E34:L34">
    <cfRule type="cellIs" dxfId="182" priority="283" operator="equal">
      <formula>0</formula>
    </cfRule>
  </conditionalFormatting>
  <conditionalFormatting sqref="E36:L36">
    <cfRule type="cellIs" dxfId="181" priority="281" operator="equal">
      <formula>0</formula>
    </cfRule>
  </conditionalFormatting>
  <conditionalFormatting sqref="E38:L38">
    <cfRule type="cellIs" dxfId="180" priority="279" operator="equal">
      <formula>0</formula>
    </cfRule>
  </conditionalFormatting>
  <conditionalFormatting sqref="M24">
    <cfRule type="cellIs" dxfId="179" priority="253" operator="equal">
      <formula>0</formula>
    </cfRule>
  </conditionalFormatting>
  <conditionalFormatting sqref="E40:L40">
    <cfRule type="cellIs" dxfId="178" priority="277" operator="equal">
      <formula>0</formula>
    </cfRule>
  </conditionalFormatting>
  <conditionalFormatting sqref="E42:L42">
    <cfRule type="cellIs" dxfId="177" priority="275" operator="equal">
      <formula>0</formula>
    </cfRule>
  </conditionalFormatting>
  <conditionalFormatting sqref="E44:L44">
    <cfRule type="cellIs" dxfId="176" priority="273" operator="equal">
      <formula>0</formula>
    </cfRule>
  </conditionalFormatting>
  <conditionalFormatting sqref="M14">
    <cfRule type="cellIs" dxfId="175" priority="262" operator="equal">
      <formula>0</formula>
    </cfRule>
  </conditionalFormatting>
  <conditionalFormatting sqref="E46:L46">
    <cfRule type="cellIs" dxfId="174" priority="271" operator="equal">
      <formula>0</formula>
    </cfRule>
  </conditionalFormatting>
  <conditionalFormatting sqref="E48:L48">
    <cfRule type="cellIs" dxfId="173" priority="269" operator="equal">
      <formula>0</formula>
    </cfRule>
  </conditionalFormatting>
  <conditionalFormatting sqref="J14">
    <cfRule type="cellIs" dxfId="172" priority="120" operator="equal">
      <formula>0</formula>
    </cfRule>
  </conditionalFormatting>
  <conditionalFormatting sqref="P48">
    <cfRule type="cellIs" dxfId="171" priority="124" operator="equal">
      <formula>0</formula>
    </cfRule>
  </conditionalFormatting>
  <conditionalFormatting sqref="F14:H14">
    <cfRule type="cellIs" dxfId="170" priority="266" operator="equal">
      <formula>0</formula>
    </cfRule>
  </conditionalFormatting>
  <conditionalFormatting sqref="M50:M51 M8:M10 M12">
    <cfRule type="cellIs" dxfId="169" priority="263" operator="equal">
      <formula>0</formula>
    </cfRule>
  </conditionalFormatting>
  <conditionalFormatting sqref="O24">
    <cfRule type="cellIs" dxfId="168" priority="183" operator="equal">
      <formula>0</formula>
    </cfRule>
  </conditionalFormatting>
  <conditionalFormatting sqref="M22">
    <cfRule type="cellIs" dxfId="167" priority="255" operator="equal">
      <formula>0</formula>
    </cfRule>
  </conditionalFormatting>
  <conditionalFormatting sqref="O18">
    <cfRule type="cellIs" dxfId="166" priority="189" operator="equal">
      <formula>0</formula>
    </cfRule>
  </conditionalFormatting>
  <conditionalFormatting sqref="O14">
    <cfRule type="cellIs" dxfId="165" priority="192" operator="equal">
      <formula>0</formula>
    </cfRule>
  </conditionalFormatting>
  <conditionalFormatting sqref="M26">
    <cfRule type="cellIs" dxfId="164" priority="251" operator="equal">
      <formula>0</formula>
    </cfRule>
  </conditionalFormatting>
  <conditionalFormatting sqref="M28">
    <cfRule type="cellIs" dxfId="163" priority="249" operator="equal">
      <formula>0</formula>
    </cfRule>
  </conditionalFormatting>
  <conditionalFormatting sqref="N44">
    <cfRule type="cellIs" dxfId="162" priority="198" operator="equal">
      <formula>0</formula>
    </cfRule>
  </conditionalFormatting>
  <conditionalFormatting sqref="M32">
    <cfRule type="cellIs" dxfId="161" priority="245" operator="equal">
      <formula>0</formula>
    </cfRule>
  </conditionalFormatting>
  <conditionalFormatting sqref="M34">
    <cfRule type="cellIs" dxfId="160" priority="243" operator="equal">
      <formula>0</formula>
    </cfRule>
  </conditionalFormatting>
  <conditionalFormatting sqref="N32">
    <cfRule type="cellIs" dxfId="159" priority="210" operator="equal">
      <formula>0</formula>
    </cfRule>
  </conditionalFormatting>
  <conditionalFormatting sqref="M38">
    <cfRule type="cellIs" dxfId="158" priority="239" operator="equal">
      <formula>0</formula>
    </cfRule>
  </conditionalFormatting>
  <conditionalFormatting sqref="M40">
    <cfRule type="cellIs" dxfId="157" priority="237" operator="equal">
      <formula>0</formula>
    </cfRule>
  </conditionalFormatting>
  <conditionalFormatting sqref="N26">
    <cfRule type="cellIs" dxfId="156" priority="216" operator="equal">
      <formula>0</formula>
    </cfRule>
  </conditionalFormatting>
  <conditionalFormatting sqref="M44">
    <cfRule type="cellIs" dxfId="155" priority="233" operator="equal">
      <formula>0</formula>
    </cfRule>
  </conditionalFormatting>
  <conditionalFormatting sqref="M46">
    <cfRule type="cellIs" dxfId="154" priority="231" operator="equal">
      <formula>0</formula>
    </cfRule>
  </conditionalFormatting>
  <conditionalFormatting sqref="N50:N51 N8:N10 N12">
    <cfRule type="cellIs" dxfId="153" priority="228" operator="equal">
      <formula>0</formula>
    </cfRule>
  </conditionalFormatting>
  <conditionalFormatting sqref="N14">
    <cfRule type="cellIs" dxfId="152" priority="227" operator="equal">
      <formula>0</formula>
    </cfRule>
  </conditionalFormatting>
  <conditionalFormatting sqref="P24">
    <cfRule type="cellIs" dxfId="151" priority="148" operator="equal">
      <formula>0</formula>
    </cfRule>
  </conditionalFormatting>
  <conditionalFormatting sqref="N22">
    <cfRule type="cellIs" dxfId="150" priority="220" operator="equal">
      <formula>0</formula>
    </cfRule>
  </conditionalFormatting>
  <conditionalFormatting sqref="P18">
    <cfRule type="cellIs" dxfId="149" priority="154" operator="equal">
      <formula>0</formula>
    </cfRule>
  </conditionalFormatting>
  <conditionalFormatting sqref="N24">
    <cfRule type="cellIs" dxfId="148" priority="218" operator="equal">
      <formula>0</formula>
    </cfRule>
  </conditionalFormatting>
  <conditionalFormatting sqref="P14">
    <cfRule type="cellIs" dxfId="147" priority="157" operator="equal">
      <formula>0</formula>
    </cfRule>
  </conditionalFormatting>
  <conditionalFormatting sqref="N28">
    <cfRule type="cellIs" dxfId="146" priority="214" operator="equal">
      <formula>0</formula>
    </cfRule>
  </conditionalFormatting>
  <conditionalFormatting sqref="O44">
    <cfRule type="cellIs" dxfId="145" priority="163" operator="equal">
      <formula>0</formula>
    </cfRule>
  </conditionalFormatting>
  <conditionalFormatting sqref="N30">
    <cfRule type="cellIs" dxfId="144" priority="212" operator="equal">
      <formula>0</formula>
    </cfRule>
  </conditionalFormatting>
  <conditionalFormatting sqref="O38">
    <cfRule type="cellIs" dxfId="143" priority="169" operator="equal">
      <formula>0</formula>
    </cfRule>
  </conditionalFormatting>
  <conditionalFormatting sqref="N34">
    <cfRule type="cellIs" dxfId="142" priority="208" operator="equal">
      <formula>0</formula>
    </cfRule>
  </conditionalFormatting>
  <conditionalFormatting sqref="O20">
    <cfRule type="cellIs" dxfId="141" priority="187" operator="equal">
      <formula>0</formula>
    </cfRule>
  </conditionalFormatting>
  <conditionalFormatting sqref="N46">
    <cfRule type="cellIs" dxfId="140" priority="196" operator="equal">
      <formula>0</formula>
    </cfRule>
  </conditionalFormatting>
  <conditionalFormatting sqref="N48">
    <cfRule type="cellIs" dxfId="139" priority="194" operator="equal">
      <formula>0</formula>
    </cfRule>
  </conditionalFormatting>
  <conditionalFormatting sqref="O50:O51 O8:O10 O12">
    <cfRule type="cellIs" dxfId="138" priority="193" operator="equal">
      <formula>0</formula>
    </cfRule>
  </conditionalFormatting>
  <conditionalFormatting sqref="O16">
    <cfRule type="cellIs" dxfId="137" priority="191" operator="equal">
      <formula>0</formula>
    </cfRule>
  </conditionalFormatting>
  <conditionalFormatting sqref="O22">
    <cfRule type="cellIs" dxfId="136" priority="185" operator="equal">
      <formula>0</formula>
    </cfRule>
  </conditionalFormatting>
  <conditionalFormatting sqref="K14">
    <cfRule type="cellIs" dxfId="135" priority="119" operator="equal">
      <formula>0</formula>
    </cfRule>
  </conditionalFormatting>
  <conditionalFormatting sqref="I14">
    <cfRule type="cellIs" dxfId="134" priority="122" operator="equal">
      <formula>0</formula>
    </cfRule>
  </conditionalFormatting>
  <conditionalFormatting sqref="O28">
    <cfRule type="cellIs" dxfId="133" priority="179" operator="equal">
      <formula>0</formula>
    </cfRule>
  </conditionalFormatting>
  <conditionalFormatting sqref="P44">
    <cfRule type="cellIs" dxfId="132" priority="128" operator="equal">
      <formula>0</formula>
    </cfRule>
  </conditionalFormatting>
  <conditionalFormatting sqref="O30">
    <cfRule type="cellIs" dxfId="131" priority="177" operator="equal">
      <formula>0</formula>
    </cfRule>
  </conditionalFormatting>
  <conditionalFormatting sqref="P38">
    <cfRule type="cellIs" dxfId="130" priority="134" operator="equal">
      <formula>0</formula>
    </cfRule>
  </conditionalFormatting>
  <conditionalFormatting sqref="O34">
    <cfRule type="cellIs" dxfId="129" priority="173" operator="equal">
      <formula>0</formula>
    </cfRule>
  </conditionalFormatting>
  <conditionalFormatting sqref="O36">
    <cfRule type="cellIs" dxfId="128" priority="171" operator="equal">
      <formula>0</formula>
    </cfRule>
  </conditionalFormatting>
  <conditionalFormatting sqref="P32">
    <cfRule type="cellIs" dxfId="127" priority="140" operator="equal">
      <formula>0</formula>
    </cfRule>
  </conditionalFormatting>
  <conditionalFormatting sqref="O40">
    <cfRule type="cellIs" dxfId="126" priority="167" operator="equal">
      <formula>0</formula>
    </cfRule>
  </conditionalFormatting>
  <conditionalFormatting sqref="P26">
    <cfRule type="cellIs" dxfId="125" priority="146" operator="equal">
      <formula>0</formula>
    </cfRule>
  </conditionalFormatting>
  <conditionalFormatting sqref="O42">
    <cfRule type="cellIs" dxfId="124" priority="165" operator="equal">
      <formula>0</formula>
    </cfRule>
  </conditionalFormatting>
  <conditionalFormatting sqref="P20">
    <cfRule type="cellIs" dxfId="123" priority="152" operator="equal">
      <formula>0</formula>
    </cfRule>
  </conditionalFormatting>
  <conditionalFormatting sqref="O46">
    <cfRule type="cellIs" dxfId="122" priority="161" operator="equal">
      <formula>0</formula>
    </cfRule>
  </conditionalFormatting>
  <conditionalFormatting sqref="O48">
    <cfRule type="cellIs" dxfId="121" priority="159" operator="equal">
      <formula>0</formula>
    </cfRule>
  </conditionalFormatting>
  <conditionalFormatting sqref="P50:P51 P8:P10 P12">
    <cfRule type="cellIs" dxfId="120" priority="158" operator="equal">
      <formula>0</formula>
    </cfRule>
  </conditionalFormatting>
  <conditionalFormatting sqref="P16">
    <cfRule type="cellIs" dxfId="119" priority="156" operator="equal">
      <formula>0</formula>
    </cfRule>
  </conditionalFormatting>
  <conditionalFormatting sqref="N19">
    <cfRule type="cellIs" dxfId="118" priority="78" operator="equal">
      <formula>0</formula>
    </cfRule>
  </conditionalFormatting>
  <conditionalFormatting sqref="E21:L21">
    <cfRule type="cellIs" dxfId="117" priority="75" operator="equal">
      <formula>0</formula>
    </cfRule>
  </conditionalFormatting>
  <conditionalFormatting sqref="P17">
    <cfRule type="cellIs" dxfId="116" priority="81" operator="equal">
      <formula>0</formula>
    </cfRule>
  </conditionalFormatting>
  <conditionalFormatting sqref="P22">
    <cfRule type="cellIs" dxfId="115" priority="150" operator="equal">
      <formula>0</formula>
    </cfRule>
  </conditionalFormatting>
  <conditionalFormatting sqref="M17">
    <cfRule type="cellIs" dxfId="114" priority="84" operator="equal">
      <formula>0</formula>
    </cfRule>
  </conditionalFormatting>
  <conditionalFormatting sqref="O15">
    <cfRule type="cellIs" dxfId="113" priority="87" operator="equal">
      <formula>0</formula>
    </cfRule>
  </conditionalFormatting>
  <conditionalFormatting sqref="E15:L15">
    <cfRule type="cellIs" dxfId="112" priority="90" operator="equal">
      <formula>0</formula>
    </cfRule>
  </conditionalFormatting>
  <conditionalFormatting sqref="P28">
    <cfRule type="cellIs" dxfId="111" priority="144" operator="equal">
      <formula>0</formula>
    </cfRule>
  </conditionalFormatting>
  <conditionalFormatting sqref="N13">
    <cfRule type="cellIs" dxfId="110" priority="93" operator="equal">
      <formula>0</formula>
    </cfRule>
  </conditionalFormatting>
  <conditionalFormatting sqref="P30">
    <cfRule type="cellIs" dxfId="109" priority="142" operator="equal">
      <formula>0</formula>
    </cfRule>
  </conditionalFormatting>
  <conditionalFormatting sqref="P11">
    <cfRule type="cellIs" dxfId="108" priority="96" operator="equal">
      <formula>0</formula>
    </cfRule>
  </conditionalFormatting>
  <conditionalFormatting sqref="M11">
    <cfRule type="cellIs" dxfId="107" priority="99" operator="equal">
      <formula>0</formula>
    </cfRule>
  </conditionalFormatting>
  <conditionalFormatting sqref="P34">
    <cfRule type="cellIs" dxfId="106" priority="138" operator="equal">
      <formula>0</formula>
    </cfRule>
  </conditionalFormatting>
  <conditionalFormatting sqref="O52">
    <cfRule type="cellIs" dxfId="105" priority="102" operator="equal">
      <formula>0</formula>
    </cfRule>
  </conditionalFormatting>
  <conditionalFormatting sqref="P36">
    <cfRule type="cellIs" dxfId="104" priority="136" operator="equal">
      <formula>0</formula>
    </cfRule>
  </conditionalFormatting>
  <conditionalFormatting sqref="N42">
    <cfRule type="cellIs" dxfId="103" priority="105" operator="equal">
      <formula>0</formula>
    </cfRule>
  </conditionalFormatting>
  <conditionalFormatting sqref="N20">
    <cfRule type="cellIs" dxfId="102" priority="108" operator="equal">
      <formula>0</formula>
    </cfRule>
  </conditionalFormatting>
  <conditionalFormatting sqref="P40">
    <cfRule type="cellIs" dxfId="101" priority="132" operator="equal">
      <formula>0</formula>
    </cfRule>
  </conditionalFormatting>
  <conditionalFormatting sqref="N18">
    <cfRule type="cellIs" dxfId="100" priority="111" operator="equal">
      <formula>0</formula>
    </cfRule>
  </conditionalFormatting>
  <conditionalFormatting sqref="P42">
    <cfRule type="cellIs" dxfId="99" priority="130" operator="equal">
      <formula>0</formula>
    </cfRule>
  </conditionalFormatting>
  <conditionalFormatting sqref="M16">
    <cfRule type="cellIs" dxfId="98" priority="117" operator="equal">
      <formula>0</formula>
    </cfRule>
  </conditionalFormatting>
  <conditionalFormatting sqref="P46">
    <cfRule type="cellIs" dxfId="97" priority="126" operator="equal">
      <formula>0</formula>
    </cfRule>
  </conditionalFormatting>
  <conditionalFormatting sqref="N37">
    <cfRule type="cellIs" dxfId="96" priority="33" operator="equal">
      <formula>0</formula>
    </cfRule>
  </conditionalFormatting>
  <conditionalFormatting sqref="P37">
    <cfRule type="cellIs" dxfId="95" priority="31" operator="equal">
      <formula>0</formula>
    </cfRule>
  </conditionalFormatting>
  <conditionalFormatting sqref="N16">
    <cfRule type="cellIs" dxfId="94" priority="115" operator="equal">
      <formula>0</formula>
    </cfRule>
  </conditionalFormatting>
  <conditionalFormatting sqref="O37">
    <cfRule type="cellIs" dxfId="93" priority="32" operator="equal">
      <formula>0</formula>
    </cfRule>
  </conditionalFormatting>
  <conditionalFormatting sqref="M20">
    <cfRule type="cellIs" dxfId="92" priority="109" operator="equal">
      <formula>0</formula>
    </cfRule>
  </conditionalFormatting>
  <conditionalFormatting sqref="K18">
    <cfRule type="cellIs" dxfId="91" priority="107" operator="equal">
      <formula>0</formula>
    </cfRule>
  </conditionalFormatting>
  <conditionalFormatting sqref="M30">
    <cfRule type="cellIs" dxfId="90" priority="106" operator="equal">
      <formula>0</formula>
    </cfRule>
  </conditionalFormatting>
  <conditionalFormatting sqref="M52">
    <cfRule type="cellIs" dxfId="89" priority="104" operator="equal">
      <formula>0</formula>
    </cfRule>
  </conditionalFormatting>
  <conditionalFormatting sqref="N52">
    <cfRule type="cellIs" dxfId="88" priority="103" operator="equal">
      <formula>0</formula>
    </cfRule>
  </conditionalFormatting>
  <conditionalFormatting sqref="P52">
    <cfRule type="cellIs" dxfId="87" priority="101" operator="equal">
      <formula>0</formula>
    </cfRule>
  </conditionalFormatting>
  <conditionalFormatting sqref="E11:L11">
    <cfRule type="cellIs" dxfId="86" priority="100" operator="equal">
      <formula>0</formula>
    </cfRule>
  </conditionalFormatting>
  <conditionalFormatting sqref="N11">
    <cfRule type="cellIs" dxfId="85" priority="98" operator="equal">
      <formula>0</formula>
    </cfRule>
  </conditionalFormatting>
  <conditionalFormatting sqref="O11">
    <cfRule type="cellIs" dxfId="84" priority="97" operator="equal">
      <formula>0</formula>
    </cfRule>
  </conditionalFormatting>
  <conditionalFormatting sqref="M13">
    <cfRule type="cellIs" dxfId="83" priority="94" operator="equal">
      <formula>0</formula>
    </cfRule>
  </conditionalFormatting>
  <conditionalFormatting sqref="O13">
    <cfRule type="cellIs" dxfId="82" priority="92" operator="equal">
      <formula>0</formula>
    </cfRule>
  </conditionalFormatting>
  <conditionalFormatting sqref="P13">
    <cfRule type="cellIs" dxfId="81" priority="91" operator="equal">
      <formula>0</formula>
    </cfRule>
  </conditionalFormatting>
  <conditionalFormatting sqref="M15">
    <cfRule type="cellIs" dxfId="80" priority="89" operator="equal">
      <formula>0</formula>
    </cfRule>
  </conditionalFormatting>
  <conditionalFormatting sqref="N15">
    <cfRule type="cellIs" dxfId="79" priority="88" operator="equal">
      <formula>0</formula>
    </cfRule>
  </conditionalFormatting>
  <conditionalFormatting sqref="P15">
    <cfRule type="cellIs" dxfId="78" priority="86" operator="equal">
      <formula>0</formula>
    </cfRule>
  </conditionalFormatting>
  <conditionalFormatting sqref="E17:L17">
    <cfRule type="cellIs" dxfId="77" priority="85" operator="equal">
      <formula>0</formula>
    </cfRule>
  </conditionalFormatting>
  <conditionalFormatting sqref="N17">
    <cfRule type="cellIs" dxfId="76" priority="83" operator="equal">
      <formula>0</formula>
    </cfRule>
  </conditionalFormatting>
  <conditionalFormatting sqref="O17">
    <cfRule type="cellIs" dxfId="75" priority="82" operator="equal">
      <formula>0</formula>
    </cfRule>
  </conditionalFormatting>
  <conditionalFormatting sqref="E19:L19">
    <cfRule type="cellIs" dxfId="74" priority="80" operator="equal">
      <formula>0</formula>
    </cfRule>
  </conditionalFormatting>
  <conditionalFormatting sqref="M19">
    <cfRule type="cellIs" dxfId="73" priority="79" operator="equal">
      <formula>0</formula>
    </cfRule>
  </conditionalFormatting>
  <conditionalFormatting sqref="O19">
    <cfRule type="cellIs" dxfId="72" priority="77" operator="equal">
      <formula>0</formula>
    </cfRule>
  </conditionalFormatting>
  <conditionalFormatting sqref="P19">
    <cfRule type="cellIs" dxfId="71" priority="76" operator="equal">
      <formula>0</formula>
    </cfRule>
  </conditionalFormatting>
  <conditionalFormatting sqref="M21">
    <cfRule type="cellIs" dxfId="70" priority="74" operator="equal">
      <formula>0</formula>
    </cfRule>
  </conditionalFormatting>
  <conditionalFormatting sqref="N21">
    <cfRule type="cellIs" dxfId="69" priority="73" operator="equal">
      <formula>0</formula>
    </cfRule>
  </conditionalFormatting>
  <conditionalFormatting sqref="O21">
    <cfRule type="cellIs" dxfId="68" priority="72" operator="equal">
      <formula>0</formula>
    </cfRule>
  </conditionalFormatting>
  <conditionalFormatting sqref="P21">
    <cfRule type="cellIs" dxfId="67" priority="71" operator="equal">
      <formula>0</formula>
    </cfRule>
  </conditionalFormatting>
  <conditionalFormatting sqref="E23:L23">
    <cfRule type="cellIs" dxfId="66" priority="70" operator="equal">
      <formula>0</formula>
    </cfRule>
  </conditionalFormatting>
  <conditionalFormatting sqref="M23">
    <cfRule type="cellIs" dxfId="65" priority="69" operator="equal">
      <formula>0</formula>
    </cfRule>
  </conditionalFormatting>
  <conditionalFormatting sqref="N23">
    <cfRule type="cellIs" dxfId="64" priority="68" operator="equal">
      <formula>0</formula>
    </cfRule>
  </conditionalFormatting>
  <conditionalFormatting sqref="O23">
    <cfRule type="cellIs" dxfId="63" priority="67" operator="equal">
      <formula>0</formula>
    </cfRule>
  </conditionalFormatting>
  <conditionalFormatting sqref="P23">
    <cfRule type="cellIs" dxfId="62" priority="66" operator="equal">
      <formula>0</formula>
    </cfRule>
  </conditionalFormatting>
  <conditionalFormatting sqref="E25:L25">
    <cfRule type="cellIs" dxfId="61" priority="65" operator="equal">
      <formula>0</formula>
    </cfRule>
  </conditionalFormatting>
  <conditionalFormatting sqref="M25">
    <cfRule type="cellIs" dxfId="60" priority="64" operator="equal">
      <formula>0</formula>
    </cfRule>
  </conditionalFormatting>
  <conditionalFormatting sqref="N25">
    <cfRule type="cellIs" dxfId="59" priority="63" operator="equal">
      <formula>0</formula>
    </cfRule>
  </conditionalFormatting>
  <conditionalFormatting sqref="O25">
    <cfRule type="cellIs" dxfId="58" priority="62" operator="equal">
      <formula>0</formula>
    </cfRule>
  </conditionalFormatting>
  <conditionalFormatting sqref="P25">
    <cfRule type="cellIs" dxfId="57" priority="61" operator="equal">
      <formula>0</formula>
    </cfRule>
  </conditionalFormatting>
  <conditionalFormatting sqref="E27:L27">
    <cfRule type="cellIs" dxfId="56" priority="60" operator="equal">
      <formula>0</formula>
    </cfRule>
  </conditionalFormatting>
  <conditionalFormatting sqref="M27">
    <cfRule type="cellIs" dxfId="55" priority="59" operator="equal">
      <formula>0</formula>
    </cfRule>
  </conditionalFormatting>
  <conditionalFormatting sqref="N27">
    <cfRule type="cellIs" dxfId="54" priority="58" operator="equal">
      <formula>0</formula>
    </cfRule>
  </conditionalFormatting>
  <conditionalFormatting sqref="O27">
    <cfRule type="cellIs" dxfId="53" priority="57" operator="equal">
      <formula>0</formula>
    </cfRule>
  </conditionalFormatting>
  <conditionalFormatting sqref="P27">
    <cfRule type="cellIs" dxfId="52" priority="56" operator="equal">
      <formula>0</formula>
    </cfRule>
  </conditionalFormatting>
  <conditionalFormatting sqref="E29:L29">
    <cfRule type="cellIs" dxfId="51" priority="55" operator="equal">
      <formula>0</formula>
    </cfRule>
  </conditionalFormatting>
  <conditionalFormatting sqref="M29">
    <cfRule type="cellIs" dxfId="50" priority="54" operator="equal">
      <formula>0</formula>
    </cfRule>
  </conditionalFormatting>
  <conditionalFormatting sqref="N29">
    <cfRule type="cellIs" dxfId="49" priority="53" operator="equal">
      <formula>0</formula>
    </cfRule>
  </conditionalFormatting>
  <conditionalFormatting sqref="O29">
    <cfRule type="cellIs" dxfId="48" priority="52" operator="equal">
      <formula>0</formula>
    </cfRule>
  </conditionalFormatting>
  <conditionalFormatting sqref="P29">
    <cfRule type="cellIs" dxfId="47" priority="51" operator="equal">
      <formula>0</formula>
    </cfRule>
  </conditionalFormatting>
  <conditionalFormatting sqref="E31:L31">
    <cfRule type="cellIs" dxfId="46" priority="50" operator="equal">
      <formula>0</formula>
    </cfRule>
  </conditionalFormatting>
  <conditionalFormatting sqref="M31">
    <cfRule type="cellIs" dxfId="45" priority="49" operator="equal">
      <formula>0</formula>
    </cfRule>
  </conditionalFormatting>
  <conditionalFormatting sqref="N31">
    <cfRule type="cellIs" dxfId="44" priority="48" operator="equal">
      <formula>0</formula>
    </cfRule>
  </conditionalFormatting>
  <conditionalFormatting sqref="O31">
    <cfRule type="cellIs" dxfId="43" priority="47" operator="equal">
      <formula>0</formula>
    </cfRule>
  </conditionalFormatting>
  <conditionalFormatting sqref="P31">
    <cfRule type="cellIs" dxfId="42" priority="46" operator="equal">
      <formula>0</formula>
    </cfRule>
  </conditionalFormatting>
  <conditionalFormatting sqref="E33:L33">
    <cfRule type="cellIs" dxfId="41" priority="45" operator="equal">
      <formula>0</formula>
    </cfRule>
  </conditionalFormatting>
  <conditionalFormatting sqref="M33">
    <cfRule type="cellIs" dxfId="40" priority="44" operator="equal">
      <formula>0</formula>
    </cfRule>
  </conditionalFormatting>
  <conditionalFormatting sqref="N33">
    <cfRule type="cellIs" dxfId="39" priority="43" operator="equal">
      <formula>0</formula>
    </cfRule>
  </conditionalFormatting>
  <conditionalFormatting sqref="O33">
    <cfRule type="cellIs" dxfId="38" priority="42" operator="equal">
      <formula>0</formula>
    </cfRule>
  </conditionalFormatting>
  <conditionalFormatting sqref="P33">
    <cfRule type="cellIs" dxfId="37" priority="41" operator="equal">
      <formula>0</formula>
    </cfRule>
  </conditionalFormatting>
  <conditionalFormatting sqref="E35:L35">
    <cfRule type="cellIs" dxfId="36" priority="40" operator="equal">
      <formula>0</formula>
    </cfRule>
  </conditionalFormatting>
  <conditionalFormatting sqref="M35">
    <cfRule type="cellIs" dxfId="35" priority="39" operator="equal">
      <formula>0</formula>
    </cfRule>
  </conditionalFormatting>
  <conditionalFormatting sqref="N35">
    <cfRule type="cellIs" dxfId="34" priority="38" operator="equal">
      <formula>0</formula>
    </cfRule>
  </conditionalFormatting>
  <conditionalFormatting sqref="O35">
    <cfRule type="cellIs" dxfId="33" priority="37" operator="equal">
      <formula>0</formula>
    </cfRule>
  </conditionalFormatting>
  <conditionalFormatting sqref="P35">
    <cfRule type="cellIs" dxfId="32" priority="36" operator="equal">
      <formula>0</formula>
    </cfRule>
  </conditionalFormatting>
  <conditionalFormatting sqref="E37:L37">
    <cfRule type="cellIs" dxfId="31" priority="35" operator="equal">
      <formula>0</formula>
    </cfRule>
  </conditionalFormatting>
  <conditionalFormatting sqref="M37">
    <cfRule type="cellIs" dxfId="30" priority="34" operator="equal">
      <formula>0</formula>
    </cfRule>
  </conditionalFormatting>
  <conditionalFormatting sqref="E39:L39">
    <cfRule type="cellIs" dxfId="29" priority="30" operator="equal">
      <formula>0</formula>
    </cfRule>
  </conditionalFormatting>
  <conditionalFormatting sqref="M39">
    <cfRule type="cellIs" dxfId="28" priority="29" operator="equal">
      <formula>0</formula>
    </cfRule>
  </conditionalFormatting>
  <conditionalFormatting sqref="N39">
    <cfRule type="cellIs" dxfId="27" priority="28" operator="equal">
      <formula>0</formula>
    </cfRule>
  </conditionalFormatting>
  <conditionalFormatting sqref="O39">
    <cfRule type="cellIs" dxfId="26" priority="27" operator="equal">
      <formula>0</formula>
    </cfRule>
  </conditionalFormatting>
  <conditionalFormatting sqref="P39">
    <cfRule type="cellIs" dxfId="25" priority="26" operator="equal">
      <formula>0</formula>
    </cfRule>
  </conditionalFormatting>
  <conditionalFormatting sqref="E41:L41">
    <cfRule type="cellIs" dxfId="24" priority="25" operator="equal">
      <formula>0</formula>
    </cfRule>
  </conditionalFormatting>
  <conditionalFormatting sqref="M41">
    <cfRule type="cellIs" dxfId="23" priority="24" operator="equal">
      <formula>0</formula>
    </cfRule>
  </conditionalFormatting>
  <conditionalFormatting sqref="N41">
    <cfRule type="cellIs" dxfId="22" priority="23" operator="equal">
      <formula>0</formula>
    </cfRule>
  </conditionalFormatting>
  <conditionalFormatting sqref="O41">
    <cfRule type="cellIs" dxfId="21" priority="22" operator="equal">
      <formula>0</formula>
    </cfRule>
  </conditionalFormatting>
  <conditionalFormatting sqref="P41">
    <cfRule type="cellIs" dxfId="20" priority="21" operator="equal">
      <formula>0</formula>
    </cfRule>
  </conditionalFormatting>
  <conditionalFormatting sqref="E43:L43">
    <cfRule type="cellIs" dxfId="19" priority="20" operator="equal">
      <formula>0</formula>
    </cfRule>
  </conditionalFormatting>
  <conditionalFormatting sqref="M43">
    <cfRule type="cellIs" dxfId="18" priority="19" operator="equal">
      <formula>0</formula>
    </cfRule>
  </conditionalFormatting>
  <conditionalFormatting sqref="N43">
    <cfRule type="cellIs" dxfId="17" priority="18" operator="equal">
      <formula>0</formula>
    </cfRule>
  </conditionalFormatting>
  <conditionalFormatting sqref="O43">
    <cfRule type="cellIs" dxfId="16" priority="17" operator="equal">
      <formula>0</formula>
    </cfRule>
  </conditionalFormatting>
  <conditionalFormatting sqref="P43">
    <cfRule type="cellIs" dxfId="15" priority="16" operator="equal">
      <formula>0</formula>
    </cfRule>
  </conditionalFormatting>
  <conditionalFormatting sqref="E45:L45">
    <cfRule type="cellIs" dxfId="14" priority="15" operator="equal">
      <formula>0</formula>
    </cfRule>
  </conditionalFormatting>
  <conditionalFormatting sqref="M45">
    <cfRule type="cellIs" dxfId="13" priority="14" operator="equal">
      <formula>0</formula>
    </cfRule>
  </conditionalFormatting>
  <conditionalFormatting sqref="N45">
    <cfRule type="cellIs" dxfId="12" priority="13" operator="equal">
      <formula>0</formula>
    </cfRule>
  </conditionalFormatting>
  <conditionalFormatting sqref="O45">
    <cfRule type="cellIs" dxfId="11" priority="12" operator="equal">
      <formula>0</formula>
    </cfRule>
  </conditionalFormatting>
  <conditionalFormatting sqref="P45">
    <cfRule type="cellIs" dxfId="10" priority="11" operator="equal">
      <formula>0</formula>
    </cfRule>
  </conditionalFormatting>
  <conditionalFormatting sqref="E47:L47">
    <cfRule type="cellIs" dxfId="9" priority="10" operator="equal">
      <formula>0</formula>
    </cfRule>
  </conditionalFormatting>
  <conditionalFormatting sqref="M47">
    <cfRule type="cellIs" dxfId="8" priority="9" operator="equal">
      <formula>0</formula>
    </cfRule>
  </conditionalFormatting>
  <conditionalFormatting sqref="N47">
    <cfRule type="cellIs" dxfId="7" priority="8" operator="equal">
      <formula>0</formula>
    </cfRule>
  </conditionalFormatting>
  <conditionalFormatting sqref="O47">
    <cfRule type="cellIs" dxfId="6" priority="7" operator="equal">
      <formula>0</formula>
    </cfRule>
  </conditionalFormatting>
  <conditionalFormatting sqref="P47">
    <cfRule type="cellIs" dxfId="5" priority="6" operator="equal">
      <formula>0</formula>
    </cfRule>
  </conditionalFormatting>
  <conditionalFormatting sqref="E49:L49">
    <cfRule type="cellIs" dxfId="4" priority="5" operator="equal">
      <formula>0</formula>
    </cfRule>
  </conditionalFormatting>
  <conditionalFormatting sqref="M49">
    <cfRule type="cellIs" dxfId="3" priority="4" operator="equal">
      <formula>0</formula>
    </cfRule>
  </conditionalFormatting>
  <conditionalFormatting sqref="N49">
    <cfRule type="cellIs" dxfId="2" priority="3" operator="equal">
      <formula>0</formula>
    </cfRule>
  </conditionalFormatting>
  <conditionalFormatting sqref="O49">
    <cfRule type="cellIs" dxfId="1" priority="2" operator="equal">
      <formula>0</formula>
    </cfRule>
  </conditionalFormatting>
  <conditionalFormatting sqref="P49">
    <cfRule type="cellIs" dxfId="0" priority="1" operator="equal">
      <formula>0</formula>
    </cfRule>
  </conditionalFormatting>
  <printOptions horizontalCentered="1" gridLines="1"/>
  <pageMargins left="0.39370078740157483" right="0.39370078740157483" top="0.39370078740157483" bottom="0.39370078740157483" header="0" footer="0"/>
  <pageSetup paperSize="9" scale="40" fitToHeight="0" orientation="landscape" r:id="rId1"/>
  <headerFooter alignWithMargins="0"/>
  <colBreaks count="1" manualBreakCount="1">
    <brk id="16" max="5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9"/>
  <sheetViews>
    <sheetView tabSelected="1" view="pageBreakPreview" topLeftCell="A10" zoomScale="80" zoomScaleNormal="80" zoomScaleSheetLayoutView="80" workbookViewId="0">
      <selection activeCell="L45" sqref="L45"/>
    </sheetView>
  </sheetViews>
  <sheetFormatPr defaultRowHeight="12.75" x14ac:dyDescent="0.2"/>
  <cols>
    <col min="1" max="1" width="9.140625" style="43"/>
    <col min="2" max="2" width="18.7109375" style="43" customWidth="1"/>
    <col min="3" max="3" width="9.140625" style="43"/>
    <col min="4" max="4" width="18.5703125" style="43" customWidth="1"/>
    <col min="5" max="5" width="16.42578125" style="43" customWidth="1"/>
    <col min="6" max="6" width="19.42578125" style="43" customWidth="1"/>
    <col min="7" max="7" width="12.42578125" style="43" customWidth="1"/>
    <col min="8" max="11" width="9.140625" style="43"/>
    <col min="12" max="12" width="14.5703125" style="43" customWidth="1"/>
    <col min="13" max="14" width="9.140625" style="43"/>
    <col min="15" max="15" width="13.85546875" style="43" bestFit="1" customWidth="1"/>
    <col min="16" max="256" width="9.140625" style="43"/>
    <col min="257" max="257" width="18.7109375" style="43" customWidth="1"/>
    <col min="258" max="258" width="9.140625" style="43"/>
    <col min="259" max="259" width="18.5703125" style="43" customWidth="1"/>
    <col min="260" max="260" width="13.42578125" style="43" customWidth="1"/>
    <col min="261" max="261" width="19" style="43" customWidth="1"/>
    <col min="262" max="262" width="12.42578125" style="43" customWidth="1"/>
    <col min="263" max="512" width="9.140625" style="43"/>
    <col min="513" max="513" width="18.7109375" style="43" customWidth="1"/>
    <col min="514" max="514" width="9.140625" style="43"/>
    <col min="515" max="515" width="18.5703125" style="43" customWidth="1"/>
    <col min="516" max="516" width="13.42578125" style="43" customWidth="1"/>
    <col min="517" max="517" width="19" style="43" customWidth="1"/>
    <col min="518" max="518" width="12.42578125" style="43" customWidth="1"/>
    <col min="519" max="768" width="9.140625" style="43"/>
    <col min="769" max="769" width="18.7109375" style="43" customWidth="1"/>
    <col min="770" max="770" width="9.140625" style="43"/>
    <col min="771" max="771" width="18.5703125" style="43" customWidth="1"/>
    <col min="772" max="772" width="13.42578125" style="43" customWidth="1"/>
    <col min="773" max="773" width="19" style="43" customWidth="1"/>
    <col min="774" max="774" width="12.42578125" style="43" customWidth="1"/>
    <col min="775" max="1024" width="9.140625" style="43"/>
    <col min="1025" max="1025" width="18.7109375" style="43" customWidth="1"/>
    <col min="1026" max="1026" width="9.140625" style="43"/>
    <col min="1027" max="1027" width="18.5703125" style="43" customWidth="1"/>
    <col min="1028" max="1028" width="13.42578125" style="43" customWidth="1"/>
    <col min="1029" max="1029" width="19" style="43" customWidth="1"/>
    <col min="1030" max="1030" width="12.42578125" style="43" customWidth="1"/>
    <col min="1031" max="1280" width="9.140625" style="43"/>
    <col min="1281" max="1281" width="18.7109375" style="43" customWidth="1"/>
    <col min="1282" max="1282" width="9.140625" style="43"/>
    <col min="1283" max="1283" width="18.5703125" style="43" customWidth="1"/>
    <col min="1284" max="1284" width="13.42578125" style="43" customWidth="1"/>
    <col min="1285" max="1285" width="19" style="43" customWidth="1"/>
    <col min="1286" max="1286" width="12.42578125" style="43" customWidth="1"/>
    <col min="1287" max="1536" width="9.140625" style="43"/>
    <col min="1537" max="1537" width="18.7109375" style="43" customWidth="1"/>
    <col min="1538" max="1538" width="9.140625" style="43"/>
    <col min="1539" max="1539" width="18.5703125" style="43" customWidth="1"/>
    <col min="1540" max="1540" width="13.42578125" style="43" customWidth="1"/>
    <col min="1541" max="1541" width="19" style="43" customWidth="1"/>
    <col min="1542" max="1542" width="12.42578125" style="43" customWidth="1"/>
    <col min="1543" max="1792" width="9.140625" style="43"/>
    <col min="1793" max="1793" width="18.7109375" style="43" customWidth="1"/>
    <col min="1794" max="1794" width="9.140625" style="43"/>
    <col min="1795" max="1795" width="18.5703125" style="43" customWidth="1"/>
    <col min="1796" max="1796" width="13.42578125" style="43" customWidth="1"/>
    <col min="1797" max="1797" width="19" style="43" customWidth="1"/>
    <col min="1798" max="1798" width="12.42578125" style="43" customWidth="1"/>
    <col min="1799" max="2048" width="9.140625" style="43"/>
    <col min="2049" max="2049" width="18.7109375" style="43" customWidth="1"/>
    <col min="2050" max="2050" width="9.140625" style="43"/>
    <col min="2051" max="2051" width="18.5703125" style="43" customWidth="1"/>
    <col min="2052" max="2052" width="13.42578125" style="43" customWidth="1"/>
    <col min="2053" max="2053" width="19" style="43" customWidth="1"/>
    <col min="2054" max="2054" width="12.42578125" style="43" customWidth="1"/>
    <col min="2055" max="2304" width="9.140625" style="43"/>
    <col min="2305" max="2305" width="18.7109375" style="43" customWidth="1"/>
    <col min="2306" max="2306" width="9.140625" style="43"/>
    <col min="2307" max="2307" width="18.5703125" style="43" customWidth="1"/>
    <col min="2308" max="2308" width="13.42578125" style="43" customWidth="1"/>
    <col min="2309" max="2309" width="19" style="43" customWidth="1"/>
    <col min="2310" max="2310" width="12.42578125" style="43" customWidth="1"/>
    <col min="2311" max="2560" width="9.140625" style="43"/>
    <col min="2561" max="2561" width="18.7109375" style="43" customWidth="1"/>
    <col min="2562" max="2562" width="9.140625" style="43"/>
    <col min="2563" max="2563" width="18.5703125" style="43" customWidth="1"/>
    <col min="2564" max="2564" width="13.42578125" style="43" customWidth="1"/>
    <col min="2565" max="2565" width="19" style="43" customWidth="1"/>
    <col min="2566" max="2566" width="12.42578125" style="43" customWidth="1"/>
    <col min="2567" max="2816" width="9.140625" style="43"/>
    <col min="2817" max="2817" width="18.7109375" style="43" customWidth="1"/>
    <col min="2818" max="2818" width="9.140625" style="43"/>
    <col min="2819" max="2819" width="18.5703125" style="43" customWidth="1"/>
    <col min="2820" max="2820" width="13.42578125" style="43" customWidth="1"/>
    <col min="2821" max="2821" width="19" style="43" customWidth="1"/>
    <col min="2822" max="2822" width="12.42578125" style="43" customWidth="1"/>
    <col min="2823" max="3072" width="9.140625" style="43"/>
    <col min="3073" max="3073" width="18.7109375" style="43" customWidth="1"/>
    <col min="3074" max="3074" width="9.140625" style="43"/>
    <col min="3075" max="3075" width="18.5703125" style="43" customWidth="1"/>
    <col min="3076" max="3076" width="13.42578125" style="43" customWidth="1"/>
    <col min="3077" max="3077" width="19" style="43" customWidth="1"/>
    <col min="3078" max="3078" width="12.42578125" style="43" customWidth="1"/>
    <col min="3079" max="3328" width="9.140625" style="43"/>
    <col min="3329" max="3329" width="18.7109375" style="43" customWidth="1"/>
    <col min="3330" max="3330" width="9.140625" style="43"/>
    <col min="3331" max="3331" width="18.5703125" style="43" customWidth="1"/>
    <col min="3332" max="3332" width="13.42578125" style="43" customWidth="1"/>
    <col min="3333" max="3333" width="19" style="43" customWidth="1"/>
    <col min="3334" max="3334" width="12.42578125" style="43" customWidth="1"/>
    <col min="3335" max="3584" width="9.140625" style="43"/>
    <col min="3585" max="3585" width="18.7109375" style="43" customWidth="1"/>
    <col min="3586" max="3586" width="9.140625" style="43"/>
    <col min="3587" max="3587" width="18.5703125" style="43" customWidth="1"/>
    <col min="3588" max="3588" width="13.42578125" style="43" customWidth="1"/>
    <col min="3589" max="3589" width="19" style="43" customWidth="1"/>
    <col min="3590" max="3590" width="12.42578125" style="43" customWidth="1"/>
    <col min="3591" max="3840" width="9.140625" style="43"/>
    <col min="3841" max="3841" width="18.7109375" style="43" customWidth="1"/>
    <col min="3842" max="3842" width="9.140625" style="43"/>
    <col min="3843" max="3843" width="18.5703125" style="43" customWidth="1"/>
    <col min="3844" max="3844" width="13.42578125" style="43" customWidth="1"/>
    <col min="3845" max="3845" width="19" style="43" customWidth="1"/>
    <col min="3846" max="3846" width="12.42578125" style="43" customWidth="1"/>
    <col min="3847" max="4096" width="9.140625" style="43"/>
    <col min="4097" max="4097" width="18.7109375" style="43" customWidth="1"/>
    <col min="4098" max="4098" width="9.140625" style="43"/>
    <col min="4099" max="4099" width="18.5703125" style="43" customWidth="1"/>
    <col min="4100" max="4100" width="13.42578125" style="43" customWidth="1"/>
    <col min="4101" max="4101" width="19" style="43" customWidth="1"/>
    <col min="4102" max="4102" width="12.42578125" style="43" customWidth="1"/>
    <col min="4103" max="4352" width="9.140625" style="43"/>
    <col min="4353" max="4353" width="18.7109375" style="43" customWidth="1"/>
    <col min="4354" max="4354" width="9.140625" style="43"/>
    <col min="4355" max="4355" width="18.5703125" style="43" customWidth="1"/>
    <col min="4356" max="4356" width="13.42578125" style="43" customWidth="1"/>
    <col min="4357" max="4357" width="19" style="43" customWidth="1"/>
    <col min="4358" max="4358" width="12.42578125" style="43" customWidth="1"/>
    <col min="4359" max="4608" width="9.140625" style="43"/>
    <col min="4609" max="4609" width="18.7109375" style="43" customWidth="1"/>
    <col min="4610" max="4610" width="9.140625" style="43"/>
    <col min="4611" max="4611" width="18.5703125" style="43" customWidth="1"/>
    <col min="4612" max="4612" width="13.42578125" style="43" customWidth="1"/>
    <col min="4613" max="4613" width="19" style="43" customWidth="1"/>
    <col min="4614" max="4614" width="12.42578125" style="43" customWidth="1"/>
    <col min="4615" max="4864" width="9.140625" style="43"/>
    <col min="4865" max="4865" width="18.7109375" style="43" customWidth="1"/>
    <col min="4866" max="4866" width="9.140625" style="43"/>
    <col min="4867" max="4867" width="18.5703125" style="43" customWidth="1"/>
    <col min="4868" max="4868" width="13.42578125" style="43" customWidth="1"/>
    <col min="4869" max="4869" width="19" style="43" customWidth="1"/>
    <col min="4870" max="4870" width="12.42578125" style="43" customWidth="1"/>
    <col min="4871" max="5120" width="9.140625" style="43"/>
    <col min="5121" max="5121" width="18.7109375" style="43" customWidth="1"/>
    <col min="5122" max="5122" width="9.140625" style="43"/>
    <col min="5123" max="5123" width="18.5703125" style="43" customWidth="1"/>
    <col min="5124" max="5124" width="13.42578125" style="43" customWidth="1"/>
    <col min="5125" max="5125" width="19" style="43" customWidth="1"/>
    <col min="5126" max="5126" width="12.42578125" style="43" customWidth="1"/>
    <col min="5127" max="5376" width="9.140625" style="43"/>
    <col min="5377" max="5377" width="18.7109375" style="43" customWidth="1"/>
    <col min="5378" max="5378" width="9.140625" style="43"/>
    <col min="5379" max="5379" width="18.5703125" style="43" customWidth="1"/>
    <col min="5380" max="5380" width="13.42578125" style="43" customWidth="1"/>
    <col min="5381" max="5381" width="19" style="43" customWidth="1"/>
    <col min="5382" max="5382" width="12.42578125" style="43" customWidth="1"/>
    <col min="5383" max="5632" width="9.140625" style="43"/>
    <col min="5633" max="5633" width="18.7109375" style="43" customWidth="1"/>
    <col min="5634" max="5634" width="9.140625" style="43"/>
    <col min="5635" max="5635" width="18.5703125" style="43" customWidth="1"/>
    <col min="5636" max="5636" width="13.42578125" style="43" customWidth="1"/>
    <col min="5637" max="5637" width="19" style="43" customWidth="1"/>
    <col min="5638" max="5638" width="12.42578125" style="43" customWidth="1"/>
    <col min="5639" max="5888" width="9.140625" style="43"/>
    <col min="5889" max="5889" width="18.7109375" style="43" customWidth="1"/>
    <col min="5890" max="5890" width="9.140625" style="43"/>
    <col min="5891" max="5891" width="18.5703125" style="43" customWidth="1"/>
    <col min="5892" max="5892" width="13.42578125" style="43" customWidth="1"/>
    <col min="5893" max="5893" width="19" style="43" customWidth="1"/>
    <col min="5894" max="5894" width="12.42578125" style="43" customWidth="1"/>
    <col min="5895" max="6144" width="9.140625" style="43"/>
    <col min="6145" max="6145" width="18.7109375" style="43" customWidth="1"/>
    <col min="6146" max="6146" width="9.140625" style="43"/>
    <col min="6147" max="6147" width="18.5703125" style="43" customWidth="1"/>
    <col min="6148" max="6148" width="13.42578125" style="43" customWidth="1"/>
    <col min="6149" max="6149" width="19" style="43" customWidth="1"/>
    <col min="6150" max="6150" width="12.42578125" style="43" customWidth="1"/>
    <col min="6151" max="6400" width="9.140625" style="43"/>
    <col min="6401" max="6401" width="18.7109375" style="43" customWidth="1"/>
    <col min="6402" max="6402" width="9.140625" style="43"/>
    <col min="6403" max="6403" width="18.5703125" style="43" customWidth="1"/>
    <col min="6404" max="6404" width="13.42578125" style="43" customWidth="1"/>
    <col min="6405" max="6405" width="19" style="43" customWidth="1"/>
    <col min="6406" max="6406" width="12.42578125" style="43" customWidth="1"/>
    <col min="6407" max="6656" width="9.140625" style="43"/>
    <col min="6657" max="6657" width="18.7109375" style="43" customWidth="1"/>
    <col min="6658" max="6658" width="9.140625" style="43"/>
    <col min="6659" max="6659" width="18.5703125" style="43" customWidth="1"/>
    <col min="6660" max="6660" width="13.42578125" style="43" customWidth="1"/>
    <col min="6661" max="6661" width="19" style="43" customWidth="1"/>
    <col min="6662" max="6662" width="12.42578125" style="43" customWidth="1"/>
    <col min="6663" max="6912" width="9.140625" style="43"/>
    <col min="6913" max="6913" width="18.7109375" style="43" customWidth="1"/>
    <col min="6914" max="6914" width="9.140625" style="43"/>
    <col min="6915" max="6915" width="18.5703125" style="43" customWidth="1"/>
    <col min="6916" max="6916" width="13.42578125" style="43" customWidth="1"/>
    <col min="6917" max="6917" width="19" style="43" customWidth="1"/>
    <col min="6918" max="6918" width="12.42578125" style="43" customWidth="1"/>
    <col min="6919" max="7168" width="9.140625" style="43"/>
    <col min="7169" max="7169" width="18.7109375" style="43" customWidth="1"/>
    <col min="7170" max="7170" width="9.140625" style="43"/>
    <col min="7171" max="7171" width="18.5703125" style="43" customWidth="1"/>
    <col min="7172" max="7172" width="13.42578125" style="43" customWidth="1"/>
    <col min="7173" max="7173" width="19" style="43" customWidth="1"/>
    <col min="7174" max="7174" width="12.42578125" style="43" customWidth="1"/>
    <col min="7175" max="7424" width="9.140625" style="43"/>
    <col min="7425" max="7425" width="18.7109375" style="43" customWidth="1"/>
    <col min="7426" max="7426" width="9.140625" style="43"/>
    <col min="7427" max="7427" width="18.5703125" style="43" customWidth="1"/>
    <col min="7428" max="7428" width="13.42578125" style="43" customWidth="1"/>
    <col min="7429" max="7429" width="19" style="43" customWidth="1"/>
    <col min="7430" max="7430" width="12.42578125" style="43" customWidth="1"/>
    <col min="7431" max="7680" width="9.140625" style="43"/>
    <col min="7681" max="7681" width="18.7109375" style="43" customWidth="1"/>
    <col min="7682" max="7682" width="9.140625" style="43"/>
    <col min="7683" max="7683" width="18.5703125" style="43" customWidth="1"/>
    <col min="7684" max="7684" width="13.42578125" style="43" customWidth="1"/>
    <col min="7685" max="7685" width="19" style="43" customWidth="1"/>
    <col min="7686" max="7686" width="12.42578125" style="43" customWidth="1"/>
    <col min="7687" max="7936" width="9.140625" style="43"/>
    <col min="7937" max="7937" width="18.7109375" style="43" customWidth="1"/>
    <col min="7938" max="7938" width="9.140625" style="43"/>
    <col min="7939" max="7939" width="18.5703125" style="43" customWidth="1"/>
    <col min="7940" max="7940" width="13.42578125" style="43" customWidth="1"/>
    <col min="7941" max="7941" width="19" style="43" customWidth="1"/>
    <col min="7942" max="7942" width="12.42578125" style="43" customWidth="1"/>
    <col min="7943" max="8192" width="9.140625" style="43"/>
    <col min="8193" max="8193" width="18.7109375" style="43" customWidth="1"/>
    <col min="8194" max="8194" width="9.140625" style="43"/>
    <col min="8195" max="8195" width="18.5703125" style="43" customWidth="1"/>
    <col min="8196" max="8196" width="13.42578125" style="43" customWidth="1"/>
    <col min="8197" max="8197" width="19" style="43" customWidth="1"/>
    <col min="8198" max="8198" width="12.42578125" style="43" customWidth="1"/>
    <col min="8199" max="8448" width="9.140625" style="43"/>
    <col min="8449" max="8449" width="18.7109375" style="43" customWidth="1"/>
    <col min="8450" max="8450" width="9.140625" style="43"/>
    <col min="8451" max="8451" width="18.5703125" style="43" customWidth="1"/>
    <col min="8452" max="8452" width="13.42578125" style="43" customWidth="1"/>
    <col min="8453" max="8453" width="19" style="43" customWidth="1"/>
    <col min="8454" max="8454" width="12.42578125" style="43" customWidth="1"/>
    <col min="8455" max="8704" width="9.140625" style="43"/>
    <col min="8705" max="8705" width="18.7109375" style="43" customWidth="1"/>
    <col min="8706" max="8706" width="9.140625" style="43"/>
    <col min="8707" max="8707" width="18.5703125" style="43" customWidth="1"/>
    <col min="8708" max="8708" width="13.42578125" style="43" customWidth="1"/>
    <col min="8709" max="8709" width="19" style="43" customWidth="1"/>
    <col min="8710" max="8710" width="12.42578125" style="43" customWidth="1"/>
    <col min="8711" max="8960" width="9.140625" style="43"/>
    <col min="8961" max="8961" width="18.7109375" style="43" customWidth="1"/>
    <col min="8962" max="8962" width="9.140625" style="43"/>
    <col min="8963" max="8963" width="18.5703125" style="43" customWidth="1"/>
    <col min="8964" max="8964" width="13.42578125" style="43" customWidth="1"/>
    <col min="8965" max="8965" width="19" style="43" customWidth="1"/>
    <col min="8966" max="8966" width="12.42578125" style="43" customWidth="1"/>
    <col min="8967" max="9216" width="9.140625" style="43"/>
    <col min="9217" max="9217" width="18.7109375" style="43" customWidth="1"/>
    <col min="9218" max="9218" width="9.140625" style="43"/>
    <col min="9219" max="9219" width="18.5703125" style="43" customWidth="1"/>
    <col min="9220" max="9220" width="13.42578125" style="43" customWidth="1"/>
    <col min="9221" max="9221" width="19" style="43" customWidth="1"/>
    <col min="9222" max="9222" width="12.42578125" style="43" customWidth="1"/>
    <col min="9223" max="9472" width="9.140625" style="43"/>
    <col min="9473" max="9473" width="18.7109375" style="43" customWidth="1"/>
    <col min="9474" max="9474" width="9.140625" style="43"/>
    <col min="9475" max="9475" width="18.5703125" style="43" customWidth="1"/>
    <col min="9476" max="9476" width="13.42578125" style="43" customWidth="1"/>
    <col min="9477" max="9477" width="19" style="43" customWidth="1"/>
    <col min="9478" max="9478" width="12.42578125" style="43" customWidth="1"/>
    <col min="9479" max="9728" width="9.140625" style="43"/>
    <col min="9729" max="9729" width="18.7109375" style="43" customWidth="1"/>
    <col min="9730" max="9730" width="9.140625" style="43"/>
    <col min="9731" max="9731" width="18.5703125" style="43" customWidth="1"/>
    <col min="9732" max="9732" width="13.42578125" style="43" customWidth="1"/>
    <col min="9733" max="9733" width="19" style="43" customWidth="1"/>
    <col min="9734" max="9734" width="12.42578125" style="43" customWidth="1"/>
    <col min="9735" max="9984" width="9.140625" style="43"/>
    <col min="9985" max="9985" width="18.7109375" style="43" customWidth="1"/>
    <col min="9986" max="9986" width="9.140625" style="43"/>
    <col min="9987" max="9987" width="18.5703125" style="43" customWidth="1"/>
    <col min="9988" max="9988" width="13.42578125" style="43" customWidth="1"/>
    <col min="9989" max="9989" width="19" style="43" customWidth="1"/>
    <col min="9990" max="9990" width="12.42578125" style="43" customWidth="1"/>
    <col min="9991" max="10240" width="9.140625" style="43"/>
    <col min="10241" max="10241" width="18.7109375" style="43" customWidth="1"/>
    <col min="10242" max="10242" width="9.140625" style="43"/>
    <col min="10243" max="10243" width="18.5703125" style="43" customWidth="1"/>
    <col min="10244" max="10244" width="13.42578125" style="43" customWidth="1"/>
    <col min="10245" max="10245" width="19" style="43" customWidth="1"/>
    <col min="10246" max="10246" width="12.42578125" style="43" customWidth="1"/>
    <col min="10247" max="10496" width="9.140625" style="43"/>
    <col min="10497" max="10497" width="18.7109375" style="43" customWidth="1"/>
    <col min="10498" max="10498" width="9.140625" style="43"/>
    <col min="10499" max="10499" width="18.5703125" style="43" customWidth="1"/>
    <col min="10500" max="10500" width="13.42578125" style="43" customWidth="1"/>
    <col min="10501" max="10501" width="19" style="43" customWidth="1"/>
    <col min="10502" max="10502" width="12.42578125" style="43" customWidth="1"/>
    <col min="10503" max="10752" width="9.140625" style="43"/>
    <col min="10753" max="10753" width="18.7109375" style="43" customWidth="1"/>
    <col min="10754" max="10754" width="9.140625" style="43"/>
    <col min="10755" max="10755" width="18.5703125" style="43" customWidth="1"/>
    <col min="10756" max="10756" width="13.42578125" style="43" customWidth="1"/>
    <col min="10757" max="10757" width="19" style="43" customWidth="1"/>
    <col min="10758" max="10758" width="12.42578125" style="43" customWidth="1"/>
    <col min="10759" max="11008" width="9.140625" style="43"/>
    <col min="11009" max="11009" width="18.7109375" style="43" customWidth="1"/>
    <col min="11010" max="11010" width="9.140625" style="43"/>
    <col min="11011" max="11011" width="18.5703125" style="43" customWidth="1"/>
    <col min="11012" max="11012" width="13.42578125" style="43" customWidth="1"/>
    <col min="11013" max="11013" width="19" style="43" customWidth="1"/>
    <col min="11014" max="11014" width="12.42578125" style="43" customWidth="1"/>
    <col min="11015" max="11264" width="9.140625" style="43"/>
    <col min="11265" max="11265" width="18.7109375" style="43" customWidth="1"/>
    <col min="11266" max="11266" width="9.140625" style="43"/>
    <col min="11267" max="11267" width="18.5703125" style="43" customWidth="1"/>
    <col min="11268" max="11268" width="13.42578125" style="43" customWidth="1"/>
    <col min="11269" max="11269" width="19" style="43" customWidth="1"/>
    <col min="11270" max="11270" width="12.42578125" style="43" customWidth="1"/>
    <col min="11271" max="11520" width="9.140625" style="43"/>
    <col min="11521" max="11521" width="18.7109375" style="43" customWidth="1"/>
    <col min="11522" max="11522" width="9.140625" style="43"/>
    <col min="11523" max="11523" width="18.5703125" style="43" customWidth="1"/>
    <col min="11524" max="11524" width="13.42578125" style="43" customWidth="1"/>
    <col min="11525" max="11525" width="19" style="43" customWidth="1"/>
    <col min="11526" max="11526" width="12.42578125" style="43" customWidth="1"/>
    <col min="11527" max="11776" width="9.140625" style="43"/>
    <col min="11777" max="11777" width="18.7109375" style="43" customWidth="1"/>
    <col min="11778" max="11778" width="9.140625" style="43"/>
    <col min="11779" max="11779" width="18.5703125" style="43" customWidth="1"/>
    <col min="11780" max="11780" width="13.42578125" style="43" customWidth="1"/>
    <col min="11781" max="11781" width="19" style="43" customWidth="1"/>
    <col min="11782" max="11782" width="12.42578125" style="43" customWidth="1"/>
    <col min="11783" max="12032" width="9.140625" style="43"/>
    <col min="12033" max="12033" width="18.7109375" style="43" customWidth="1"/>
    <col min="12034" max="12034" width="9.140625" style="43"/>
    <col min="12035" max="12035" width="18.5703125" style="43" customWidth="1"/>
    <col min="12036" max="12036" width="13.42578125" style="43" customWidth="1"/>
    <col min="12037" max="12037" width="19" style="43" customWidth="1"/>
    <col min="12038" max="12038" width="12.42578125" style="43" customWidth="1"/>
    <col min="12039" max="12288" width="9.140625" style="43"/>
    <col min="12289" max="12289" width="18.7109375" style="43" customWidth="1"/>
    <col min="12290" max="12290" width="9.140625" style="43"/>
    <col min="12291" max="12291" width="18.5703125" style="43" customWidth="1"/>
    <col min="12292" max="12292" width="13.42578125" style="43" customWidth="1"/>
    <col min="12293" max="12293" width="19" style="43" customWidth="1"/>
    <col min="12294" max="12294" width="12.42578125" style="43" customWidth="1"/>
    <col min="12295" max="12544" width="9.140625" style="43"/>
    <col min="12545" max="12545" width="18.7109375" style="43" customWidth="1"/>
    <col min="12546" max="12546" width="9.140625" style="43"/>
    <col min="12547" max="12547" width="18.5703125" style="43" customWidth="1"/>
    <col min="12548" max="12548" width="13.42578125" style="43" customWidth="1"/>
    <col min="12549" max="12549" width="19" style="43" customWidth="1"/>
    <col min="12550" max="12550" width="12.42578125" style="43" customWidth="1"/>
    <col min="12551" max="12800" width="9.140625" style="43"/>
    <col min="12801" max="12801" width="18.7109375" style="43" customWidth="1"/>
    <col min="12802" max="12802" width="9.140625" style="43"/>
    <col min="12803" max="12803" width="18.5703125" style="43" customWidth="1"/>
    <col min="12804" max="12804" width="13.42578125" style="43" customWidth="1"/>
    <col min="12805" max="12805" width="19" style="43" customWidth="1"/>
    <col min="12806" max="12806" width="12.42578125" style="43" customWidth="1"/>
    <col min="12807" max="13056" width="9.140625" style="43"/>
    <col min="13057" max="13057" width="18.7109375" style="43" customWidth="1"/>
    <col min="13058" max="13058" width="9.140625" style="43"/>
    <col min="13059" max="13059" width="18.5703125" style="43" customWidth="1"/>
    <col min="13060" max="13060" width="13.42578125" style="43" customWidth="1"/>
    <col min="13061" max="13061" width="19" style="43" customWidth="1"/>
    <col min="13062" max="13062" width="12.42578125" style="43" customWidth="1"/>
    <col min="13063" max="13312" width="9.140625" style="43"/>
    <col min="13313" max="13313" width="18.7109375" style="43" customWidth="1"/>
    <col min="13314" max="13314" width="9.140625" style="43"/>
    <col min="13315" max="13315" width="18.5703125" style="43" customWidth="1"/>
    <col min="13316" max="13316" width="13.42578125" style="43" customWidth="1"/>
    <col min="13317" max="13317" width="19" style="43" customWidth="1"/>
    <col min="13318" max="13318" width="12.42578125" style="43" customWidth="1"/>
    <col min="13319" max="13568" width="9.140625" style="43"/>
    <col min="13569" max="13569" width="18.7109375" style="43" customWidth="1"/>
    <col min="13570" max="13570" width="9.140625" style="43"/>
    <col min="13571" max="13571" width="18.5703125" style="43" customWidth="1"/>
    <col min="13572" max="13572" width="13.42578125" style="43" customWidth="1"/>
    <col min="13573" max="13573" width="19" style="43" customWidth="1"/>
    <col min="13574" max="13574" width="12.42578125" style="43" customWidth="1"/>
    <col min="13575" max="13824" width="9.140625" style="43"/>
    <col min="13825" max="13825" width="18.7109375" style="43" customWidth="1"/>
    <col min="13826" max="13826" width="9.140625" style="43"/>
    <col min="13827" max="13827" width="18.5703125" style="43" customWidth="1"/>
    <col min="13828" max="13828" width="13.42578125" style="43" customWidth="1"/>
    <col min="13829" max="13829" width="19" style="43" customWidth="1"/>
    <col min="13830" max="13830" width="12.42578125" style="43" customWidth="1"/>
    <col min="13831" max="14080" width="9.140625" style="43"/>
    <col min="14081" max="14081" width="18.7109375" style="43" customWidth="1"/>
    <col min="14082" max="14082" width="9.140625" style="43"/>
    <col min="14083" max="14083" width="18.5703125" style="43" customWidth="1"/>
    <col min="14084" max="14084" width="13.42578125" style="43" customWidth="1"/>
    <col min="14085" max="14085" width="19" style="43" customWidth="1"/>
    <col min="14086" max="14086" width="12.42578125" style="43" customWidth="1"/>
    <col min="14087" max="14336" width="9.140625" style="43"/>
    <col min="14337" max="14337" width="18.7109375" style="43" customWidth="1"/>
    <col min="14338" max="14338" width="9.140625" style="43"/>
    <col min="14339" max="14339" width="18.5703125" style="43" customWidth="1"/>
    <col min="14340" max="14340" width="13.42578125" style="43" customWidth="1"/>
    <col min="14341" max="14341" width="19" style="43" customWidth="1"/>
    <col min="14342" max="14342" width="12.42578125" style="43" customWidth="1"/>
    <col min="14343" max="14592" width="9.140625" style="43"/>
    <col min="14593" max="14593" width="18.7109375" style="43" customWidth="1"/>
    <col min="14594" max="14594" width="9.140625" style="43"/>
    <col min="14595" max="14595" width="18.5703125" style="43" customWidth="1"/>
    <col min="14596" max="14596" width="13.42578125" style="43" customWidth="1"/>
    <col min="14597" max="14597" width="19" style="43" customWidth="1"/>
    <col min="14598" max="14598" width="12.42578125" style="43" customWidth="1"/>
    <col min="14599" max="14848" width="9.140625" style="43"/>
    <col min="14849" max="14849" width="18.7109375" style="43" customWidth="1"/>
    <col min="14850" max="14850" width="9.140625" style="43"/>
    <col min="14851" max="14851" width="18.5703125" style="43" customWidth="1"/>
    <col min="14852" max="14852" width="13.42578125" style="43" customWidth="1"/>
    <col min="14853" max="14853" width="19" style="43" customWidth="1"/>
    <col min="14854" max="14854" width="12.42578125" style="43" customWidth="1"/>
    <col min="14855" max="15104" width="9.140625" style="43"/>
    <col min="15105" max="15105" width="18.7109375" style="43" customWidth="1"/>
    <col min="15106" max="15106" width="9.140625" style="43"/>
    <col min="15107" max="15107" width="18.5703125" style="43" customWidth="1"/>
    <col min="15108" max="15108" width="13.42578125" style="43" customWidth="1"/>
    <col min="15109" max="15109" width="19" style="43" customWidth="1"/>
    <col min="15110" max="15110" width="12.42578125" style="43" customWidth="1"/>
    <col min="15111" max="15360" width="9.140625" style="43"/>
    <col min="15361" max="15361" width="18.7109375" style="43" customWidth="1"/>
    <col min="15362" max="15362" width="9.140625" style="43"/>
    <col min="15363" max="15363" width="18.5703125" style="43" customWidth="1"/>
    <col min="15364" max="15364" width="13.42578125" style="43" customWidth="1"/>
    <col min="15365" max="15365" width="19" style="43" customWidth="1"/>
    <col min="15366" max="15366" width="12.42578125" style="43" customWidth="1"/>
    <col min="15367" max="15616" width="9.140625" style="43"/>
    <col min="15617" max="15617" width="18.7109375" style="43" customWidth="1"/>
    <col min="15618" max="15618" width="9.140625" style="43"/>
    <col min="15619" max="15619" width="18.5703125" style="43" customWidth="1"/>
    <col min="15620" max="15620" width="13.42578125" style="43" customWidth="1"/>
    <col min="15621" max="15621" width="19" style="43" customWidth="1"/>
    <col min="15622" max="15622" width="12.42578125" style="43" customWidth="1"/>
    <col min="15623" max="15872" width="9.140625" style="43"/>
    <col min="15873" max="15873" width="18.7109375" style="43" customWidth="1"/>
    <col min="15874" max="15874" width="9.140625" style="43"/>
    <col min="15875" max="15875" width="18.5703125" style="43" customWidth="1"/>
    <col min="15876" max="15876" width="13.42578125" style="43" customWidth="1"/>
    <col min="15877" max="15877" width="19" style="43" customWidth="1"/>
    <col min="15878" max="15878" width="12.42578125" style="43" customWidth="1"/>
    <col min="15879" max="16128" width="9.140625" style="43"/>
    <col min="16129" max="16129" width="18.7109375" style="43" customWidth="1"/>
    <col min="16130" max="16130" width="9.140625" style="43"/>
    <col min="16131" max="16131" width="18.5703125" style="43" customWidth="1"/>
    <col min="16132" max="16132" width="13.42578125" style="43" customWidth="1"/>
    <col min="16133" max="16133" width="19" style="43" customWidth="1"/>
    <col min="16134" max="16134" width="12.42578125" style="43" customWidth="1"/>
    <col min="16135" max="16384" width="9.140625" style="43"/>
  </cols>
  <sheetData>
    <row r="2" spans="2:18" ht="21" customHeight="1" x14ac:dyDescent="0.2">
      <c r="B2" s="1"/>
      <c r="C2" s="411" t="s">
        <v>0</v>
      </c>
      <c r="D2" s="412"/>
      <c r="E2" s="412"/>
      <c r="F2" s="412"/>
      <c r="G2" s="412"/>
      <c r="H2" s="412"/>
      <c r="I2" s="412"/>
      <c r="J2" s="413"/>
    </row>
    <row r="3" spans="2:18" ht="30.75" customHeight="1" x14ac:dyDescent="0.2">
      <c r="B3" s="2"/>
      <c r="C3" s="419" t="s">
        <v>1362</v>
      </c>
      <c r="D3" s="420"/>
      <c r="E3" s="420"/>
      <c r="F3" s="4"/>
      <c r="G3" s="3"/>
      <c r="H3" s="4"/>
      <c r="I3" s="4"/>
      <c r="J3" s="34"/>
    </row>
    <row r="4" spans="2:18" ht="21.75" customHeight="1" x14ac:dyDescent="0.2">
      <c r="B4" s="2"/>
      <c r="C4" s="419" t="s">
        <v>19</v>
      </c>
      <c r="D4" s="420"/>
      <c r="E4" s="420"/>
      <c r="F4" s="312" t="s">
        <v>3</v>
      </c>
      <c r="G4" s="319">
        <v>1.5727</v>
      </c>
      <c r="H4" s="409" t="s">
        <v>264</v>
      </c>
      <c r="I4" s="409"/>
      <c r="J4" s="410"/>
    </row>
    <row r="5" spans="2:18" ht="21.75" customHeight="1" x14ac:dyDescent="0.2">
      <c r="B5" s="2"/>
      <c r="C5" s="419" t="s">
        <v>2</v>
      </c>
      <c r="D5" s="420"/>
      <c r="E5" s="420"/>
      <c r="F5" s="320" t="s">
        <v>5</v>
      </c>
      <c r="G5" s="319">
        <v>0.3196</v>
      </c>
      <c r="H5" s="485" t="s">
        <v>6</v>
      </c>
      <c r="I5" s="485"/>
      <c r="J5" s="313" t="s">
        <v>1369</v>
      </c>
    </row>
    <row r="6" spans="2:18" ht="18" customHeight="1" x14ac:dyDescent="0.2">
      <c r="B6" s="318"/>
      <c r="C6" s="486" t="s">
        <v>1355</v>
      </c>
      <c r="D6" s="434"/>
      <c r="E6" s="434"/>
      <c r="F6" s="434"/>
      <c r="G6" s="434"/>
      <c r="H6" s="434"/>
      <c r="I6" s="35"/>
      <c r="J6" s="16"/>
    </row>
    <row r="7" spans="2:18" ht="11.25" customHeight="1" x14ac:dyDescent="0.2">
      <c r="B7" s="2"/>
      <c r="C7" s="284"/>
      <c r="D7" s="284"/>
      <c r="E7" s="284"/>
      <c r="F7" s="311"/>
      <c r="G7" s="26"/>
      <c r="H7" s="312"/>
      <c r="I7" s="312"/>
      <c r="J7" s="321"/>
    </row>
    <row r="8" spans="2:18" ht="25.5" customHeight="1" x14ac:dyDescent="0.2">
      <c r="B8" s="322"/>
      <c r="C8" s="315"/>
      <c r="D8" s="315"/>
      <c r="E8" s="46" t="s">
        <v>481</v>
      </c>
      <c r="F8" s="315"/>
      <c r="G8" s="315"/>
      <c r="H8" s="315"/>
      <c r="I8" s="315"/>
      <c r="J8" s="323"/>
    </row>
    <row r="9" spans="2:18" x14ac:dyDescent="0.2">
      <c r="B9" s="322"/>
      <c r="C9" s="60" t="s">
        <v>482</v>
      </c>
      <c r="D9" s="45"/>
      <c r="E9" s="46"/>
      <c r="F9" s="315"/>
      <c r="G9" s="315"/>
      <c r="H9" s="315"/>
      <c r="I9" s="315"/>
      <c r="J9" s="323"/>
    </row>
    <row r="10" spans="2:18" x14ac:dyDescent="0.2">
      <c r="B10" s="322"/>
      <c r="C10" s="45" t="s">
        <v>485</v>
      </c>
      <c r="D10" s="61"/>
      <c r="E10" s="62">
        <v>4.0599999999999997E-2</v>
      </c>
      <c r="F10" s="315"/>
      <c r="G10" s="315"/>
      <c r="H10" s="315"/>
      <c r="I10" s="315"/>
      <c r="J10" s="323"/>
      <c r="R10" s="47"/>
    </row>
    <row r="11" spans="2:18" x14ac:dyDescent="0.2">
      <c r="B11" s="322"/>
      <c r="C11" s="469" t="s">
        <v>483</v>
      </c>
      <c r="D11" s="470"/>
      <c r="E11" s="63">
        <f>E10</f>
        <v>4.0599999999999997E-2</v>
      </c>
      <c r="F11" s="324"/>
      <c r="G11" s="315"/>
      <c r="H11" s="315"/>
      <c r="I11" s="315"/>
      <c r="J11" s="323"/>
    </row>
    <row r="12" spans="2:18" x14ac:dyDescent="0.2">
      <c r="B12" s="322"/>
      <c r="C12" s="60" t="s">
        <v>484</v>
      </c>
      <c r="D12" s="45"/>
      <c r="E12" s="46"/>
      <c r="F12" s="324"/>
      <c r="G12" s="315"/>
      <c r="H12" s="315"/>
      <c r="I12" s="315"/>
      <c r="J12" s="323"/>
    </row>
    <row r="13" spans="2:18" x14ac:dyDescent="0.2">
      <c r="B13" s="322"/>
      <c r="C13" s="45" t="s">
        <v>1340</v>
      </c>
      <c r="D13" s="61"/>
      <c r="E13" s="62">
        <v>5.8799999999999998E-2</v>
      </c>
      <c r="F13" s="324"/>
      <c r="G13" s="315"/>
      <c r="H13" s="315"/>
      <c r="I13" s="315"/>
      <c r="J13" s="323"/>
    </row>
    <row r="14" spans="2:18" x14ac:dyDescent="0.2">
      <c r="B14" s="322"/>
      <c r="C14" s="469" t="s">
        <v>486</v>
      </c>
      <c r="D14" s="470"/>
      <c r="E14" s="63">
        <f>E13</f>
        <v>5.8799999999999998E-2</v>
      </c>
      <c r="F14" s="324"/>
      <c r="G14" s="315"/>
      <c r="H14" s="315"/>
      <c r="I14" s="315"/>
      <c r="J14" s="323"/>
    </row>
    <row r="15" spans="2:18" x14ac:dyDescent="0.2">
      <c r="B15" s="322"/>
      <c r="C15" s="60" t="s">
        <v>487</v>
      </c>
      <c r="D15" s="281"/>
      <c r="E15" s="64"/>
      <c r="F15" s="324"/>
      <c r="G15" s="315"/>
      <c r="H15" s="315"/>
      <c r="I15" s="315"/>
      <c r="J15" s="323"/>
    </row>
    <row r="16" spans="2:18" x14ac:dyDescent="0.2">
      <c r="B16" s="322"/>
      <c r="C16" s="488" t="s">
        <v>1265</v>
      </c>
      <c r="D16" s="489"/>
      <c r="E16" s="64"/>
      <c r="F16" s="324"/>
      <c r="G16" s="315"/>
      <c r="H16" s="315"/>
      <c r="I16" s="315"/>
      <c r="J16" s="323"/>
    </row>
    <row r="17" spans="2:10" x14ac:dyDescent="0.2">
      <c r="B17" s="322"/>
      <c r="C17" s="488" t="s">
        <v>494</v>
      </c>
      <c r="D17" s="489"/>
      <c r="E17" s="62">
        <v>0.05</v>
      </c>
      <c r="F17" s="324"/>
      <c r="G17" s="315"/>
      <c r="H17" s="315"/>
      <c r="I17" s="315"/>
      <c r="J17" s="323"/>
    </row>
    <row r="18" spans="2:10" x14ac:dyDescent="0.2">
      <c r="B18" s="322"/>
      <c r="C18" s="488" t="s">
        <v>495</v>
      </c>
      <c r="D18" s="489"/>
      <c r="E18" s="62">
        <v>6.4999999999999997E-3</v>
      </c>
      <c r="F18" s="324"/>
      <c r="G18" s="315"/>
      <c r="H18" s="315"/>
      <c r="I18" s="315"/>
      <c r="J18" s="323"/>
    </row>
    <row r="19" spans="2:10" x14ac:dyDescent="0.2">
      <c r="B19" s="322"/>
      <c r="C19" s="488" t="s">
        <v>496</v>
      </c>
      <c r="D19" s="489"/>
      <c r="E19" s="62">
        <v>0.03</v>
      </c>
      <c r="F19" s="324"/>
      <c r="G19" s="315"/>
      <c r="H19" s="315"/>
      <c r="I19" s="315"/>
      <c r="J19" s="323"/>
    </row>
    <row r="20" spans="2:10" x14ac:dyDescent="0.2">
      <c r="B20" s="322"/>
      <c r="C20" s="488" t="s">
        <v>497</v>
      </c>
      <c r="D20" s="489"/>
      <c r="E20" s="62">
        <v>0</v>
      </c>
      <c r="F20" s="324"/>
      <c r="G20" s="315"/>
      <c r="H20" s="315"/>
      <c r="I20" s="315"/>
      <c r="J20" s="323"/>
    </row>
    <row r="21" spans="2:10" x14ac:dyDescent="0.2">
      <c r="B21" s="322"/>
      <c r="C21" s="469" t="s">
        <v>488</v>
      </c>
      <c r="D21" s="470"/>
      <c r="E21" s="63">
        <f>SUM(E17:E20)</f>
        <v>8.6499999999999994E-2</v>
      </c>
      <c r="F21" s="324"/>
      <c r="G21" s="315"/>
      <c r="H21" s="315"/>
      <c r="I21" s="315"/>
      <c r="J21" s="323"/>
    </row>
    <row r="22" spans="2:10" x14ac:dyDescent="0.2">
      <c r="B22" s="322"/>
      <c r="C22" s="60" t="s">
        <v>489</v>
      </c>
      <c r="D22" s="45"/>
      <c r="E22" s="64"/>
      <c r="F22" s="324"/>
      <c r="G22" s="315"/>
      <c r="H22" s="315"/>
      <c r="I22" s="315"/>
      <c r="J22" s="323"/>
    </row>
    <row r="23" spans="2:10" x14ac:dyDescent="0.2">
      <c r="B23" s="322"/>
      <c r="C23" s="45" t="s">
        <v>1266</v>
      </c>
      <c r="D23" s="45"/>
      <c r="E23" s="64">
        <v>6.1000000000000004E-3</v>
      </c>
      <c r="F23" s="324"/>
      <c r="G23" s="315"/>
      <c r="H23" s="315"/>
      <c r="I23" s="315"/>
      <c r="J23" s="323"/>
    </row>
    <row r="24" spans="2:10" x14ac:dyDescent="0.2">
      <c r="B24" s="322"/>
      <c r="C24" s="469" t="s">
        <v>492</v>
      </c>
      <c r="D24" s="470"/>
      <c r="E24" s="65">
        <f>E23</f>
        <v>6.1000000000000004E-3</v>
      </c>
      <c r="F24" s="324"/>
      <c r="G24" s="315"/>
      <c r="H24" s="315"/>
      <c r="I24" s="315"/>
      <c r="J24" s="323"/>
    </row>
    <row r="25" spans="2:10" x14ac:dyDescent="0.2">
      <c r="B25" s="322"/>
      <c r="C25" s="60" t="s">
        <v>493</v>
      </c>
      <c r="D25" s="45"/>
      <c r="E25" s="64"/>
      <c r="F25" s="324"/>
      <c r="G25" s="315"/>
      <c r="H25" s="315"/>
      <c r="I25" s="315"/>
      <c r="J25" s="323"/>
    </row>
    <row r="26" spans="2:10" x14ac:dyDescent="0.2">
      <c r="B26" s="322"/>
      <c r="C26" s="45" t="s">
        <v>490</v>
      </c>
      <c r="D26" s="45"/>
      <c r="E26" s="64">
        <v>5.0000000000000001E-3</v>
      </c>
      <c r="F26" s="324"/>
      <c r="G26" s="315"/>
      <c r="H26" s="315"/>
      <c r="I26" s="315"/>
      <c r="J26" s="323"/>
    </row>
    <row r="27" spans="2:10" x14ac:dyDescent="0.2">
      <c r="B27" s="322"/>
      <c r="C27" s="488" t="s">
        <v>491</v>
      </c>
      <c r="D27" s="489"/>
      <c r="E27" s="64">
        <v>5.0000000000000001E-3</v>
      </c>
      <c r="F27" s="324"/>
      <c r="G27" s="315"/>
      <c r="H27" s="315"/>
      <c r="I27" s="315"/>
      <c r="J27" s="323"/>
    </row>
    <row r="28" spans="2:10" x14ac:dyDescent="0.2">
      <c r="B28" s="322"/>
      <c r="C28" s="469" t="s">
        <v>498</v>
      </c>
      <c r="D28" s="470"/>
      <c r="E28" s="65">
        <f>SUM(E26:E27)</f>
        <v>0.01</v>
      </c>
      <c r="F28" s="324"/>
      <c r="G28" s="315"/>
      <c r="H28" s="315"/>
      <c r="I28" s="315"/>
      <c r="J28" s="323"/>
    </row>
    <row r="29" spans="2:10" x14ac:dyDescent="0.2">
      <c r="B29" s="322"/>
      <c r="C29" s="60" t="s">
        <v>1341</v>
      </c>
      <c r="D29" s="45"/>
      <c r="E29" s="64"/>
      <c r="F29" s="324"/>
      <c r="G29" s="315"/>
      <c r="H29" s="315"/>
      <c r="I29" s="315"/>
      <c r="J29" s="323"/>
    </row>
    <row r="30" spans="2:10" x14ac:dyDescent="0.2">
      <c r="B30" s="322"/>
      <c r="C30" s="488" t="s">
        <v>1267</v>
      </c>
      <c r="D30" s="489"/>
      <c r="E30" s="62">
        <v>0.08</v>
      </c>
      <c r="F30" s="324"/>
      <c r="G30" s="315"/>
      <c r="H30" s="315"/>
      <c r="I30" s="315"/>
      <c r="J30" s="323"/>
    </row>
    <row r="31" spans="2:10" x14ac:dyDescent="0.2">
      <c r="B31" s="322"/>
      <c r="C31" s="469" t="s">
        <v>1350</v>
      </c>
      <c r="D31" s="470"/>
      <c r="E31" s="65">
        <f>E30</f>
        <v>0.08</v>
      </c>
      <c r="F31" s="324"/>
      <c r="G31" s="315"/>
      <c r="H31" s="315"/>
      <c r="I31" s="315"/>
      <c r="J31" s="323"/>
    </row>
    <row r="32" spans="2:10" x14ac:dyDescent="0.2">
      <c r="B32" s="322"/>
      <c r="C32" s="325"/>
      <c r="D32" s="325"/>
      <c r="E32" s="326"/>
      <c r="F32" s="315"/>
      <c r="G32" s="315"/>
      <c r="H32" s="315"/>
      <c r="I32" s="315"/>
      <c r="J32" s="323"/>
    </row>
    <row r="33" spans="2:15" ht="18.75" customHeight="1" x14ac:dyDescent="0.2">
      <c r="B33" s="322"/>
      <c r="C33" s="471" t="s">
        <v>499</v>
      </c>
      <c r="D33" s="472"/>
      <c r="E33" s="65">
        <f>(((1+E24)*(1+E11+E14+E28)*(1+E31)/(1-E21))-1)</f>
        <v>0.31960670738916264</v>
      </c>
      <c r="F33" s="327"/>
      <c r="G33" s="327"/>
      <c r="H33" s="315"/>
      <c r="I33" s="315"/>
      <c r="J33" s="323"/>
    </row>
    <row r="34" spans="2:15" ht="17.25" customHeight="1" x14ac:dyDescent="0.2">
      <c r="B34" s="322"/>
      <c r="C34" s="315"/>
      <c r="D34" s="315"/>
      <c r="E34" s="315"/>
      <c r="F34" s="315"/>
      <c r="G34" s="315"/>
      <c r="H34" s="315"/>
      <c r="I34" s="315"/>
      <c r="J34" s="323"/>
    </row>
    <row r="35" spans="2:15" x14ac:dyDescent="0.2">
      <c r="B35" s="328" t="s">
        <v>500</v>
      </c>
      <c r="C35" s="310"/>
      <c r="D35" s="310"/>
      <c r="E35" s="310"/>
      <c r="F35" s="329"/>
      <c r="G35" s="330"/>
      <c r="H35" s="330"/>
      <c r="I35" s="316"/>
      <c r="J35" s="331"/>
    </row>
    <row r="36" spans="2:15" x14ac:dyDescent="0.2">
      <c r="B36" s="332"/>
      <c r="C36" s="310"/>
      <c r="D36" s="310"/>
      <c r="E36" s="310"/>
      <c r="F36" s="329"/>
      <c r="G36" s="330"/>
      <c r="H36" s="330"/>
      <c r="I36" s="316"/>
      <c r="J36" s="331"/>
    </row>
    <row r="37" spans="2:15" x14ac:dyDescent="0.2">
      <c r="B37" s="333" t="s">
        <v>501</v>
      </c>
      <c r="C37" s="334" t="s">
        <v>502</v>
      </c>
      <c r="D37" s="310"/>
      <c r="E37" s="310"/>
      <c r="F37" s="329"/>
      <c r="G37" s="330"/>
      <c r="H37" s="330"/>
      <c r="I37" s="316"/>
      <c r="J37" s="331"/>
    </row>
    <row r="38" spans="2:15" x14ac:dyDescent="0.2">
      <c r="B38" s="332"/>
      <c r="C38" s="334" t="s">
        <v>503</v>
      </c>
      <c r="D38" s="310"/>
      <c r="E38" s="310"/>
      <c r="F38" s="329"/>
      <c r="G38" s="330"/>
      <c r="H38" s="330"/>
      <c r="I38" s="316"/>
      <c r="J38" s="331"/>
    </row>
    <row r="39" spans="2:15" x14ac:dyDescent="0.2">
      <c r="B39" s="332"/>
      <c r="C39" s="473" t="s">
        <v>1351</v>
      </c>
      <c r="D39" s="473"/>
      <c r="E39" s="473"/>
      <c r="F39" s="473"/>
      <c r="G39" s="330"/>
      <c r="H39" s="330"/>
      <c r="I39" s="316"/>
      <c r="J39" s="331"/>
    </row>
    <row r="40" spans="2:15" x14ac:dyDescent="0.2">
      <c r="B40" s="332"/>
      <c r="C40" s="473" t="s">
        <v>1343</v>
      </c>
      <c r="D40" s="473"/>
      <c r="E40" s="473"/>
      <c r="F40" s="473"/>
      <c r="G40" s="330"/>
      <c r="H40" s="330"/>
      <c r="I40" s="316"/>
      <c r="J40" s="331"/>
      <c r="L40" s="51"/>
      <c r="M40" s="48"/>
      <c r="N40" s="48"/>
      <c r="O40" s="66"/>
    </row>
    <row r="41" spans="2:15" ht="21" customHeight="1" x14ac:dyDescent="0.2">
      <c r="B41" s="332"/>
      <c r="C41" s="335" t="s">
        <v>1344</v>
      </c>
      <c r="D41" s="310"/>
      <c r="E41" s="310"/>
      <c r="F41" s="329"/>
      <c r="G41" s="330"/>
      <c r="H41" s="330"/>
      <c r="I41" s="316"/>
      <c r="J41" s="331"/>
      <c r="L41" s="487"/>
      <c r="M41" s="487"/>
      <c r="N41" s="487"/>
      <c r="O41" s="487"/>
    </row>
    <row r="42" spans="2:15" x14ac:dyDescent="0.2">
      <c r="B42" s="332"/>
      <c r="C42" s="334" t="s">
        <v>1345</v>
      </c>
      <c r="D42" s="310"/>
      <c r="E42" s="310"/>
      <c r="F42" s="329"/>
      <c r="G42" s="330"/>
      <c r="H42" s="330"/>
      <c r="I42" s="316"/>
      <c r="J42" s="331"/>
      <c r="L42" s="487"/>
      <c r="M42" s="487"/>
      <c r="N42" s="487"/>
      <c r="O42" s="487"/>
    </row>
    <row r="43" spans="2:15" x14ac:dyDescent="0.2">
      <c r="B43" s="332"/>
      <c r="C43" s="334" t="s">
        <v>1346</v>
      </c>
      <c r="D43" s="310"/>
      <c r="E43" s="310"/>
      <c r="F43" s="329"/>
      <c r="G43" s="330"/>
      <c r="H43" s="330"/>
      <c r="I43" s="316"/>
      <c r="J43" s="331"/>
      <c r="L43" s="51"/>
      <c r="M43" s="48"/>
      <c r="N43" s="48"/>
      <c r="O43" s="66"/>
    </row>
    <row r="44" spans="2:15" x14ac:dyDescent="0.2">
      <c r="B44" s="332"/>
      <c r="C44" s="334" t="s">
        <v>1348</v>
      </c>
      <c r="D44" s="310"/>
      <c r="E44" s="310"/>
      <c r="F44" s="329"/>
      <c r="G44" s="330"/>
      <c r="H44" s="330"/>
      <c r="I44" s="316"/>
      <c r="J44" s="331"/>
      <c r="L44" s="51"/>
      <c r="M44" s="48"/>
      <c r="N44" s="48"/>
      <c r="O44" s="66"/>
    </row>
    <row r="45" spans="2:15" x14ac:dyDescent="0.2">
      <c r="B45" s="332"/>
      <c r="C45" s="334" t="s">
        <v>1347</v>
      </c>
      <c r="D45" s="310"/>
      <c r="E45" s="310"/>
      <c r="F45" s="329"/>
      <c r="G45" s="330"/>
      <c r="H45" s="330"/>
      <c r="I45" s="316"/>
      <c r="J45" s="331"/>
      <c r="L45" s="51"/>
      <c r="M45" s="48"/>
      <c r="N45" s="48"/>
      <c r="O45" s="66"/>
    </row>
    <row r="46" spans="2:15" ht="56.25" customHeight="1" x14ac:dyDescent="0.2">
      <c r="B46" s="332"/>
      <c r="C46" s="334" t="s">
        <v>1349</v>
      </c>
      <c r="D46" s="336"/>
      <c r="E46" s="310"/>
      <c r="F46" s="329"/>
      <c r="G46" s="330"/>
      <c r="H46" s="330"/>
      <c r="I46" s="316"/>
      <c r="J46" s="331"/>
      <c r="L46" s="51"/>
      <c r="M46" s="48"/>
      <c r="N46" s="48"/>
      <c r="O46" s="66"/>
    </row>
    <row r="47" spans="2:15" ht="56.25" customHeight="1" x14ac:dyDescent="0.2">
      <c r="B47" s="476" t="s">
        <v>1352</v>
      </c>
      <c r="C47" s="477"/>
      <c r="D47" s="477"/>
      <c r="E47" s="477"/>
      <c r="F47" s="477"/>
      <c r="G47" s="477"/>
      <c r="H47" s="477"/>
      <c r="I47" s="477"/>
      <c r="J47" s="478"/>
      <c r="L47" s="51"/>
      <c r="M47" s="48"/>
      <c r="N47" s="48"/>
      <c r="O47" s="66"/>
    </row>
    <row r="48" spans="2:15" ht="74.25" customHeight="1" x14ac:dyDescent="0.2">
      <c r="B48" s="479" t="s">
        <v>1353</v>
      </c>
      <c r="C48" s="480"/>
      <c r="D48" s="480"/>
      <c r="E48" s="480"/>
      <c r="F48" s="480"/>
      <c r="G48" s="480"/>
      <c r="H48" s="480"/>
      <c r="I48" s="480"/>
      <c r="J48" s="481"/>
      <c r="L48" s="51"/>
      <c r="M48" s="48"/>
      <c r="N48" s="48"/>
      <c r="O48" s="66"/>
    </row>
    <row r="49" spans="2:15" ht="75" customHeight="1" x14ac:dyDescent="0.2">
      <c r="B49" s="482" t="s">
        <v>1354</v>
      </c>
      <c r="C49" s="483"/>
      <c r="D49" s="483"/>
      <c r="E49" s="483"/>
      <c r="F49" s="483"/>
      <c r="G49" s="483"/>
      <c r="H49" s="483"/>
      <c r="I49" s="483"/>
      <c r="J49" s="484"/>
      <c r="L49" s="51"/>
      <c r="M49" s="48"/>
      <c r="N49" s="48"/>
      <c r="O49" s="66"/>
    </row>
    <row r="50" spans="2:15" ht="51" customHeight="1" x14ac:dyDescent="0.2">
      <c r="B50" s="52" t="s">
        <v>504</v>
      </c>
      <c r="C50" s="474" t="s">
        <v>505</v>
      </c>
      <c r="D50" s="474"/>
      <c r="E50" s="474"/>
      <c r="F50" s="474"/>
      <c r="G50" s="69"/>
      <c r="H50" s="69"/>
      <c r="I50" s="70"/>
      <c r="L50" s="51"/>
      <c r="M50" s="48"/>
      <c r="N50" s="48"/>
      <c r="O50" s="66"/>
    </row>
    <row r="51" spans="2:15" x14ac:dyDescent="0.2">
      <c r="B51" s="50"/>
      <c r="C51" s="48"/>
      <c r="D51" s="42"/>
      <c r="E51" s="48"/>
      <c r="F51" s="66"/>
      <c r="G51" s="67"/>
      <c r="H51" s="67"/>
      <c r="I51" s="68"/>
    </row>
    <row r="52" spans="2:15" x14ac:dyDescent="0.2">
      <c r="B52" s="49"/>
      <c r="C52" s="466" t="s">
        <v>506</v>
      </c>
      <c r="D52" s="466"/>
      <c r="E52" s="466"/>
      <c r="F52" s="466"/>
      <c r="G52" s="71"/>
      <c r="H52" s="71"/>
      <c r="I52" s="72"/>
    </row>
    <row r="53" spans="2:15" ht="51" customHeight="1" x14ac:dyDescent="0.2">
      <c r="B53" s="49"/>
      <c r="C53" s="467" t="s">
        <v>507</v>
      </c>
      <c r="D53" s="467"/>
      <c r="E53" s="467"/>
      <c r="F53" s="467"/>
      <c r="G53" s="467"/>
      <c r="H53" s="467"/>
      <c r="I53" s="468"/>
    </row>
    <row r="54" spans="2:15" x14ac:dyDescent="0.2">
      <c r="B54" s="49"/>
      <c r="C54" s="53"/>
      <c r="D54" s="53"/>
      <c r="E54" s="53"/>
      <c r="F54" s="53"/>
      <c r="G54" s="53"/>
      <c r="H54" s="53"/>
      <c r="I54" s="54"/>
    </row>
    <row r="55" spans="2:15" ht="13.5" thickBot="1" x14ac:dyDescent="0.25">
      <c r="B55" s="55"/>
      <c r="C55" s="56"/>
      <c r="D55" s="56"/>
      <c r="E55" s="56"/>
      <c r="F55" s="56"/>
      <c r="G55" s="56"/>
      <c r="H55" s="56"/>
      <c r="I55" s="57"/>
    </row>
    <row r="56" spans="2:15" x14ac:dyDescent="0.2">
      <c r="B56" s="49"/>
      <c r="C56" s="53"/>
      <c r="D56" s="53"/>
      <c r="E56" s="53"/>
      <c r="F56" s="53"/>
      <c r="G56" s="53"/>
      <c r="H56" s="53"/>
      <c r="I56" s="54"/>
    </row>
    <row r="57" spans="2:15" x14ac:dyDescent="0.2">
      <c r="B57" s="58"/>
      <c r="C57" s="475" t="s">
        <v>508</v>
      </c>
      <c r="D57" s="475"/>
      <c r="E57" s="475"/>
      <c r="F57" s="475"/>
      <c r="G57" s="71"/>
      <c r="H57" s="71"/>
      <c r="I57" s="72"/>
    </row>
    <row r="58" spans="2:15" ht="113.25" customHeight="1" x14ac:dyDescent="0.2">
      <c r="B58" s="58"/>
      <c r="C58" s="467" t="s">
        <v>509</v>
      </c>
      <c r="D58" s="467"/>
      <c r="E58" s="467"/>
      <c r="F58" s="467"/>
      <c r="G58" s="467"/>
      <c r="H58" s="467"/>
      <c r="I58" s="468"/>
    </row>
    <row r="59" spans="2:15" ht="14.25" customHeight="1" x14ac:dyDescent="0.2">
      <c r="B59" s="50"/>
      <c r="C59" s="466" t="s">
        <v>510</v>
      </c>
      <c r="D59" s="466"/>
      <c r="E59" s="466"/>
      <c r="F59" s="466"/>
      <c r="G59" s="71"/>
      <c r="H59" s="71"/>
      <c r="I59" s="72"/>
    </row>
    <row r="60" spans="2:15" ht="96.75" customHeight="1" x14ac:dyDescent="0.2">
      <c r="B60" s="50"/>
      <c r="C60" s="467" t="s">
        <v>511</v>
      </c>
      <c r="D60" s="467"/>
      <c r="E60" s="467"/>
      <c r="F60" s="467"/>
      <c r="G60" s="467"/>
      <c r="H60" s="467"/>
      <c r="I60" s="468"/>
    </row>
    <row r="61" spans="2:15" x14ac:dyDescent="0.2">
      <c r="B61" s="50"/>
      <c r="C61" s="53"/>
      <c r="D61" s="53"/>
      <c r="E61" s="53"/>
      <c r="F61" s="53"/>
      <c r="G61" s="53"/>
      <c r="H61" s="53"/>
      <c r="I61" s="54"/>
    </row>
    <row r="62" spans="2:15" ht="15" customHeight="1" x14ac:dyDescent="0.2">
      <c r="B62" s="50"/>
      <c r="C62" s="466" t="s">
        <v>512</v>
      </c>
      <c r="D62" s="466"/>
      <c r="E62" s="466"/>
      <c r="F62" s="466"/>
      <c r="G62" s="71"/>
      <c r="H62" s="71"/>
      <c r="I62" s="72"/>
    </row>
    <row r="63" spans="2:15" ht="45.75" customHeight="1" x14ac:dyDescent="0.2">
      <c r="B63" s="50"/>
      <c r="C63" s="467" t="s">
        <v>513</v>
      </c>
      <c r="D63" s="467"/>
      <c r="E63" s="467"/>
      <c r="F63" s="467"/>
      <c r="G63" s="467"/>
      <c r="H63" s="467"/>
      <c r="I63" s="468"/>
    </row>
    <row r="64" spans="2:15" x14ac:dyDescent="0.2">
      <c r="B64" s="50"/>
      <c r="C64" s="466" t="s">
        <v>514</v>
      </c>
      <c r="D64" s="466"/>
      <c r="E64" s="466"/>
      <c r="F64" s="466"/>
      <c r="G64" s="71"/>
      <c r="H64" s="71"/>
      <c r="I64" s="72"/>
    </row>
    <row r="65" spans="2:9" ht="60" customHeight="1" x14ac:dyDescent="0.2">
      <c r="B65" s="50"/>
      <c r="C65" s="462" t="s">
        <v>594</v>
      </c>
      <c r="D65" s="462"/>
      <c r="E65" s="462"/>
      <c r="F65" s="462"/>
      <c r="G65" s="462"/>
      <c r="H65" s="462"/>
      <c r="I65" s="463"/>
    </row>
    <row r="66" spans="2:9" ht="41.25" customHeight="1" x14ac:dyDescent="0.2">
      <c r="B66" s="50"/>
      <c r="C66" s="462" t="s">
        <v>595</v>
      </c>
      <c r="D66" s="462"/>
      <c r="E66" s="462"/>
      <c r="F66" s="462"/>
      <c r="G66" s="462"/>
      <c r="H66" s="462"/>
      <c r="I66" s="463"/>
    </row>
    <row r="67" spans="2:9" ht="37.5" customHeight="1" x14ac:dyDescent="0.2">
      <c r="B67" s="50"/>
      <c r="C67" s="462" t="s">
        <v>596</v>
      </c>
      <c r="D67" s="462"/>
      <c r="E67" s="462"/>
      <c r="F67" s="462"/>
      <c r="G67" s="462"/>
      <c r="H67" s="462"/>
      <c r="I67" s="463"/>
    </row>
    <row r="68" spans="2:9" ht="37.5" customHeight="1" x14ac:dyDescent="0.2">
      <c r="B68" s="50"/>
      <c r="C68" s="462" t="s">
        <v>597</v>
      </c>
      <c r="D68" s="462"/>
      <c r="E68" s="462"/>
      <c r="F68" s="462"/>
      <c r="G68" s="462"/>
      <c r="H68" s="462"/>
      <c r="I68" s="463"/>
    </row>
    <row r="69" spans="2:9" ht="13.5" thickBot="1" x14ac:dyDescent="0.25">
      <c r="B69" s="59"/>
      <c r="C69" s="464"/>
      <c r="D69" s="464"/>
      <c r="E69" s="464"/>
      <c r="F69" s="464"/>
      <c r="G69" s="464"/>
      <c r="H69" s="464"/>
      <c r="I69" s="465"/>
    </row>
  </sheetData>
  <mergeCells count="43">
    <mergeCell ref="C6:H6"/>
    <mergeCell ref="L41:O41"/>
    <mergeCell ref="L42:O42"/>
    <mergeCell ref="C20:D20"/>
    <mergeCell ref="C11:D11"/>
    <mergeCell ref="C16:D16"/>
    <mergeCell ref="C17:D17"/>
    <mergeCell ref="C18:D18"/>
    <mergeCell ref="C19:D19"/>
    <mergeCell ref="C14:D14"/>
    <mergeCell ref="C21:D21"/>
    <mergeCell ref="C24:D24"/>
    <mergeCell ref="C27:D27"/>
    <mergeCell ref="C28:D28"/>
    <mergeCell ref="C30:D30"/>
    <mergeCell ref="C2:J2"/>
    <mergeCell ref="C3:E3"/>
    <mergeCell ref="C4:E4"/>
    <mergeCell ref="H4:J4"/>
    <mergeCell ref="C5:E5"/>
    <mergeCell ref="H5:I5"/>
    <mergeCell ref="C60:I60"/>
    <mergeCell ref="C31:D31"/>
    <mergeCell ref="C33:D33"/>
    <mergeCell ref="C39:F39"/>
    <mergeCell ref="C40:F40"/>
    <mergeCell ref="C50:F50"/>
    <mergeCell ref="C52:F52"/>
    <mergeCell ref="C53:I53"/>
    <mergeCell ref="C57:F57"/>
    <mergeCell ref="C58:I58"/>
    <mergeCell ref="C59:F59"/>
    <mergeCell ref="B47:J47"/>
    <mergeCell ref="B48:J48"/>
    <mergeCell ref="B49:J49"/>
    <mergeCell ref="C68:I68"/>
    <mergeCell ref="C69:I69"/>
    <mergeCell ref="C62:F62"/>
    <mergeCell ref="C63:I63"/>
    <mergeCell ref="C64:F64"/>
    <mergeCell ref="C65:I65"/>
    <mergeCell ref="C66:I66"/>
    <mergeCell ref="C67:I67"/>
  </mergeCells>
  <pageMargins left="0.511811024" right="0.511811024" top="0.78740157499999996" bottom="0.78740157499999996" header="0.31496062000000002" footer="0.31496062000000002"/>
  <pageSetup paperSize="9" scale="75"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0"/>
  <sheetViews>
    <sheetView view="pageBreakPreview" zoomScaleNormal="100" zoomScaleSheetLayoutView="100" workbookViewId="0">
      <selection activeCell="G8" sqref="G8"/>
    </sheetView>
  </sheetViews>
  <sheetFormatPr defaultColWidth="9.140625" defaultRowHeight="12.75" x14ac:dyDescent="0.2"/>
  <cols>
    <col min="1" max="1" width="9.140625" style="15"/>
    <col min="2" max="2" width="10.7109375" style="25" customWidth="1"/>
    <col min="3" max="3" width="73.5703125" style="44" customWidth="1"/>
    <col min="4" max="4" width="12.7109375" style="44" customWidth="1"/>
    <col min="5" max="5" width="13.140625" style="25" customWidth="1"/>
    <col min="6" max="16384" width="9.140625" style="15"/>
  </cols>
  <sheetData>
    <row r="1" spans="2:10" x14ac:dyDescent="0.2">
      <c r="F1" s="253"/>
      <c r="G1" s="253"/>
      <c r="H1" s="253"/>
      <c r="I1" s="253"/>
      <c r="J1" s="253"/>
    </row>
    <row r="2" spans="2:10" s="43" customFormat="1" ht="21.75" customHeight="1" x14ac:dyDescent="0.2">
      <c r="B2" s="497"/>
      <c r="C2" s="494" t="s">
        <v>0</v>
      </c>
      <c r="D2" s="495"/>
      <c r="E2" s="496"/>
      <c r="F2" s="253"/>
      <c r="G2" s="253"/>
      <c r="H2" s="253"/>
      <c r="I2" s="253"/>
      <c r="J2" s="253"/>
    </row>
    <row r="3" spans="2:10" s="43" customFormat="1" ht="30" customHeight="1" x14ac:dyDescent="0.2">
      <c r="B3" s="498"/>
      <c r="C3" s="494" t="s">
        <v>1342</v>
      </c>
      <c r="D3" s="495"/>
      <c r="E3" s="496"/>
      <c r="F3" s="253"/>
      <c r="G3" s="253"/>
      <c r="H3" s="253"/>
      <c r="I3" s="253"/>
      <c r="J3" s="253"/>
    </row>
    <row r="4" spans="2:10" s="43" customFormat="1" ht="20.100000000000001" customHeight="1" x14ac:dyDescent="0.2">
      <c r="B4" s="498"/>
      <c r="C4" s="494" t="s">
        <v>19</v>
      </c>
      <c r="D4" s="495"/>
      <c r="E4" s="496"/>
      <c r="F4" s="253"/>
      <c r="G4" s="253"/>
      <c r="H4" s="253"/>
      <c r="I4" s="253"/>
      <c r="J4" s="253"/>
    </row>
    <row r="5" spans="2:10" s="43" customFormat="1" ht="20.100000000000001" customHeight="1" x14ac:dyDescent="0.2">
      <c r="B5" s="499"/>
      <c r="C5" s="494" t="s">
        <v>2</v>
      </c>
      <c r="D5" s="495"/>
      <c r="E5" s="496"/>
      <c r="F5" s="253"/>
      <c r="G5" s="253"/>
      <c r="H5" s="253"/>
      <c r="I5" s="253"/>
      <c r="J5" s="253"/>
    </row>
    <row r="6" spans="2:10" s="43" customFormat="1" ht="9" customHeight="1" x14ac:dyDescent="0.2">
      <c r="B6" s="500"/>
      <c r="C6" s="500"/>
      <c r="D6" s="500"/>
      <c r="E6" s="500"/>
      <c r="F6" s="253"/>
      <c r="G6" s="253"/>
      <c r="H6" s="253"/>
      <c r="I6" s="253"/>
      <c r="J6" s="253"/>
    </row>
    <row r="7" spans="2:10" ht="15" customHeight="1" x14ac:dyDescent="0.2">
      <c r="B7" s="490" t="s">
        <v>515</v>
      </c>
      <c r="C7" s="490"/>
      <c r="D7" s="490"/>
      <c r="E7" s="295" t="s">
        <v>557</v>
      </c>
      <c r="F7" s="253"/>
      <c r="G7" s="253"/>
      <c r="H7" s="253"/>
      <c r="I7" s="253"/>
      <c r="J7" s="253"/>
    </row>
    <row r="8" spans="2:10" x14ac:dyDescent="0.2">
      <c r="B8" s="295" t="s">
        <v>558</v>
      </c>
      <c r="C8" s="296" t="s">
        <v>516</v>
      </c>
      <c r="D8" s="296"/>
      <c r="E8" s="297">
        <v>0.2</v>
      </c>
      <c r="F8" s="253"/>
      <c r="G8" s="253"/>
      <c r="H8" s="253"/>
      <c r="I8" s="253"/>
      <c r="J8" s="253"/>
    </row>
    <row r="9" spans="2:10" x14ac:dyDescent="0.2">
      <c r="B9" s="295" t="s">
        <v>559</v>
      </c>
      <c r="C9" s="296" t="s">
        <v>517</v>
      </c>
      <c r="D9" s="296"/>
      <c r="E9" s="297">
        <v>0.08</v>
      </c>
      <c r="F9" s="253"/>
      <c r="G9" s="253"/>
      <c r="H9" s="253"/>
      <c r="I9" s="253"/>
      <c r="J9" s="253"/>
    </row>
    <row r="10" spans="2:10" x14ac:dyDescent="0.2">
      <c r="B10" s="295" t="s">
        <v>560</v>
      </c>
      <c r="C10" s="296" t="s">
        <v>518</v>
      </c>
      <c r="D10" s="296"/>
      <c r="E10" s="297">
        <v>1.7999999999999999E-2</v>
      </c>
    </row>
    <row r="11" spans="2:10" x14ac:dyDescent="0.2">
      <c r="B11" s="295" t="s">
        <v>561</v>
      </c>
      <c r="C11" s="296" t="s">
        <v>519</v>
      </c>
      <c r="D11" s="296"/>
      <c r="E11" s="297">
        <v>1.2999999999999999E-2</v>
      </c>
    </row>
    <row r="12" spans="2:10" x14ac:dyDescent="0.2">
      <c r="B12" s="295" t="s">
        <v>562</v>
      </c>
      <c r="C12" s="296" t="s">
        <v>520</v>
      </c>
      <c r="D12" s="296"/>
      <c r="E12" s="297" t="s">
        <v>521</v>
      </c>
    </row>
    <row r="13" spans="2:10" x14ac:dyDescent="0.2">
      <c r="B13" s="295" t="s">
        <v>563</v>
      </c>
      <c r="C13" s="296" t="s">
        <v>522</v>
      </c>
      <c r="D13" s="296"/>
      <c r="E13" s="297">
        <v>2E-3</v>
      </c>
    </row>
    <row r="14" spans="2:10" x14ac:dyDescent="0.2">
      <c r="B14" s="295" t="s">
        <v>564</v>
      </c>
      <c r="C14" s="296" t="s">
        <v>523</v>
      </c>
      <c r="D14" s="296"/>
      <c r="E14" s="297">
        <v>2.5000000000000001E-2</v>
      </c>
    </row>
    <row r="15" spans="2:10" x14ac:dyDescent="0.2">
      <c r="B15" s="295" t="s">
        <v>565</v>
      </c>
      <c r="C15" s="296" t="s">
        <v>524</v>
      </c>
      <c r="D15" s="296"/>
      <c r="E15" s="297">
        <v>0.03</v>
      </c>
    </row>
    <row r="16" spans="2:10" x14ac:dyDescent="0.2">
      <c r="B16" s="295" t="s">
        <v>566</v>
      </c>
      <c r="C16" s="296" t="s">
        <v>525</v>
      </c>
      <c r="D16" s="296"/>
      <c r="E16" s="297">
        <v>0.01</v>
      </c>
    </row>
    <row r="17" spans="2:5" ht="15" customHeight="1" x14ac:dyDescent="0.2">
      <c r="B17" s="490" t="s">
        <v>526</v>
      </c>
      <c r="C17" s="490"/>
      <c r="D17" s="490"/>
      <c r="E17" s="298">
        <f>SUM(E8:E16)</f>
        <v>0.37800000000000011</v>
      </c>
    </row>
    <row r="18" spans="2:5" x14ac:dyDescent="0.2">
      <c r="B18" s="501" t="s">
        <v>527</v>
      </c>
      <c r="C18" s="501"/>
      <c r="D18" s="299"/>
      <c r="E18" s="300" t="s">
        <v>557</v>
      </c>
    </row>
    <row r="19" spans="2:5" x14ac:dyDescent="0.2">
      <c r="B19" s="295" t="s">
        <v>567</v>
      </c>
      <c r="C19" s="296" t="s">
        <v>528</v>
      </c>
      <c r="D19" s="296"/>
      <c r="E19" s="297">
        <v>0.17519999999999999</v>
      </c>
    </row>
    <row r="20" spans="2:5" x14ac:dyDescent="0.2">
      <c r="B20" s="295" t="s">
        <v>568</v>
      </c>
      <c r="C20" s="296" t="s">
        <v>529</v>
      </c>
      <c r="D20" s="296"/>
      <c r="E20" s="297">
        <v>3.9100000000000003E-2</v>
      </c>
    </row>
    <row r="21" spans="2:5" x14ac:dyDescent="0.2">
      <c r="B21" s="295" t="s">
        <v>569</v>
      </c>
      <c r="C21" s="296" t="s">
        <v>530</v>
      </c>
      <c r="D21" s="296"/>
      <c r="E21" s="297">
        <v>7.6E-3</v>
      </c>
    </row>
    <row r="22" spans="2:5" x14ac:dyDescent="0.2">
      <c r="B22" s="295" t="s">
        <v>570</v>
      </c>
      <c r="C22" s="296" t="s">
        <v>531</v>
      </c>
      <c r="D22" s="296"/>
      <c r="E22" s="297">
        <v>1.1000000000000001E-3</v>
      </c>
    </row>
    <row r="23" spans="2:5" x14ac:dyDescent="0.2">
      <c r="B23" s="295" t="s">
        <v>571</v>
      </c>
      <c r="C23" s="296" t="s">
        <v>532</v>
      </c>
      <c r="D23" s="296"/>
      <c r="E23" s="297">
        <v>6.7000000000000002E-3</v>
      </c>
    </row>
    <row r="24" spans="2:5" x14ac:dyDescent="0.2">
      <c r="B24" s="295" t="s">
        <v>572</v>
      </c>
      <c r="C24" s="296" t="s">
        <v>533</v>
      </c>
      <c r="D24" s="296"/>
      <c r="E24" s="297">
        <v>0.1011</v>
      </c>
    </row>
    <row r="25" spans="2:5" x14ac:dyDescent="0.2">
      <c r="B25" s="295" t="s">
        <v>573</v>
      </c>
      <c r="C25" s="296" t="s">
        <v>534</v>
      </c>
      <c r="D25" s="296"/>
      <c r="E25" s="297">
        <v>3.3999999999999998E-3</v>
      </c>
    </row>
    <row r="26" spans="2:5" x14ac:dyDescent="0.2">
      <c r="B26" s="295" t="s">
        <v>574</v>
      </c>
      <c r="C26" s="296" t="s">
        <v>535</v>
      </c>
      <c r="D26" s="296"/>
      <c r="E26" s="301" t="s">
        <v>521</v>
      </c>
    </row>
    <row r="27" spans="2:5" x14ac:dyDescent="0.2">
      <c r="B27" s="295" t="s">
        <v>575</v>
      </c>
      <c r="C27" s="296" t="s">
        <v>536</v>
      </c>
      <c r="D27" s="296"/>
      <c r="E27" s="301" t="s">
        <v>521</v>
      </c>
    </row>
    <row r="28" spans="2:5" x14ac:dyDescent="0.2">
      <c r="B28" s="295" t="s">
        <v>576</v>
      </c>
      <c r="C28" s="296" t="s">
        <v>537</v>
      </c>
      <c r="D28" s="296"/>
      <c r="E28" s="301" t="s">
        <v>521</v>
      </c>
    </row>
    <row r="29" spans="2:5" x14ac:dyDescent="0.2">
      <c r="B29" s="295" t="s">
        <v>577</v>
      </c>
      <c r="C29" s="296" t="s">
        <v>538</v>
      </c>
      <c r="D29" s="296"/>
      <c r="E29" s="301" t="s">
        <v>521</v>
      </c>
    </row>
    <row r="30" spans="2:5" ht="15" customHeight="1" x14ac:dyDescent="0.2">
      <c r="B30" s="490" t="s">
        <v>539</v>
      </c>
      <c r="C30" s="490"/>
      <c r="D30" s="490"/>
      <c r="E30" s="302">
        <f>SUM(E19:E29)</f>
        <v>0.3342</v>
      </c>
    </row>
    <row r="31" spans="2:5" x14ac:dyDescent="0.2">
      <c r="B31" s="491" t="s">
        <v>540</v>
      </c>
      <c r="C31" s="491"/>
      <c r="D31" s="303"/>
      <c r="E31" s="300" t="s">
        <v>557</v>
      </c>
    </row>
    <row r="32" spans="2:5" x14ac:dyDescent="0.2">
      <c r="B32" s="295" t="s">
        <v>578</v>
      </c>
      <c r="C32" s="296" t="s">
        <v>541</v>
      </c>
      <c r="D32" s="296"/>
      <c r="E32" s="304">
        <v>5.3400000000000003E-2</v>
      </c>
    </row>
    <row r="33" spans="2:5" x14ac:dyDescent="0.2">
      <c r="B33" s="295" t="s">
        <v>579</v>
      </c>
      <c r="C33" s="296" t="s">
        <v>542</v>
      </c>
      <c r="D33" s="296"/>
      <c r="E33" s="304">
        <v>0.112</v>
      </c>
    </row>
    <row r="34" spans="2:5" x14ac:dyDescent="0.2">
      <c r="B34" s="295" t="s">
        <v>580</v>
      </c>
      <c r="C34" s="296" t="s">
        <v>543</v>
      </c>
      <c r="D34" s="296"/>
      <c r="E34" s="304">
        <v>0.1129</v>
      </c>
    </row>
    <row r="35" spans="2:5" x14ac:dyDescent="0.2">
      <c r="B35" s="295" t="s">
        <v>581</v>
      </c>
      <c r="C35" s="296" t="s">
        <v>544</v>
      </c>
      <c r="D35" s="296"/>
      <c r="E35" s="304">
        <v>8.9999999999999993E-3</v>
      </c>
    </row>
    <row r="36" spans="2:5" x14ac:dyDescent="0.2">
      <c r="B36" s="295" t="s">
        <v>582</v>
      </c>
      <c r="C36" s="296" t="s">
        <v>545</v>
      </c>
      <c r="D36" s="296"/>
      <c r="E36" s="304">
        <v>2.2599999999999999E-2</v>
      </c>
    </row>
    <row r="37" spans="2:5" x14ac:dyDescent="0.2">
      <c r="B37" s="295" t="s">
        <v>583</v>
      </c>
      <c r="C37" s="296" t="s">
        <v>546</v>
      </c>
      <c r="D37" s="296"/>
      <c r="E37" s="305" t="s">
        <v>521</v>
      </c>
    </row>
    <row r="38" spans="2:5" x14ac:dyDescent="0.2">
      <c r="B38" s="295" t="s">
        <v>584</v>
      </c>
      <c r="C38" s="296" t="s">
        <v>547</v>
      </c>
      <c r="D38" s="296"/>
      <c r="E38" s="305" t="s">
        <v>521</v>
      </c>
    </row>
    <row r="39" spans="2:5" ht="15" customHeight="1" x14ac:dyDescent="0.2">
      <c r="B39" s="490" t="s">
        <v>548</v>
      </c>
      <c r="C39" s="490"/>
      <c r="D39" s="490"/>
      <c r="E39" s="302">
        <f>SUM(E32:E38)</f>
        <v>0.30990000000000001</v>
      </c>
    </row>
    <row r="40" spans="2:5" x14ac:dyDescent="0.2">
      <c r="B40" s="492" t="s">
        <v>549</v>
      </c>
      <c r="C40" s="492"/>
      <c r="D40" s="306"/>
      <c r="E40" s="307" t="s">
        <v>557</v>
      </c>
    </row>
    <row r="41" spans="2:5" x14ac:dyDescent="0.2">
      <c r="B41" s="295" t="s">
        <v>585</v>
      </c>
      <c r="C41" s="296" t="s">
        <v>550</v>
      </c>
      <c r="D41" s="296"/>
      <c r="E41" s="297">
        <f>E17*E30</f>
        <v>0.12632760000000004</v>
      </c>
    </row>
    <row r="42" spans="2:5" ht="25.5" x14ac:dyDescent="0.2">
      <c r="B42" s="295" t="s">
        <v>586</v>
      </c>
      <c r="C42" s="308" t="s">
        <v>592</v>
      </c>
      <c r="D42" s="308"/>
      <c r="E42" s="301" t="s">
        <v>521</v>
      </c>
    </row>
    <row r="43" spans="2:5" ht="15" customHeight="1" x14ac:dyDescent="0.2">
      <c r="B43" s="490" t="s">
        <v>551</v>
      </c>
      <c r="C43" s="490"/>
      <c r="D43" s="490"/>
      <c r="E43" s="298">
        <f>SUM(E41:E42)</f>
        <v>0.12632760000000004</v>
      </c>
    </row>
    <row r="44" spans="2:5" x14ac:dyDescent="0.2">
      <c r="B44" s="493" t="s">
        <v>552</v>
      </c>
      <c r="C44" s="493"/>
      <c r="D44" s="309"/>
      <c r="E44" s="300" t="s">
        <v>557</v>
      </c>
    </row>
    <row r="45" spans="2:5" x14ac:dyDescent="0.2">
      <c r="B45" s="295" t="s">
        <v>587</v>
      </c>
      <c r="C45" s="296" t="s">
        <v>553</v>
      </c>
      <c r="D45" s="296"/>
      <c r="E45" s="304">
        <v>0.25750000000000001</v>
      </c>
    </row>
    <row r="46" spans="2:5" x14ac:dyDescent="0.2">
      <c r="B46" s="295" t="s">
        <v>588</v>
      </c>
      <c r="C46" s="296" t="s">
        <v>554</v>
      </c>
      <c r="D46" s="296"/>
      <c r="E46" s="304">
        <v>6.0299999999999999E-2</v>
      </c>
    </row>
    <row r="47" spans="2:5" ht="25.5" x14ac:dyDescent="0.2">
      <c r="B47" s="295" t="s">
        <v>589</v>
      </c>
      <c r="C47" s="308" t="s">
        <v>593</v>
      </c>
      <c r="D47" s="308"/>
      <c r="E47" s="304">
        <v>2.6700000000000002E-2</v>
      </c>
    </row>
    <row r="48" spans="2:5" x14ac:dyDescent="0.2">
      <c r="B48" s="295" t="s">
        <v>590</v>
      </c>
      <c r="C48" s="296" t="s">
        <v>555</v>
      </c>
      <c r="D48" s="296"/>
      <c r="E48" s="304">
        <v>7.9799999999999996E-2</v>
      </c>
    </row>
    <row r="49" spans="2:5" x14ac:dyDescent="0.2">
      <c r="B49" s="490" t="s">
        <v>591</v>
      </c>
      <c r="C49" s="490"/>
      <c r="D49" s="295"/>
      <c r="E49" s="298">
        <v>0.42430000000000001</v>
      </c>
    </row>
    <row r="50" spans="2:5" ht="15" customHeight="1" x14ac:dyDescent="0.2">
      <c r="B50" s="490" t="s">
        <v>556</v>
      </c>
      <c r="C50" s="490"/>
      <c r="D50" s="490"/>
      <c r="E50" s="298">
        <f>E49+E39+E30+E17+E43</f>
        <v>1.5727276000000001</v>
      </c>
    </row>
  </sheetData>
  <mergeCells count="17">
    <mergeCell ref="B30:D30"/>
    <mergeCell ref="B6:E6"/>
    <mergeCell ref="B7:D7"/>
    <mergeCell ref="B17:D17"/>
    <mergeCell ref="B18:C18"/>
    <mergeCell ref="C3:E3"/>
    <mergeCell ref="C4:E4"/>
    <mergeCell ref="C5:E5"/>
    <mergeCell ref="B2:B5"/>
    <mergeCell ref="C2:E2"/>
    <mergeCell ref="B50:D50"/>
    <mergeCell ref="B31:C31"/>
    <mergeCell ref="B39:D39"/>
    <mergeCell ref="B40:C40"/>
    <mergeCell ref="B43:D43"/>
    <mergeCell ref="B44:C44"/>
    <mergeCell ref="B49:C49"/>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Normal="100" zoomScaleSheetLayoutView="100" workbookViewId="0">
      <selection activeCell="E36" sqref="E36"/>
    </sheetView>
  </sheetViews>
  <sheetFormatPr defaultRowHeight="15" x14ac:dyDescent="0.25"/>
  <cols>
    <col min="1" max="1" width="12.28515625" style="145" customWidth="1"/>
    <col min="2" max="2" width="10" style="145" bestFit="1" customWidth="1"/>
    <col min="3" max="3" width="9.140625" style="146"/>
    <col min="4" max="4" width="20.5703125" style="146" customWidth="1"/>
    <col min="5" max="5" width="20.7109375" style="146" customWidth="1"/>
    <col min="6" max="6" width="5" style="146" bestFit="1"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744</v>
      </c>
    </row>
    <row r="5" spans="1:9" x14ac:dyDescent="0.25">
      <c r="A5" s="505" t="s">
        <v>861</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860</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16" t="s">
        <v>750</v>
      </c>
      <c r="I9" s="117" t="s">
        <v>751</v>
      </c>
    </row>
    <row r="10" spans="1:9" x14ac:dyDescent="0.25">
      <c r="A10" s="147" t="s">
        <v>785</v>
      </c>
      <c r="B10" s="213" t="s">
        <v>599</v>
      </c>
      <c r="C10" s="512" t="s">
        <v>784</v>
      </c>
      <c r="D10" s="513"/>
      <c r="E10" s="122" t="s">
        <v>755</v>
      </c>
      <c r="F10" s="213" t="s">
        <v>752</v>
      </c>
      <c r="G10" s="119">
        <v>3.75</v>
      </c>
      <c r="H10" s="123">
        <v>15.08</v>
      </c>
      <c r="I10" s="155">
        <f>G10*H10</f>
        <v>56.55</v>
      </c>
    </row>
    <row r="11" spans="1:9" x14ac:dyDescent="0.25">
      <c r="A11" s="147" t="s">
        <v>789</v>
      </c>
      <c r="B11" s="213" t="s">
        <v>599</v>
      </c>
      <c r="C11" s="512" t="s">
        <v>788</v>
      </c>
      <c r="D11" s="513"/>
      <c r="E11" s="122" t="s">
        <v>755</v>
      </c>
      <c r="F11" s="213" t="s">
        <v>752</v>
      </c>
      <c r="G11" s="119">
        <v>3.75</v>
      </c>
      <c r="H11" s="123">
        <v>17.850000000000001</v>
      </c>
      <c r="I11" s="155">
        <f>H11*G11</f>
        <v>66.9375</v>
      </c>
    </row>
    <row r="12" spans="1:9" x14ac:dyDescent="0.25">
      <c r="A12" s="514" t="s">
        <v>753</v>
      </c>
      <c r="B12" s="514"/>
      <c r="C12" s="514"/>
      <c r="D12" s="514"/>
      <c r="E12" s="514"/>
      <c r="F12" s="514"/>
      <c r="G12" s="514"/>
      <c r="H12" s="514"/>
      <c r="I12" s="125">
        <f>I10+I11</f>
        <v>123.4875</v>
      </c>
    </row>
    <row r="13" spans="1:9" x14ac:dyDescent="0.25">
      <c r="A13" s="212"/>
      <c r="B13" s="212"/>
      <c r="C13" s="212"/>
      <c r="D13" s="212"/>
      <c r="E13" s="212"/>
      <c r="F13" s="212"/>
      <c r="G13" s="212"/>
      <c r="H13" s="212"/>
      <c r="I13" s="125"/>
    </row>
    <row r="14" spans="1:9" x14ac:dyDescent="0.25">
      <c r="A14" s="502" t="s">
        <v>759</v>
      </c>
      <c r="B14" s="502"/>
      <c r="C14" s="502"/>
      <c r="D14" s="502"/>
      <c r="E14" s="502"/>
      <c r="F14" s="502"/>
      <c r="G14" s="502"/>
      <c r="H14" s="502"/>
      <c r="I14" s="502"/>
    </row>
    <row r="15" spans="1:9" x14ac:dyDescent="0.25">
      <c r="A15" s="114" t="s">
        <v>746</v>
      </c>
      <c r="B15" s="215" t="s">
        <v>9</v>
      </c>
      <c r="C15" s="511" t="s">
        <v>747</v>
      </c>
      <c r="D15" s="511"/>
      <c r="E15" s="511"/>
      <c r="F15" s="215" t="s">
        <v>748</v>
      </c>
      <c r="G15" s="115" t="s">
        <v>749</v>
      </c>
      <c r="H15" s="116" t="s">
        <v>750</v>
      </c>
      <c r="I15" s="117" t="s">
        <v>751</v>
      </c>
    </row>
    <row r="16" spans="1:9" ht="27.75" customHeight="1" x14ac:dyDescent="0.25">
      <c r="A16" s="132" t="s">
        <v>847</v>
      </c>
      <c r="B16" s="118"/>
      <c r="C16" s="515" t="s">
        <v>853</v>
      </c>
      <c r="D16" s="515"/>
      <c r="E16" s="515"/>
      <c r="F16" s="132" t="s">
        <v>25</v>
      </c>
      <c r="G16" s="166">
        <v>1</v>
      </c>
      <c r="H16" s="133">
        <f>[1]COTAÇÕES!P8</f>
        <v>898.77333333333343</v>
      </c>
      <c r="I16" s="120">
        <f>[1]COTAÇÕES!P8</f>
        <v>898.77333333333343</v>
      </c>
    </row>
    <row r="17" spans="1:9" x14ac:dyDescent="0.25">
      <c r="A17" s="138"/>
      <c r="B17" s="138"/>
      <c r="C17" s="516"/>
      <c r="D17" s="516"/>
      <c r="E17" s="516"/>
      <c r="F17" s="139"/>
      <c r="G17" s="140"/>
      <c r="H17" s="141"/>
      <c r="I17" s="142"/>
    </row>
    <row r="18" spans="1:9" x14ac:dyDescent="0.25">
      <c r="A18" s="514" t="s">
        <v>757</v>
      </c>
      <c r="B18" s="514"/>
      <c r="C18" s="514"/>
      <c r="D18" s="514"/>
      <c r="E18" s="514"/>
      <c r="F18" s="514"/>
      <c r="G18" s="514"/>
      <c r="H18" s="514"/>
      <c r="I18" s="143">
        <f>SUM(I16:I17)</f>
        <v>898.77333333333343</v>
      </c>
    </row>
    <row r="19" spans="1:9" x14ac:dyDescent="0.25">
      <c r="A19" s="212"/>
      <c r="B19" s="212"/>
      <c r="C19" s="212"/>
      <c r="D19" s="212"/>
      <c r="E19" s="212"/>
      <c r="F19" s="212"/>
      <c r="G19" s="212"/>
      <c r="H19" s="212"/>
      <c r="I19" s="125"/>
    </row>
    <row r="20" spans="1:9" x14ac:dyDescent="0.25">
      <c r="A20" s="212"/>
      <c r="B20" s="212"/>
      <c r="C20" s="212"/>
      <c r="D20" s="212"/>
      <c r="E20" s="212"/>
      <c r="F20" s="212"/>
      <c r="G20" s="212"/>
      <c r="H20" s="212"/>
      <c r="I20" s="125"/>
    </row>
    <row r="21" spans="1:9" x14ac:dyDescent="0.25">
      <c r="A21" s="517" t="s">
        <v>769</v>
      </c>
      <c r="B21" s="517"/>
      <c r="C21" s="517"/>
      <c r="D21" s="517"/>
      <c r="E21" s="517"/>
      <c r="F21" s="517"/>
      <c r="G21" s="517"/>
      <c r="H21" s="517"/>
      <c r="I21" s="517"/>
    </row>
    <row r="22" spans="1:9" x14ac:dyDescent="0.25">
      <c r="A22" s="121"/>
      <c r="B22" s="213"/>
      <c r="C22" s="518" t="s">
        <v>747</v>
      </c>
      <c r="D22" s="518"/>
      <c r="E22" s="518"/>
      <c r="F22" s="213" t="s">
        <v>748</v>
      </c>
      <c r="G22" s="126" t="s">
        <v>749</v>
      </c>
      <c r="H22" s="123" t="s">
        <v>750</v>
      </c>
      <c r="I22" s="124" t="s">
        <v>751</v>
      </c>
    </row>
    <row r="23" spans="1:9" x14ac:dyDescent="0.25">
      <c r="A23" s="127"/>
      <c r="B23" s="127"/>
      <c r="C23" s="508"/>
      <c r="D23" s="509"/>
      <c r="E23" s="510"/>
      <c r="F23" s="128"/>
      <c r="G23" s="128"/>
      <c r="H23" s="129"/>
      <c r="I23" s="130"/>
    </row>
    <row r="24" spans="1:9" x14ac:dyDescent="0.25">
      <c r="A24" s="514" t="s">
        <v>758</v>
      </c>
      <c r="B24" s="514"/>
      <c r="C24" s="514"/>
      <c r="D24" s="514"/>
      <c r="E24" s="514"/>
      <c r="F24" s="514"/>
      <c r="G24" s="514"/>
      <c r="H24" s="514"/>
      <c r="I24" s="131">
        <f>I23</f>
        <v>0</v>
      </c>
    </row>
    <row r="25" spans="1:9" x14ac:dyDescent="0.25">
      <c r="A25" s="520"/>
      <c r="B25" s="521"/>
      <c r="C25" s="521"/>
      <c r="D25" s="521"/>
      <c r="E25" s="521"/>
      <c r="F25" s="521"/>
      <c r="G25" s="521"/>
      <c r="H25" s="521"/>
      <c r="I25" s="522"/>
    </row>
    <row r="26" spans="1:9" x14ac:dyDescent="0.25">
      <c r="A26" s="502" t="s">
        <v>762</v>
      </c>
      <c r="B26" s="502"/>
      <c r="C26" s="502"/>
      <c r="D26" s="502"/>
      <c r="E26" s="502"/>
      <c r="F26" s="502"/>
      <c r="G26" s="502"/>
      <c r="H26" s="502"/>
      <c r="I26" s="502"/>
    </row>
    <row r="27" spans="1:9" x14ac:dyDescent="0.25">
      <c r="A27" s="519" t="s">
        <v>772</v>
      </c>
      <c r="B27" s="519"/>
      <c r="C27" s="519"/>
      <c r="D27" s="519"/>
      <c r="E27" s="519"/>
      <c r="F27" s="519"/>
      <c r="G27" s="519"/>
      <c r="H27" s="519"/>
      <c r="I27" s="144">
        <f>I12</f>
        <v>123.4875</v>
      </c>
    </row>
    <row r="28" spans="1:9" x14ac:dyDescent="0.25">
      <c r="A28" s="519" t="s">
        <v>773</v>
      </c>
      <c r="B28" s="519"/>
      <c r="C28" s="519"/>
      <c r="D28" s="519"/>
      <c r="E28" s="519"/>
      <c r="F28" s="519"/>
      <c r="G28" s="519"/>
      <c r="H28" s="519"/>
      <c r="I28" s="144">
        <f>I18</f>
        <v>898.77333333333343</v>
      </c>
    </row>
    <row r="29" spans="1:9" x14ac:dyDescent="0.25">
      <c r="A29" s="519" t="s">
        <v>811</v>
      </c>
      <c r="B29" s="519"/>
      <c r="C29" s="519"/>
      <c r="D29" s="519"/>
      <c r="E29" s="519"/>
      <c r="F29" s="519"/>
      <c r="G29" s="519"/>
      <c r="H29" s="519"/>
      <c r="I29" s="144">
        <f>I24</f>
        <v>0</v>
      </c>
    </row>
    <row r="30" spans="1:9" x14ac:dyDescent="0.25">
      <c r="A30" s="519" t="s">
        <v>812</v>
      </c>
      <c r="B30" s="519"/>
      <c r="C30" s="519"/>
      <c r="D30" s="519"/>
      <c r="E30" s="519"/>
      <c r="F30" s="519"/>
      <c r="G30" s="519"/>
      <c r="H30" s="519"/>
      <c r="I30" s="151">
        <f>SUM(I27:I28)</f>
        <v>1022.2608333333334</v>
      </c>
    </row>
  </sheetData>
  <mergeCells count="25">
    <mergeCell ref="A30:H30"/>
    <mergeCell ref="A24:H24"/>
    <mergeCell ref="A25:I25"/>
    <mergeCell ref="A26:I26"/>
    <mergeCell ref="A27:H27"/>
    <mergeCell ref="A28:H28"/>
    <mergeCell ref="A29:H29"/>
    <mergeCell ref="C23:E23"/>
    <mergeCell ref="C9:E9"/>
    <mergeCell ref="C10:D10"/>
    <mergeCell ref="C11:D11"/>
    <mergeCell ref="A12:H12"/>
    <mergeCell ref="A14:I14"/>
    <mergeCell ref="C15:E15"/>
    <mergeCell ref="C16:E16"/>
    <mergeCell ref="C17:E17"/>
    <mergeCell ref="A18:H18"/>
    <mergeCell ref="A21:I21"/>
    <mergeCell ref="C22:E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8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106" zoomScaleNormal="100" zoomScaleSheetLayoutView="106" workbookViewId="0">
      <selection activeCell="Q17" sqref="Q17"/>
    </sheetView>
  </sheetViews>
  <sheetFormatPr defaultRowHeight="15" x14ac:dyDescent="0.25"/>
  <cols>
    <col min="1" max="1" width="12.28515625" style="145" customWidth="1"/>
    <col min="2" max="2" width="10" style="145" bestFit="1" customWidth="1"/>
    <col min="3" max="3" width="9.140625" style="146"/>
    <col min="4" max="4" width="20.5703125" style="146" customWidth="1"/>
    <col min="5" max="5" width="20.7109375" style="146" customWidth="1"/>
    <col min="6" max="6" width="5" style="146" bestFit="1"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27" t="s">
        <v>783</v>
      </c>
    </row>
    <row r="5" spans="1:9" x14ac:dyDescent="0.25">
      <c r="A5" s="505" t="s">
        <v>1172</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860</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28" t="s">
        <v>9</v>
      </c>
      <c r="C9" s="511" t="s">
        <v>747</v>
      </c>
      <c r="D9" s="511"/>
      <c r="E9" s="511"/>
      <c r="F9" s="228" t="s">
        <v>748</v>
      </c>
      <c r="G9" s="115" t="s">
        <v>749</v>
      </c>
      <c r="H9" s="116" t="s">
        <v>750</v>
      </c>
      <c r="I9" s="117" t="s">
        <v>751</v>
      </c>
    </row>
    <row r="10" spans="1:9" x14ac:dyDescent="0.25">
      <c r="A10" s="147" t="s">
        <v>785</v>
      </c>
      <c r="B10" s="230" t="s">
        <v>599</v>
      </c>
      <c r="C10" s="512" t="s">
        <v>784</v>
      </c>
      <c r="D10" s="513"/>
      <c r="E10" s="122" t="s">
        <v>755</v>
      </c>
      <c r="F10" s="230" t="s">
        <v>752</v>
      </c>
      <c r="G10" s="119">
        <v>3.75</v>
      </c>
      <c r="H10" s="123">
        <v>15.08</v>
      </c>
      <c r="I10" s="155">
        <f>G10*H10</f>
        <v>56.55</v>
      </c>
    </row>
    <row r="11" spans="1:9" x14ac:dyDescent="0.25">
      <c r="A11" s="147" t="s">
        <v>789</v>
      </c>
      <c r="B11" s="230" t="s">
        <v>599</v>
      </c>
      <c r="C11" s="512" t="s">
        <v>788</v>
      </c>
      <c r="D11" s="513"/>
      <c r="E11" s="122" t="s">
        <v>755</v>
      </c>
      <c r="F11" s="230" t="s">
        <v>752</v>
      </c>
      <c r="G11" s="119">
        <v>3.75</v>
      </c>
      <c r="H11" s="123">
        <v>17.850000000000001</v>
      </c>
      <c r="I11" s="155">
        <f>H11*G11</f>
        <v>66.9375</v>
      </c>
    </row>
    <row r="12" spans="1:9" x14ac:dyDescent="0.25">
      <c r="A12" s="514" t="s">
        <v>753</v>
      </c>
      <c r="B12" s="514"/>
      <c r="C12" s="514"/>
      <c r="D12" s="514"/>
      <c r="E12" s="514"/>
      <c r="F12" s="514"/>
      <c r="G12" s="514"/>
      <c r="H12" s="514"/>
      <c r="I12" s="125">
        <f>I10+I11</f>
        <v>123.4875</v>
      </c>
    </row>
    <row r="13" spans="1:9" x14ac:dyDescent="0.25">
      <c r="A13" s="229"/>
      <c r="B13" s="229"/>
      <c r="C13" s="229"/>
      <c r="D13" s="229"/>
      <c r="E13" s="229"/>
      <c r="F13" s="229"/>
      <c r="G13" s="229"/>
      <c r="H13" s="229"/>
      <c r="I13" s="125"/>
    </row>
    <row r="14" spans="1:9" x14ac:dyDescent="0.25">
      <c r="A14" s="502" t="s">
        <v>759</v>
      </c>
      <c r="B14" s="502"/>
      <c r="C14" s="502"/>
      <c r="D14" s="502"/>
      <c r="E14" s="502"/>
      <c r="F14" s="502"/>
      <c r="G14" s="502"/>
      <c r="H14" s="502"/>
      <c r="I14" s="502"/>
    </row>
    <row r="15" spans="1:9" x14ac:dyDescent="0.25">
      <c r="A15" s="114" t="s">
        <v>746</v>
      </c>
      <c r="B15" s="228" t="s">
        <v>9</v>
      </c>
      <c r="C15" s="511" t="s">
        <v>747</v>
      </c>
      <c r="D15" s="511"/>
      <c r="E15" s="511"/>
      <c r="F15" s="228" t="s">
        <v>748</v>
      </c>
      <c r="G15" s="115" t="s">
        <v>749</v>
      </c>
      <c r="H15" s="116" t="s">
        <v>750</v>
      </c>
      <c r="I15" s="117" t="s">
        <v>751</v>
      </c>
    </row>
    <row r="16" spans="1:9" x14ac:dyDescent="0.25">
      <c r="A16" s="132" t="s">
        <v>858</v>
      </c>
      <c r="B16" s="118"/>
      <c r="C16" s="515" t="s">
        <v>1166</v>
      </c>
      <c r="D16" s="515"/>
      <c r="E16" s="515"/>
      <c r="F16" s="132" t="s">
        <v>25</v>
      </c>
      <c r="G16" s="166">
        <v>1</v>
      </c>
      <c r="H16" s="133">
        <f>'COTAÇÕES '!P9</f>
        <v>1564</v>
      </c>
      <c r="I16" s="120">
        <f>G16*H16</f>
        <v>1564</v>
      </c>
    </row>
    <row r="17" spans="1:9" x14ac:dyDescent="0.25">
      <c r="A17" s="138"/>
      <c r="B17" s="138"/>
      <c r="C17" s="516"/>
      <c r="D17" s="516"/>
      <c r="E17" s="516"/>
      <c r="F17" s="139"/>
      <c r="G17" s="140"/>
      <c r="H17" s="141"/>
      <c r="I17" s="142"/>
    </row>
    <row r="18" spans="1:9" x14ac:dyDescent="0.25">
      <c r="A18" s="514" t="s">
        <v>757</v>
      </c>
      <c r="B18" s="514"/>
      <c r="C18" s="514"/>
      <c r="D18" s="514"/>
      <c r="E18" s="514"/>
      <c r="F18" s="514"/>
      <c r="G18" s="514"/>
      <c r="H18" s="514"/>
      <c r="I18" s="143">
        <f>SUM(I16:I17)</f>
        <v>1564</v>
      </c>
    </row>
    <row r="19" spans="1:9" x14ac:dyDescent="0.25">
      <c r="A19" s="229"/>
      <c r="B19" s="229"/>
      <c r="C19" s="229"/>
      <c r="D19" s="229"/>
      <c r="E19" s="229"/>
      <c r="F19" s="229"/>
      <c r="G19" s="229"/>
      <c r="H19" s="229"/>
      <c r="I19" s="125"/>
    </row>
    <row r="20" spans="1:9" x14ac:dyDescent="0.25">
      <c r="A20" s="229"/>
      <c r="B20" s="229"/>
      <c r="C20" s="229"/>
      <c r="D20" s="229"/>
      <c r="E20" s="229"/>
      <c r="F20" s="229"/>
      <c r="G20" s="229"/>
      <c r="H20" s="229"/>
      <c r="I20" s="125"/>
    </row>
    <row r="21" spans="1:9" x14ac:dyDescent="0.25">
      <c r="A21" s="517" t="s">
        <v>769</v>
      </c>
      <c r="B21" s="517"/>
      <c r="C21" s="517"/>
      <c r="D21" s="517"/>
      <c r="E21" s="517"/>
      <c r="F21" s="517"/>
      <c r="G21" s="517"/>
      <c r="H21" s="517"/>
      <c r="I21" s="517"/>
    </row>
    <row r="22" spans="1:9" x14ac:dyDescent="0.25">
      <c r="A22" s="121"/>
      <c r="B22" s="230"/>
      <c r="C22" s="518" t="s">
        <v>747</v>
      </c>
      <c r="D22" s="518"/>
      <c r="E22" s="518"/>
      <c r="F22" s="230" t="s">
        <v>748</v>
      </c>
      <c r="G22" s="126" t="s">
        <v>749</v>
      </c>
      <c r="H22" s="123" t="s">
        <v>750</v>
      </c>
      <c r="I22" s="124" t="s">
        <v>751</v>
      </c>
    </row>
    <row r="23" spans="1:9" x14ac:dyDescent="0.25">
      <c r="A23" s="127"/>
      <c r="B23" s="127"/>
      <c r="C23" s="508"/>
      <c r="D23" s="509"/>
      <c r="E23" s="510"/>
      <c r="F23" s="128"/>
      <c r="G23" s="128"/>
      <c r="H23" s="129"/>
      <c r="I23" s="130"/>
    </row>
    <row r="24" spans="1:9" x14ac:dyDescent="0.25">
      <c r="A24" s="514" t="s">
        <v>758</v>
      </c>
      <c r="B24" s="514"/>
      <c r="C24" s="514"/>
      <c r="D24" s="514"/>
      <c r="E24" s="514"/>
      <c r="F24" s="514"/>
      <c r="G24" s="514"/>
      <c r="H24" s="514"/>
      <c r="I24" s="131">
        <f>I23</f>
        <v>0</v>
      </c>
    </row>
    <row r="25" spans="1:9" x14ac:dyDescent="0.25">
      <c r="A25" s="520"/>
      <c r="B25" s="521"/>
      <c r="C25" s="521"/>
      <c r="D25" s="521"/>
      <c r="E25" s="521"/>
      <c r="F25" s="521"/>
      <c r="G25" s="521"/>
      <c r="H25" s="521"/>
      <c r="I25" s="522"/>
    </row>
    <row r="26" spans="1:9" x14ac:dyDescent="0.25">
      <c r="A26" s="502" t="s">
        <v>762</v>
      </c>
      <c r="B26" s="502"/>
      <c r="C26" s="502"/>
      <c r="D26" s="502"/>
      <c r="E26" s="502"/>
      <c r="F26" s="502"/>
      <c r="G26" s="502"/>
      <c r="H26" s="502"/>
      <c r="I26" s="502"/>
    </row>
    <row r="27" spans="1:9" x14ac:dyDescent="0.25">
      <c r="A27" s="519" t="s">
        <v>772</v>
      </c>
      <c r="B27" s="519"/>
      <c r="C27" s="519"/>
      <c r="D27" s="519"/>
      <c r="E27" s="519"/>
      <c r="F27" s="519"/>
      <c r="G27" s="519"/>
      <c r="H27" s="519"/>
      <c r="I27" s="144">
        <f>I12</f>
        <v>123.4875</v>
      </c>
    </row>
    <row r="28" spans="1:9" x14ac:dyDescent="0.25">
      <c r="A28" s="519" t="s">
        <v>773</v>
      </c>
      <c r="B28" s="519"/>
      <c r="C28" s="519"/>
      <c r="D28" s="519"/>
      <c r="E28" s="519"/>
      <c r="F28" s="519"/>
      <c r="G28" s="519"/>
      <c r="H28" s="519"/>
      <c r="I28" s="144">
        <f>I18</f>
        <v>1564</v>
      </c>
    </row>
    <row r="29" spans="1:9" x14ac:dyDescent="0.25">
      <c r="A29" s="519" t="s">
        <v>811</v>
      </c>
      <c r="B29" s="519"/>
      <c r="C29" s="519"/>
      <c r="D29" s="519"/>
      <c r="E29" s="519"/>
      <c r="F29" s="519"/>
      <c r="G29" s="519"/>
      <c r="H29" s="519"/>
      <c r="I29" s="144">
        <f>I24</f>
        <v>0</v>
      </c>
    </row>
    <row r="30" spans="1:9" x14ac:dyDescent="0.25">
      <c r="A30" s="519" t="s">
        <v>812</v>
      </c>
      <c r="B30" s="519"/>
      <c r="C30" s="519"/>
      <c r="D30" s="519"/>
      <c r="E30" s="519"/>
      <c r="F30" s="519"/>
      <c r="G30" s="519"/>
      <c r="H30" s="519"/>
      <c r="I30" s="151">
        <f>SUM(I27:I28)</f>
        <v>1687.4875</v>
      </c>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87"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view="pageBreakPreview" zoomScale="106" zoomScaleNormal="100" zoomScaleSheetLayoutView="106" workbookViewId="0">
      <selection activeCell="L22" sqref="L22"/>
    </sheetView>
  </sheetViews>
  <sheetFormatPr defaultRowHeight="15" x14ac:dyDescent="0.25"/>
  <cols>
    <col min="1" max="1" width="12.7109375" style="145" customWidth="1"/>
    <col min="2" max="2" width="10" style="145" bestFit="1" customWidth="1"/>
    <col min="3" max="3" width="9.140625" style="146"/>
    <col min="4" max="4" width="20.5703125" style="146" customWidth="1"/>
    <col min="5" max="5" width="20.140625" style="146" customWidth="1"/>
    <col min="6" max="6" width="5" style="145" bestFit="1" customWidth="1"/>
    <col min="7" max="7" width="9.5703125" style="145" bestFit="1" customWidth="1"/>
    <col min="8" max="8" width="10.7109375" style="145" customWidth="1"/>
    <col min="9" max="9" width="13.5703125" style="145"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842</v>
      </c>
    </row>
    <row r="5" spans="1:9" x14ac:dyDescent="0.25">
      <c r="A5" s="505" t="s">
        <v>1034</v>
      </c>
      <c r="B5" s="505"/>
      <c r="C5" s="505"/>
      <c r="D5" s="505"/>
      <c r="E5" s="505"/>
      <c r="F5" s="505"/>
      <c r="G5" s="505"/>
      <c r="H5" s="505"/>
      <c r="I5" s="506" t="s">
        <v>984</v>
      </c>
    </row>
    <row r="6" spans="1:9" x14ac:dyDescent="0.25">
      <c r="A6" s="505"/>
      <c r="B6" s="505"/>
      <c r="C6" s="505"/>
      <c r="D6" s="505"/>
      <c r="E6" s="505"/>
      <c r="F6" s="505"/>
      <c r="G6" s="505"/>
      <c r="H6" s="505"/>
      <c r="I6" s="506"/>
    </row>
    <row r="7" spans="1:9" x14ac:dyDescent="0.25">
      <c r="A7" s="507" t="s">
        <v>980</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87" t="s">
        <v>750</v>
      </c>
      <c r="I9" s="215" t="s">
        <v>751</v>
      </c>
    </row>
    <row r="10" spans="1:9" x14ac:dyDescent="0.25">
      <c r="A10" s="153" t="s">
        <v>765</v>
      </c>
      <c r="B10" s="147" t="s">
        <v>599</v>
      </c>
      <c r="C10" s="523" t="s">
        <v>764</v>
      </c>
      <c r="D10" s="524"/>
      <c r="E10" s="122" t="s">
        <v>755</v>
      </c>
      <c r="F10" s="215" t="s">
        <v>752</v>
      </c>
      <c r="G10" s="115">
        <v>3.375</v>
      </c>
      <c r="H10" s="185">
        <v>17.850000000000001</v>
      </c>
      <c r="I10" s="188">
        <f>G10*H10</f>
        <v>60.243750000000006</v>
      </c>
    </row>
    <row r="11" spans="1:9" x14ac:dyDescent="0.25">
      <c r="A11" s="153" t="s">
        <v>766</v>
      </c>
      <c r="B11" s="147" t="s">
        <v>599</v>
      </c>
      <c r="C11" s="523" t="s">
        <v>756</v>
      </c>
      <c r="D11" s="524"/>
      <c r="E11" s="122" t="s">
        <v>755</v>
      </c>
      <c r="F11" s="215" t="s">
        <v>752</v>
      </c>
      <c r="G11" s="115">
        <v>3.375</v>
      </c>
      <c r="H11" s="185">
        <v>13.12</v>
      </c>
      <c r="I11" s="188">
        <f>G11*H11</f>
        <v>44.279999999999994</v>
      </c>
    </row>
    <row r="12" spans="1:9" x14ac:dyDescent="0.25">
      <c r="A12" s="147"/>
      <c r="B12" s="213"/>
      <c r="C12" s="513"/>
      <c r="D12" s="513"/>
      <c r="E12" s="122"/>
      <c r="F12" s="213"/>
      <c r="G12" s="119"/>
      <c r="H12" s="189"/>
      <c r="I12" s="188"/>
    </row>
    <row r="13" spans="1:9" x14ac:dyDescent="0.25">
      <c r="A13" s="514" t="s">
        <v>753</v>
      </c>
      <c r="B13" s="514"/>
      <c r="C13" s="514"/>
      <c r="D13" s="514"/>
      <c r="E13" s="514"/>
      <c r="F13" s="514"/>
      <c r="G13" s="514"/>
      <c r="H13" s="514"/>
      <c r="I13" s="190">
        <f>SUM(I10:I11)</f>
        <v>104.52375000000001</v>
      </c>
    </row>
    <row r="14" spans="1:9" x14ac:dyDescent="0.25">
      <c r="A14" s="212"/>
      <c r="B14" s="212"/>
      <c r="C14" s="212"/>
      <c r="D14" s="212"/>
      <c r="E14" s="212"/>
      <c r="F14" s="214"/>
      <c r="G14" s="214"/>
      <c r="H14" s="214"/>
      <c r="I14" s="190"/>
    </row>
    <row r="15" spans="1:9" x14ac:dyDescent="0.25">
      <c r="A15" s="502" t="s">
        <v>759</v>
      </c>
      <c r="B15" s="502"/>
      <c r="C15" s="502"/>
      <c r="D15" s="502"/>
      <c r="E15" s="502"/>
      <c r="F15" s="502"/>
      <c r="G15" s="502"/>
      <c r="H15" s="502"/>
      <c r="I15" s="502"/>
    </row>
    <row r="16" spans="1:9" x14ac:dyDescent="0.25">
      <c r="A16" s="114" t="s">
        <v>746</v>
      </c>
      <c r="B16" s="215" t="s">
        <v>9</v>
      </c>
      <c r="C16" s="511" t="s">
        <v>747</v>
      </c>
      <c r="D16" s="511"/>
      <c r="E16" s="511"/>
      <c r="F16" s="215" t="s">
        <v>748</v>
      </c>
      <c r="G16" s="115" t="s">
        <v>749</v>
      </c>
      <c r="H16" s="187" t="s">
        <v>750</v>
      </c>
      <c r="I16" s="215" t="s">
        <v>751</v>
      </c>
    </row>
    <row r="17" spans="1:9" x14ac:dyDescent="0.25">
      <c r="A17" s="132" t="s">
        <v>768</v>
      </c>
      <c r="B17" s="118" t="s">
        <v>599</v>
      </c>
      <c r="C17" s="515" t="s">
        <v>981</v>
      </c>
      <c r="D17" s="515"/>
      <c r="E17" s="515"/>
      <c r="F17" s="132" t="s">
        <v>600</v>
      </c>
      <c r="G17" s="119">
        <v>8.9999999999999993E-3</v>
      </c>
      <c r="H17" s="191">
        <v>89.67</v>
      </c>
      <c r="I17" s="186">
        <f>G17*H17</f>
        <v>0.80702999999999991</v>
      </c>
    </row>
    <row r="18" spans="1:9" x14ac:dyDescent="0.25">
      <c r="A18" s="132" t="s">
        <v>771</v>
      </c>
      <c r="B18" s="118" t="s">
        <v>599</v>
      </c>
      <c r="C18" s="515" t="s">
        <v>982</v>
      </c>
      <c r="D18" s="515"/>
      <c r="E18" s="515"/>
      <c r="F18" s="132" t="s">
        <v>614</v>
      </c>
      <c r="G18" s="148">
        <v>0.64124999999999999</v>
      </c>
      <c r="H18" s="191">
        <v>0.79</v>
      </c>
      <c r="I18" s="186">
        <f>G18*H18</f>
        <v>0.50658749999999997</v>
      </c>
    </row>
    <row r="19" spans="1:9" x14ac:dyDescent="0.25">
      <c r="A19" s="132" t="s">
        <v>774</v>
      </c>
      <c r="B19" s="118" t="s">
        <v>599</v>
      </c>
      <c r="C19" s="515" t="s">
        <v>983</v>
      </c>
      <c r="D19" s="515"/>
      <c r="E19" s="515"/>
      <c r="F19" s="132" t="s">
        <v>614</v>
      </c>
      <c r="G19" s="148">
        <v>3.1949999999999998</v>
      </c>
      <c r="H19" s="191">
        <v>0.45</v>
      </c>
      <c r="I19" s="186">
        <f>G19*H19</f>
        <v>1.4377499999999999</v>
      </c>
    </row>
    <row r="20" spans="1:9" ht="30.75" customHeight="1" x14ac:dyDescent="0.25">
      <c r="A20" s="132" t="s">
        <v>1037</v>
      </c>
      <c r="B20" s="118"/>
      <c r="C20" s="515" t="s">
        <v>952</v>
      </c>
      <c r="D20" s="515"/>
      <c r="E20" s="515"/>
      <c r="F20" s="132" t="s">
        <v>1035</v>
      </c>
      <c r="G20" s="119">
        <v>1</v>
      </c>
      <c r="H20" s="191">
        <f>[1]COTAÇÕES!P9</f>
        <v>19440.596666666668</v>
      </c>
      <c r="I20" s="186">
        <f>G20*H20</f>
        <v>19440.596666666668</v>
      </c>
    </row>
    <row r="21" spans="1:9" x14ac:dyDescent="0.25">
      <c r="A21" s="138"/>
      <c r="B21" s="138"/>
      <c r="C21" s="516"/>
      <c r="D21" s="516"/>
      <c r="E21" s="516"/>
      <c r="F21" s="139"/>
      <c r="G21" s="140"/>
      <c r="H21" s="193"/>
      <c r="I21" s="139"/>
    </row>
    <row r="22" spans="1:9" x14ac:dyDescent="0.25">
      <c r="A22" s="514" t="s">
        <v>757</v>
      </c>
      <c r="B22" s="514"/>
      <c r="C22" s="514"/>
      <c r="D22" s="514"/>
      <c r="E22" s="514"/>
      <c r="F22" s="514"/>
      <c r="G22" s="514"/>
      <c r="H22" s="514"/>
      <c r="I22" s="194">
        <f>SUM(I17:I21)</f>
        <v>19443.348034166669</v>
      </c>
    </row>
    <row r="23" spans="1:9" x14ac:dyDescent="0.25">
      <c r="A23" s="212"/>
      <c r="B23" s="212"/>
      <c r="C23" s="212"/>
      <c r="D23" s="212"/>
      <c r="E23" s="212"/>
      <c r="F23" s="214"/>
      <c r="G23" s="214"/>
      <c r="H23" s="214"/>
      <c r="I23" s="190"/>
    </row>
    <row r="24" spans="1:9" x14ac:dyDescent="0.25">
      <c r="A24" s="517" t="s">
        <v>769</v>
      </c>
      <c r="B24" s="517"/>
      <c r="C24" s="517"/>
      <c r="D24" s="517"/>
      <c r="E24" s="517"/>
      <c r="F24" s="517"/>
      <c r="G24" s="517"/>
      <c r="H24" s="517"/>
      <c r="I24" s="517"/>
    </row>
    <row r="25" spans="1:9" x14ac:dyDescent="0.25">
      <c r="A25" s="121"/>
      <c r="B25" s="213"/>
      <c r="C25" s="518" t="s">
        <v>747</v>
      </c>
      <c r="D25" s="518"/>
      <c r="E25" s="518"/>
      <c r="F25" s="213" t="s">
        <v>748</v>
      </c>
      <c r="G25" s="126" t="s">
        <v>749</v>
      </c>
      <c r="H25" s="189" t="s">
        <v>750</v>
      </c>
      <c r="I25" s="195" t="s">
        <v>751</v>
      </c>
    </row>
    <row r="26" spans="1:9" x14ac:dyDescent="0.25">
      <c r="A26" s="150"/>
      <c r="B26" s="138"/>
      <c r="C26" s="525"/>
      <c r="D26" s="526"/>
      <c r="E26" s="527"/>
      <c r="F26" s="134"/>
      <c r="G26" s="159"/>
      <c r="H26" s="193"/>
      <c r="I26" s="119"/>
    </row>
    <row r="27" spans="1:9" x14ac:dyDescent="0.25">
      <c r="A27" s="127"/>
      <c r="B27" s="127"/>
      <c r="C27" s="508"/>
      <c r="D27" s="509"/>
      <c r="E27" s="510"/>
      <c r="F27" s="127"/>
      <c r="G27" s="127"/>
      <c r="H27" s="196"/>
      <c r="I27" s="197"/>
    </row>
    <row r="28" spans="1:9" x14ac:dyDescent="0.25">
      <c r="A28" s="514" t="s">
        <v>758</v>
      </c>
      <c r="B28" s="514"/>
      <c r="C28" s="514"/>
      <c r="D28" s="514"/>
      <c r="E28" s="514"/>
      <c r="F28" s="514"/>
      <c r="G28" s="514"/>
      <c r="H28" s="514"/>
      <c r="I28" s="198">
        <f>I26</f>
        <v>0</v>
      </c>
    </row>
    <row r="29" spans="1:9" x14ac:dyDescent="0.25">
      <c r="A29" s="520"/>
      <c r="B29" s="521"/>
      <c r="C29" s="521"/>
      <c r="D29" s="521"/>
      <c r="E29" s="521"/>
      <c r="F29" s="521"/>
      <c r="G29" s="521"/>
      <c r="H29" s="521"/>
      <c r="I29" s="522"/>
    </row>
    <row r="30" spans="1:9" x14ac:dyDescent="0.25">
      <c r="A30" s="502" t="s">
        <v>762</v>
      </c>
      <c r="B30" s="502"/>
      <c r="C30" s="502"/>
      <c r="D30" s="502"/>
      <c r="E30" s="502"/>
      <c r="F30" s="502"/>
      <c r="G30" s="502"/>
      <c r="H30" s="502"/>
      <c r="I30" s="502"/>
    </row>
    <row r="31" spans="1:9" x14ac:dyDescent="0.25">
      <c r="A31" s="519" t="s">
        <v>772</v>
      </c>
      <c r="B31" s="519"/>
      <c r="C31" s="519"/>
      <c r="D31" s="519"/>
      <c r="E31" s="519"/>
      <c r="F31" s="519"/>
      <c r="G31" s="519"/>
      <c r="H31" s="519"/>
      <c r="I31" s="199">
        <f>I13</f>
        <v>104.52375000000001</v>
      </c>
    </row>
    <row r="32" spans="1:9" x14ac:dyDescent="0.25">
      <c r="A32" s="519" t="s">
        <v>773</v>
      </c>
      <c r="B32" s="519"/>
      <c r="C32" s="519"/>
      <c r="D32" s="519"/>
      <c r="E32" s="519"/>
      <c r="F32" s="519"/>
      <c r="G32" s="519"/>
      <c r="H32" s="519"/>
      <c r="I32" s="199">
        <f>I22</f>
        <v>19443.348034166669</v>
      </c>
    </row>
    <row r="33" spans="1:9" x14ac:dyDescent="0.25">
      <c r="A33" s="519" t="s">
        <v>811</v>
      </c>
      <c r="B33" s="519"/>
      <c r="C33" s="519"/>
      <c r="D33" s="519"/>
      <c r="E33" s="519"/>
      <c r="F33" s="519"/>
      <c r="G33" s="519"/>
      <c r="H33" s="519"/>
      <c r="I33" s="199">
        <f>I28</f>
        <v>0</v>
      </c>
    </row>
    <row r="34" spans="1:9" x14ac:dyDescent="0.25">
      <c r="A34" s="519" t="s">
        <v>812</v>
      </c>
      <c r="B34" s="519"/>
      <c r="C34" s="519"/>
      <c r="D34" s="519"/>
      <c r="E34" s="519"/>
      <c r="F34" s="519"/>
      <c r="G34" s="519"/>
      <c r="H34" s="519"/>
      <c r="I34" s="190">
        <f>SUM(I31:I33)</f>
        <v>19547.871784166669</v>
      </c>
    </row>
  </sheetData>
  <mergeCells count="30">
    <mergeCell ref="A34:H34"/>
    <mergeCell ref="A22:H22"/>
    <mergeCell ref="A24:I24"/>
    <mergeCell ref="C25:E25"/>
    <mergeCell ref="C26:E26"/>
    <mergeCell ref="C27:E27"/>
    <mergeCell ref="A28:H28"/>
    <mergeCell ref="A29:I29"/>
    <mergeCell ref="A30:I30"/>
    <mergeCell ref="A31:H31"/>
    <mergeCell ref="A32:H32"/>
    <mergeCell ref="A33:H33"/>
    <mergeCell ref="C21:E21"/>
    <mergeCell ref="C9:E9"/>
    <mergeCell ref="C10:D10"/>
    <mergeCell ref="C11:D11"/>
    <mergeCell ref="C12:D12"/>
    <mergeCell ref="A13:H13"/>
    <mergeCell ref="A15:I15"/>
    <mergeCell ref="C16:E16"/>
    <mergeCell ref="C17:E17"/>
    <mergeCell ref="C18:E18"/>
    <mergeCell ref="C19:E19"/>
    <mergeCell ref="C20:E20"/>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8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2"/>
  <sheetViews>
    <sheetView view="pageBreakPreview" zoomScale="95" zoomScaleNormal="100" zoomScaleSheetLayoutView="95" workbookViewId="0">
      <selection activeCell="I3" sqref="I3"/>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862</v>
      </c>
    </row>
    <row r="5" spans="1:9" x14ac:dyDescent="0.25">
      <c r="A5" s="505" t="s">
        <v>1036</v>
      </c>
      <c r="B5" s="505"/>
      <c r="C5" s="505"/>
      <c r="D5" s="505"/>
      <c r="E5" s="505"/>
      <c r="F5" s="505"/>
      <c r="G5" s="505"/>
      <c r="H5" s="505"/>
      <c r="I5" s="506" t="s">
        <v>1270</v>
      </c>
    </row>
    <row r="6" spans="1:9" x14ac:dyDescent="0.25">
      <c r="A6" s="505"/>
      <c r="B6" s="505"/>
      <c r="C6" s="505"/>
      <c r="D6" s="505"/>
      <c r="E6" s="505"/>
      <c r="F6" s="505"/>
      <c r="G6" s="505"/>
      <c r="H6" s="505"/>
      <c r="I6" s="506"/>
    </row>
    <row r="7" spans="1:9" x14ac:dyDescent="0.25">
      <c r="A7" s="507" t="s">
        <v>937</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16" t="s">
        <v>750</v>
      </c>
      <c r="I9" s="117" t="s">
        <v>751</v>
      </c>
    </row>
    <row r="10" spans="1:9" x14ac:dyDescent="0.25">
      <c r="A10" s="147" t="s">
        <v>933</v>
      </c>
      <c r="B10" s="147" t="s">
        <v>849</v>
      </c>
      <c r="C10" s="512" t="s">
        <v>934</v>
      </c>
      <c r="D10" s="513"/>
      <c r="E10" s="122" t="s">
        <v>755</v>
      </c>
      <c r="F10" s="213" t="s">
        <v>752</v>
      </c>
      <c r="G10" s="119">
        <v>0.28199999999999997</v>
      </c>
      <c r="H10" s="123">
        <f>(20.93/1.8674)*2.5727</f>
        <v>28.835070686516016</v>
      </c>
      <c r="I10" s="155">
        <f>G10*H10</f>
        <v>8.1314899335975159</v>
      </c>
    </row>
    <row r="11" spans="1:9" x14ac:dyDescent="0.25">
      <c r="A11" s="147" t="s">
        <v>935</v>
      </c>
      <c r="B11" s="147" t="s">
        <v>849</v>
      </c>
      <c r="C11" s="512" t="s">
        <v>936</v>
      </c>
      <c r="D11" s="513"/>
      <c r="E11" s="122" t="s">
        <v>755</v>
      </c>
      <c r="F11" s="213" t="s">
        <v>752</v>
      </c>
      <c r="G11" s="119">
        <v>0.14099999999999999</v>
      </c>
      <c r="H11" s="123">
        <f>(14.98/1.8674)*2.5727</f>
        <v>20.637809789011463</v>
      </c>
      <c r="I11" s="155">
        <f>H11*G11</f>
        <v>2.909931180250616</v>
      </c>
    </row>
    <row r="12" spans="1:9" x14ac:dyDescent="0.25">
      <c r="A12" s="514" t="s">
        <v>753</v>
      </c>
      <c r="B12" s="514"/>
      <c r="C12" s="514"/>
      <c r="D12" s="514"/>
      <c r="E12" s="514"/>
      <c r="F12" s="514"/>
      <c r="G12" s="514"/>
      <c r="H12" s="514"/>
      <c r="I12" s="125">
        <f>I10+I11</f>
        <v>11.041421113848132</v>
      </c>
    </row>
    <row r="13" spans="1:9" x14ac:dyDescent="0.25">
      <c r="A13" s="212"/>
      <c r="B13" s="212"/>
      <c r="C13" s="212"/>
      <c r="D13" s="212"/>
      <c r="E13" s="212"/>
      <c r="F13" s="212"/>
      <c r="G13" s="212"/>
      <c r="H13" s="212"/>
      <c r="I13" s="125"/>
    </row>
    <row r="14" spans="1:9" x14ac:dyDescent="0.25">
      <c r="A14" s="502" t="s">
        <v>759</v>
      </c>
      <c r="B14" s="502"/>
      <c r="C14" s="502"/>
      <c r="D14" s="502"/>
      <c r="E14" s="502"/>
      <c r="F14" s="502"/>
      <c r="G14" s="502"/>
      <c r="H14" s="502"/>
      <c r="I14" s="502"/>
    </row>
    <row r="15" spans="1:9" x14ac:dyDescent="0.25">
      <c r="A15" s="114" t="s">
        <v>746</v>
      </c>
      <c r="B15" s="215" t="s">
        <v>9</v>
      </c>
      <c r="C15" s="511" t="s">
        <v>747</v>
      </c>
      <c r="D15" s="511"/>
      <c r="E15" s="511"/>
      <c r="F15" s="215" t="s">
        <v>748</v>
      </c>
      <c r="G15" s="115" t="s">
        <v>749</v>
      </c>
      <c r="H15" s="116" t="s">
        <v>750</v>
      </c>
      <c r="I15" s="117" t="s">
        <v>751</v>
      </c>
    </row>
    <row r="16" spans="1:9" ht="32.25" customHeight="1" x14ac:dyDescent="0.25">
      <c r="A16" s="132" t="s">
        <v>923</v>
      </c>
      <c r="B16" s="118" t="s">
        <v>849</v>
      </c>
      <c r="C16" s="515" t="s">
        <v>924</v>
      </c>
      <c r="D16" s="515"/>
      <c r="E16" s="515"/>
      <c r="F16" s="132" t="s">
        <v>928</v>
      </c>
      <c r="G16" s="158">
        <v>6.3700000000000007E-2</v>
      </c>
      <c r="H16" s="133">
        <v>26.37</v>
      </c>
      <c r="I16" s="120">
        <f>H16*G16</f>
        <v>1.6797690000000003</v>
      </c>
    </row>
    <row r="17" spans="1:17" ht="59.25" customHeight="1" x14ac:dyDescent="0.25">
      <c r="A17" s="132" t="s">
        <v>925</v>
      </c>
      <c r="B17" s="118" t="s">
        <v>849</v>
      </c>
      <c r="C17" s="528" t="s">
        <v>926</v>
      </c>
      <c r="D17" s="529"/>
      <c r="E17" s="530"/>
      <c r="F17" s="132" t="s">
        <v>927</v>
      </c>
      <c r="G17" s="158">
        <v>1</v>
      </c>
      <c r="H17" s="133">
        <v>365.62</v>
      </c>
      <c r="I17" s="120">
        <f>H17*G17</f>
        <v>365.62</v>
      </c>
    </row>
    <row r="18" spans="1:17" ht="59.25" customHeight="1" x14ac:dyDescent="0.25">
      <c r="A18" s="132" t="s">
        <v>929</v>
      </c>
      <c r="B18" s="118" t="s">
        <v>849</v>
      </c>
      <c r="C18" s="528" t="s">
        <v>930</v>
      </c>
      <c r="D18" s="529"/>
      <c r="E18" s="530"/>
      <c r="F18" s="132" t="s">
        <v>748</v>
      </c>
      <c r="G18" s="158">
        <v>4.72</v>
      </c>
      <c r="H18" s="133">
        <v>0.49</v>
      </c>
      <c r="I18" s="120">
        <f>H18*G18</f>
        <v>2.3127999999999997</v>
      </c>
    </row>
    <row r="19" spans="1:17" ht="47.25" customHeight="1" x14ac:dyDescent="0.25">
      <c r="A19" s="138">
        <v>36888</v>
      </c>
      <c r="B19" s="118" t="s">
        <v>849</v>
      </c>
      <c r="C19" s="516" t="s">
        <v>931</v>
      </c>
      <c r="D19" s="516"/>
      <c r="E19" s="516"/>
      <c r="F19" s="139" t="s">
        <v>932</v>
      </c>
      <c r="G19" s="140">
        <v>2.202</v>
      </c>
      <c r="H19" s="141">
        <v>16.89</v>
      </c>
      <c r="I19" s="120">
        <f>H19*G19</f>
        <v>37.191780000000001</v>
      </c>
    </row>
    <row r="20" spans="1:17" x14ac:dyDescent="0.25">
      <c r="A20" s="514" t="s">
        <v>757</v>
      </c>
      <c r="B20" s="514"/>
      <c r="C20" s="514"/>
      <c r="D20" s="514"/>
      <c r="E20" s="514"/>
      <c r="F20" s="514"/>
      <c r="G20" s="514"/>
      <c r="H20" s="514"/>
      <c r="I20" s="143">
        <f>SUM(I16:I19)</f>
        <v>406.804349</v>
      </c>
    </row>
    <row r="21" spans="1:17" x14ac:dyDescent="0.25">
      <c r="A21" s="212"/>
      <c r="B21" s="212"/>
      <c r="C21" s="212"/>
      <c r="D21" s="212"/>
      <c r="E21" s="212"/>
      <c r="F21" s="212"/>
      <c r="G21" s="212"/>
      <c r="H21" s="212"/>
      <c r="I21" s="125"/>
    </row>
    <row r="22" spans="1:17" x14ac:dyDescent="0.25">
      <c r="A22" s="212"/>
      <c r="B22" s="212"/>
      <c r="C22" s="212"/>
      <c r="D22" s="212"/>
      <c r="E22" s="212"/>
      <c r="F22" s="212"/>
      <c r="G22" s="212"/>
      <c r="H22" s="212"/>
      <c r="I22" s="125"/>
    </row>
    <row r="23" spans="1:17" x14ac:dyDescent="0.25">
      <c r="A23" s="517" t="s">
        <v>769</v>
      </c>
      <c r="B23" s="517"/>
      <c r="C23" s="517"/>
      <c r="D23" s="517"/>
      <c r="E23" s="517"/>
      <c r="F23" s="517"/>
      <c r="G23" s="517"/>
      <c r="H23" s="517"/>
      <c r="I23" s="517"/>
    </row>
    <row r="24" spans="1:17" x14ac:dyDescent="0.25">
      <c r="A24" s="121"/>
      <c r="B24" s="213"/>
      <c r="C24" s="518" t="s">
        <v>747</v>
      </c>
      <c r="D24" s="518"/>
      <c r="E24" s="518"/>
      <c r="F24" s="213" t="s">
        <v>748</v>
      </c>
      <c r="G24" s="126" t="s">
        <v>749</v>
      </c>
      <c r="H24" s="123" t="s">
        <v>750</v>
      </c>
      <c r="I24" s="124" t="s">
        <v>751</v>
      </c>
      <c r="Q24" s="183"/>
    </row>
    <row r="25" spans="1:17" x14ac:dyDescent="0.25">
      <c r="A25" s="127"/>
      <c r="B25" s="127"/>
      <c r="C25" s="508"/>
      <c r="D25" s="509"/>
      <c r="E25" s="510"/>
      <c r="F25" s="128"/>
      <c r="G25" s="128"/>
      <c r="H25" s="129"/>
      <c r="I25" s="130"/>
    </row>
    <row r="26" spans="1:17" x14ac:dyDescent="0.25">
      <c r="A26" s="514" t="s">
        <v>758</v>
      </c>
      <c r="B26" s="514"/>
      <c r="C26" s="514"/>
      <c r="D26" s="514"/>
      <c r="E26" s="514"/>
      <c r="F26" s="514"/>
      <c r="G26" s="514"/>
      <c r="H26" s="514"/>
      <c r="I26" s="131">
        <f>I25</f>
        <v>0</v>
      </c>
    </row>
    <row r="27" spans="1:17" x14ac:dyDescent="0.25">
      <c r="A27" s="520"/>
      <c r="B27" s="521"/>
      <c r="C27" s="521"/>
      <c r="D27" s="521"/>
      <c r="E27" s="521"/>
      <c r="F27" s="521"/>
      <c r="G27" s="521"/>
      <c r="H27" s="521"/>
      <c r="I27" s="522"/>
    </row>
    <row r="28" spans="1:17" x14ac:dyDescent="0.25">
      <c r="A28" s="502" t="s">
        <v>762</v>
      </c>
      <c r="B28" s="502"/>
      <c r="C28" s="502"/>
      <c r="D28" s="502"/>
      <c r="E28" s="502"/>
      <c r="F28" s="502"/>
      <c r="G28" s="502"/>
      <c r="H28" s="502"/>
      <c r="I28" s="502"/>
    </row>
    <row r="29" spans="1:17" x14ac:dyDescent="0.25">
      <c r="A29" s="519" t="s">
        <v>772</v>
      </c>
      <c r="B29" s="519"/>
      <c r="C29" s="519"/>
      <c r="D29" s="519"/>
      <c r="E29" s="519"/>
      <c r="F29" s="519"/>
      <c r="G29" s="519"/>
      <c r="H29" s="519"/>
      <c r="I29" s="144">
        <f>I12</f>
        <v>11.041421113848132</v>
      </c>
    </row>
    <row r="30" spans="1:17" x14ac:dyDescent="0.25">
      <c r="A30" s="519" t="s">
        <v>773</v>
      </c>
      <c r="B30" s="519"/>
      <c r="C30" s="519"/>
      <c r="D30" s="519"/>
      <c r="E30" s="519"/>
      <c r="F30" s="519"/>
      <c r="G30" s="519"/>
      <c r="H30" s="519"/>
      <c r="I30" s="144">
        <f>I20</f>
        <v>406.804349</v>
      </c>
    </row>
    <row r="31" spans="1:17" x14ac:dyDescent="0.25">
      <c r="A31" s="519" t="s">
        <v>811</v>
      </c>
      <c r="B31" s="519"/>
      <c r="C31" s="519"/>
      <c r="D31" s="519"/>
      <c r="E31" s="519"/>
      <c r="F31" s="519"/>
      <c r="G31" s="519"/>
      <c r="H31" s="519"/>
      <c r="I31" s="144">
        <f>I26</f>
        <v>0</v>
      </c>
    </row>
    <row r="32" spans="1:17" x14ac:dyDescent="0.25">
      <c r="A32" s="519" t="s">
        <v>812</v>
      </c>
      <c r="B32" s="519"/>
      <c r="C32" s="519"/>
      <c r="D32" s="519"/>
      <c r="E32" s="519"/>
      <c r="F32" s="519"/>
      <c r="G32" s="519"/>
      <c r="H32" s="519"/>
      <c r="I32" s="151">
        <f>SUM(I29:I30)</f>
        <v>417.84577011384812</v>
      </c>
    </row>
  </sheetData>
  <mergeCells count="27">
    <mergeCell ref="A30:H30"/>
    <mergeCell ref="A31:H31"/>
    <mergeCell ref="A32:H32"/>
    <mergeCell ref="C24:E24"/>
    <mergeCell ref="C25:E25"/>
    <mergeCell ref="A26:H26"/>
    <mergeCell ref="A27:I27"/>
    <mergeCell ref="A28:I28"/>
    <mergeCell ref="A29:H29"/>
    <mergeCell ref="A23:I23"/>
    <mergeCell ref="C9:E9"/>
    <mergeCell ref="C10:D10"/>
    <mergeCell ref="C11:D11"/>
    <mergeCell ref="A12:H12"/>
    <mergeCell ref="A14:I14"/>
    <mergeCell ref="C15:E15"/>
    <mergeCell ref="C16:E16"/>
    <mergeCell ref="C17:E17"/>
    <mergeCell ref="C18:E18"/>
    <mergeCell ref="C19:E19"/>
    <mergeCell ref="A20:H20"/>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112" zoomScaleNormal="100" zoomScaleSheetLayoutView="112" workbookViewId="0">
      <selection activeCell="K30" sqref="K30"/>
    </sheetView>
  </sheetViews>
  <sheetFormatPr defaultRowHeight="15" x14ac:dyDescent="0.25"/>
  <cols>
    <col min="1" max="1" width="13.5703125" style="145" customWidth="1"/>
    <col min="2" max="2" width="10" style="145" bestFit="1" customWidth="1"/>
    <col min="3" max="3" width="9.140625" style="146"/>
    <col min="4" max="4" width="20.5703125" style="146" customWidth="1"/>
    <col min="5" max="5" width="20.140625" style="146" customWidth="1"/>
    <col min="6" max="6" width="5" style="146" bestFit="1" customWidth="1"/>
    <col min="7" max="7" width="9.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939</v>
      </c>
    </row>
    <row r="5" spans="1:9" x14ac:dyDescent="0.25">
      <c r="A5" s="505" t="s">
        <v>985</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980</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16" t="s">
        <v>750</v>
      </c>
      <c r="I9" s="117" t="s">
        <v>751</v>
      </c>
    </row>
    <row r="10" spans="1:9" x14ac:dyDescent="0.25">
      <c r="A10" s="153" t="s">
        <v>765</v>
      </c>
      <c r="B10" s="147" t="s">
        <v>599</v>
      </c>
      <c r="C10" s="523" t="s">
        <v>764</v>
      </c>
      <c r="D10" s="524"/>
      <c r="E10" s="122" t="s">
        <v>755</v>
      </c>
      <c r="F10" s="228" t="s">
        <v>752</v>
      </c>
      <c r="G10" s="115">
        <v>3.375</v>
      </c>
      <c r="H10" s="185">
        <v>17.850000000000001</v>
      </c>
      <c r="I10" s="188">
        <f>G10*H10</f>
        <v>60.243750000000006</v>
      </c>
    </row>
    <row r="11" spans="1:9" x14ac:dyDescent="0.25">
      <c r="A11" s="153" t="s">
        <v>766</v>
      </c>
      <c r="B11" s="147" t="s">
        <v>599</v>
      </c>
      <c r="C11" s="523" t="s">
        <v>756</v>
      </c>
      <c r="D11" s="524"/>
      <c r="E11" s="122" t="s">
        <v>755</v>
      </c>
      <c r="F11" s="228" t="s">
        <v>752</v>
      </c>
      <c r="G11" s="115">
        <v>3.375</v>
      </c>
      <c r="H11" s="185">
        <v>13.12</v>
      </c>
      <c r="I11" s="188">
        <f>G11*H11</f>
        <v>44.279999999999994</v>
      </c>
    </row>
    <row r="12" spans="1:9" x14ac:dyDescent="0.25">
      <c r="A12" s="514" t="s">
        <v>753</v>
      </c>
      <c r="B12" s="514"/>
      <c r="C12" s="514"/>
      <c r="D12" s="514"/>
      <c r="E12" s="514"/>
      <c r="F12" s="514"/>
      <c r="G12" s="514"/>
      <c r="H12" s="514"/>
      <c r="I12" s="125">
        <f>SUM(I10:I11)</f>
        <v>104.52375000000001</v>
      </c>
    </row>
    <row r="13" spans="1:9" x14ac:dyDescent="0.25">
      <c r="A13" s="212"/>
      <c r="B13" s="212"/>
      <c r="C13" s="212"/>
      <c r="D13" s="212"/>
      <c r="E13" s="212"/>
      <c r="F13" s="212"/>
      <c r="G13" s="212"/>
      <c r="H13" s="212"/>
      <c r="I13" s="125"/>
    </row>
    <row r="14" spans="1:9" x14ac:dyDescent="0.25">
      <c r="A14" s="502" t="s">
        <v>759</v>
      </c>
      <c r="B14" s="502"/>
      <c r="C14" s="502"/>
      <c r="D14" s="502"/>
      <c r="E14" s="502"/>
      <c r="F14" s="502"/>
      <c r="G14" s="502"/>
      <c r="H14" s="502"/>
      <c r="I14" s="502"/>
    </row>
    <row r="15" spans="1:9" x14ac:dyDescent="0.25">
      <c r="A15" s="114" t="s">
        <v>746</v>
      </c>
      <c r="B15" s="215" t="s">
        <v>9</v>
      </c>
      <c r="C15" s="511" t="s">
        <v>747</v>
      </c>
      <c r="D15" s="511"/>
      <c r="E15" s="511"/>
      <c r="F15" s="215" t="s">
        <v>748</v>
      </c>
      <c r="G15" s="115" t="s">
        <v>749</v>
      </c>
      <c r="H15" s="116" t="s">
        <v>750</v>
      </c>
      <c r="I15" s="117" t="s">
        <v>751</v>
      </c>
    </row>
    <row r="16" spans="1:9" x14ac:dyDescent="0.25">
      <c r="A16" s="132" t="s">
        <v>768</v>
      </c>
      <c r="B16" s="118" t="s">
        <v>599</v>
      </c>
      <c r="C16" s="515" t="s">
        <v>981</v>
      </c>
      <c r="D16" s="515"/>
      <c r="E16" s="515"/>
      <c r="F16" s="132" t="s">
        <v>600</v>
      </c>
      <c r="G16" s="119">
        <v>8.9999999999999993E-3</v>
      </c>
      <c r="H16" s="191">
        <v>89.67</v>
      </c>
      <c r="I16" s="186">
        <f>G16*H16</f>
        <v>0.80702999999999991</v>
      </c>
    </row>
    <row r="17" spans="1:9" x14ac:dyDescent="0.25">
      <c r="A17" s="132" t="s">
        <v>771</v>
      </c>
      <c r="B17" s="118" t="s">
        <v>599</v>
      </c>
      <c r="C17" s="515" t="s">
        <v>982</v>
      </c>
      <c r="D17" s="515"/>
      <c r="E17" s="515"/>
      <c r="F17" s="132" t="s">
        <v>614</v>
      </c>
      <c r="G17" s="148">
        <v>0.64124999999999999</v>
      </c>
      <c r="H17" s="191">
        <v>0.79</v>
      </c>
      <c r="I17" s="186">
        <f>G17*H17</f>
        <v>0.50658749999999997</v>
      </c>
    </row>
    <row r="18" spans="1:9" x14ac:dyDescent="0.25">
      <c r="A18" s="132" t="s">
        <v>774</v>
      </c>
      <c r="B18" s="118" t="s">
        <v>599</v>
      </c>
      <c r="C18" s="515" t="s">
        <v>983</v>
      </c>
      <c r="D18" s="515"/>
      <c r="E18" s="515"/>
      <c r="F18" s="132" t="s">
        <v>614</v>
      </c>
      <c r="G18" s="148">
        <v>3.1949999999999998</v>
      </c>
      <c r="H18" s="191">
        <v>0.45</v>
      </c>
      <c r="I18" s="186">
        <f>G18*H18</f>
        <v>1.4377499999999999</v>
      </c>
    </row>
    <row r="19" spans="1:9" x14ac:dyDescent="0.25">
      <c r="A19" s="132" t="s">
        <v>1051</v>
      </c>
      <c r="B19" s="118"/>
      <c r="C19" s="515" t="s">
        <v>955</v>
      </c>
      <c r="D19" s="515"/>
      <c r="E19" s="515"/>
      <c r="F19" s="132" t="s">
        <v>25</v>
      </c>
      <c r="G19" s="119">
        <v>1</v>
      </c>
      <c r="H19" s="133">
        <f>[1]COTAÇÕES!P10</f>
        <v>7766.666666666667</v>
      </c>
      <c r="I19" s="157">
        <f>G19*H19</f>
        <v>7766.666666666667</v>
      </c>
    </row>
    <row r="20" spans="1:9" x14ac:dyDescent="0.25">
      <c r="A20" s="138"/>
      <c r="B20" s="138"/>
      <c r="C20" s="516"/>
      <c r="D20" s="516"/>
      <c r="E20" s="516"/>
      <c r="F20" s="139"/>
      <c r="G20" s="140"/>
      <c r="H20" s="141"/>
      <c r="I20" s="142"/>
    </row>
    <row r="21" spans="1:9" x14ac:dyDescent="0.25">
      <c r="A21" s="514" t="s">
        <v>757</v>
      </c>
      <c r="B21" s="514"/>
      <c r="C21" s="514"/>
      <c r="D21" s="514"/>
      <c r="E21" s="514"/>
      <c r="F21" s="514"/>
      <c r="G21" s="514"/>
      <c r="H21" s="514"/>
      <c r="I21" s="143">
        <f>SUM(I16:I19)</f>
        <v>7769.418034166667</v>
      </c>
    </row>
    <row r="22" spans="1:9" x14ac:dyDescent="0.25">
      <c r="A22" s="212"/>
      <c r="B22" s="212"/>
      <c r="C22" s="212"/>
      <c r="D22" s="212"/>
      <c r="E22" s="212"/>
      <c r="F22" s="212"/>
      <c r="G22" s="212"/>
      <c r="H22" s="212"/>
      <c r="I22" s="125"/>
    </row>
    <row r="23" spans="1:9" x14ac:dyDescent="0.25">
      <c r="A23" s="517" t="s">
        <v>769</v>
      </c>
      <c r="B23" s="517"/>
      <c r="C23" s="517"/>
      <c r="D23" s="517"/>
      <c r="E23" s="517"/>
      <c r="F23" s="517"/>
      <c r="G23" s="517"/>
      <c r="H23" s="517"/>
      <c r="I23" s="517"/>
    </row>
    <row r="24" spans="1:9" x14ac:dyDescent="0.25">
      <c r="A24" s="121"/>
      <c r="B24" s="213"/>
      <c r="C24" s="518" t="s">
        <v>747</v>
      </c>
      <c r="D24" s="518"/>
      <c r="E24" s="518"/>
      <c r="F24" s="213" t="s">
        <v>748</v>
      </c>
      <c r="G24" s="126" t="s">
        <v>749</v>
      </c>
      <c r="H24" s="123" t="s">
        <v>750</v>
      </c>
      <c r="I24" s="124" t="s">
        <v>751</v>
      </c>
    </row>
    <row r="25" spans="1:9" x14ac:dyDescent="0.25">
      <c r="A25" s="150"/>
      <c r="B25" s="138"/>
      <c r="C25" s="525"/>
      <c r="D25" s="526"/>
      <c r="E25" s="527"/>
      <c r="F25" s="134"/>
      <c r="G25" s="159"/>
      <c r="H25" s="141"/>
      <c r="I25" s="156"/>
    </row>
    <row r="26" spans="1:9" x14ac:dyDescent="0.25">
      <c r="A26" s="127"/>
      <c r="B26" s="127"/>
      <c r="C26" s="508"/>
      <c r="D26" s="509"/>
      <c r="E26" s="510"/>
      <c r="F26" s="128"/>
      <c r="G26" s="128"/>
      <c r="H26" s="129"/>
      <c r="I26" s="130"/>
    </row>
    <row r="27" spans="1:9" x14ac:dyDescent="0.25">
      <c r="A27" s="514" t="s">
        <v>758</v>
      </c>
      <c r="B27" s="514"/>
      <c r="C27" s="514"/>
      <c r="D27" s="514"/>
      <c r="E27" s="514"/>
      <c r="F27" s="514"/>
      <c r="G27" s="514"/>
      <c r="H27" s="514"/>
      <c r="I27" s="131">
        <f>I25</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I12</f>
        <v>104.52375000000001</v>
      </c>
    </row>
    <row r="31" spans="1:9" x14ac:dyDescent="0.25">
      <c r="A31" s="519" t="s">
        <v>773</v>
      </c>
      <c r="B31" s="519"/>
      <c r="C31" s="519"/>
      <c r="D31" s="519"/>
      <c r="E31" s="519"/>
      <c r="F31" s="519"/>
      <c r="G31" s="519"/>
      <c r="H31" s="519"/>
      <c r="I31" s="144">
        <f>I21</f>
        <v>7769.418034166667</v>
      </c>
    </row>
    <row r="32" spans="1:9" x14ac:dyDescent="0.25">
      <c r="A32" s="519" t="s">
        <v>811</v>
      </c>
      <c r="B32" s="519"/>
      <c r="C32" s="519"/>
      <c r="D32" s="519"/>
      <c r="E32" s="519"/>
      <c r="F32" s="519"/>
      <c r="G32" s="519"/>
      <c r="H32" s="519"/>
      <c r="I32" s="144">
        <f>I22</f>
        <v>0</v>
      </c>
    </row>
    <row r="33" spans="1:9" x14ac:dyDescent="0.25">
      <c r="A33" s="519" t="s">
        <v>812</v>
      </c>
      <c r="B33" s="519"/>
      <c r="C33" s="519"/>
      <c r="D33" s="519"/>
      <c r="E33" s="519"/>
      <c r="F33" s="519"/>
      <c r="G33" s="519"/>
      <c r="H33" s="519"/>
      <c r="I33" s="151">
        <f>SUM(I30:I31)</f>
        <v>7873.9417841666673</v>
      </c>
    </row>
  </sheetData>
  <mergeCells count="29">
    <mergeCell ref="C16:E16"/>
    <mergeCell ref="C17:E17"/>
    <mergeCell ref="C18:E18"/>
    <mergeCell ref="A29:I29"/>
    <mergeCell ref="A30:H30"/>
    <mergeCell ref="C25:E25"/>
    <mergeCell ref="C26:E26"/>
    <mergeCell ref="A27:H27"/>
    <mergeCell ref="A31:H31"/>
    <mergeCell ref="A32:H32"/>
    <mergeCell ref="A33:H33"/>
    <mergeCell ref="A8:I8"/>
    <mergeCell ref="C9:E9"/>
    <mergeCell ref="C10:D10"/>
    <mergeCell ref="C11:D11"/>
    <mergeCell ref="A28:I28"/>
    <mergeCell ref="A12:H12"/>
    <mergeCell ref="A14:I14"/>
    <mergeCell ref="C15:E15"/>
    <mergeCell ref="C19:E19"/>
    <mergeCell ref="C20:E20"/>
    <mergeCell ref="A21:H21"/>
    <mergeCell ref="A23:I23"/>
    <mergeCell ref="C24:E24"/>
    <mergeCell ref="A1:H4"/>
    <mergeCell ref="I1:I2"/>
    <mergeCell ref="A5:H6"/>
    <mergeCell ref="I5:I6"/>
    <mergeCell ref="A7:I7"/>
  </mergeCells>
  <pageMargins left="0.511811024" right="0.511811024" top="0.78740157499999996" bottom="0.78740157499999996" header="0.31496062000000002" footer="0.31496062000000002"/>
  <pageSetup paperSize="9"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12" zoomScaleNormal="100" zoomScaleSheetLayoutView="112" workbookViewId="0">
      <selection activeCell="I3" sqref="I3"/>
    </sheetView>
  </sheetViews>
  <sheetFormatPr defaultRowHeight="15" x14ac:dyDescent="0.25"/>
  <cols>
    <col min="1" max="1" width="8" style="145" bestFit="1" customWidth="1"/>
    <col min="2" max="2" width="10" style="145" bestFit="1" customWidth="1"/>
    <col min="3" max="3" width="9.140625" style="146"/>
    <col min="4" max="4" width="20.5703125" style="146" customWidth="1"/>
    <col min="5" max="5" width="20.140625" style="146" customWidth="1"/>
    <col min="6" max="6" width="5" style="146" bestFit="1" customWidth="1"/>
    <col min="7" max="7" width="9.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940</v>
      </c>
    </row>
    <row r="5" spans="1:9" x14ac:dyDescent="0.25">
      <c r="A5" s="505" t="s">
        <v>782</v>
      </c>
      <c r="B5" s="505"/>
      <c r="C5" s="505"/>
      <c r="D5" s="505"/>
      <c r="E5" s="505"/>
      <c r="F5" s="505"/>
      <c r="G5" s="505"/>
      <c r="H5" s="505"/>
      <c r="I5" s="506" t="s">
        <v>1270</v>
      </c>
    </row>
    <row r="6" spans="1:9" ht="31.5" customHeight="1" x14ac:dyDescent="0.25">
      <c r="A6" s="505"/>
      <c r="B6" s="505"/>
      <c r="C6" s="505"/>
      <c r="D6" s="505"/>
      <c r="E6" s="505"/>
      <c r="F6" s="505"/>
      <c r="G6" s="505"/>
      <c r="H6" s="505"/>
      <c r="I6" s="506"/>
    </row>
    <row r="7" spans="1:9" x14ac:dyDescent="0.25">
      <c r="A7" s="507" t="s">
        <v>781</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16" t="s">
        <v>750</v>
      </c>
      <c r="I9" s="117" t="s">
        <v>751</v>
      </c>
    </row>
    <row r="10" spans="1:9" x14ac:dyDescent="0.25">
      <c r="A10" s="153" t="s">
        <v>785</v>
      </c>
      <c r="B10" s="213" t="s">
        <v>599</v>
      </c>
      <c r="C10" s="523" t="s">
        <v>784</v>
      </c>
      <c r="D10" s="524"/>
      <c r="E10" s="122" t="s">
        <v>755</v>
      </c>
      <c r="F10" s="215" t="s">
        <v>752</v>
      </c>
      <c r="G10" s="115">
        <v>0.41199999999999998</v>
      </c>
      <c r="H10" s="154">
        <v>15.08</v>
      </c>
      <c r="I10" s="155">
        <f>G10*H10</f>
        <v>6.2129599999999998</v>
      </c>
    </row>
    <row r="11" spans="1:9" x14ac:dyDescent="0.25">
      <c r="A11" s="153" t="s">
        <v>787</v>
      </c>
      <c r="B11" s="213" t="s">
        <v>599</v>
      </c>
      <c r="C11" s="523" t="s">
        <v>786</v>
      </c>
      <c r="D11" s="524"/>
      <c r="E11" s="122" t="s">
        <v>755</v>
      </c>
      <c r="F11" s="215" t="s">
        <v>752</v>
      </c>
      <c r="G11" s="115">
        <v>0.152</v>
      </c>
      <c r="H11" s="154">
        <v>17.850000000000001</v>
      </c>
      <c r="I11" s="155">
        <f>G11*H11</f>
        <v>2.7132000000000001</v>
      </c>
    </row>
    <row r="12" spans="1:9" x14ac:dyDescent="0.25">
      <c r="A12" s="153" t="s">
        <v>789</v>
      </c>
      <c r="B12" s="213" t="s">
        <v>599</v>
      </c>
      <c r="C12" s="523" t="s">
        <v>788</v>
      </c>
      <c r="D12" s="524"/>
      <c r="E12" s="122" t="s">
        <v>755</v>
      </c>
      <c r="F12" s="215" t="s">
        <v>752</v>
      </c>
      <c r="G12" s="115">
        <v>0.26</v>
      </c>
      <c r="H12" s="154">
        <v>17.850000000000001</v>
      </c>
      <c r="I12" s="155">
        <f>G12*H12</f>
        <v>4.6410000000000009</v>
      </c>
    </row>
    <row r="13" spans="1:9" x14ac:dyDescent="0.25">
      <c r="A13" s="147" t="s">
        <v>765</v>
      </c>
      <c r="B13" s="213" t="s">
        <v>599</v>
      </c>
      <c r="C13" s="512" t="s">
        <v>764</v>
      </c>
      <c r="D13" s="513"/>
      <c r="E13" s="122" t="s">
        <v>755</v>
      </c>
      <c r="F13" s="213" t="s">
        <v>752</v>
      </c>
      <c r="G13" s="119">
        <v>1.02</v>
      </c>
      <c r="H13" s="123">
        <v>17.850000000000001</v>
      </c>
      <c r="I13" s="155">
        <f>G13*H13</f>
        <v>18.207000000000001</v>
      </c>
    </row>
    <row r="14" spans="1:9" x14ac:dyDescent="0.25">
      <c r="A14" s="147" t="s">
        <v>766</v>
      </c>
      <c r="B14" s="213" t="s">
        <v>599</v>
      </c>
      <c r="C14" s="513" t="s">
        <v>756</v>
      </c>
      <c r="D14" s="513"/>
      <c r="E14" s="122" t="s">
        <v>755</v>
      </c>
      <c r="F14" s="213" t="s">
        <v>752</v>
      </c>
      <c r="G14" s="119">
        <v>1.24</v>
      </c>
      <c r="H14" s="123">
        <v>13.12</v>
      </c>
      <c r="I14" s="155">
        <f>H14*G14</f>
        <v>16.268799999999999</v>
      </c>
    </row>
    <row r="15" spans="1:9" x14ac:dyDescent="0.25">
      <c r="A15" s="514" t="s">
        <v>753</v>
      </c>
      <c r="B15" s="514"/>
      <c r="C15" s="514"/>
      <c r="D15" s="514"/>
      <c r="E15" s="514"/>
      <c r="F15" s="514"/>
      <c r="G15" s="514"/>
      <c r="H15" s="514"/>
      <c r="I15" s="125">
        <f>I10+I11+I12+I13+I14</f>
        <v>48.042960000000001</v>
      </c>
    </row>
    <row r="16" spans="1:9" x14ac:dyDescent="0.25">
      <c r="A16" s="212"/>
      <c r="B16" s="212"/>
      <c r="C16" s="212"/>
      <c r="D16" s="212"/>
      <c r="E16" s="212"/>
      <c r="F16" s="212"/>
      <c r="G16" s="212"/>
      <c r="H16" s="212"/>
      <c r="I16" s="125"/>
    </row>
    <row r="17" spans="1:9" x14ac:dyDescent="0.25">
      <c r="A17" s="502" t="s">
        <v>759</v>
      </c>
      <c r="B17" s="502"/>
      <c r="C17" s="502"/>
      <c r="D17" s="502"/>
      <c r="E17" s="502"/>
      <c r="F17" s="502"/>
      <c r="G17" s="502"/>
      <c r="H17" s="502"/>
      <c r="I17" s="502"/>
    </row>
    <row r="18" spans="1:9" x14ac:dyDescent="0.25">
      <c r="A18" s="114" t="s">
        <v>746</v>
      </c>
      <c r="B18" s="215" t="s">
        <v>9</v>
      </c>
      <c r="C18" s="511" t="s">
        <v>747</v>
      </c>
      <c r="D18" s="511"/>
      <c r="E18" s="511"/>
      <c r="F18" s="215" t="s">
        <v>748</v>
      </c>
      <c r="G18" s="115" t="s">
        <v>749</v>
      </c>
      <c r="H18" s="116" t="s">
        <v>750</v>
      </c>
      <c r="I18" s="117" t="s">
        <v>751</v>
      </c>
    </row>
    <row r="19" spans="1:9" x14ac:dyDescent="0.25">
      <c r="A19" s="132" t="s">
        <v>790</v>
      </c>
      <c r="B19" s="118" t="s">
        <v>599</v>
      </c>
      <c r="C19" s="515" t="s">
        <v>791</v>
      </c>
      <c r="D19" s="515"/>
      <c r="E19" s="515"/>
      <c r="F19" s="132" t="s">
        <v>614</v>
      </c>
      <c r="G19" s="119">
        <v>2.1850000000000001</v>
      </c>
      <c r="H19" s="133">
        <v>9.1300000000000008</v>
      </c>
      <c r="I19" s="157">
        <f t="shared" ref="I19:I30" si="0">H19*G19</f>
        <v>19.949050000000003</v>
      </c>
    </row>
    <row r="20" spans="1:9" x14ac:dyDescent="0.25">
      <c r="A20" s="132" t="s">
        <v>792</v>
      </c>
      <c r="B20" s="118" t="s">
        <v>599</v>
      </c>
      <c r="C20" s="515" t="s">
        <v>793</v>
      </c>
      <c r="D20" s="515"/>
      <c r="E20" s="515"/>
      <c r="F20" s="132" t="s">
        <v>614</v>
      </c>
      <c r="G20" s="148">
        <v>3.7999999999999999E-2</v>
      </c>
      <c r="H20" s="133">
        <v>21.8</v>
      </c>
      <c r="I20" s="157">
        <f t="shared" si="0"/>
        <v>0.82840000000000003</v>
      </c>
    </row>
    <row r="21" spans="1:9" x14ac:dyDescent="0.25">
      <c r="A21" s="132" t="s">
        <v>768</v>
      </c>
      <c r="B21" s="118" t="s">
        <v>599</v>
      </c>
      <c r="C21" s="515" t="s">
        <v>767</v>
      </c>
      <c r="D21" s="515"/>
      <c r="E21" s="515"/>
      <c r="F21" s="132" t="s">
        <v>760</v>
      </c>
      <c r="G21" s="148">
        <v>2.036E-2</v>
      </c>
      <c r="H21" s="133">
        <v>89.67</v>
      </c>
      <c r="I21" s="157">
        <f t="shared" si="0"/>
        <v>1.8256812</v>
      </c>
    </row>
    <row r="22" spans="1:9" x14ac:dyDescent="0.25">
      <c r="A22" s="132" t="s">
        <v>794</v>
      </c>
      <c r="B22" s="118" t="s">
        <v>599</v>
      </c>
      <c r="C22" s="515" t="s">
        <v>795</v>
      </c>
      <c r="D22" s="515"/>
      <c r="E22" s="515"/>
      <c r="F22" s="132" t="s">
        <v>25</v>
      </c>
      <c r="G22" s="119">
        <v>25</v>
      </c>
      <c r="H22" s="133">
        <v>1.01</v>
      </c>
      <c r="I22" s="157">
        <f t="shared" si="0"/>
        <v>25.25</v>
      </c>
    </row>
    <row r="23" spans="1:9" x14ac:dyDescent="0.25">
      <c r="A23" s="132" t="s">
        <v>796</v>
      </c>
      <c r="B23" s="118" t="s">
        <v>599</v>
      </c>
      <c r="C23" s="515" t="s">
        <v>797</v>
      </c>
      <c r="D23" s="515"/>
      <c r="E23" s="515"/>
      <c r="F23" s="132" t="s">
        <v>760</v>
      </c>
      <c r="G23" s="158">
        <v>2.5999999999999999E-3</v>
      </c>
      <c r="H23" s="133">
        <v>95.3</v>
      </c>
      <c r="I23" s="157">
        <f t="shared" si="0"/>
        <v>0.24777999999999997</v>
      </c>
    </row>
    <row r="24" spans="1:9" x14ac:dyDescent="0.25">
      <c r="A24" s="132" t="s">
        <v>799</v>
      </c>
      <c r="B24" s="118" t="s">
        <v>599</v>
      </c>
      <c r="C24" s="515" t="s">
        <v>798</v>
      </c>
      <c r="D24" s="515"/>
      <c r="E24" s="515"/>
      <c r="F24" s="132" t="s">
        <v>760</v>
      </c>
      <c r="G24" s="158">
        <v>6.1999999999999998E-3</v>
      </c>
      <c r="H24" s="133">
        <v>95.3</v>
      </c>
      <c r="I24" s="157">
        <f t="shared" si="0"/>
        <v>0.59085999999999994</v>
      </c>
    </row>
    <row r="25" spans="1:9" x14ac:dyDescent="0.25">
      <c r="A25" s="149" t="s">
        <v>771</v>
      </c>
      <c r="B25" s="135" t="s">
        <v>599</v>
      </c>
      <c r="C25" s="531" t="s">
        <v>770</v>
      </c>
      <c r="D25" s="531"/>
      <c r="E25" s="531"/>
      <c r="F25" s="134" t="s">
        <v>614</v>
      </c>
      <c r="G25" s="136">
        <v>0.52839999999999998</v>
      </c>
      <c r="H25" s="137">
        <v>0.79</v>
      </c>
      <c r="I25" s="157">
        <f t="shared" si="0"/>
        <v>0.41743600000000003</v>
      </c>
    </row>
    <row r="26" spans="1:9" x14ac:dyDescent="0.25">
      <c r="A26" s="150" t="s">
        <v>774</v>
      </c>
      <c r="B26" s="138" t="s">
        <v>599</v>
      </c>
      <c r="C26" s="516" t="s">
        <v>775</v>
      </c>
      <c r="D26" s="516"/>
      <c r="E26" s="516"/>
      <c r="F26" s="134" t="s">
        <v>614</v>
      </c>
      <c r="G26" s="140">
        <v>5.4420000000000002</v>
      </c>
      <c r="H26" s="141">
        <v>0.45</v>
      </c>
      <c r="I26" s="156">
        <f t="shared" si="0"/>
        <v>2.4489000000000001</v>
      </c>
    </row>
    <row r="27" spans="1:9" x14ac:dyDescent="0.25">
      <c r="A27" s="150" t="s">
        <v>800</v>
      </c>
      <c r="B27" s="138" t="s">
        <v>599</v>
      </c>
      <c r="C27" s="525" t="s">
        <v>802</v>
      </c>
      <c r="D27" s="526"/>
      <c r="E27" s="527"/>
      <c r="F27" s="134" t="s">
        <v>801</v>
      </c>
      <c r="G27" s="140">
        <v>0.08</v>
      </c>
      <c r="H27" s="141">
        <v>10.14</v>
      </c>
      <c r="I27" s="156">
        <f t="shared" si="0"/>
        <v>0.81120000000000003</v>
      </c>
    </row>
    <row r="28" spans="1:9" x14ac:dyDescent="0.25">
      <c r="A28" s="150" t="s">
        <v>803</v>
      </c>
      <c r="B28" s="138" t="s">
        <v>599</v>
      </c>
      <c r="C28" s="525" t="s">
        <v>804</v>
      </c>
      <c r="D28" s="526"/>
      <c r="E28" s="527"/>
      <c r="F28" s="134" t="s">
        <v>614</v>
      </c>
      <c r="G28" s="140">
        <v>0.03</v>
      </c>
      <c r="H28" s="141">
        <v>16.88</v>
      </c>
      <c r="I28" s="156">
        <f t="shared" si="0"/>
        <v>0.50639999999999996</v>
      </c>
    </row>
    <row r="29" spans="1:9" x14ac:dyDescent="0.25">
      <c r="A29" s="150" t="s">
        <v>805</v>
      </c>
      <c r="B29" s="138" t="s">
        <v>599</v>
      </c>
      <c r="C29" s="525" t="s">
        <v>806</v>
      </c>
      <c r="D29" s="526"/>
      <c r="E29" s="527"/>
      <c r="F29" s="134" t="s">
        <v>16</v>
      </c>
      <c r="G29" s="140">
        <v>0.1</v>
      </c>
      <c r="H29" s="141">
        <v>6.42</v>
      </c>
      <c r="I29" s="156">
        <f t="shared" si="0"/>
        <v>0.64200000000000002</v>
      </c>
    </row>
    <row r="30" spans="1:9" x14ac:dyDescent="0.25">
      <c r="A30" s="150" t="s">
        <v>808</v>
      </c>
      <c r="B30" s="138" t="s">
        <v>599</v>
      </c>
      <c r="C30" s="525" t="s">
        <v>807</v>
      </c>
      <c r="D30" s="526"/>
      <c r="E30" s="527"/>
      <c r="F30" s="134" t="s">
        <v>16</v>
      </c>
      <c r="G30" s="140">
        <v>0.2</v>
      </c>
      <c r="H30" s="141">
        <v>13.72</v>
      </c>
      <c r="I30" s="156">
        <f t="shared" si="0"/>
        <v>2.7440000000000002</v>
      </c>
    </row>
    <row r="31" spans="1:9" x14ac:dyDescent="0.25">
      <c r="A31" s="138"/>
      <c r="B31" s="138"/>
      <c r="C31" s="516"/>
      <c r="D31" s="516"/>
      <c r="E31" s="516"/>
      <c r="F31" s="139"/>
      <c r="G31" s="140"/>
      <c r="H31" s="141"/>
      <c r="I31" s="142"/>
    </row>
    <row r="32" spans="1:9" x14ac:dyDescent="0.25">
      <c r="A32" s="514" t="s">
        <v>757</v>
      </c>
      <c r="B32" s="514"/>
      <c r="C32" s="514"/>
      <c r="D32" s="514"/>
      <c r="E32" s="514"/>
      <c r="F32" s="514"/>
      <c r="G32" s="514"/>
      <c r="H32" s="514"/>
      <c r="I32" s="143">
        <f>SUM(I19:I31)</f>
        <v>56.261707200000004</v>
      </c>
    </row>
    <row r="33" spans="1:9" x14ac:dyDescent="0.25">
      <c r="A33" s="212"/>
      <c r="B33" s="212"/>
      <c r="C33" s="212"/>
      <c r="D33" s="212"/>
      <c r="E33" s="212"/>
      <c r="F33" s="212"/>
      <c r="G33" s="212"/>
      <c r="H33" s="212"/>
      <c r="I33" s="125"/>
    </row>
    <row r="34" spans="1:9" x14ac:dyDescent="0.25">
      <c r="A34" s="517" t="s">
        <v>769</v>
      </c>
      <c r="B34" s="517"/>
      <c r="C34" s="517"/>
      <c r="D34" s="517"/>
      <c r="E34" s="517"/>
      <c r="F34" s="517"/>
      <c r="G34" s="517"/>
      <c r="H34" s="517"/>
      <c r="I34" s="517"/>
    </row>
    <row r="35" spans="1:9" x14ac:dyDescent="0.25">
      <c r="A35" s="121"/>
      <c r="B35" s="213"/>
      <c r="C35" s="518" t="s">
        <v>747</v>
      </c>
      <c r="D35" s="518"/>
      <c r="E35" s="518"/>
      <c r="F35" s="213" t="s">
        <v>748</v>
      </c>
      <c r="G35" s="126" t="s">
        <v>749</v>
      </c>
      <c r="H35" s="123" t="s">
        <v>750</v>
      </c>
      <c r="I35" s="124" t="s">
        <v>751</v>
      </c>
    </row>
    <row r="36" spans="1:9" x14ac:dyDescent="0.25">
      <c r="A36" s="150" t="s">
        <v>809</v>
      </c>
      <c r="B36" s="138" t="s">
        <v>599</v>
      </c>
      <c r="C36" s="525" t="s">
        <v>810</v>
      </c>
      <c r="D36" s="526"/>
      <c r="E36" s="527"/>
      <c r="F36" s="134" t="s">
        <v>752</v>
      </c>
      <c r="G36" s="159">
        <v>7.1000000000000004E-3</v>
      </c>
      <c r="H36" s="141">
        <v>31.22</v>
      </c>
      <c r="I36" s="156">
        <f>H36*G36</f>
        <v>0.221662</v>
      </c>
    </row>
    <row r="37" spans="1:9" x14ac:dyDescent="0.25">
      <c r="A37" s="127"/>
      <c r="B37" s="127"/>
      <c r="C37" s="508"/>
      <c r="D37" s="509"/>
      <c r="E37" s="510"/>
      <c r="F37" s="128"/>
      <c r="G37" s="128"/>
      <c r="H37" s="129"/>
      <c r="I37" s="130"/>
    </row>
    <row r="38" spans="1:9" x14ac:dyDescent="0.25">
      <c r="A38" s="514" t="s">
        <v>758</v>
      </c>
      <c r="B38" s="514"/>
      <c r="C38" s="514"/>
      <c r="D38" s="514"/>
      <c r="E38" s="514"/>
      <c r="F38" s="514"/>
      <c r="G38" s="514"/>
      <c r="H38" s="514"/>
      <c r="I38" s="131">
        <f>I36</f>
        <v>0.221662</v>
      </c>
    </row>
    <row r="39" spans="1:9" x14ac:dyDescent="0.25">
      <c r="A39" s="520"/>
      <c r="B39" s="521"/>
      <c r="C39" s="521"/>
      <c r="D39" s="521"/>
      <c r="E39" s="521"/>
      <c r="F39" s="521"/>
      <c r="G39" s="521"/>
      <c r="H39" s="521"/>
      <c r="I39" s="522"/>
    </row>
    <row r="40" spans="1:9" x14ac:dyDescent="0.25">
      <c r="A40" s="502" t="s">
        <v>762</v>
      </c>
      <c r="B40" s="502"/>
      <c r="C40" s="502"/>
      <c r="D40" s="502"/>
      <c r="E40" s="502"/>
      <c r="F40" s="502"/>
      <c r="G40" s="502"/>
      <c r="H40" s="502"/>
      <c r="I40" s="502"/>
    </row>
    <row r="41" spans="1:9" x14ac:dyDescent="0.25">
      <c r="A41" s="519" t="s">
        <v>772</v>
      </c>
      <c r="B41" s="519"/>
      <c r="C41" s="519"/>
      <c r="D41" s="519"/>
      <c r="E41" s="519"/>
      <c r="F41" s="519"/>
      <c r="G41" s="519"/>
      <c r="H41" s="519"/>
      <c r="I41" s="144">
        <f>I15</f>
        <v>48.042960000000001</v>
      </c>
    </row>
    <row r="42" spans="1:9" x14ac:dyDescent="0.25">
      <c r="A42" s="519" t="s">
        <v>773</v>
      </c>
      <c r="B42" s="519"/>
      <c r="C42" s="519"/>
      <c r="D42" s="519"/>
      <c r="E42" s="519"/>
      <c r="F42" s="519"/>
      <c r="G42" s="519"/>
      <c r="H42" s="519"/>
      <c r="I42" s="144">
        <f>I32</f>
        <v>56.261707200000004</v>
      </c>
    </row>
    <row r="43" spans="1:9" x14ac:dyDescent="0.25">
      <c r="A43" s="519" t="s">
        <v>811</v>
      </c>
      <c r="B43" s="519"/>
      <c r="C43" s="519"/>
      <c r="D43" s="519"/>
      <c r="E43" s="519"/>
      <c r="F43" s="519"/>
      <c r="G43" s="519"/>
      <c r="H43" s="519"/>
      <c r="I43" s="144">
        <f>I38</f>
        <v>0.221662</v>
      </c>
    </row>
    <row r="44" spans="1:9" x14ac:dyDescent="0.25">
      <c r="A44" s="519" t="s">
        <v>812</v>
      </c>
      <c r="B44" s="519"/>
      <c r="C44" s="519"/>
      <c r="D44" s="519"/>
      <c r="E44" s="519"/>
      <c r="F44" s="519"/>
      <c r="G44" s="519"/>
      <c r="H44" s="519"/>
      <c r="I44" s="151">
        <f>SUM(I41:I43)</f>
        <v>104.52632920000001</v>
      </c>
    </row>
  </sheetData>
  <mergeCells count="40">
    <mergeCell ref="A41:H41"/>
    <mergeCell ref="A42:H42"/>
    <mergeCell ref="A43:H43"/>
    <mergeCell ref="A44:H44"/>
    <mergeCell ref="C35:E35"/>
    <mergeCell ref="C36:E36"/>
    <mergeCell ref="C37:E37"/>
    <mergeCell ref="A38:H38"/>
    <mergeCell ref="A39:I39"/>
    <mergeCell ref="A40:I40"/>
    <mergeCell ref="A34:I34"/>
    <mergeCell ref="C22:E22"/>
    <mergeCell ref="C23:E23"/>
    <mergeCell ref="C24:E24"/>
    <mergeCell ref="C25:E25"/>
    <mergeCell ref="C26:E26"/>
    <mergeCell ref="C27:E27"/>
    <mergeCell ref="C28:E28"/>
    <mergeCell ref="C29:E29"/>
    <mergeCell ref="C30:E30"/>
    <mergeCell ref="C31:E31"/>
    <mergeCell ref="A32:H32"/>
    <mergeCell ref="C21:E21"/>
    <mergeCell ref="C9:E9"/>
    <mergeCell ref="C10:D10"/>
    <mergeCell ref="C11:D11"/>
    <mergeCell ref="C12:D12"/>
    <mergeCell ref="C13:D13"/>
    <mergeCell ref="C14:D14"/>
    <mergeCell ref="A15:H15"/>
    <mergeCell ref="A17:I17"/>
    <mergeCell ref="C18:E18"/>
    <mergeCell ref="C19:E19"/>
    <mergeCell ref="C20:E20"/>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Normal="100" zoomScaleSheetLayoutView="100" workbookViewId="0">
      <selection activeCell="O17" sqref="O17"/>
    </sheetView>
  </sheetViews>
  <sheetFormatPr defaultRowHeight="15" x14ac:dyDescent="0.25"/>
  <cols>
    <col min="1" max="1" width="14.28515625" style="145" customWidth="1"/>
    <col min="2" max="2" width="10" style="145" bestFit="1" customWidth="1"/>
    <col min="3" max="3" width="9.140625" style="146"/>
    <col min="4" max="4" width="25.14062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956</v>
      </c>
    </row>
    <row r="5" spans="1:9" x14ac:dyDescent="0.25">
      <c r="A5" s="505" t="s">
        <v>1038</v>
      </c>
      <c r="B5" s="505"/>
      <c r="C5" s="505"/>
      <c r="D5" s="505"/>
      <c r="E5" s="505"/>
      <c r="F5" s="505"/>
      <c r="G5" s="505"/>
      <c r="H5" s="505"/>
      <c r="I5" s="506" t="s">
        <v>1039</v>
      </c>
    </row>
    <row r="6" spans="1:9" x14ac:dyDescent="0.25">
      <c r="A6" s="505"/>
      <c r="B6" s="505"/>
      <c r="C6" s="505"/>
      <c r="D6" s="505"/>
      <c r="E6" s="505"/>
      <c r="F6" s="505"/>
      <c r="G6" s="505"/>
      <c r="H6" s="505"/>
      <c r="I6" s="506"/>
    </row>
    <row r="7" spans="1:9" x14ac:dyDescent="0.25">
      <c r="A7" s="507" t="s">
        <v>1040</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87" t="s">
        <v>750</v>
      </c>
      <c r="I9" s="117" t="s">
        <v>751</v>
      </c>
    </row>
    <row r="10" spans="1:9" ht="39.75" customHeight="1" x14ac:dyDescent="0.25">
      <c r="A10" s="153" t="s">
        <v>1048</v>
      </c>
      <c r="B10" s="147" t="s">
        <v>599</v>
      </c>
      <c r="C10" s="532" t="s">
        <v>1101</v>
      </c>
      <c r="D10" s="524"/>
      <c r="E10" s="122" t="s">
        <v>755</v>
      </c>
      <c r="F10" s="215" t="s">
        <v>752</v>
      </c>
      <c r="G10" s="115">
        <v>0.55000000000000004</v>
      </c>
      <c r="H10" s="185">
        <v>17.850000000000001</v>
      </c>
      <c r="I10" s="155">
        <f>G10*H10</f>
        <v>9.8175000000000008</v>
      </c>
    </row>
    <row r="11" spans="1:9" x14ac:dyDescent="0.25">
      <c r="A11" s="153" t="s">
        <v>766</v>
      </c>
      <c r="B11" s="147" t="s">
        <v>599</v>
      </c>
      <c r="C11" s="523" t="s">
        <v>756</v>
      </c>
      <c r="D11" s="524"/>
      <c r="E11" s="122" t="s">
        <v>755</v>
      </c>
      <c r="F11" s="215" t="s">
        <v>752</v>
      </c>
      <c r="G11" s="115">
        <v>0.42</v>
      </c>
      <c r="H11" s="185">
        <v>13.12</v>
      </c>
      <c r="I11" s="155">
        <f>G11*H11</f>
        <v>5.5103999999999997</v>
      </c>
    </row>
    <row r="12" spans="1:9" x14ac:dyDescent="0.25">
      <c r="A12" s="147"/>
      <c r="B12" s="213"/>
      <c r="C12" s="513"/>
      <c r="D12" s="513"/>
      <c r="E12" s="122"/>
      <c r="F12" s="213"/>
      <c r="G12" s="119"/>
      <c r="H12" s="189"/>
      <c r="I12" s="155"/>
    </row>
    <row r="13" spans="1:9" x14ac:dyDescent="0.25">
      <c r="A13" s="514" t="s">
        <v>753</v>
      </c>
      <c r="B13" s="514"/>
      <c r="C13" s="514"/>
      <c r="D13" s="514"/>
      <c r="E13" s="514"/>
      <c r="F13" s="514"/>
      <c r="G13" s="514"/>
      <c r="H13" s="514"/>
      <c r="I13" s="125">
        <f>I10+I11</f>
        <v>15.3279</v>
      </c>
    </row>
    <row r="14" spans="1:9" x14ac:dyDescent="0.25">
      <c r="A14" s="212"/>
      <c r="B14" s="212"/>
      <c r="C14" s="212"/>
      <c r="D14" s="212"/>
      <c r="E14" s="212"/>
      <c r="F14" s="212"/>
      <c r="G14" s="212"/>
      <c r="H14" s="214"/>
      <c r="I14" s="125"/>
    </row>
    <row r="15" spans="1:9" x14ac:dyDescent="0.25">
      <c r="A15" s="502" t="s">
        <v>759</v>
      </c>
      <c r="B15" s="502"/>
      <c r="C15" s="502"/>
      <c r="D15" s="502"/>
      <c r="E15" s="502"/>
      <c r="F15" s="502"/>
      <c r="G15" s="502"/>
      <c r="H15" s="502"/>
      <c r="I15" s="502"/>
    </row>
    <row r="16" spans="1:9" x14ac:dyDescent="0.25">
      <c r="A16" s="114" t="s">
        <v>746</v>
      </c>
      <c r="B16" s="215" t="s">
        <v>9</v>
      </c>
      <c r="C16" s="511" t="s">
        <v>747</v>
      </c>
      <c r="D16" s="511"/>
      <c r="E16" s="511"/>
      <c r="F16" s="215" t="s">
        <v>748</v>
      </c>
      <c r="G16" s="115" t="s">
        <v>749</v>
      </c>
      <c r="H16" s="187" t="s">
        <v>750</v>
      </c>
      <c r="I16" s="117" t="s">
        <v>751</v>
      </c>
    </row>
    <row r="17" spans="1:9" x14ac:dyDescent="0.25">
      <c r="A17" s="132" t="s">
        <v>1041</v>
      </c>
      <c r="B17" s="118" t="s">
        <v>599</v>
      </c>
      <c r="C17" s="515" t="s">
        <v>1042</v>
      </c>
      <c r="D17" s="515"/>
      <c r="E17" s="515"/>
      <c r="F17" s="132" t="s">
        <v>614</v>
      </c>
      <c r="G17" s="119">
        <v>0.33400000000000002</v>
      </c>
      <c r="H17" s="191">
        <v>3.86</v>
      </c>
      <c r="I17" s="157">
        <f>G17*H17</f>
        <v>1.2892399999999999</v>
      </c>
    </row>
    <row r="18" spans="1:9" x14ac:dyDescent="0.25">
      <c r="A18" s="132" t="s">
        <v>1043</v>
      </c>
      <c r="B18" s="118" t="s">
        <v>599</v>
      </c>
      <c r="C18" s="515" t="s">
        <v>1044</v>
      </c>
      <c r="D18" s="515"/>
      <c r="E18" s="515"/>
      <c r="F18" s="132" t="s">
        <v>614</v>
      </c>
      <c r="G18" s="166">
        <v>7.5</v>
      </c>
      <c r="H18" s="191">
        <v>0.7</v>
      </c>
      <c r="I18" s="157">
        <f>G18*H18</f>
        <v>5.25</v>
      </c>
    </row>
    <row r="19" spans="1:9" x14ac:dyDescent="0.25">
      <c r="A19" s="132" t="s">
        <v>1272</v>
      </c>
      <c r="B19" s="118"/>
      <c r="C19" s="515" t="s">
        <v>1030</v>
      </c>
      <c r="D19" s="515"/>
      <c r="E19" s="515"/>
      <c r="F19" s="132" t="s">
        <v>24</v>
      </c>
      <c r="G19" s="148">
        <v>1</v>
      </c>
      <c r="H19" s="191">
        <f>[1]COTAÇÕES!P11</f>
        <v>316.66666666666669</v>
      </c>
      <c r="I19" s="157">
        <f>G19*H19</f>
        <v>316.66666666666669</v>
      </c>
    </row>
    <row r="20" spans="1:9" x14ac:dyDescent="0.25">
      <c r="A20" s="138"/>
      <c r="B20" s="138"/>
      <c r="C20" s="516"/>
      <c r="D20" s="516"/>
      <c r="E20" s="516"/>
      <c r="F20" s="139"/>
      <c r="G20" s="140"/>
      <c r="H20" s="193"/>
      <c r="I20" s="142"/>
    </row>
    <row r="21" spans="1:9" x14ac:dyDescent="0.25">
      <c r="A21" s="514" t="s">
        <v>757</v>
      </c>
      <c r="B21" s="514"/>
      <c r="C21" s="514"/>
      <c r="D21" s="514"/>
      <c r="E21" s="514"/>
      <c r="F21" s="514"/>
      <c r="G21" s="514"/>
      <c r="H21" s="514"/>
      <c r="I21" s="143">
        <f>SUM(I17:I20)</f>
        <v>323.20590666666669</v>
      </c>
    </row>
    <row r="22" spans="1:9" x14ac:dyDescent="0.25">
      <c r="A22" s="212"/>
      <c r="B22" s="212"/>
      <c r="C22" s="212"/>
      <c r="D22" s="212"/>
      <c r="E22" s="212"/>
      <c r="F22" s="212"/>
      <c r="G22" s="212"/>
      <c r="H22" s="214"/>
      <c r="I22" s="125"/>
    </row>
    <row r="23" spans="1:9" x14ac:dyDescent="0.25">
      <c r="A23" s="517" t="s">
        <v>769</v>
      </c>
      <c r="B23" s="517"/>
      <c r="C23" s="517"/>
      <c r="D23" s="517"/>
      <c r="E23" s="517"/>
      <c r="F23" s="517"/>
      <c r="G23" s="517"/>
      <c r="H23" s="517"/>
      <c r="I23" s="517"/>
    </row>
    <row r="24" spans="1:9" x14ac:dyDescent="0.25">
      <c r="A24" s="121"/>
      <c r="B24" s="213"/>
      <c r="C24" s="518" t="s">
        <v>747</v>
      </c>
      <c r="D24" s="518"/>
      <c r="E24" s="518"/>
      <c r="F24" s="213" t="s">
        <v>748</v>
      </c>
      <c r="G24" s="126" t="s">
        <v>749</v>
      </c>
      <c r="H24" s="189" t="s">
        <v>750</v>
      </c>
      <c r="I24" s="124" t="s">
        <v>751</v>
      </c>
    </row>
    <row r="25" spans="1:9" x14ac:dyDescent="0.25">
      <c r="A25" s="150"/>
      <c r="B25" s="138"/>
      <c r="C25" s="525"/>
      <c r="D25" s="526"/>
      <c r="E25" s="527"/>
      <c r="F25" s="134"/>
      <c r="G25" s="159"/>
      <c r="H25" s="193"/>
      <c r="I25" s="156"/>
    </row>
    <row r="26" spans="1:9" x14ac:dyDescent="0.25">
      <c r="A26" s="127"/>
      <c r="B26" s="127"/>
      <c r="C26" s="508"/>
      <c r="D26" s="509"/>
      <c r="E26" s="510"/>
      <c r="F26" s="128"/>
      <c r="G26" s="128"/>
      <c r="H26" s="196"/>
      <c r="I26" s="130"/>
    </row>
    <row r="27" spans="1:9" x14ac:dyDescent="0.25">
      <c r="A27" s="514" t="s">
        <v>758</v>
      </c>
      <c r="B27" s="514"/>
      <c r="C27" s="514"/>
      <c r="D27" s="514"/>
      <c r="E27" s="514"/>
      <c r="F27" s="514"/>
      <c r="G27" s="514"/>
      <c r="H27" s="514"/>
      <c r="I27" s="131">
        <f>I25</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I13</f>
        <v>15.3279</v>
      </c>
    </row>
    <row r="31" spans="1:9" x14ac:dyDescent="0.25">
      <c r="A31" s="519" t="s">
        <v>773</v>
      </c>
      <c r="B31" s="519"/>
      <c r="C31" s="519"/>
      <c r="D31" s="519"/>
      <c r="E31" s="519"/>
      <c r="F31" s="519"/>
      <c r="G31" s="519"/>
      <c r="H31" s="519"/>
      <c r="I31" s="144">
        <f>I21</f>
        <v>323.20590666666669</v>
      </c>
    </row>
    <row r="32" spans="1:9" x14ac:dyDescent="0.25">
      <c r="A32" s="519" t="s">
        <v>811</v>
      </c>
      <c r="B32" s="519"/>
      <c r="C32" s="519"/>
      <c r="D32" s="519"/>
      <c r="E32" s="519"/>
      <c r="F32" s="519"/>
      <c r="G32" s="519"/>
      <c r="H32" s="519"/>
      <c r="I32" s="144">
        <f>I27</f>
        <v>0</v>
      </c>
    </row>
    <row r="33" spans="1:9" x14ac:dyDescent="0.25">
      <c r="A33" s="519" t="s">
        <v>812</v>
      </c>
      <c r="B33" s="519"/>
      <c r="C33" s="519"/>
      <c r="D33" s="519"/>
      <c r="E33" s="519"/>
      <c r="F33" s="519"/>
      <c r="G33" s="519"/>
      <c r="H33" s="519"/>
      <c r="I33" s="151">
        <f>SUM(I30:I32)</f>
        <v>338.53380666666669</v>
      </c>
    </row>
  </sheetData>
  <mergeCells count="29">
    <mergeCell ref="A29:I29"/>
    <mergeCell ref="A30:H30"/>
    <mergeCell ref="A31:H31"/>
    <mergeCell ref="A32:H32"/>
    <mergeCell ref="A33:H33"/>
    <mergeCell ref="A28:I28"/>
    <mergeCell ref="C16:E16"/>
    <mergeCell ref="C17:E17"/>
    <mergeCell ref="C18:E18"/>
    <mergeCell ref="C19:E19"/>
    <mergeCell ref="C20:E20"/>
    <mergeCell ref="A21:H21"/>
    <mergeCell ref="A23:I23"/>
    <mergeCell ref="C24:E24"/>
    <mergeCell ref="C25:E25"/>
    <mergeCell ref="C26:E26"/>
    <mergeCell ref="A27:H27"/>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81"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98" zoomScaleNormal="100" zoomScaleSheetLayoutView="98" workbookViewId="0">
      <selection activeCell="Q23" sqref="Q23"/>
    </sheetView>
  </sheetViews>
  <sheetFormatPr defaultRowHeight="15" x14ac:dyDescent="0.25"/>
  <cols>
    <col min="1" max="1" width="8" style="145" bestFit="1" customWidth="1"/>
    <col min="2" max="2" width="10" style="145" bestFit="1" customWidth="1"/>
    <col min="3" max="3" width="9.140625" style="146"/>
    <col min="4" max="4" width="20.5703125" style="146" customWidth="1"/>
    <col min="5" max="5" width="20.140625" style="146" customWidth="1"/>
    <col min="6" max="6" width="5" style="146" bestFit="1" customWidth="1"/>
    <col min="7" max="7" width="7.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957</v>
      </c>
    </row>
    <row r="5" spans="1:9" x14ac:dyDescent="0.25">
      <c r="A5" s="505" t="s">
        <v>921</v>
      </c>
      <c r="B5" s="505"/>
      <c r="C5" s="505"/>
      <c r="D5" s="505"/>
      <c r="E5" s="505"/>
      <c r="F5" s="505"/>
      <c r="G5" s="505"/>
      <c r="H5" s="505"/>
      <c r="I5" s="506" t="s">
        <v>1046</v>
      </c>
    </row>
    <row r="6" spans="1:9" x14ac:dyDescent="0.25">
      <c r="A6" s="505"/>
      <c r="B6" s="505"/>
      <c r="C6" s="505"/>
      <c r="D6" s="505"/>
      <c r="E6" s="505"/>
      <c r="F6" s="505"/>
      <c r="G6" s="505"/>
      <c r="H6" s="505"/>
      <c r="I6" s="506"/>
    </row>
    <row r="7" spans="1:9" x14ac:dyDescent="0.25">
      <c r="A7" s="507" t="s">
        <v>763</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16" t="s">
        <v>750</v>
      </c>
      <c r="I9" s="117" t="s">
        <v>751</v>
      </c>
    </row>
    <row r="10" spans="1:9" x14ac:dyDescent="0.25">
      <c r="A10" s="147" t="s">
        <v>765</v>
      </c>
      <c r="B10" s="213" t="s">
        <v>599</v>
      </c>
      <c r="C10" s="512" t="s">
        <v>764</v>
      </c>
      <c r="D10" s="513"/>
      <c r="E10" s="122" t="s">
        <v>755</v>
      </c>
      <c r="F10" s="213" t="s">
        <v>752</v>
      </c>
      <c r="G10" s="119">
        <v>0.84</v>
      </c>
      <c r="H10" s="123">
        <v>17.850000000000001</v>
      </c>
      <c r="I10" s="124">
        <f>G10*H10</f>
        <v>14.994</v>
      </c>
    </row>
    <row r="11" spans="1:9" x14ac:dyDescent="0.25">
      <c r="A11" s="147" t="s">
        <v>766</v>
      </c>
      <c r="B11" s="213" t="s">
        <v>599</v>
      </c>
      <c r="C11" s="513" t="s">
        <v>756</v>
      </c>
      <c r="D11" s="513"/>
      <c r="E11" s="122" t="s">
        <v>755</v>
      </c>
      <c r="F11" s="213" t="s">
        <v>752</v>
      </c>
      <c r="G11" s="119">
        <v>0.91</v>
      </c>
      <c r="H11" s="123">
        <v>13.12</v>
      </c>
      <c r="I11" s="124">
        <f>H11*G11</f>
        <v>11.9392</v>
      </c>
    </row>
    <row r="12" spans="1:9" x14ac:dyDescent="0.25">
      <c r="A12" s="514" t="s">
        <v>753</v>
      </c>
      <c r="B12" s="514"/>
      <c r="C12" s="514"/>
      <c r="D12" s="514"/>
      <c r="E12" s="514"/>
      <c r="F12" s="514"/>
      <c r="G12" s="514"/>
      <c r="H12" s="514"/>
      <c r="I12" s="125">
        <f>I10+I11</f>
        <v>26.933199999999999</v>
      </c>
    </row>
    <row r="13" spans="1:9" x14ac:dyDescent="0.25">
      <c r="A13" s="212"/>
      <c r="B13" s="212"/>
      <c r="C13" s="212"/>
      <c r="D13" s="212"/>
      <c r="E13" s="212"/>
      <c r="F13" s="212"/>
      <c r="G13" s="212"/>
      <c r="H13" s="212"/>
      <c r="I13" s="125"/>
    </row>
    <row r="14" spans="1:9" x14ac:dyDescent="0.25">
      <c r="A14" s="502" t="s">
        <v>759</v>
      </c>
      <c r="B14" s="502"/>
      <c r="C14" s="502"/>
      <c r="D14" s="502"/>
      <c r="E14" s="502"/>
      <c r="F14" s="502"/>
      <c r="G14" s="502"/>
      <c r="H14" s="502"/>
      <c r="I14" s="502"/>
    </row>
    <row r="15" spans="1:9" x14ac:dyDescent="0.25">
      <c r="A15" s="114" t="s">
        <v>746</v>
      </c>
      <c r="B15" s="215" t="s">
        <v>9</v>
      </c>
      <c r="C15" s="511" t="s">
        <v>747</v>
      </c>
      <c r="D15" s="511"/>
      <c r="E15" s="511"/>
      <c r="F15" s="215" t="s">
        <v>748</v>
      </c>
      <c r="G15" s="115" t="s">
        <v>749</v>
      </c>
      <c r="H15" s="116" t="s">
        <v>750</v>
      </c>
      <c r="I15" s="117" t="s">
        <v>751</v>
      </c>
    </row>
    <row r="16" spans="1:9" x14ac:dyDescent="0.25">
      <c r="A16" s="132" t="s">
        <v>768</v>
      </c>
      <c r="B16" s="118" t="s">
        <v>599</v>
      </c>
      <c r="C16" s="515" t="s">
        <v>767</v>
      </c>
      <c r="D16" s="515"/>
      <c r="E16" s="515"/>
      <c r="F16" s="132" t="s">
        <v>760</v>
      </c>
      <c r="G16" s="148">
        <v>8.6099999999999996E-3</v>
      </c>
      <c r="H16" s="133">
        <v>89.67</v>
      </c>
      <c r="I16" s="156">
        <f>H16*G16</f>
        <v>0.77205869999999999</v>
      </c>
    </row>
    <row r="17" spans="1:9" x14ac:dyDescent="0.25">
      <c r="A17" s="149" t="s">
        <v>771</v>
      </c>
      <c r="B17" s="135" t="s">
        <v>599</v>
      </c>
      <c r="C17" s="531" t="s">
        <v>770</v>
      </c>
      <c r="D17" s="531"/>
      <c r="E17" s="531"/>
      <c r="F17" s="134" t="s">
        <v>614</v>
      </c>
      <c r="G17" s="136">
        <v>1.274</v>
      </c>
      <c r="H17" s="137">
        <v>0.79</v>
      </c>
      <c r="I17" s="157">
        <f>H17*G17</f>
        <v>1.0064600000000001</v>
      </c>
    </row>
    <row r="18" spans="1:9" x14ac:dyDescent="0.25">
      <c r="A18" s="150" t="s">
        <v>774</v>
      </c>
      <c r="B18" s="138" t="s">
        <v>599</v>
      </c>
      <c r="C18" s="516" t="s">
        <v>775</v>
      </c>
      <c r="D18" s="516"/>
      <c r="E18" s="516"/>
      <c r="F18" s="134" t="s">
        <v>614</v>
      </c>
      <c r="G18" s="140">
        <v>2.5619999999999998</v>
      </c>
      <c r="H18" s="141">
        <v>0.45</v>
      </c>
      <c r="I18" s="156">
        <f>H18*G18</f>
        <v>1.1529</v>
      </c>
    </row>
    <row r="19" spans="1:9" x14ac:dyDescent="0.25">
      <c r="A19" s="150" t="s">
        <v>1370</v>
      </c>
      <c r="B19" s="138" t="s">
        <v>599</v>
      </c>
      <c r="C19" s="525" t="s">
        <v>776</v>
      </c>
      <c r="D19" s="526"/>
      <c r="E19" s="527"/>
      <c r="F19" s="134" t="s">
        <v>761</v>
      </c>
      <c r="G19" s="140">
        <v>0.19</v>
      </c>
      <c r="H19" s="141">
        <v>274.62</v>
      </c>
      <c r="I19" s="120">
        <f>G19*H19</f>
        <v>52.177800000000005</v>
      </c>
    </row>
    <row r="20" spans="1:9" x14ac:dyDescent="0.25">
      <c r="A20" s="138"/>
      <c r="B20" s="138"/>
      <c r="C20" s="516"/>
      <c r="D20" s="516"/>
      <c r="E20" s="516"/>
      <c r="F20" s="139"/>
      <c r="G20" s="140"/>
      <c r="H20" s="141"/>
      <c r="I20" s="142"/>
    </row>
    <row r="21" spans="1:9" x14ac:dyDescent="0.25">
      <c r="A21" s="514" t="s">
        <v>757</v>
      </c>
      <c r="B21" s="514"/>
      <c r="C21" s="514"/>
      <c r="D21" s="514"/>
      <c r="E21" s="514"/>
      <c r="F21" s="514"/>
      <c r="G21" s="514"/>
      <c r="H21" s="514"/>
      <c r="I21" s="143">
        <f>SUM(I16:I20)</f>
        <v>55.109218700000007</v>
      </c>
    </row>
    <row r="22" spans="1:9" x14ac:dyDescent="0.25">
      <c r="A22" s="212"/>
      <c r="B22" s="212"/>
      <c r="C22" s="212"/>
      <c r="D22" s="212"/>
      <c r="E22" s="212"/>
      <c r="F22" s="212"/>
      <c r="G22" s="212"/>
      <c r="H22" s="212"/>
      <c r="I22" s="125"/>
    </row>
    <row r="23" spans="1:9" x14ac:dyDescent="0.25">
      <c r="A23" s="212"/>
      <c r="B23" s="212"/>
      <c r="C23" s="212"/>
      <c r="D23" s="212"/>
      <c r="E23" s="212"/>
      <c r="F23" s="212"/>
      <c r="G23" s="212"/>
      <c r="H23" s="212"/>
      <c r="I23" s="125"/>
    </row>
    <row r="24" spans="1:9" x14ac:dyDescent="0.25">
      <c r="A24" s="517" t="s">
        <v>769</v>
      </c>
      <c r="B24" s="517"/>
      <c r="C24" s="517"/>
      <c r="D24" s="517"/>
      <c r="E24" s="517"/>
      <c r="F24" s="517"/>
      <c r="G24" s="517"/>
      <c r="H24" s="517"/>
      <c r="I24" s="517"/>
    </row>
    <row r="25" spans="1:9" x14ac:dyDescent="0.25">
      <c r="A25" s="121"/>
      <c r="B25" s="213"/>
      <c r="C25" s="518" t="s">
        <v>747</v>
      </c>
      <c r="D25" s="518"/>
      <c r="E25" s="518"/>
      <c r="F25" s="213" t="s">
        <v>748</v>
      </c>
      <c r="G25" s="126" t="s">
        <v>749</v>
      </c>
      <c r="H25" s="123" t="s">
        <v>750</v>
      </c>
      <c r="I25" s="124" t="s">
        <v>751</v>
      </c>
    </row>
    <row r="26" spans="1:9" x14ac:dyDescent="0.25">
      <c r="A26" s="127"/>
      <c r="B26" s="127"/>
      <c r="C26" s="508"/>
      <c r="D26" s="509"/>
      <c r="E26" s="510"/>
      <c r="F26" s="128"/>
      <c r="G26" s="128"/>
      <c r="H26" s="129"/>
      <c r="I26" s="130"/>
    </row>
    <row r="27" spans="1:9" x14ac:dyDescent="0.25">
      <c r="A27" s="514" t="s">
        <v>758</v>
      </c>
      <c r="B27" s="514"/>
      <c r="C27" s="514"/>
      <c r="D27" s="514"/>
      <c r="E27" s="514"/>
      <c r="F27" s="514"/>
      <c r="G27" s="514"/>
      <c r="H27" s="514"/>
      <c r="I27" s="131">
        <f>I26</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I12</f>
        <v>26.933199999999999</v>
      </c>
    </row>
    <row r="31" spans="1:9" x14ac:dyDescent="0.25">
      <c r="A31" s="519" t="s">
        <v>773</v>
      </c>
      <c r="B31" s="519"/>
      <c r="C31" s="519"/>
      <c r="D31" s="519"/>
      <c r="E31" s="519"/>
      <c r="F31" s="519"/>
      <c r="G31" s="519"/>
      <c r="H31" s="519"/>
      <c r="I31" s="144">
        <f>I21</f>
        <v>55.109218700000007</v>
      </c>
    </row>
    <row r="32" spans="1:9" x14ac:dyDescent="0.25">
      <c r="A32" s="519" t="s">
        <v>811</v>
      </c>
      <c r="B32" s="519"/>
      <c r="C32" s="519"/>
      <c r="D32" s="519"/>
      <c r="E32" s="519"/>
      <c r="F32" s="519"/>
      <c r="G32" s="519"/>
      <c r="H32" s="519"/>
      <c r="I32" s="144">
        <f>I22</f>
        <v>0</v>
      </c>
    </row>
    <row r="33" spans="1:9" x14ac:dyDescent="0.25">
      <c r="A33" s="519" t="s">
        <v>812</v>
      </c>
      <c r="B33" s="519"/>
      <c r="C33" s="519"/>
      <c r="D33" s="519"/>
      <c r="E33" s="519"/>
      <c r="F33" s="519"/>
      <c r="G33" s="519"/>
      <c r="H33" s="519"/>
      <c r="I33" s="151">
        <f>SUM(I30:I31)</f>
        <v>82.042418700000013</v>
      </c>
    </row>
  </sheetData>
  <mergeCells count="28">
    <mergeCell ref="A30:H30"/>
    <mergeCell ref="A31:H31"/>
    <mergeCell ref="A32:H32"/>
    <mergeCell ref="A33:H33"/>
    <mergeCell ref="A24:I24"/>
    <mergeCell ref="C25:E25"/>
    <mergeCell ref="C26:E26"/>
    <mergeCell ref="A27:H27"/>
    <mergeCell ref="A28:I28"/>
    <mergeCell ref="A29:I29"/>
    <mergeCell ref="A21:H21"/>
    <mergeCell ref="C9:E9"/>
    <mergeCell ref="C10:D10"/>
    <mergeCell ref="C11:D11"/>
    <mergeCell ref="A12:H12"/>
    <mergeCell ref="A14:I14"/>
    <mergeCell ref="C15:E15"/>
    <mergeCell ref="C16:E16"/>
    <mergeCell ref="C17:E17"/>
    <mergeCell ref="C18:E18"/>
    <mergeCell ref="C19:E19"/>
    <mergeCell ref="C20:E20"/>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92"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view="pageBreakPreview" zoomScale="118" zoomScaleNormal="100" zoomScaleSheetLayoutView="118" workbookViewId="0">
      <selection activeCell="I3" sqref="I3"/>
    </sheetView>
  </sheetViews>
  <sheetFormatPr defaultRowHeight="15" x14ac:dyDescent="0.25"/>
  <cols>
    <col min="1" max="1" width="12.5703125" style="145" customWidth="1"/>
    <col min="2" max="2" width="10" style="145" bestFit="1" customWidth="1"/>
    <col min="3" max="3" width="9.140625" style="146"/>
    <col min="4" max="4" width="20.5703125" style="146" customWidth="1"/>
    <col min="5" max="5" width="20.140625" style="146" customWidth="1"/>
    <col min="6" max="6" width="5" style="146" bestFit="1" customWidth="1"/>
    <col min="7" max="7" width="9.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958</v>
      </c>
    </row>
    <row r="5" spans="1:9" x14ac:dyDescent="0.25">
      <c r="A5" s="505" t="s">
        <v>1045</v>
      </c>
      <c r="B5" s="505"/>
      <c r="C5" s="505"/>
      <c r="D5" s="505"/>
      <c r="E5" s="505"/>
      <c r="F5" s="505"/>
      <c r="G5" s="505"/>
      <c r="H5" s="505"/>
      <c r="I5" s="506" t="s">
        <v>745</v>
      </c>
    </row>
    <row r="6" spans="1:9" x14ac:dyDescent="0.25">
      <c r="A6" s="505"/>
      <c r="B6" s="505"/>
      <c r="C6" s="505"/>
      <c r="D6" s="505"/>
      <c r="E6" s="505"/>
      <c r="F6" s="505"/>
      <c r="G6" s="505"/>
      <c r="H6" s="505"/>
      <c r="I6" s="506"/>
    </row>
    <row r="7" spans="1:9" x14ac:dyDescent="0.25">
      <c r="A7" s="507" t="s">
        <v>1047</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87" t="s">
        <v>750</v>
      </c>
      <c r="I9" s="117" t="s">
        <v>751</v>
      </c>
    </row>
    <row r="10" spans="1:9" x14ac:dyDescent="0.25">
      <c r="A10" s="153" t="s">
        <v>1048</v>
      </c>
      <c r="B10" s="147" t="s">
        <v>599</v>
      </c>
      <c r="C10" s="523" t="s">
        <v>1049</v>
      </c>
      <c r="D10" s="524"/>
      <c r="E10" s="122" t="s">
        <v>755</v>
      </c>
      <c r="F10" s="215" t="s">
        <v>752</v>
      </c>
      <c r="G10" s="115">
        <v>0.51</v>
      </c>
      <c r="H10" s="185">
        <v>17.850000000000001</v>
      </c>
      <c r="I10" s="155">
        <f>G10*H10</f>
        <v>9.1035000000000004</v>
      </c>
    </row>
    <row r="11" spans="1:9" x14ac:dyDescent="0.25">
      <c r="A11" s="153" t="s">
        <v>766</v>
      </c>
      <c r="B11" s="147" t="s">
        <v>599</v>
      </c>
      <c r="C11" s="523" t="s">
        <v>756</v>
      </c>
      <c r="D11" s="524"/>
      <c r="E11" s="122" t="s">
        <v>755</v>
      </c>
      <c r="F11" s="215" t="s">
        <v>752</v>
      </c>
      <c r="G11" s="115">
        <v>0.75</v>
      </c>
      <c r="H11" s="185">
        <v>13.12</v>
      </c>
      <c r="I11" s="155">
        <f>G11*H11</f>
        <v>9.84</v>
      </c>
    </row>
    <row r="12" spans="1:9" x14ac:dyDescent="0.25">
      <c r="A12" s="147"/>
      <c r="B12" s="213"/>
      <c r="C12" s="513"/>
      <c r="D12" s="513"/>
      <c r="E12" s="122"/>
      <c r="F12" s="213"/>
      <c r="G12" s="119"/>
      <c r="H12" s="189"/>
      <c r="I12" s="155"/>
    </row>
    <row r="13" spans="1:9" x14ac:dyDescent="0.25">
      <c r="A13" s="514" t="s">
        <v>753</v>
      </c>
      <c r="B13" s="514"/>
      <c r="C13" s="514"/>
      <c r="D13" s="514"/>
      <c r="E13" s="514"/>
      <c r="F13" s="514"/>
      <c r="G13" s="514"/>
      <c r="H13" s="514"/>
      <c r="I13" s="125">
        <f>I10+I11</f>
        <v>18.9435</v>
      </c>
    </row>
    <row r="14" spans="1:9" x14ac:dyDescent="0.25">
      <c r="A14" s="212"/>
      <c r="B14" s="212"/>
      <c r="C14" s="212"/>
      <c r="D14" s="212"/>
      <c r="E14" s="212"/>
      <c r="F14" s="212"/>
      <c r="G14" s="212"/>
      <c r="H14" s="214"/>
      <c r="I14" s="125"/>
    </row>
    <row r="15" spans="1:9" x14ac:dyDescent="0.25">
      <c r="A15" s="502" t="s">
        <v>759</v>
      </c>
      <c r="B15" s="502"/>
      <c r="C15" s="502"/>
      <c r="D15" s="502"/>
      <c r="E15" s="502"/>
      <c r="F15" s="502"/>
      <c r="G15" s="502"/>
      <c r="H15" s="502"/>
      <c r="I15" s="502"/>
    </row>
    <row r="16" spans="1:9" x14ac:dyDescent="0.25">
      <c r="A16" s="114" t="s">
        <v>746</v>
      </c>
      <c r="B16" s="215" t="s">
        <v>9</v>
      </c>
      <c r="C16" s="511" t="s">
        <v>747</v>
      </c>
      <c r="D16" s="511"/>
      <c r="E16" s="511"/>
      <c r="F16" s="215" t="s">
        <v>748</v>
      </c>
      <c r="G16" s="115" t="s">
        <v>749</v>
      </c>
      <c r="H16" s="187" t="s">
        <v>750</v>
      </c>
      <c r="I16" s="117" t="s">
        <v>751</v>
      </c>
    </row>
    <row r="17" spans="1:9" x14ac:dyDescent="0.25">
      <c r="A17" s="132" t="s">
        <v>768</v>
      </c>
      <c r="B17" s="118" t="s">
        <v>599</v>
      </c>
      <c r="C17" s="515" t="s">
        <v>981</v>
      </c>
      <c r="D17" s="515"/>
      <c r="E17" s="515"/>
      <c r="F17" s="132" t="s">
        <v>600</v>
      </c>
      <c r="G17" s="148">
        <v>8.26E-3</v>
      </c>
      <c r="H17" s="191">
        <v>89.67</v>
      </c>
      <c r="I17" s="157">
        <f>G17*H17</f>
        <v>0.74067420000000006</v>
      </c>
    </row>
    <row r="18" spans="1:9" x14ac:dyDescent="0.25">
      <c r="A18" s="149" t="s">
        <v>771</v>
      </c>
      <c r="B18" s="135" t="s">
        <v>599</v>
      </c>
      <c r="C18" s="531" t="s">
        <v>770</v>
      </c>
      <c r="D18" s="531"/>
      <c r="E18" s="531"/>
      <c r="F18" s="134" t="s">
        <v>614</v>
      </c>
      <c r="G18" s="136">
        <v>0.308</v>
      </c>
      <c r="H18" s="192">
        <v>0.79</v>
      </c>
      <c r="I18" s="157">
        <f>H18*G18</f>
        <v>0.24332000000000001</v>
      </c>
    </row>
    <row r="19" spans="1:9" x14ac:dyDescent="0.25">
      <c r="A19" s="150" t="s">
        <v>1041</v>
      </c>
      <c r="B19" s="138" t="s">
        <v>599</v>
      </c>
      <c r="C19" s="516" t="s">
        <v>1050</v>
      </c>
      <c r="D19" s="516"/>
      <c r="E19" s="516"/>
      <c r="F19" s="134" t="s">
        <v>614</v>
      </c>
      <c r="G19" s="140">
        <v>0.5</v>
      </c>
      <c r="H19" s="193">
        <v>3.86</v>
      </c>
      <c r="I19" s="156">
        <f>H19*G19</f>
        <v>1.93</v>
      </c>
    </row>
    <row r="20" spans="1:9" x14ac:dyDescent="0.25">
      <c r="A20" s="150" t="s">
        <v>774</v>
      </c>
      <c r="B20" s="138" t="s">
        <v>599</v>
      </c>
      <c r="C20" s="516" t="s">
        <v>775</v>
      </c>
      <c r="D20" s="516"/>
      <c r="E20" s="516"/>
      <c r="F20" s="134" t="s">
        <v>614</v>
      </c>
      <c r="G20" s="140">
        <v>1.19</v>
      </c>
      <c r="H20" s="193">
        <v>0.45</v>
      </c>
      <c r="I20" s="156">
        <f>H20*G20</f>
        <v>0.53549999999999998</v>
      </c>
    </row>
    <row r="21" spans="1:9" x14ac:dyDescent="0.25">
      <c r="A21" s="132" t="s">
        <v>1054</v>
      </c>
      <c r="B21" s="118"/>
      <c r="C21" s="515" t="s">
        <v>1052</v>
      </c>
      <c r="D21" s="515"/>
      <c r="E21" s="515"/>
      <c r="F21" s="132" t="s">
        <v>24</v>
      </c>
      <c r="G21" s="119">
        <v>7.0000000000000007E-2</v>
      </c>
      <c r="H21" s="191">
        <f>[1]COTAÇÕES!P11</f>
        <v>316.66666666666669</v>
      </c>
      <c r="I21" s="156">
        <f>H21*G21</f>
        <v>22.166666666666671</v>
      </c>
    </row>
    <row r="22" spans="1:9" x14ac:dyDescent="0.25">
      <c r="A22" s="132"/>
      <c r="B22" s="118"/>
      <c r="C22" s="515"/>
      <c r="D22" s="515"/>
      <c r="E22" s="515"/>
      <c r="F22" s="132"/>
      <c r="G22" s="158"/>
      <c r="H22" s="191"/>
      <c r="I22" s="157"/>
    </row>
    <row r="23" spans="1:9" x14ac:dyDescent="0.25">
      <c r="A23" s="514" t="s">
        <v>757</v>
      </c>
      <c r="B23" s="514"/>
      <c r="C23" s="514"/>
      <c r="D23" s="514"/>
      <c r="E23" s="514"/>
      <c r="F23" s="514"/>
      <c r="G23" s="514"/>
      <c r="H23" s="514"/>
      <c r="I23" s="143">
        <f>SUM(I17:I22)</f>
        <v>25.616160866666672</v>
      </c>
    </row>
    <row r="24" spans="1:9" x14ac:dyDescent="0.25">
      <c r="A24" s="212"/>
      <c r="B24" s="212"/>
      <c r="C24" s="212"/>
      <c r="D24" s="212"/>
      <c r="E24" s="212"/>
      <c r="F24" s="212"/>
      <c r="G24" s="212"/>
      <c r="H24" s="214"/>
      <c r="I24" s="125"/>
    </row>
    <row r="25" spans="1:9" x14ac:dyDescent="0.25">
      <c r="A25" s="517" t="s">
        <v>769</v>
      </c>
      <c r="B25" s="517"/>
      <c r="C25" s="517"/>
      <c r="D25" s="517"/>
      <c r="E25" s="517"/>
      <c r="F25" s="517"/>
      <c r="G25" s="517"/>
      <c r="H25" s="517"/>
      <c r="I25" s="517"/>
    </row>
    <row r="26" spans="1:9" x14ac:dyDescent="0.25">
      <c r="A26" s="121"/>
      <c r="B26" s="213"/>
      <c r="C26" s="518" t="s">
        <v>747</v>
      </c>
      <c r="D26" s="518"/>
      <c r="E26" s="518"/>
      <c r="F26" s="213" t="s">
        <v>748</v>
      </c>
      <c r="G26" s="126" t="s">
        <v>749</v>
      </c>
      <c r="H26" s="189" t="s">
        <v>750</v>
      </c>
      <c r="I26" s="124" t="s">
        <v>751</v>
      </c>
    </row>
    <row r="27" spans="1:9" x14ac:dyDescent="0.25">
      <c r="A27" s="150"/>
      <c r="B27" s="138"/>
      <c r="C27" s="525"/>
      <c r="D27" s="526"/>
      <c r="E27" s="527"/>
      <c r="F27" s="134"/>
      <c r="G27" s="159"/>
      <c r="H27" s="193"/>
      <c r="I27" s="156"/>
    </row>
    <row r="28" spans="1:9" x14ac:dyDescent="0.25">
      <c r="A28" s="127"/>
      <c r="B28" s="127"/>
      <c r="C28" s="508"/>
      <c r="D28" s="509"/>
      <c r="E28" s="510"/>
      <c r="F28" s="128"/>
      <c r="G28" s="128"/>
      <c r="H28" s="196"/>
      <c r="I28" s="130"/>
    </row>
    <row r="29" spans="1:9" x14ac:dyDescent="0.25">
      <c r="A29" s="514" t="s">
        <v>758</v>
      </c>
      <c r="B29" s="514"/>
      <c r="C29" s="514"/>
      <c r="D29" s="514"/>
      <c r="E29" s="514"/>
      <c r="F29" s="514"/>
      <c r="G29" s="514"/>
      <c r="H29" s="514"/>
      <c r="I29" s="131">
        <f>I27</f>
        <v>0</v>
      </c>
    </row>
    <row r="30" spans="1:9" x14ac:dyDescent="0.25">
      <c r="A30" s="520"/>
      <c r="B30" s="521"/>
      <c r="C30" s="521"/>
      <c r="D30" s="521"/>
      <c r="E30" s="521"/>
      <c r="F30" s="521"/>
      <c r="G30" s="521"/>
      <c r="H30" s="521"/>
      <c r="I30" s="522"/>
    </row>
    <row r="31" spans="1:9" x14ac:dyDescent="0.25">
      <c r="A31" s="502" t="s">
        <v>762</v>
      </c>
      <c r="B31" s="502"/>
      <c r="C31" s="502"/>
      <c r="D31" s="502"/>
      <c r="E31" s="502"/>
      <c r="F31" s="502"/>
      <c r="G31" s="502"/>
      <c r="H31" s="502"/>
      <c r="I31" s="502"/>
    </row>
    <row r="32" spans="1:9" x14ac:dyDescent="0.25">
      <c r="A32" s="519" t="s">
        <v>772</v>
      </c>
      <c r="B32" s="519"/>
      <c r="C32" s="519"/>
      <c r="D32" s="519"/>
      <c r="E32" s="519"/>
      <c r="F32" s="519"/>
      <c r="G32" s="519"/>
      <c r="H32" s="519"/>
      <c r="I32" s="144">
        <f>I13</f>
        <v>18.9435</v>
      </c>
    </row>
    <row r="33" spans="1:9" x14ac:dyDescent="0.25">
      <c r="A33" s="519" t="s">
        <v>773</v>
      </c>
      <c r="B33" s="519"/>
      <c r="C33" s="519"/>
      <c r="D33" s="519"/>
      <c r="E33" s="519"/>
      <c r="F33" s="519"/>
      <c r="G33" s="519"/>
      <c r="H33" s="519"/>
      <c r="I33" s="144">
        <f>I23</f>
        <v>25.616160866666672</v>
      </c>
    </row>
    <row r="34" spans="1:9" x14ac:dyDescent="0.25">
      <c r="A34" s="519" t="s">
        <v>811</v>
      </c>
      <c r="B34" s="519"/>
      <c r="C34" s="519"/>
      <c r="D34" s="519"/>
      <c r="E34" s="519"/>
      <c r="F34" s="519"/>
      <c r="G34" s="519"/>
      <c r="H34" s="519"/>
      <c r="I34" s="144">
        <f>I29</f>
        <v>0</v>
      </c>
    </row>
    <row r="35" spans="1:9" x14ac:dyDescent="0.25">
      <c r="A35" s="519" t="s">
        <v>812</v>
      </c>
      <c r="B35" s="519"/>
      <c r="C35" s="519"/>
      <c r="D35" s="519"/>
      <c r="E35" s="519"/>
      <c r="F35" s="519"/>
      <c r="G35" s="519"/>
      <c r="H35" s="519"/>
      <c r="I35" s="151">
        <f>SUM(I32:I34)</f>
        <v>44.559660866666675</v>
      </c>
    </row>
  </sheetData>
  <mergeCells count="31">
    <mergeCell ref="A35:H35"/>
    <mergeCell ref="A29:H29"/>
    <mergeCell ref="A30:I30"/>
    <mergeCell ref="A31:I31"/>
    <mergeCell ref="A32:H32"/>
    <mergeCell ref="A33:H33"/>
    <mergeCell ref="A34:H34"/>
    <mergeCell ref="C28:E28"/>
    <mergeCell ref="C16:E16"/>
    <mergeCell ref="C17:E17"/>
    <mergeCell ref="C18:E18"/>
    <mergeCell ref="C19:E19"/>
    <mergeCell ref="C20:E20"/>
    <mergeCell ref="C21:E21"/>
    <mergeCell ref="C22:E22"/>
    <mergeCell ref="A23:H23"/>
    <mergeCell ref="A25:I25"/>
    <mergeCell ref="C26:E26"/>
    <mergeCell ref="C27:E27"/>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118" zoomScaleNormal="100" zoomScaleSheetLayoutView="118" workbookViewId="0">
      <selection activeCell="K17" sqref="K17"/>
    </sheetView>
  </sheetViews>
  <sheetFormatPr defaultRowHeight="15" x14ac:dyDescent="0.25"/>
  <cols>
    <col min="1" max="1" width="12.28515625" style="145" customWidth="1"/>
    <col min="2" max="2" width="10" style="145" bestFit="1" customWidth="1"/>
    <col min="3" max="3" width="9.140625" style="146"/>
    <col min="4" max="4" width="34.28515625" style="146" customWidth="1"/>
    <col min="5" max="5" width="20.140625" style="146" customWidth="1"/>
    <col min="6" max="6" width="7.7109375" style="146" customWidth="1"/>
    <col min="7" max="7" width="8.5703125" style="146" bestFit="1" customWidth="1"/>
    <col min="8" max="8" width="8.42578125" style="146" bestFit="1" customWidth="1"/>
    <col min="9" max="9" width="11" style="145"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9" t="s">
        <v>960</v>
      </c>
    </row>
    <row r="5" spans="1:9" x14ac:dyDescent="0.25">
      <c r="A5" s="505" t="s">
        <v>1114</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220"/>
      <c r="B7" s="220"/>
      <c r="C7" s="220"/>
      <c r="D7" s="220"/>
      <c r="E7" s="220"/>
      <c r="F7" s="220"/>
      <c r="G7" s="220"/>
      <c r="H7" s="220"/>
      <c r="I7" s="221"/>
    </row>
    <row r="8" spans="1:9" x14ac:dyDescent="0.25">
      <c r="A8" s="507" t="s">
        <v>1115</v>
      </c>
      <c r="B8" s="507"/>
      <c r="C8" s="507"/>
      <c r="D8" s="507"/>
      <c r="E8" s="507"/>
      <c r="F8" s="507"/>
      <c r="G8" s="507"/>
      <c r="H8" s="507"/>
      <c r="I8" s="507"/>
    </row>
    <row r="9" spans="1:9" x14ac:dyDescent="0.25">
      <c r="A9" s="114" t="s">
        <v>746</v>
      </c>
      <c r="B9" s="218" t="s">
        <v>9</v>
      </c>
      <c r="C9" s="511" t="s">
        <v>747</v>
      </c>
      <c r="D9" s="511"/>
      <c r="E9" s="511"/>
      <c r="F9" s="218" t="s">
        <v>748</v>
      </c>
      <c r="G9" s="115" t="s">
        <v>749</v>
      </c>
      <c r="H9" s="116" t="s">
        <v>750</v>
      </c>
      <c r="I9" s="218" t="s">
        <v>751</v>
      </c>
    </row>
    <row r="10" spans="1:9" x14ac:dyDescent="0.25">
      <c r="A10" s="147" t="s">
        <v>785</v>
      </c>
      <c r="B10" s="118" t="s">
        <v>599</v>
      </c>
      <c r="C10" s="533" t="s">
        <v>784</v>
      </c>
      <c r="D10" s="534"/>
      <c r="E10" s="122" t="s">
        <v>755</v>
      </c>
      <c r="F10" s="147" t="s">
        <v>752</v>
      </c>
      <c r="G10" s="119">
        <v>0.3</v>
      </c>
      <c r="H10" s="189">
        <v>15.08</v>
      </c>
      <c r="I10" s="188">
        <f>G10*H10</f>
        <v>4.524</v>
      </c>
    </row>
    <row r="11" spans="1:9" x14ac:dyDescent="0.25">
      <c r="A11" s="147" t="s">
        <v>1053</v>
      </c>
      <c r="B11" s="118" t="s">
        <v>599</v>
      </c>
      <c r="C11" s="512" t="s">
        <v>846</v>
      </c>
      <c r="D11" s="513"/>
      <c r="E11" s="122" t="s">
        <v>755</v>
      </c>
      <c r="F11" s="147" t="s">
        <v>752</v>
      </c>
      <c r="G11" s="119">
        <v>0.3</v>
      </c>
      <c r="H11" s="189">
        <v>17.850000000000001</v>
      </c>
      <c r="I11" s="188">
        <f>G11*H11</f>
        <v>5.3550000000000004</v>
      </c>
    </row>
    <row r="12" spans="1:9" x14ac:dyDescent="0.25">
      <c r="A12" s="514" t="s">
        <v>753</v>
      </c>
      <c r="B12" s="514"/>
      <c r="C12" s="514"/>
      <c r="D12" s="514"/>
      <c r="E12" s="514"/>
      <c r="F12" s="514"/>
      <c r="G12" s="514"/>
      <c r="H12" s="514"/>
      <c r="I12" s="190">
        <f>I10+I11</f>
        <v>9.8790000000000013</v>
      </c>
    </row>
    <row r="13" spans="1:9" x14ac:dyDescent="0.25">
      <c r="A13" s="222"/>
      <c r="B13" s="222"/>
      <c r="C13" s="222"/>
      <c r="D13" s="222"/>
      <c r="E13" s="222"/>
      <c r="F13" s="222"/>
      <c r="G13" s="222"/>
      <c r="H13" s="222"/>
      <c r="I13" s="190"/>
    </row>
    <row r="14" spans="1:9" x14ac:dyDescent="0.25">
      <c r="A14" s="502" t="s">
        <v>759</v>
      </c>
      <c r="B14" s="502"/>
      <c r="C14" s="502"/>
      <c r="D14" s="502"/>
      <c r="E14" s="502"/>
      <c r="F14" s="502"/>
      <c r="G14" s="502"/>
      <c r="H14" s="502"/>
      <c r="I14" s="502"/>
    </row>
    <row r="15" spans="1:9" x14ac:dyDescent="0.25">
      <c r="A15" s="114" t="s">
        <v>746</v>
      </c>
      <c r="B15" s="218" t="s">
        <v>9</v>
      </c>
      <c r="C15" s="511" t="s">
        <v>747</v>
      </c>
      <c r="D15" s="511"/>
      <c r="E15" s="511"/>
      <c r="F15" s="218" t="s">
        <v>748</v>
      </c>
      <c r="G15" s="115" t="s">
        <v>749</v>
      </c>
      <c r="H15" s="116" t="s">
        <v>750</v>
      </c>
      <c r="I15" s="218" t="s">
        <v>751</v>
      </c>
    </row>
    <row r="16" spans="1:9" x14ac:dyDescent="0.25">
      <c r="A16" s="132" t="s">
        <v>1116</v>
      </c>
      <c r="B16" s="118" t="s">
        <v>849</v>
      </c>
      <c r="C16" s="515" t="s">
        <v>1117</v>
      </c>
      <c r="D16" s="515"/>
      <c r="E16" s="515"/>
      <c r="F16" s="132" t="s">
        <v>748</v>
      </c>
      <c r="G16" s="158">
        <v>1</v>
      </c>
      <c r="H16" s="191">
        <v>8.3000000000000007</v>
      </c>
      <c r="I16" s="166">
        <f>G16*H16</f>
        <v>8.3000000000000007</v>
      </c>
    </row>
    <row r="17" spans="1:9" x14ac:dyDescent="0.25">
      <c r="A17" s="514" t="s">
        <v>757</v>
      </c>
      <c r="B17" s="514"/>
      <c r="C17" s="514"/>
      <c r="D17" s="514"/>
      <c r="E17" s="514"/>
      <c r="F17" s="514"/>
      <c r="G17" s="514"/>
      <c r="H17" s="514"/>
      <c r="I17" s="194">
        <f>SUM(I16:I16)</f>
        <v>8.3000000000000007</v>
      </c>
    </row>
    <row r="18" spans="1:9" x14ac:dyDescent="0.25">
      <c r="A18" s="222"/>
      <c r="B18" s="222"/>
      <c r="C18" s="222"/>
      <c r="D18" s="222"/>
      <c r="E18" s="222"/>
      <c r="F18" s="222"/>
      <c r="G18" s="222"/>
      <c r="H18" s="222"/>
      <c r="I18" s="190"/>
    </row>
    <row r="19" spans="1:9" x14ac:dyDescent="0.25">
      <c r="A19" s="222"/>
      <c r="B19" s="222"/>
      <c r="C19" s="222"/>
      <c r="D19" s="222"/>
      <c r="E19" s="222"/>
      <c r="F19" s="222"/>
      <c r="G19" s="222"/>
      <c r="H19" s="222"/>
      <c r="I19" s="190"/>
    </row>
    <row r="20" spans="1:9" x14ac:dyDescent="0.25">
      <c r="A20" s="517" t="s">
        <v>769</v>
      </c>
      <c r="B20" s="517"/>
      <c r="C20" s="517"/>
      <c r="D20" s="517"/>
      <c r="E20" s="517"/>
      <c r="F20" s="517"/>
      <c r="G20" s="517"/>
      <c r="H20" s="517"/>
      <c r="I20" s="517"/>
    </row>
    <row r="21" spans="1:9" x14ac:dyDescent="0.25">
      <c r="A21" s="121"/>
      <c r="B21" s="223"/>
      <c r="C21" s="518" t="s">
        <v>747</v>
      </c>
      <c r="D21" s="518"/>
      <c r="E21" s="518"/>
      <c r="F21" s="223" t="s">
        <v>748</v>
      </c>
      <c r="G21" s="126" t="s">
        <v>749</v>
      </c>
      <c r="H21" s="123" t="s">
        <v>750</v>
      </c>
      <c r="I21" s="195" t="s">
        <v>751</v>
      </c>
    </row>
    <row r="22" spans="1:9" x14ac:dyDescent="0.25">
      <c r="A22" s="127"/>
      <c r="B22" s="127"/>
      <c r="C22" s="508"/>
      <c r="D22" s="509"/>
      <c r="E22" s="510"/>
      <c r="F22" s="128"/>
      <c r="G22" s="128"/>
      <c r="H22" s="129"/>
      <c r="I22" s="197"/>
    </row>
    <row r="23" spans="1:9" x14ac:dyDescent="0.25">
      <c r="A23" s="514" t="s">
        <v>758</v>
      </c>
      <c r="B23" s="514"/>
      <c r="C23" s="514"/>
      <c r="D23" s="514"/>
      <c r="E23" s="514"/>
      <c r="F23" s="514"/>
      <c r="G23" s="514"/>
      <c r="H23" s="514"/>
      <c r="I23" s="198">
        <f>I22</f>
        <v>0</v>
      </c>
    </row>
    <row r="24" spans="1:9" x14ac:dyDescent="0.25">
      <c r="A24" s="520"/>
      <c r="B24" s="521"/>
      <c r="C24" s="521"/>
      <c r="D24" s="521"/>
      <c r="E24" s="521"/>
      <c r="F24" s="521"/>
      <c r="G24" s="521"/>
      <c r="H24" s="521"/>
      <c r="I24" s="522"/>
    </row>
    <row r="25" spans="1:9" x14ac:dyDescent="0.25">
      <c r="A25" s="502" t="s">
        <v>762</v>
      </c>
      <c r="B25" s="502"/>
      <c r="C25" s="502"/>
      <c r="D25" s="502"/>
      <c r="E25" s="502"/>
      <c r="F25" s="502"/>
      <c r="G25" s="502"/>
      <c r="H25" s="502"/>
      <c r="I25" s="502"/>
    </row>
    <row r="26" spans="1:9" x14ac:dyDescent="0.25">
      <c r="A26" s="519" t="s">
        <v>772</v>
      </c>
      <c r="B26" s="519"/>
      <c r="C26" s="519"/>
      <c r="D26" s="519"/>
      <c r="E26" s="519"/>
      <c r="F26" s="519"/>
      <c r="G26" s="519"/>
      <c r="H26" s="519"/>
      <c r="I26" s="199">
        <f>I12</f>
        <v>9.8790000000000013</v>
      </c>
    </row>
    <row r="27" spans="1:9" x14ac:dyDescent="0.25">
      <c r="A27" s="519" t="s">
        <v>773</v>
      </c>
      <c r="B27" s="519"/>
      <c r="C27" s="519"/>
      <c r="D27" s="519"/>
      <c r="E27" s="519"/>
      <c r="F27" s="519"/>
      <c r="G27" s="519"/>
      <c r="H27" s="519"/>
      <c r="I27" s="199">
        <f>I17</f>
        <v>8.3000000000000007</v>
      </c>
    </row>
    <row r="28" spans="1:9" x14ac:dyDescent="0.25">
      <c r="A28" s="519" t="s">
        <v>758</v>
      </c>
      <c r="B28" s="519"/>
      <c r="C28" s="519"/>
      <c r="D28" s="519"/>
      <c r="E28" s="519"/>
      <c r="F28" s="519"/>
      <c r="G28" s="519"/>
      <c r="H28" s="519"/>
      <c r="I28" s="199">
        <f>I18</f>
        <v>0</v>
      </c>
    </row>
    <row r="29" spans="1:9" x14ac:dyDescent="0.25">
      <c r="A29" s="519" t="s">
        <v>812</v>
      </c>
      <c r="B29" s="519"/>
      <c r="C29" s="519"/>
      <c r="D29" s="519"/>
      <c r="E29" s="519"/>
      <c r="F29" s="519"/>
      <c r="G29" s="519"/>
      <c r="H29" s="519"/>
      <c r="I29" s="190">
        <f>SUM(I26:I27)</f>
        <v>18.179000000000002</v>
      </c>
    </row>
  </sheetData>
  <mergeCells count="23">
    <mergeCell ref="C9:E9"/>
    <mergeCell ref="A1:H4"/>
    <mergeCell ref="I1:I2"/>
    <mergeCell ref="A5:H6"/>
    <mergeCell ref="I5:I6"/>
    <mergeCell ref="A8:I8"/>
    <mergeCell ref="A24:I24"/>
    <mergeCell ref="C10:D10"/>
    <mergeCell ref="C11:D11"/>
    <mergeCell ref="A12:H12"/>
    <mergeCell ref="A14:I14"/>
    <mergeCell ref="C15:E15"/>
    <mergeCell ref="C16:E16"/>
    <mergeCell ref="A17:H17"/>
    <mergeCell ref="A20:I20"/>
    <mergeCell ref="C21:E21"/>
    <mergeCell ref="C22:E22"/>
    <mergeCell ref="A23:H23"/>
    <mergeCell ref="A25:I25"/>
    <mergeCell ref="A26:H26"/>
    <mergeCell ref="A27:H27"/>
    <mergeCell ref="A28:H28"/>
    <mergeCell ref="A29:H29"/>
  </mergeCells>
  <pageMargins left="0.511811024" right="0.511811024" top="0.78740157499999996" bottom="0.78740157499999996" header="0.31496062000000002" footer="0.31496062000000002"/>
  <pageSetup paperSize="9" scale="75"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106" zoomScaleNormal="100" zoomScaleSheetLayoutView="106" workbookViewId="0">
      <selection activeCell="I3" sqref="I3"/>
    </sheetView>
  </sheetViews>
  <sheetFormatPr defaultRowHeight="15" x14ac:dyDescent="0.25"/>
  <cols>
    <col min="1" max="1" width="12.28515625" style="145" customWidth="1"/>
    <col min="2" max="2" width="10" style="145" bestFit="1" customWidth="1"/>
    <col min="3" max="3" width="9.140625" style="146"/>
    <col min="4" max="4" width="34.2851562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9" t="s">
        <v>976</v>
      </c>
    </row>
    <row r="5" spans="1:9" x14ac:dyDescent="0.25">
      <c r="A5" s="505" t="s">
        <v>1119</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220"/>
      <c r="B7" s="220"/>
      <c r="C7" s="220"/>
      <c r="D7" s="220"/>
      <c r="E7" s="220"/>
      <c r="F7" s="220"/>
      <c r="G7" s="220"/>
      <c r="H7" s="220"/>
      <c r="I7" s="221"/>
    </row>
    <row r="8" spans="1:9" x14ac:dyDescent="0.25">
      <c r="A8" s="507" t="s">
        <v>1120</v>
      </c>
      <c r="B8" s="507"/>
      <c r="C8" s="507"/>
      <c r="D8" s="507"/>
      <c r="E8" s="507"/>
      <c r="F8" s="507"/>
      <c r="G8" s="507"/>
      <c r="H8" s="507"/>
      <c r="I8" s="507"/>
    </row>
    <row r="9" spans="1:9" x14ac:dyDescent="0.25">
      <c r="A9" s="114" t="s">
        <v>746</v>
      </c>
      <c r="B9" s="218" t="s">
        <v>9</v>
      </c>
      <c r="C9" s="511" t="s">
        <v>747</v>
      </c>
      <c r="D9" s="511"/>
      <c r="E9" s="511"/>
      <c r="F9" s="218" t="s">
        <v>748</v>
      </c>
      <c r="G9" s="115" t="s">
        <v>749</v>
      </c>
      <c r="H9" s="116" t="s">
        <v>750</v>
      </c>
      <c r="I9" s="117" t="s">
        <v>751</v>
      </c>
    </row>
    <row r="10" spans="1:9" x14ac:dyDescent="0.25">
      <c r="A10" s="147" t="s">
        <v>785</v>
      </c>
      <c r="B10" s="118" t="s">
        <v>599</v>
      </c>
      <c r="C10" s="533" t="s">
        <v>784</v>
      </c>
      <c r="D10" s="534"/>
      <c r="E10" s="122" t="s">
        <v>755</v>
      </c>
      <c r="F10" s="147" t="s">
        <v>752</v>
      </c>
      <c r="G10" s="119">
        <v>0.9</v>
      </c>
      <c r="H10" s="189">
        <v>15.08</v>
      </c>
      <c r="I10" s="155">
        <f>G10*H10</f>
        <v>13.572000000000001</v>
      </c>
    </row>
    <row r="11" spans="1:9" x14ac:dyDescent="0.25">
      <c r="A11" s="147" t="s">
        <v>1053</v>
      </c>
      <c r="B11" s="118" t="s">
        <v>599</v>
      </c>
      <c r="C11" s="512" t="s">
        <v>846</v>
      </c>
      <c r="D11" s="513"/>
      <c r="E11" s="122" t="s">
        <v>755</v>
      </c>
      <c r="F11" s="147" t="s">
        <v>752</v>
      </c>
      <c r="G11" s="119">
        <v>0.9</v>
      </c>
      <c r="H11" s="189">
        <v>17.850000000000001</v>
      </c>
      <c r="I11" s="155">
        <f>G11*H11</f>
        <v>16.065000000000001</v>
      </c>
    </row>
    <row r="12" spans="1:9" x14ac:dyDescent="0.25">
      <c r="A12" s="514" t="s">
        <v>753</v>
      </c>
      <c r="B12" s="514"/>
      <c r="C12" s="514"/>
      <c r="D12" s="514"/>
      <c r="E12" s="514"/>
      <c r="F12" s="514"/>
      <c r="G12" s="514"/>
      <c r="H12" s="514"/>
      <c r="I12" s="125">
        <f>I10+I11</f>
        <v>29.637</v>
      </c>
    </row>
    <row r="13" spans="1:9" x14ac:dyDescent="0.25">
      <c r="A13" s="222"/>
      <c r="B13" s="222"/>
      <c r="C13" s="222"/>
      <c r="D13" s="222"/>
      <c r="E13" s="222"/>
      <c r="F13" s="222"/>
      <c r="G13" s="222"/>
      <c r="H13" s="222"/>
      <c r="I13" s="125"/>
    </row>
    <row r="14" spans="1:9" x14ac:dyDescent="0.25">
      <c r="A14" s="502" t="s">
        <v>759</v>
      </c>
      <c r="B14" s="502"/>
      <c r="C14" s="502"/>
      <c r="D14" s="502"/>
      <c r="E14" s="502"/>
      <c r="F14" s="502"/>
      <c r="G14" s="502"/>
      <c r="H14" s="502"/>
      <c r="I14" s="502"/>
    </row>
    <row r="15" spans="1:9" x14ac:dyDescent="0.25">
      <c r="A15" s="114" t="s">
        <v>746</v>
      </c>
      <c r="B15" s="218" t="s">
        <v>9</v>
      </c>
      <c r="C15" s="511" t="s">
        <v>747</v>
      </c>
      <c r="D15" s="511"/>
      <c r="E15" s="511"/>
      <c r="F15" s="218" t="s">
        <v>748</v>
      </c>
      <c r="G15" s="115" t="s">
        <v>749</v>
      </c>
      <c r="H15" s="116" t="s">
        <v>750</v>
      </c>
      <c r="I15" s="117" t="s">
        <v>751</v>
      </c>
    </row>
    <row r="16" spans="1:9" x14ac:dyDescent="0.25">
      <c r="A16" s="132" t="s">
        <v>1121</v>
      </c>
      <c r="B16" s="118" t="s">
        <v>849</v>
      </c>
      <c r="C16" s="515" t="s">
        <v>1122</v>
      </c>
      <c r="D16" s="515"/>
      <c r="E16" s="515"/>
      <c r="F16" s="132" t="s">
        <v>748</v>
      </c>
      <c r="G16" s="158">
        <v>1</v>
      </c>
      <c r="H16" s="191">
        <v>317.95999999999998</v>
      </c>
      <c r="I16" s="166">
        <f>G16*H16</f>
        <v>317.95999999999998</v>
      </c>
    </row>
    <row r="17" spans="1:9" x14ac:dyDescent="0.25">
      <c r="A17" s="132"/>
      <c r="B17" s="118"/>
      <c r="C17" s="528"/>
      <c r="D17" s="529"/>
      <c r="E17" s="530"/>
      <c r="F17" s="132"/>
      <c r="G17" s="158"/>
      <c r="H17" s="133"/>
      <c r="I17" s="120"/>
    </row>
    <row r="18" spans="1:9" x14ac:dyDescent="0.25">
      <c r="A18" s="514" t="s">
        <v>757</v>
      </c>
      <c r="B18" s="514"/>
      <c r="C18" s="514"/>
      <c r="D18" s="514"/>
      <c r="E18" s="514"/>
      <c r="F18" s="514"/>
      <c r="G18" s="514"/>
      <c r="H18" s="514"/>
      <c r="I18" s="143">
        <f>SUM(I16:I17)</f>
        <v>317.95999999999998</v>
      </c>
    </row>
    <row r="19" spans="1:9" x14ac:dyDescent="0.25">
      <c r="A19" s="222"/>
      <c r="B19" s="222"/>
      <c r="C19" s="222"/>
      <c r="D19" s="222"/>
      <c r="E19" s="222"/>
      <c r="F19" s="222"/>
      <c r="G19" s="222"/>
      <c r="H19" s="222"/>
      <c r="I19" s="125"/>
    </row>
    <row r="20" spans="1:9" x14ac:dyDescent="0.25">
      <c r="A20" s="222"/>
      <c r="B20" s="222"/>
      <c r="C20" s="222"/>
      <c r="D20" s="222"/>
      <c r="E20" s="222"/>
      <c r="F20" s="222"/>
      <c r="G20" s="222"/>
      <c r="H20" s="222"/>
      <c r="I20" s="125"/>
    </row>
    <row r="21" spans="1:9" x14ac:dyDescent="0.25">
      <c r="A21" s="517" t="s">
        <v>769</v>
      </c>
      <c r="B21" s="517"/>
      <c r="C21" s="517"/>
      <c r="D21" s="517"/>
      <c r="E21" s="517"/>
      <c r="F21" s="517"/>
      <c r="G21" s="517"/>
      <c r="H21" s="517"/>
      <c r="I21" s="517"/>
    </row>
    <row r="22" spans="1:9" x14ac:dyDescent="0.25">
      <c r="A22" s="121"/>
      <c r="B22" s="223"/>
      <c r="C22" s="518" t="s">
        <v>747</v>
      </c>
      <c r="D22" s="518"/>
      <c r="E22" s="518"/>
      <c r="F22" s="223" t="s">
        <v>748</v>
      </c>
      <c r="G22" s="126" t="s">
        <v>749</v>
      </c>
      <c r="H22" s="123" t="s">
        <v>750</v>
      </c>
      <c r="I22" s="124" t="s">
        <v>751</v>
      </c>
    </row>
    <row r="23" spans="1:9" x14ac:dyDescent="0.25">
      <c r="A23" s="127"/>
      <c r="B23" s="127"/>
      <c r="C23" s="508"/>
      <c r="D23" s="509"/>
      <c r="E23" s="510"/>
      <c r="F23" s="128"/>
      <c r="G23" s="128"/>
      <c r="H23" s="129"/>
      <c r="I23" s="130"/>
    </row>
    <row r="24" spans="1:9" x14ac:dyDescent="0.25">
      <c r="A24" s="514" t="s">
        <v>758</v>
      </c>
      <c r="B24" s="514"/>
      <c r="C24" s="514"/>
      <c r="D24" s="514"/>
      <c r="E24" s="514"/>
      <c r="F24" s="514"/>
      <c r="G24" s="514"/>
      <c r="H24" s="514"/>
      <c r="I24" s="131">
        <f>I23</f>
        <v>0</v>
      </c>
    </row>
    <row r="25" spans="1:9" x14ac:dyDescent="0.25">
      <c r="A25" s="520"/>
      <c r="B25" s="521"/>
      <c r="C25" s="521"/>
      <c r="D25" s="521"/>
      <c r="E25" s="521"/>
      <c r="F25" s="521"/>
      <c r="G25" s="521"/>
      <c r="H25" s="521"/>
      <c r="I25" s="522"/>
    </row>
    <row r="26" spans="1:9" x14ac:dyDescent="0.25">
      <c r="A26" s="502" t="s">
        <v>762</v>
      </c>
      <c r="B26" s="502"/>
      <c r="C26" s="502"/>
      <c r="D26" s="502"/>
      <c r="E26" s="502"/>
      <c r="F26" s="502"/>
      <c r="G26" s="502"/>
      <c r="H26" s="502"/>
      <c r="I26" s="502"/>
    </row>
    <row r="27" spans="1:9" x14ac:dyDescent="0.25">
      <c r="A27" s="519" t="s">
        <v>772</v>
      </c>
      <c r="B27" s="519"/>
      <c r="C27" s="519"/>
      <c r="D27" s="519"/>
      <c r="E27" s="519"/>
      <c r="F27" s="519"/>
      <c r="G27" s="519"/>
      <c r="H27" s="519"/>
      <c r="I27" s="144">
        <f>I12</f>
        <v>29.637</v>
      </c>
    </row>
    <row r="28" spans="1:9" x14ac:dyDescent="0.25">
      <c r="A28" s="519" t="s">
        <v>773</v>
      </c>
      <c r="B28" s="519"/>
      <c r="C28" s="519"/>
      <c r="D28" s="519"/>
      <c r="E28" s="519"/>
      <c r="F28" s="519"/>
      <c r="G28" s="519"/>
      <c r="H28" s="519"/>
      <c r="I28" s="144">
        <f>I18</f>
        <v>317.95999999999998</v>
      </c>
    </row>
    <row r="29" spans="1:9" x14ac:dyDescent="0.25">
      <c r="A29" s="519" t="s">
        <v>758</v>
      </c>
      <c r="B29" s="519"/>
      <c r="C29" s="519"/>
      <c r="D29" s="519"/>
      <c r="E29" s="519"/>
      <c r="F29" s="519"/>
      <c r="G29" s="519"/>
      <c r="H29" s="519"/>
      <c r="I29" s="144">
        <f>I19</f>
        <v>0</v>
      </c>
    </row>
    <row r="30" spans="1:9" x14ac:dyDescent="0.25">
      <c r="A30" s="519" t="s">
        <v>812</v>
      </c>
      <c r="B30" s="519"/>
      <c r="C30" s="519"/>
      <c r="D30" s="519"/>
      <c r="E30" s="519"/>
      <c r="F30" s="519"/>
      <c r="G30" s="519"/>
      <c r="H30" s="519"/>
      <c r="I30" s="151">
        <f>SUM(I27:I29)</f>
        <v>347.59699999999998</v>
      </c>
    </row>
  </sheetData>
  <mergeCells count="24">
    <mergeCell ref="C16:E16"/>
    <mergeCell ref="A1:H4"/>
    <mergeCell ref="I1:I2"/>
    <mergeCell ref="A5:H6"/>
    <mergeCell ref="I5:I6"/>
    <mergeCell ref="A8:I8"/>
    <mergeCell ref="C9:E9"/>
    <mergeCell ref="C10:D10"/>
    <mergeCell ref="C11:D11"/>
    <mergeCell ref="A12:H12"/>
    <mergeCell ref="A14:I14"/>
    <mergeCell ref="C15:E15"/>
    <mergeCell ref="A30:H30"/>
    <mergeCell ref="C17:E17"/>
    <mergeCell ref="A18:H18"/>
    <mergeCell ref="A21:I21"/>
    <mergeCell ref="C22:E22"/>
    <mergeCell ref="C23:E23"/>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75"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112" zoomScaleNormal="100" zoomScaleSheetLayoutView="112" workbookViewId="0">
      <selection activeCell="L20" sqref="L20"/>
    </sheetView>
  </sheetViews>
  <sheetFormatPr defaultRowHeight="15" x14ac:dyDescent="0.25"/>
  <cols>
    <col min="1" max="1" width="12.28515625" style="145" customWidth="1"/>
    <col min="2" max="2" width="10" style="145" bestFit="1" customWidth="1"/>
    <col min="3" max="3" width="9.140625" style="146"/>
    <col min="4" max="4" width="34.2851562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9" t="s">
        <v>1062</v>
      </c>
    </row>
    <row r="5" spans="1:9" x14ac:dyDescent="0.25">
      <c r="A5" s="505" t="s">
        <v>1248</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2" t="s">
        <v>1057</v>
      </c>
      <c r="B7" s="502"/>
      <c r="C7" s="502"/>
      <c r="D7" s="502"/>
      <c r="E7" s="502"/>
      <c r="F7" s="502"/>
      <c r="G7" s="502"/>
      <c r="H7" s="502"/>
      <c r="I7" s="502"/>
    </row>
    <row r="8" spans="1:9" x14ac:dyDescent="0.25">
      <c r="A8" s="507" t="s">
        <v>1104</v>
      </c>
      <c r="B8" s="507"/>
      <c r="C8" s="507"/>
      <c r="D8" s="507"/>
      <c r="E8" s="507"/>
      <c r="F8" s="507"/>
      <c r="G8" s="507"/>
      <c r="H8" s="507"/>
      <c r="I8" s="507"/>
    </row>
    <row r="9" spans="1:9" x14ac:dyDescent="0.25">
      <c r="A9" s="114" t="s">
        <v>746</v>
      </c>
      <c r="B9" s="218" t="s">
        <v>9</v>
      </c>
      <c r="C9" s="511" t="s">
        <v>747</v>
      </c>
      <c r="D9" s="511"/>
      <c r="E9" s="511"/>
      <c r="F9" s="218" t="s">
        <v>748</v>
      </c>
      <c r="G9" s="115" t="s">
        <v>749</v>
      </c>
      <c r="H9" s="116" t="s">
        <v>750</v>
      </c>
      <c r="I9" s="117" t="s">
        <v>751</v>
      </c>
    </row>
    <row r="10" spans="1:9" ht="28.5" customHeight="1" x14ac:dyDescent="0.25">
      <c r="A10" s="147" t="s">
        <v>1105</v>
      </c>
      <c r="B10" s="118" t="s">
        <v>849</v>
      </c>
      <c r="C10" s="533" t="s">
        <v>1106</v>
      </c>
      <c r="D10" s="534"/>
      <c r="E10" s="122" t="s">
        <v>755</v>
      </c>
      <c r="F10" s="147" t="s">
        <v>752</v>
      </c>
      <c r="G10" s="119">
        <v>0.47199999999999998</v>
      </c>
      <c r="H10" s="189">
        <f>(17.46/1.8674)*2.5727</f>
        <v>24.054483238727645</v>
      </c>
      <c r="I10" s="155">
        <f>G10*H10</f>
        <v>11.353716088679448</v>
      </c>
    </row>
    <row r="11" spans="1:9" x14ac:dyDescent="0.25">
      <c r="A11" s="147" t="s">
        <v>1107</v>
      </c>
      <c r="B11" s="118" t="s">
        <v>849</v>
      </c>
      <c r="C11" s="512" t="s">
        <v>1108</v>
      </c>
      <c r="D11" s="513"/>
      <c r="E11" s="122" t="s">
        <v>755</v>
      </c>
      <c r="F11" s="147" t="s">
        <v>752</v>
      </c>
      <c r="G11" s="119">
        <v>0.47199999999999998</v>
      </c>
      <c r="H11" s="189">
        <f>(22.54/1.8674)*2.5727</f>
        <v>31.053153047017243</v>
      </c>
      <c r="I11" s="155">
        <f>G11*H11</f>
        <v>14.657088238192138</v>
      </c>
    </row>
    <row r="12" spans="1:9" x14ac:dyDescent="0.25">
      <c r="A12" s="514" t="s">
        <v>753</v>
      </c>
      <c r="B12" s="514"/>
      <c r="C12" s="514"/>
      <c r="D12" s="514"/>
      <c r="E12" s="514"/>
      <c r="F12" s="514"/>
      <c r="G12" s="514"/>
      <c r="H12" s="514"/>
      <c r="I12" s="125">
        <f>I10+I11</f>
        <v>26.010804326871586</v>
      </c>
    </row>
    <row r="13" spans="1:9" x14ac:dyDescent="0.25">
      <c r="A13" s="222"/>
      <c r="B13" s="222"/>
      <c r="C13" s="222"/>
      <c r="D13" s="222"/>
      <c r="E13" s="222"/>
      <c r="F13" s="222"/>
      <c r="G13" s="222"/>
      <c r="H13" s="222"/>
      <c r="I13" s="125"/>
    </row>
    <row r="14" spans="1:9" x14ac:dyDescent="0.25">
      <c r="A14" s="502" t="s">
        <v>759</v>
      </c>
      <c r="B14" s="502"/>
      <c r="C14" s="502"/>
      <c r="D14" s="502"/>
      <c r="E14" s="502"/>
      <c r="F14" s="502"/>
      <c r="G14" s="502"/>
      <c r="H14" s="502"/>
      <c r="I14" s="502"/>
    </row>
    <row r="15" spans="1:9" x14ac:dyDescent="0.25">
      <c r="A15" s="114" t="s">
        <v>746</v>
      </c>
      <c r="B15" s="218" t="s">
        <v>9</v>
      </c>
      <c r="C15" s="511" t="s">
        <v>747</v>
      </c>
      <c r="D15" s="511"/>
      <c r="E15" s="511"/>
      <c r="F15" s="218" t="s">
        <v>748</v>
      </c>
      <c r="G15" s="115" t="s">
        <v>749</v>
      </c>
      <c r="H15" s="116" t="s">
        <v>750</v>
      </c>
      <c r="I15" s="117" t="s">
        <v>751</v>
      </c>
    </row>
    <row r="16" spans="1:9" x14ac:dyDescent="0.25">
      <c r="A16" s="132" t="s">
        <v>1109</v>
      </c>
      <c r="B16" s="118" t="s">
        <v>849</v>
      </c>
      <c r="C16" s="515" t="s">
        <v>1110</v>
      </c>
      <c r="D16" s="515"/>
      <c r="E16" s="515"/>
      <c r="F16" s="132" t="s">
        <v>25</v>
      </c>
      <c r="G16" s="158">
        <v>1</v>
      </c>
      <c r="H16" s="191">
        <v>6.91</v>
      </c>
      <c r="I16" s="166">
        <f>G16*H16</f>
        <v>6.91</v>
      </c>
    </row>
    <row r="17" spans="1:9" x14ac:dyDescent="0.25">
      <c r="A17" s="132" t="s">
        <v>1111</v>
      </c>
      <c r="B17" s="118" t="s">
        <v>849</v>
      </c>
      <c r="C17" s="528" t="s">
        <v>1112</v>
      </c>
      <c r="D17" s="529"/>
      <c r="E17" s="530"/>
      <c r="F17" s="132" t="s">
        <v>25</v>
      </c>
      <c r="G17" s="158">
        <v>1</v>
      </c>
      <c r="H17" s="191">
        <v>9.01</v>
      </c>
      <c r="I17" s="166">
        <f>G17*H17</f>
        <v>9.01</v>
      </c>
    </row>
    <row r="18" spans="1:9" x14ac:dyDescent="0.25">
      <c r="A18" s="132"/>
      <c r="B18" s="118"/>
      <c r="C18" s="528"/>
      <c r="D18" s="529"/>
      <c r="E18" s="530"/>
      <c r="F18" s="132"/>
      <c r="G18" s="158"/>
      <c r="H18" s="133"/>
      <c r="I18" s="120"/>
    </row>
    <row r="19" spans="1:9" x14ac:dyDescent="0.25">
      <c r="A19" s="514" t="s">
        <v>757</v>
      </c>
      <c r="B19" s="514"/>
      <c r="C19" s="514"/>
      <c r="D19" s="514"/>
      <c r="E19" s="514"/>
      <c r="F19" s="514"/>
      <c r="G19" s="514"/>
      <c r="H19" s="514"/>
      <c r="I19" s="143">
        <f>SUM(I16:I18)</f>
        <v>15.92</v>
      </c>
    </row>
    <row r="20" spans="1:9" x14ac:dyDescent="0.25">
      <c r="A20" s="222"/>
      <c r="B20" s="222"/>
      <c r="C20" s="222"/>
      <c r="D20" s="222"/>
      <c r="E20" s="222"/>
      <c r="F20" s="222"/>
      <c r="G20" s="222"/>
      <c r="H20" s="222"/>
      <c r="I20" s="125"/>
    </row>
    <row r="21" spans="1:9" x14ac:dyDescent="0.25">
      <c r="A21" s="222"/>
      <c r="B21" s="222"/>
      <c r="C21" s="222"/>
      <c r="D21" s="222"/>
      <c r="E21" s="222"/>
      <c r="F21" s="222"/>
      <c r="G21" s="222"/>
      <c r="H21" s="222"/>
      <c r="I21" s="125"/>
    </row>
    <row r="22" spans="1:9" x14ac:dyDescent="0.25">
      <c r="A22" s="517" t="s">
        <v>769</v>
      </c>
      <c r="B22" s="517"/>
      <c r="C22" s="517"/>
      <c r="D22" s="517"/>
      <c r="E22" s="517"/>
      <c r="F22" s="517"/>
      <c r="G22" s="517"/>
      <c r="H22" s="517"/>
      <c r="I22" s="517"/>
    </row>
    <row r="23" spans="1:9" x14ac:dyDescent="0.25">
      <c r="A23" s="121"/>
      <c r="B23" s="223"/>
      <c r="C23" s="518" t="s">
        <v>747</v>
      </c>
      <c r="D23" s="518"/>
      <c r="E23" s="518"/>
      <c r="F23" s="223" t="s">
        <v>748</v>
      </c>
      <c r="G23" s="126" t="s">
        <v>749</v>
      </c>
      <c r="H23" s="123" t="s">
        <v>750</v>
      </c>
      <c r="I23" s="124" t="s">
        <v>751</v>
      </c>
    </row>
    <row r="24" spans="1:9" x14ac:dyDescent="0.25">
      <c r="A24" s="127"/>
      <c r="B24" s="127"/>
      <c r="C24" s="508"/>
      <c r="D24" s="509"/>
      <c r="E24" s="510"/>
      <c r="F24" s="128"/>
      <c r="G24" s="128"/>
      <c r="H24" s="129"/>
      <c r="I24" s="130"/>
    </row>
    <row r="25" spans="1:9" x14ac:dyDescent="0.25">
      <c r="A25" s="514" t="s">
        <v>758</v>
      </c>
      <c r="B25" s="514"/>
      <c r="C25" s="514"/>
      <c r="D25" s="514"/>
      <c r="E25" s="514"/>
      <c r="F25" s="514"/>
      <c r="G25" s="514"/>
      <c r="H25" s="514"/>
      <c r="I25" s="131">
        <f>I24</f>
        <v>0</v>
      </c>
    </row>
    <row r="26" spans="1:9" x14ac:dyDescent="0.25">
      <c r="A26" s="520"/>
      <c r="B26" s="521"/>
      <c r="C26" s="521"/>
      <c r="D26" s="521"/>
      <c r="E26" s="521"/>
      <c r="F26" s="521"/>
      <c r="G26" s="521"/>
      <c r="H26" s="521"/>
      <c r="I26" s="522"/>
    </row>
    <row r="27" spans="1:9" x14ac:dyDescent="0.25">
      <c r="A27" s="502" t="s">
        <v>762</v>
      </c>
      <c r="B27" s="502"/>
      <c r="C27" s="502"/>
      <c r="D27" s="502"/>
      <c r="E27" s="502"/>
      <c r="F27" s="502"/>
      <c r="G27" s="502"/>
      <c r="H27" s="502"/>
      <c r="I27" s="502"/>
    </row>
    <row r="28" spans="1:9" x14ac:dyDescent="0.25">
      <c r="A28" s="519" t="s">
        <v>772</v>
      </c>
      <c r="B28" s="519"/>
      <c r="C28" s="519"/>
      <c r="D28" s="519"/>
      <c r="E28" s="519"/>
      <c r="F28" s="519"/>
      <c r="G28" s="519"/>
      <c r="H28" s="519"/>
      <c r="I28" s="144">
        <f>I12</f>
        <v>26.010804326871586</v>
      </c>
    </row>
    <row r="29" spans="1:9" x14ac:dyDescent="0.25">
      <c r="A29" s="519" t="s">
        <v>773</v>
      </c>
      <c r="B29" s="519"/>
      <c r="C29" s="519"/>
      <c r="D29" s="519"/>
      <c r="E29" s="519"/>
      <c r="F29" s="519"/>
      <c r="G29" s="519"/>
      <c r="H29" s="519"/>
      <c r="I29" s="144">
        <f>I19</f>
        <v>15.92</v>
      </c>
    </row>
    <row r="30" spans="1:9" x14ac:dyDescent="0.25">
      <c r="A30" s="519" t="s">
        <v>758</v>
      </c>
      <c r="B30" s="519"/>
      <c r="C30" s="519"/>
      <c r="D30" s="519"/>
      <c r="E30" s="519"/>
      <c r="F30" s="519"/>
      <c r="G30" s="519"/>
      <c r="H30" s="519"/>
      <c r="I30" s="144">
        <f>I20</f>
        <v>0</v>
      </c>
    </row>
    <row r="31" spans="1:9" x14ac:dyDescent="0.25">
      <c r="A31" s="519" t="s">
        <v>812</v>
      </c>
      <c r="B31" s="519"/>
      <c r="C31" s="519"/>
      <c r="D31" s="519"/>
      <c r="E31" s="519"/>
      <c r="F31" s="519"/>
      <c r="G31" s="519"/>
      <c r="H31" s="519"/>
      <c r="I31" s="151">
        <f>SUM(I29:I29)</f>
        <v>15.92</v>
      </c>
    </row>
  </sheetData>
  <mergeCells count="26">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C18:E18"/>
    <mergeCell ref="A19:H19"/>
    <mergeCell ref="A22:I22"/>
    <mergeCell ref="A30:H30"/>
    <mergeCell ref="A31:H31"/>
    <mergeCell ref="C24:E24"/>
    <mergeCell ref="A25:H25"/>
    <mergeCell ref="A26:I26"/>
    <mergeCell ref="A27:I27"/>
    <mergeCell ref="A28:H28"/>
    <mergeCell ref="A29:H29"/>
  </mergeCells>
  <pageMargins left="0.511811024" right="0.511811024" top="0.78740157499999996" bottom="0.78740157499999996" header="0.31496062000000002" footer="0.31496062000000002"/>
  <pageSetup paperSize="9" scale="75"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96" zoomScaleNormal="100" zoomScaleSheetLayoutView="96" workbookViewId="0">
      <selection activeCell="I3" sqref="I3"/>
    </sheetView>
  </sheetViews>
  <sheetFormatPr defaultRowHeight="15" x14ac:dyDescent="0.25"/>
  <cols>
    <col min="1" max="1" width="12.28515625" style="145" customWidth="1"/>
    <col min="2" max="2" width="10" style="145" bestFit="1" customWidth="1"/>
    <col min="3" max="3" width="9.140625" style="146"/>
    <col min="4" max="4" width="20.5703125" style="146" customWidth="1"/>
    <col min="5" max="5" width="20.140625" style="146" customWidth="1"/>
    <col min="6" max="6" width="5" style="146" bestFit="1"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1066</v>
      </c>
    </row>
    <row r="5" spans="1:9" x14ac:dyDescent="0.25">
      <c r="A5" s="505" t="s">
        <v>845</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859</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16" t="s">
        <v>750</v>
      </c>
      <c r="I9" s="117" t="s">
        <v>751</v>
      </c>
    </row>
    <row r="10" spans="1:9" x14ac:dyDescent="0.25">
      <c r="A10" s="147" t="s">
        <v>785</v>
      </c>
      <c r="B10" s="213" t="s">
        <v>599</v>
      </c>
      <c r="C10" s="512" t="s">
        <v>784</v>
      </c>
      <c r="D10" s="513"/>
      <c r="E10" s="122" t="s">
        <v>755</v>
      </c>
      <c r="F10" s="213" t="s">
        <v>752</v>
      </c>
      <c r="G10" s="119">
        <v>0.85</v>
      </c>
      <c r="H10" s="123">
        <v>15.08</v>
      </c>
      <c r="I10" s="155">
        <f>G10*H10</f>
        <v>12.818</v>
      </c>
    </row>
    <row r="11" spans="1:9" x14ac:dyDescent="0.25">
      <c r="A11" s="147" t="s">
        <v>1053</v>
      </c>
      <c r="B11" s="213" t="s">
        <v>599</v>
      </c>
      <c r="C11" s="512" t="s">
        <v>846</v>
      </c>
      <c r="D11" s="513"/>
      <c r="E11" s="122" t="s">
        <v>755</v>
      </c>
      <c r="F11" s="213" t="s">
        <v>752</v>
      </c>
      <c r="G11" s="119">
        <v>0.85</v>
      </c>
      <c r="H11" s="123">
        <v>17.850000000000001</v>
      </c>
      <c r="I11" s="155">
        <f>H11*G11</f>
        <v>15.172500000000001</v>
      </c>
    </row>
    <row r="12" spans="1:9" x14ac:dyDescent="0.25">
      <c r="A12" s="514" t="s">
        <v>753</v>
      </c>
      <c r="B12" s="514"/>
      <c r="C12" s="514"/>
      <c r="D12" s="514"/>
      <c r="E12" s="514"/>
      <c r="F12" s="514"/>
      <c r="G12" s="514"/>
      <c r="H12" s="514"/>
      <c r="I12" s="125">
        <f>I10+I11</f>
        <v>27.990500000000001</v>
      </c>
    </row>
    <row r="13" spans="1:9" x14ac:dyDescent="0.25">
      <c r="A13" s="212"/>
      <c r="B13" s="212"/>
      <c r="C13" s="212"/>
      <c r="D13" s="212"/>
      <c r="E13" s="212"/>
      <c r="F13" s="212"/>
      <c r="G13" s="212"/>
      <c r="H13" s="212"/>
      <c r="I13" s="125"/>
    </row>
    <row r="14" spans="1:9" x14ac:dyDescent="0.25">
      <c r="A14" s="502" t="s">
        <v>759</v>
      </c>
      <c r="B14" s="502"/>
      <c r="C14" s="502"/>
      <c r="D14" s="502"/>
      <c r="E14" s="502"/>
      <c r="F14" s="502"/>
      <c r="G14" s="502"/>
      <c r="H14" s="502"/>
      <c r="I14" s="502"/>
    </row>
    <row r="15" spans="1:9" x14ac:dyDescent="0.25">
      <c r="A15" s="114" t="s">
        <v>746</v>
      </c>
      <c r="B15" s="215" t="s">
        <v>9</v>
      </c>
      <c r="C15" s="511" t="s">
        <v>747</v>
      </c>
      <c r="D15" s="511"/>
      <c r="E15" s="511"/>
      <c r="F15" s="215" t="s">
        <v>748</v>
      </c>
      <c r="G15" s="115" t="s">
        <v>749</v>
      </c>
      <c r="H15" s="116" t="s">
        <v>750</v>
      </c>
      <c r="I15" s="117" t="s">
        <v>751</v>
      </c>
    </row>
    <row r="16" spans="1:9" ht="32.25" customHeight="1" x14ac:dyDescent="0.25">
      <c r="A16" s="132" t="s">
        <v>1273</v>
      </c>
      <c r="B16" s="118"/>
      <c r="C16" s="515" t="s">
        <v>831</v>
      </c>
      <c r="D16" s="515"/>
      <c r="E16" s="515"/>
      <c r="F16" s="132" t="s">
        <v>25</v>
      </c>
      <c r="G16" s="166">
        <v>1</v>
      </c>
      <c r="H16" s="133">
        <f>[1]COTAÇÕES!P12</f>
        <v>57.26</v>
      </c>
      <c r="I16" s="120">
        <f>H16*G16</f>
        <v>57.26</v>
      </c>
    </row>
    <row r="17" spans="1:9" x14ac:dyDescent="0.25">
      <c r="A17" s="138"/>
      <c r="B17" s="138"/>
      <c r="C17" s="516"/>
      <c r="D17" s="516"/>
      <c r="E17" s="516"/>
      <c r="F17" s="139"/>
      <c r="G17" s="140"/>
      <c r="H17" s="141"/>
      <c r="I17" s="142"/>
    </row>
    <row r="18" spans="1:9" x14ac:dyDescent="0.25">
      <c r="A18" s="514" t="s">
        <v>757</v>
      </c>
      <c r="B18" s="514"/>
      <c r="C18" s="514"/>
      <c r="D18" s="514"/>
      <c r="E18" s="514"/>
      <c r="F18" s="514"/>
      <c r="G18" s="514"/>
      <c r="H18" s="514"/>
      <c r="I18" s="143">
        <f>SUM(I16:I17)</f>
        <v>57.26</v>
      </c>
    </row>
    <row r="19" spans="1:9" x14ac:dyDescent="0.25">
      <c r="A19" s="212"/>
      <c r="B19" s="212"/>
      <c r="C19" s="212"/>
      <c r="D19" s="212"/>
      <c r="E19" s="212"/>
      <c r="F19" s="212"/>
      <c r="G19" s="212"/>
      <c r="H19" s="212"/>
      <c r="I19" s="125"/>
    </row>
    <row r="20" spans="1:9" x14ac:dyDescent="0.25">
      <c r="A20" s="212"/>
      <c r="B20" s="212"/>
      <c r="C20" s="212"/>
      <c r="D20" s="212"/>
      <c r="E20" s="212"/>
      <c r="F20" s="212"/>
      <c r="G20" s="212"/>
      <c r="H20" s="212"/>
      <c r="I20" s="125"/>
    </row>
    <row r="21" spans="1:9" x14ac:dyDescent="0.25">
      <c r="A21" s="517" t="s">
        <v>769</v>
      </c>
      <c r="B21" s="517"/>
      <c r="C21" s="517"/>
      <c r="D21" s="517"/>
      <c r="E21" s="517"/>
      <c r="F21" s="517"/>
      <c r="G21" s="517"/>
      <c r="H21" s="517"/>
      <c r="I21" s="517"/>
    </row>
    <row r="22" spans="1:9" x14ac:dyDescent="0.25">
      <c r="A22" s="121"/>
      <c r="B22" s="213"/>
      <c r="C22" s="518" t="s">
        <v>747</v>
      </c>
      <c r="D22" s="518"/>
      <c r="E22" s="518"/>
      <c r="F22" s="213" t="s">
        <v>748</v>
      </c>
      <c r="G22" s="126" t="s">
        <v>749</v>
      </c>
      <c r="H22" s="123" t="s">
        <v>750</v>
      </c>
      <c r="I22" s="124" t="s">
        <v>751</v>
      </c>
    </row>
    <row r="23" spans="1:9" x14ac:dyDescent="0.25">
      <c r="A23" s="127"/>
      <c r="B23" s="127"/>
      <c r="C23" s="508"/>
      <c r="D23" s="509"/>
      <c r="E23" s="510"/>
      <c r="F23" s="128"/>
      <c r="G23" s="128"/>
      <c r="H23" s="129"/>
      <c r="I23" s="130"/>
    </row>
    <row r="24" spans="1:9" x14ac:dyDescent="0.25">
      <c r="A24" s="514" t="s">
        <v>758</v>
      </c>
      <c r="B24" s="514"/>
      <c r="C24" s="514"/>
      <c r="D24" s="514"/>
      <c r="E24" s="514"/>
      <c r="F24" s="514"/>
      <c r="G24" s="514"/>
      <c r="H24" s="514"/>
      <c r="I24" s="131">
        <f>I23</f>
        <v>0</v>
      </c>
    </row>
    <row r="25" spans="1:9" x14ac:dyDescent="0.25">
      <c r="A25" s="520"/>
      <c r="B25" s="521"/>
      <c r="C25" s="521"/>
      <c r="D25" s="521"/>
      <c r="E25" s="521"/>
      <c r="F25" s="521"/>
      <c r="G25" s="521"/>
      <c r="H25" s="521"/>
      <c r="I25" s="522"/>
    </row>
    <row r="26" spans="1:9" x14ac:dyDescent="0.25">
      <c r="A26" s="502" t="s">
        <v>762</v>
      </c>
      <c r="B26" s="502"/>
      <c r="C26" s="502"/>
      <c r="D26" s="502"/>
      <c r="E26" s="502"/>
      <c r="F26" s="502"/>
      <c r="G26" s="502"/>
      <c r="H26" s="502"/>
      <c r="I26" s="502"/>
    </row>
    <row r="27" spans="1:9" x14ac:dyDescent="0.25">
      <c r="A27" s="519" t="s">
        <v>772</v>
      </c>
      <c r="B27" s="519"/>
      <c r="C27" s="519"/>
      <c r="D27" s="519"/>
      <c r="E27" s="519"/>
      <c r="F27" s="519"/>
      <c r="G27" s="519"/>
      <c r="H27" s="519"/>
      <c r="I27" s="144">
        <f>I12</f>
        <v>27.990500000000001</v>
      </c>
    </row>
    <row r="28" spans="1:9" x14ac:dyDescent="0.25">
      <c r="A28" s="519" t="s">
        <v>773</v>
      </c>
      <c r="B28" s="519"/>
      <c r="C28" s="519"/>
      <c r="D28" s="519"/>
      <c r="E28" s="519"/>
      <c r="F28" s="519"/>
      <c r="G28" s="519"/>
      <c r="H28" s="519"/>
      <c r="I28" s="144">
        <f>I18</f>
        <v>57.26</v>
      </c>
    </row>
    <row r="29" spans="1:9" x14ac:dyDescent="0.25">
      <c r="A29" s="519" t="s">
        <v>811</v>
      </c>
      <c r="B29" s="519"/>
      <c r="C29" s="519"/>
      <c r="D29" s="519"/>
      <c r="E29" s="519"/>
      <c r="F29" s="519"/>
      <c r="G29" s="519"/>
      <c r="H29" s="519"/>
      <c r="I29" s="144">
        <f>I19</f>
        <v>0</v>
      </c>
    </row>
    <row r="30" spans="1:9" x14ac:dyDescent="0.25">
      <c r="A30" s="519" t="s">
        <v>812</v>
      </c>
      <c r="B30" s="519"/>
      <c r="C30" s="519"/>
      <c r="D30" s="519"/>
      <c r="E30" s="519"/>
      <c r="F30" s="519"/>
      <c r="G30" s="519"/>
      <c r="H30" s="519"/>
      <c r="I30" s="151">
        <f>SUM(I27:I28)</f>
        <v>85.250500000000002</v>
      </c>
    </row>
  </sheetData>
  <mergeCells count="25">
    <mergeCell ref="A30:H30"/>
    <mergeCell ref="A24:H24"/>
    <mergeCell ref="A25:I25"/>
    <mergeCell ref="A26:I26"/>
    <mergeCell ref="A27:H27"/>
    <mergeCell ref="A28:H28"/>
    <mergeCell ref="A29:H29"/>
    <mergeCell ref="C23:E23"/>
    <mergeCell ref="C9:E9"/>
    <mergeCell ref="C10:D10"/>
    <mergeCell ref="C11:D11"/>
    <mergeCell ref="A12:H12"/>
    <mergeCell ref="A14:I14"/>
    <mergeCell ref="C15:E15"/>
    <mergeCell ref="C16:E16"/>
    <mergeCell ref="C17:E17"/>
    <mergeCell ref="A18:H18"/>
    <mergeCell ref="A21:I21"/>
    <mergeCell ref="C22:E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87"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view="pageBreakPreview" zoomScaleNormal="100" zoomScaleSheetLayoutView="100" workbookViewId="0">
      <selection activeCell="F17" sqref="F17"/>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1072</v>
      </c>
    </row>
    <row r="5" spans="1:9" x14ac:dyDescent="0.25">
      <c r="A5" s="505" t="s">
        <v>951</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941</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15" t="s">
        <v>9</v>
      </c>
      <c r="C9" s="511" t="s">
        <v>747</v>
      </c>
      <c r="D9" s="511"/>
      <c r="E9" s="511"/>
      <c r="F9" s="215" t="s">
        <v>748</v>
      </c>
      <c r="G9" s="115" t="s">
        <v>749</v>
      </c>
      <c r="H9" s="116" t="s">
        <v>750</v>
      </c>
      <c r="I9" s="117" t="s">
        <v>751</v>
      </c>
    </row>
    <row r="10" spans="1:9" ht="33.75" customHeight="1" x14ac:dyDescent="0.25">
      <c r="A10" s="147" t="s">
        <v>946</v>
      </c>
      <c r="B10" s="147" t="s">
        <v>849</v>
      </c>
      <c r="C10" s="533" t="s">
        <v>947</v>
      </c>
      <c r="D10" s="534"/>
      <c r="E10" s="122" t="s">
        <v>755</v>
      </c>
      <c r="F10" s="213" t="s">
        <v>752</v>
      </c>
      <c r="G10" s="119">
        <v>0.94850000000000001</v>
      </c>
      <c r="H10" s="123">
        <f>(18.8/1.8674)*2.5727</f>
        <v>25.900589054300102</v>
      </c>
      <c r="I10" s="155">
        <f>G10*H10</f>
        <v>24.566708718003646</v>
      </c>
    </row>
    <row r="11" spans="1:9" x14ac:dyDescent="0.25">
      <c r="A11" s="147" t="s">
        <v>948</v>
      </c>
      <c r="B11" s="147" t="s">
        <v>849</v>
      </c>
      <c r="C11" s="512" t="s">
        <v>949</v>
      </c>
      <c r="D11" s="513"/>
      <c r="E11" s="122" t="s">
        <v>755</v>
      </c>
      <c r="F11" s="213" t="s">
        <v>752</v>
      </c>
      <c r="G11" s="119">
        <v>0.29880000000000001</v>
      </c>
      <c r="H11" s="123">
        <f>(14.98/1.8674)*2.5727</f>
        <v>20.637809789011463</v>
      </c>
      <c r="I11" s="155">
        <f>H11*G11</f>
        <v>6.1665775649566257</v>
      </c>
    </row>
    <row r="12" spans="1:9" x14ac:dyDescent="0.25">
      <c r="A12" s="514" t="s">
        <v>753</v>
      </c>
      <c r="B12" s="514"/>
      <c r="C12" s="514"/>
      <c r="D12" s="514"/>
      <c r="E12" s="514"/>
      <c r="F12" s="514"/>
      <c r="G12" s="514"/>
      <c r="H12" s="514"/>
      <c r="I12" s="125">
        <f>I10+I11</f>
        <v>30.733286282960272</v>
      </c>
    </row>
    <row r="13" spans="1:9" x14ac:dyDescent="0.25">
      <c r="A13" s="212"/>
      <c r="B13" s="212"/>
      <c r="C13" s="212"/>
      <c r="D13" s="212"/>
      <c r="E13" s="212"/>
      <c r="F13" s="212"/>
      <c r="G13" s="212"/>
      <c r="H13" s="212"/>
      <c r="I13" s="125"/>
    </row>
    <row r="14" spans="1:9" x14ac:dyDescent="0.25">
      <c r="A14" s="502" t="s">
        <v>759</v>
      </c>
      <c r="B14" s="502"/>
      <c r="C14" s="502"/>
      <c r="D14" s="502"/>
      <c r="E14" s="502"/>
      <c r="F14" s="502"/>
      <c r="G14" s="502"/>
      <c r="H14" s="502"/>
      <c r="I14" s="502"/>
    </row>
    <row r="15" spans="1:9" x14ac:dyDescent="0.25">
      <c r="A15" s="114" t="s">
        <v>746</v>
      </c>
      <c r="B15" s="215" t="s">
        <v>9</v>
      </c>
      <c r="C15" s="511" t="s">
        <v>747</v>
      </c>
      <c r="D15" s="511"/>
      <c r="E15" s="511"/>
      <c r="F15" s="215" t="s">
        <v>748</v>
      </c>
      <c r="G15" s="115" t="s">
        <v>749</v>
      </c>
      <c r="H15" s="116" t="s">
        <v>750</v>
      </c>
      <c r="I15" s="117" t="s">
        <v>751</v>
      </c>
    </row>
    <row r="16" spans="1:9" ht="54.75" customHeight="1" x14ac:dyDescent="0.25">
      <c r="A16" s="132" t="s">
        <v>942</v>
      </c>
      <c r="B16" s="118" t="s">
        <v>849</v>
      </c>
      <c r="C16" s="515" t="s">
        <v>943</v>
      </c>
      <c r="D16" s="515"/>
      <c r="E16" s="515"/>
      <c r="F16" s="132" t="s">
        <v>748</v>
      </c>
      <c r="G16" s="158">
        <v>6</v>
      </c>
      <c r="H16" s="133">
        <v>8.5500000000000007</v>
      </c>
      <c r="I16" s="120">
        <f>H16*G16</f>
        <v>51.300000000000004</v>
      </c>
    </row>
    <row r="17" spans="1:17" ht="59.25" customHeight="1" x14ac:dyDescent="0.25">
      <c r="A17" s="132" t="s">
        <v>944</v>
      </c>
      <c r="B17" s="118" t="s">
        <v>849</v>
      </c>
      <c r="C17" s="528" t="s">
        <v>945</v>
      </c>
      <c r="D17" s="529"/>
      <c r="E17" s="530"/>
      <c r="F17" s="132" t="s">
        <v>748</v>
      </c>
      <c r="G17" s="158">
        <v>1</v>
      </c>
      <c r="H17" s="133">
        <v>156.99</v>
      </c>
      <c r="I17" s="120">
        <f>H17*G17</f>
        <v>156.99</v>
      </c>
    </row>
    <row r="18" spans="1:17" x14ac:dyDescent="0.25">
      <c r="A18" s="514" t="s">
        <v>757</v>
      </c>
      <c r="B18" s="514"/>
      <c r="C18" s="514"/>
      <c r="D18" s="514"/>
      <c r="E18" s="514"/>
      <c r="F18" s="514"/>
      <c r="G18" s="514"/>
      <c r="H18" s="514"/>
      <c r="I18" s="143">
        <f>SUM(I16:I17)</f>
        <v>208.29000000000002</v>
      </c>
    </row>
    <row r="19" spans="1:17" x14ac:dyDescent="0.25">
      <c r="A19" s="212"/>
      <c r="B19" s="212"/>
      <c r="C19" s="212"/>
      <c r="D19" s="212"/>
      <c r="E19" s="212"/>
      <c r="F19" s="212"/>
      <c r="G19" s="212"/>
      <c r="H19" s="212"/>
      <c r="I19" s="125"/>
    </row>
    <row r="20" spans="1:17" x14ac:dyDescent="0.25">
      <c r="A20" s="212"/>
      <c r="B20" s="212"/>
      <c r="C20" s="212"/>
      <c r="D20" s="212"/>
      <c r="E20" s="212"/>
      <c r="F20" s="212"/>
      <c r="G20" s="212"/>
      <c r="H20" s="212"/>
      <c r="I20" s="125"/>
    </row>
    <row r="21" spans="1:17" x14ac:dyDescent="0.25">
      <c r="A21" s="517" t="s">
        <v>769</v>
      </c>
      <c r="B21" s="517"/>
      <c r="C21" s="517"/>
      <c r="D21" s="517"/>
      <c r="E21" s="517"/>
      <c r="F21" s="517"/>
      <c r="G21" s="517"/>
      <c r="H21" s="517"/>
      <c r="I21" s="517"/>
    </row>
    <row r="22" spans="1:17" x14ac:dyDescent="0.25">
      <c r="A22" s="121"/>
      <c r="B22" s="213"/>
      <c r="C22" s="518" t="s">
        <v>747</v>
      </c>
      <c r="D22" s="518"/>
      <c r="E22" s="518"/>
      <c r="F22" s="213" t="s">
        <v>748</v>
      </c>
      <c r="G22" s="126" t="s">
        <v>749</v>
      </c>
      <c r="H22" s="123" t="s">
        <v>750</v>
      </c>
      <c r="I22" s="124" t="s">
        <v>751</v>
      </c>
      <c r="Q22" s="183"/>
    </row>
    <row r="23" spans="1:17" x14ac:dyDescent="0.25">
      <c r="A23" s="127"/>
      <c r="B23" s="127"/>
      <c r="C23" s="508"/>
      <c r="D23" s="509"/>
      <c r="E23" s="510"/>
      <c r="F23" s="128"/>
      <c r="G23" s="128"/>
      <c r="H23" s="129"/>
      <c r="I23" s="130"/>
    </row>
    <row r="24" spans="1:17" x14ac:dyDescent="0.25">
      <c r="A24" s="514" t="s">
        <v>758</v>
      </c>
      <c r="B24" s="514"/>
      <c r="C24" s="514"/>
      <c r="D24" s="514"/>
      <c r="E24" s="514"/>
      <c r="F24" s="514"/>
      <c r="G24" s="514"/>
      <c r="H24" s="514"/>
      <c r="I24" s="131">
        <f>I23</f>
        <v>0</v>
      </c>
    </row>
    <row r="25" spans="1:17" x14ac:dyDescent="0.25">
      <c r="A25" s="520"/>
      <c r="B25" s="521"/>
      <c r="C25" s="521"/>
      <c r="D25" s="521"/>
      <c r="E25" s="521"/>
      <c r="F25" s="521"/>
      <c r="G25" s="521"/>
      <c r="H25" s="521"/>
      <c r="I25" s="522"/>
    </row>
    <row r="26" spans="1:17" x14ac:dyDescent="0.25">
      <c r="A26" s="502" t="s">
        <v>762</v>
      </c>
      <c r="B26" s="502"/>
      <c r="C26" s="502"/>
      <c r="D26" s="502"/>
      <c r="E26" s="502"/>
      <c r="F26" s="502"/>
      <c r="G26" s="502"/>
      <c r="H26" s="502"/>
      <c r="I26" s="502"/>
    </row>
    <row r="27" spans="1:17" x14ac:dyDescent="0.25">
      <c r="A27" s="519" t="s">
        <v>772</v>
      </c>
      <c r="B27" s="519"/>
      <c r="C27" s="519"/>
      <c r="D27" s="519"/>
      <c r="E27" s="519"/>
      <c r="F27" s="519"/>
      <c r="G27" s="519"/>
      <c r="H27" s="519"/>
      <c r="I27" s="144">
        <f>I12</f>
        <v>30.733286282960272</v>
      </c>
    </row>
    <row r="28" spans="1:17" x14ac:dyDescent="0.25">
      <c r="A28" s="519" t="s">
        <v>773</v>
      </c>
      <c r="B28" s="519"/>
      <c r="C28" s="519"/>
      <c r="D28" s="519"/>
      <c r="E28" s="519"/>
      <c r="F28" s="519"/>
      <c r="G28" s="519"/>
      <c r="H28" s="519"/>
      <c r="I28" s="144">
        <f>I18</f>
        <v>208.29000000000002</v>
      </c>
    </row>
    <row r="29" spans="1:17" x14ac:dyDescent="0.25">
      <c r="A29" s="519" t="s">
        <v>1055</v>
      </c>
      <c r="B29" s="519"/>
      <c r="C29" s="519"/>
      <c r="D29" s="519"/>
      <c r="E29" s="519"/>
      <c r="F29" s="519"/>
      <c r="G29" s="519"/>
      <c r="H29" s="519"/>
      <c r="I29" s="144">
        <f>I19</f>
        <v>0</v>
      </c>
    </row>
    <row r="30" spans="1:17" x14ac:dyDescent="0.25">
      <c r="A30" s="519" t="s">
        <v>812</v>
      </c>
      <c r="B30" s="519"/>
      <c r="C30" s="519"/>
      <c r="D30" s="519"/>
      <c r="E30" s="519"/>
      <c r="F30" s="519"/>
      <c r="G30" s="519"/>
      <c r="H30" s="519"/>
      <c r="I30" s="151">
        <f>SUM(I27:I28)</f>
        <v>239.0232862829603</v>
      </c>
    </row>
  </sheetData>
  <mergeCells count="25">
    <mergeCell ref="A30:H30"/>
    <mergeCell ref="A24:H24"/>
    <mergeCell ref="A25:I25"/>
    <mergeCell ref="A26:I26"/>
    <mergeCell ref="A27:H27"/>
    <mergeCell ref="A28:H28"/>
    <mergeCell ref="A29:H29"/>
    <mergeCell ref="C23:E23"/>
    <mergeCell ref="C9:E9"/>
    <mergeCell ref="C10:D10"/>
    <mergeCell ref="C11:D11"/>
    <mergeCell ref="A12:H12"/>
    <mergeCell ref="A14:I14"/>
    <mergeCell ref="C15:E15"/>
    <mergeCell ref="C16:E16"/>
    <mergeCell ref="C17:E17"/>
    <mergeCell ref="A18:H18"/>
    <mergeCell ref="A21:I21"/>
    <mergeCell ref="C22:E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118" zoomScaleNormal="100" zoomScaleSheetLayoutView="118" workbookViewId="0">
      <selection activeCell="I3" sqref="I3"/>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27" t="s">
        <v>1103</v>
      </c>
    </row>
    <row r="5" spans="1:9" x14ac:dyDescent="0.25">
      <c r="A5" s="505" t="s">
        <v>1251</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1189</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28" t="s">
        <v>9</v>
      </c>
      <c r="C9" s="511" t="s">
        <v>747</v>
      </c>
      <c r="D9" s="511"/>
      <c r="E9" s="511"/>
      <c r="F9" s="228" t="s">
        <v>748</v>
      </c>
      <c r="G9" s="115" t="s">
        <v>749</v>
      </c>
      <c r="H9" s="116" t="s">
        <v>750</v>
      </c>
      <c r="I9" s="117" t="s">
        <v>751</v>
      </c>
    </row>
    <row r="10" spans="1:9" x14ac:dyDescent="0.25">
      <c r="A10" s="147" t="s">
        <v>1192</v>
      </c>
      <c r="B10" s="147" t="s">
        <v>849</v>
      </c>
      <c r="C10" s="533" t="s">
        <v>947</v>
      </c>
      <c r="D10" s="534"/>
      <c r="E10" s="122" t="s">
        <v>755</v>
      </c>
      <c r="F10" s="230" t="s">
        <v>752</v>
      </c>
      <c r="G10" s="158">
        <v>1.4228000000000001</v>
      </c>
      <c r="H10" s="123">
        <f>(18.8/1.8674)*2.5727</f>
        <v>25.900589054300102</v>
      </c>
      <c r="I10" s="155">
        <f>G10*H10</f>
        <v>36.851358106458186</v>
      </c>
    </row>
    <row r="11" spans="1:9" x14ac:dyDescent="0.25">
      <c r="A11" s="147" t="s">
        <v>948</v>
      </c>
      <c r="B11" s="147" t="s">
        <v>849</v>
      </c>
      <c r="C11" s="512" t="s">
        <v>949</v>
      </c>
      <c r="D11" s="513"/>
      <c r="E11" s="122" t="s">
        <v>755</v>
      </c>
      <c r="F11" s="230" t="s">
        <v>752</v>
      </c>
      <c r="G11" s="158">
        <v>0.44829999999999998</v>
      </c>
      <c r="H11" s="123">
        <f>(14.98/1.8674)*2.5727</f>
        <v>20.637809789011463</v>
      </c>
      <c r="I11" s="155">
        <f>H11*G11</f>
        <v>9.2519301284138376</v>
      </c>
    </row>
    <row r="12" spans="1:9" x14ac:dyDescent="0.25">
      <c r="A12" s="514" t="s">
        <v>753</v>
      </c>
      <c r="B12" s="514"/>
      <c r="C12" s="514"/>
      <c r="D12" s="514"/>
      <c r="E12" s="514"/>
      <c r="F12" s="514"/>
      <c r="G12" s="514"/>
      <c r="H12" s="514"/>
      <c r="I12" s="125">
        <f>I10+I11</f>
        <v>46.103288234872025</v>
      </c>
    </row>
    <row r="13" spans="1:9" x14ac:dyDescent="0.25">
      <c r="A13" s="229"/>
      <c r="B13" s="229"/>
      <c r="C13" s="229"/>
      <c r="D13" s="229"/>
      <c r="E13" s="229"/>
      <c r="F13" s="229"/>
      <c r="G13" s="229"/>
      <c r="H13" s="229"/>
      <c r="I13" s="125"/>
    </row>
    <row r="14" spans="1:9" x14ac:dyDescent="0.25">
      <c r="A14" s="502" t="s">
        <v>759</v>
      </c>
      <c r="B14" s="502"/>
      <c r="C14" s="502"/>
      <c r="D14" s="502"/>
      <c r="E14" s="502"/>
      <c r="F14" s="502"/>
      <c r="G14" s="502"/>
      <c r="H14" s="502"/>
      <c r="I14" s="502"/>
    </row>
    <row r="15" spans="1:9" x14ac:dyDescent="0.25">
      <c r="A15" s="114" t="s">
        <v>746</v>
      </c>
      <c r="B15" s="228" t="s">
        <v>9</v>
      </c>
      <c r="C15" s="511" t="s">
        <v>747</v>
      </c>
      <c r="D15" s="511"/>
      <c r="E15" s="511"/>
      <c r="F15" s="228" t="s">
        <v>748</v>
      </c>
      <c r="G15" s="115" t="s">
        <v>749</v>
      </c>
      <c r="H15" s="116" t="s">
        <v>750</v>
      </c>
      <c r="I15" s="117" t="s">
        <v>751</v>
      </c>
    </row>
    <row r="16" spans="1:9" ht="45.75" customHeight="1" x14ac:dyDescent="0.25">
      <c r="A16" s="132" t="s">
        <v>942</v>
      </c>
      <c r="B16" s="118" t="s">
        <v>849</v>
      </c>
      <c r="C16" s="515" t="s">
        <v>943</v>
      </c>
      <c r="D16" s="515"/>
      <c r="E16" s="515"/>
      <c r="F16" s="132" t="s">
        <v>748</v>
      </c>
      <c r="G16" s="158">
        <v>9</v>
      </c>
      <c r="H16" s="133">
        <v>8.5500000000000007</v>
      </c>
      <c r="I16" s="120">
        <f>H16*G16</f>
        <v>76.95</v>
      </c>
    </row>
    <row r="17" spans="1:9" ht="31.5" customHeight="1" x14ac:dyDescent="0.25">
      <c r="A17" s="132" t="s">
        <v>1191</v>
      </c>
      <c r="B17" s="118" t="s">
        <v>849</v>
      </c>
      <c r="C17" s="528" t="s">
        <v>1190</v>
      </c>
      <c r="D17" s="529"/>
      <c r="E17" s="530"/>
      <c r="F17" s="132" t="s">
        <v>748</v>
      </c>
      <c r="G17" s="158">
        <v>1</v>
      </c>
      <c r="H17" s="133">
        <v>409.22</v>
      </c>
      <c r="I17" s="120">
        <f>H17*G17</f>
        <v>409.22</v>
      </c>
    </row>
    <row r="18" spans="1:9" x14ac:dyDescent="0.25">
      <c r="A18" s="514" t="s">
        <v>757</v>
      </c>
      <c r="B18" s="514"/>
      <c r="C18" s="514"/>
      <c r="D18" s="514"/>
      <c r="E18" s="514"/>
      <c r="F18" s="514"/>
      <c r="G18" s="514"/>
      <c r="H18" s="514"/>
      <c r="I18" s="143">
        <f>SUM(I16:I17)</f>
        <v>486.17</v>
      </c>
    </row>
    <row r="19" spans="1:9" x14ac:dyDescent="0.25">
      <c r="A19" s="229"/>
      <c r="B19" s="229"/>
      <c r="C19" s="229"/>
      <c r="D19" s="229"/>
      <c r="E19" s="229"/>
      <c r="F19" s="229"/>
      <c r="G19" s="229"/>
      <c r="H19" s="229"/>
      <c r="I19" s="125"/>
    </row>
    <row r="20" spans="1:9" x14ac:dyDescent="0.25">
      <c r="A20" s="229"/>
      <c r="B20" s="229"/>
      <c r="C20" s="229"/>
      <c r="D20" s="229"/>
      <c r="E20" s="229"/>
      <c r="F20" s="229"/>
      <c r="G20" s="229"/>
      <c r="H20" s="229"/>
      <c r="I20" s="125"/>
    </row>
    <row r="21" spans="1:9" x14ac:dyDescent="0.25">
      <c r="A21" s="517" t="s">
        <v>769</v>
      </c>
      <c r="B21" s="517"/>
      <c r="C21" s="517"/>
      <c r="D21" s="517"/>
      <c r="E21" s="517"/>
      <c r="F21" s="517"/>
      <c r="G21" s="517"/>
      <c r="H21" s="517"/>
      <c r="I21" s="517"/>
    </row>
    <row r="22" spans="1:9" x14ac:dyDescent="0.25">
      <c r="A22" s="121"/>
      <c r="B22" s="230"/>
      <c r="C22" s="518" t="s">
        <v>747</v>
      </c>
      <c r="D22" s="518"/>
      <c r="E22" s="518"/>
      <c r="F22" s="230" t="s">
        <v>748</v>
      </c>
      <c r="G22" s="126" t="s">
        <v>749</v>
      </c>
      <c r="H22" s="123" t="s">
        <v>750</v>
      </c>
      <c r="I22" s="124" t="s">
        <v>751</v>
      </c>
    </row>
    <row r="23" spans="1:9" x14ac:dyDescent="0.25">
      <c r="A23" s="127"/>
      <c r="B23" s="127"/>
      <c r="C23" s="508"/>
      <c r="D23" s="509"/>
      <c r="E23" s="510"/>
      <c r="F23" s="128"/>
      <c r="G23" s="128"/>
      <c r="H23" s="129"/>
      <c r="I23" s="130"/>
    </row>
    <row r="24" spans="1:9" x14ac:dyDescent="0.25">
      <c r="A24" s="514" t="s">
        <v>758</v>
      </c>
      <c r="B24" s="514"/>
      <c r="C24" s="514"/>
      <c r="D24" s="514"/>
      <c r="E24" s="514"/>
      <c r="F24" s="514"/>
      <c r="G24" s="514"/>
      <c r="H24" s="514"/>
      <c r="I24" s="131">
        <f>I23</f>
        <v>0</v>
      </c>
    </row>
    <row r="25" spans="1:9" x14ac:dyDescent="0.25">
      <c r="A25" s="520"/>
      <c r="B25" s="521"/>
      <c r="C25" s="521"/>
      <c r="D25" s="521"/>
      <c r="E25" s="521"/>
      <c r="F25" s="521"/>
      <c r="G25" s="521"/>
      <c r="H25" s="521"/>
      <c r="I25" s="522"/>
    </row>
    <row r="26" spans="1:9" x14ac:dyDescent="0.25">
      <c r="A26" s="502" t="s">
        <v>762</v>
      </c>
      <c r="B26" s="502"/>
      <c r="C26" s="502"/>
      <c r="D26" s="502"/>
      <c r="E26" s="502"/>
      <c r="F26" s="502"/>
      <c r="G26" s="502"/>
      <c r="H26" s="502"/>
      <c r="I26" s="502"/>
    </row>
    <row r="27" spans="1:9" x14ac:dyDescent="0.25">
      <c r="A27" s="519" t="s">
        <v>772</v>
      </c>
      <c r="B27" s="519"/>
      <c r="C27" s="519"/>
      <c r="D27" s="519"/>
      <c r="E27" s="519"/>
      <c r="F27" s="519"/>
      <c r="G27" s="519"/>
      <c r="H27" s="519"/>
      <c r="I27" s="144">
        <f>I12</f>
        <v>46.103288234872025</v>
      </c>
    </row>
    <row r="28" spans="1:9" x14ac:dyDescent="0.25">
      <c r="A28" s="519" t="s">
        <v>773</v>
      </c>
      <c r="B28" s="519"/>
      <c r="C28" s="519"/>
      <c r="D28" s="519"/>
      <c r="E28" s="519"/>
      <c r="F28" s="519"/>
      <c r="G28" s="519"/>
      <c r="H28" s="519"/>
      <c r="I28" s="144">
        <f>I18</f>
        <v>486.17</v>
      </c>
    </row>
    <row r="29" spans="1:9" x14ac:dyDescent="0.25">
      <c r="A29" s="519" t="s">
        <v>1055</v>
      </c>
      <c r="B29" s="519"/>
      <c r="C29" s="519"/>
      <c r="D29" s="519"/>
      <c r="E29" s="519"/>
      <c r="F29" s="519"/>
      <c r="G29" s="519"/>
      <c r="H29" s="519"/>
      <c r="I29" s="144">
        <f>I19</f>
        <v>0</v>
      </c>
    </row>
    <row r="30" spans="1:9" x14ac:dyDescent="0.25">
      <c r="A30" s="519" t="s">
        <v>812</v>
      </c>
      <c r="B30" s="519"/>
      <c r="C30" s="519"/>
      <c r="D30" s="519"/>
      <c r="E30" s="519"/>
      <c r="F30" s="519"/>
      <c r="G30" s="519"/>
      <c r="H30" s="519"/>
      <c r="I30" s="151">
        <f>SUM(I27:I28)</f>
        <v>532.2732882348721</v>
      </c>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7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view="pageBreakPreview" zoomScale="96" zoomScaleNormal="100" zoomScaleSheetLayoutView="96" workbookViewId="0">
      <selection activeCell="G15" sqref="G15"/>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1113</v>
      </c>
    </row>
    <row r="5" spans="1:9" x14ac:dyDescent="0.25">
      <c r="A5" s="505" t="s">
        <v>1056</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2" t="s">
        <v>1057</v>
      </c>
      <c r="B7" s="502"/>
      <c r="C7" s="502"/>
      <c r="D7" s="502"/>
      <c r="E7" s="502"/>
      <c r="F7" s="502"/>
      <c r="G7" s="502"/>
      <c r="H7" s="502"/>
      <c r="I7" s="502"/>
    </row>
    <row r="8" spans="1:9" x14ac:dyDescent="0.25">
      <c r="A8" s="114" t="s">
        <v>746</v>
      </c>
      <c r="B8" s="215" t="s">
        <v>9</v>
      </c>
      <c r="C8" s="511" t="s">
        <v>747</v>
      </c>
      <c r="D8" s="511"/>
      <c r="E8" s="511"/>
      <c r="F8" s="215" t="s">
        <v>748</v>
      </c>
      <c r="G8" s="115" t="s">
        <v>749</v>
      </c>
      <c r="H8" s="116" t="s">
        <v>750</v>
      </c>
      <c r="I8" s="117" t="s">
        <v>751</v>
      </c>
    </row>
    <row r="9" spans="1:9" x14ac:dyDescent="0.25">
      <c r="A9" s="147"/>
      <c r="B9" s="147"/>
      <c r="C9" s="535"/>
      <c r="D9" s="536"/>
      <c r="E9" s="122"/>
      <c r="F9" s="213"/>
      <c r="G9" s="119"/>
      <c r="H9" s="123"/>
      <c r="I9" s="155"/>
    </row>
    <row r="10" spans="1:9" x14ac:dyDescent="0.25">
      <c r="A10" s="514" t="s">
        <v>753</v>
      </c>
      <c r="B10" s="514"/>
      <c r="C10" s="514"/>
      <c r="D10" s="514"/>
      <c r="E10" s="514"/>
      <c r="F10" s="514"/>
      <c r="G10" s="514"/>
      <c r="H10" s="514"/>
      <c r="I10" s="125">
        <f>I9</f>
        <v>0</v>
      </c>
    </row>
    <row r="11" spans="1:9" x14ac:dyDescent="0.25">
      <c r="A11" s="212"/>
      <c r="B11" s="212"/>
      <c r="C11" s="212"/>
      <c r="D11" s="212"/>
      <c r="E11" s="212"/>
      <c r="F11" s="212"/>
      <c r="G11" s="212"/>
      <c r="H11" s="212"/>
      <c r="I11" s="125"/>
    </row>
    <row r="12" spans="1:9" x14ac:dyDescent="0.25">
      <c r="A12" s="502" t="s">
        <v>759</v>
      </c>
      <c r="B12" s="502"/>
      <c r="C12" s="502"/>
      <c r="D12" s="502"/>
      <c r="E12" s="502"/>
      <c r="F12" s="502"/>
      <c r="G12" s="502"/>
      <c r="H12" s="502"/>
      <c r="I12" s="502"/>
    </row>
    <row r="13" spans="1:9" x14ac:dyDescent="0.25">
      <c r="A13" s="114" t="s">
        <v>746</v>
      </c>
      <c r="B13" s="215" t="s">
        <v>9</v>
      </c>
      <c r="C13" s="511" t="s">
        <v>747</v>
      </c>
      <c r="D13" s="511"/>
      <c r="E13" s="511"/>
      <c r="F13" s="215" t="s">
        <v>748</v>
      </c>
      <c r="G13" s="115" t="s">
        <v>749</v>
      </c>
      <c r="H13" s="116" t="s">
        <v>750</v>
      </c>
      <c r="I13" s="117" t="s">
        <v>751</v>
      </c>
    </row>
    <row r="14" spans="1:9" x14ac:dyDescent="0.25">
      <c r="A14" s="132" t="s">
        <v>1068</v>
      </c>
      <c r="B14" s="118"/>
      <c r="C14" s="515" t="s">
        <v>1059</v>
      </c>
      <c r="D14" s="515"/>
      <c r="E14" s="515"/>
      <c r="F14" s="132" t="s">
        <v>748</v>
      </c>
      <c r="G14" s="158">
        <v>1</v>
      </c>
      <c r="H14" s="133">
        <f>[1]COTAÇÕES!P14</f>
        <v>2880.6666666666665</v>
      </c>
      <c r="I14" s="120">
        <f>H14*G14</f>
        <v>2880.6666666666665</v>
      </c>
    </row>
    <row r="15" spans="1:9" ht="48.75" customHeight="1" x14ac:dyDescent="0.25">
      <c r="A15" s="132" t="s">
        <v>1060</v>
      </c>
      <c r="B15" s="118" t="s">
        <v>849</v>
      </c>
      <c r="C15" s="528" t="s">
        <v>1061</v>
      </c>
      <c r="D15" s="529"/>
      <c r="E15" s="530"/>
      <c r="F15" s="132" t="s">
        <v>748</v>
      </c>
      <c r="G15" s="158">
        <v>1</v>
      </c>
      <c r="H15" s="133">
        <v>1864.94</v>
      </c>
      <c r="I15" s="120">
        <f>H15*G15</f>
        <v>1864.94</v>
      </c>
    </row>
    <row r="16" spans="1:9" x14ac:dyDescent="0.25">
      <c r="A16" s="514" t="s">
        <v>757</v>
      </c>
      <c r="B16" s="514"/>
      <c r="C16" s="514"/>
      <c r="D16" s="514"/>
      <c r="E16" s="514"/>
      <c r="F16" s="514"/>
      <c r="G16" s="514"/>
      <c r="H16" s="514"/>
      <c r="I16" s="143">
        <f>SUM(I14:I15)</f>
        <v>4745.6066666666666</v>
      </c>
    </row>
    <row r="17" spans="1:9" x14ac:dyDescent="0.25">
      <c r="A17" s="212"/>
      <c r="B17" s="212"/>
      <c r="C17" s="212"/>
      <c r="D17" s="212"/>
      <c r="E17" s="212"/>
      <c r="F17" s="212"/>
      <c r="G17" s="212"/>
      <c r="H17" s="212"/>
      <c r="I17" s="125"/>
    </row>
    <row r="18" spans="1:9" x14ac:dyDescent="0.25">
      <c r="A18" s="212"/>
      <c r="B18" s="212"/>
      <c r="C18" s="212"/>
      <c r="D18" s="212"/>
      <c r="E18" s="212"/>
      <c r="F18" s="212"/>
      <c r="G18" s="212"/>
      <c r="H18" s="212"/>
      <c r="I18" s="125"/>
    </row>
    <row r="19" spans="1:9" x14ac:dyDescent="0.25">
      <c r="A19" s="517" t="s">
        <v>769</v>
      </c>
      <c r="B19" s="517"/>
      <c r="C19" s="517"/>
      <c r="D19" s="517"/>
      <c r="E19" s="517"/>
      <c r="F19" s="517"/>
      <c r="G19" s="517"/>
      <c r="H19" s="517"/>
      <c r="I19" s="517"/>
    </row>
    <row r="20" spans="1:9" x14ac:dyDescent="0.25">
      <c r="A20" s="121"/>
      <c r="B20" s="213"/>
      <c r="C20" s="518" t="s">
        <v>747</v>
      </c>
      <c r="D20" s="518"/>
      <c r="E20" s="518"/>
      <c r="F20" s="213" t="s">
        <v>748</v>
      </c>
      <c r="G20" s="126" t="s">
        <v>749</v>
      </c>
      <c r="H20" s="123" t="s">
        <v>750</v>
      </c>
      <c r="I20" s="124" t="s">
        <v>751</v>
      </c>
    </row>
    <row r="21" spans="1:9" x14ac:dyDescent="0.25">
      <c r="A21" s="127"/>
      <c r="B21" s="127"/>
      <c r="C21" s="508"/>
      <c r="D21" s="509"/>
      <c r="E21" s="510"/>
      <c r="F21" s="128"/>
      <c r="G21" s="128"/>
      <c r="H21" s="129"/>
      <c r="I21" s="130"/>
    </row>
    <row r="22" spans="1:9" x14ac:dyDescent="0.25">
      <c r="A22" s="514" t="s">
        <v>758</v>
      </c>
      <c r="B22" s="514"/>
      <c r="C22" s="514"/>
      <c r="D22" s="514"/>
      <c r="E22" s="514"/>
      <c r="F22" s="514"/>
      <c r="G22" s="514"/>
      <c r="H22" s="514"/>
      <c r="I22" s="131">
        <f>I21</f>
        <v>0</v>
      </c>
    </row>
    <row r="23" spans="1:9" x14ac:dyDescent="0.25">
      <c r="A23" s="520"/>
      <c r="B23" s="521"/>
      <c r="C23" s="521"/>
      <c r="D23" s="521"/>
      <c r="E23" s="521"/>
      <c r="F23" s="521"/>
      <c r="G23" s="521"/>
      <c r="H23" s="521"/>
      <c r="I23" s="522"/>
    </row>
    <row r="24" spans="1:9" x14ac:dyDescent="0.25">
      <c r="A24" s="502" t="s">
        <v>762</v>
      </c>
      <c r="B24" s="502"/>
      <c r="C24" s="502"/>
      <c r="D24" s="502"/>
      <c r="E24" s="502"/>
      <c r="F24" s="502"/>
      <c r="G24" s="502"/>
      <c r="H24" s="502"/>
      <c r="I24" s="502"/>
    </row>
    <row r="25" spans="1:9" x14ac:dyDescent="0.25">
      <c r="A25" s="519" t="s">
        <v>772</v>
      </c>
      <c r="B25" s="519"/>
      <c r="C25" s="519"/>
      <c r="D25" s="519"/>
      <c r="E25" s="519"/>
      <c r="F25" s="519"/>
      <c r="G25" s="519"/>
      <c r="H25" s="519"/>
      <c r="I25" s="144">
        <f>I10</f>
        <v>0</v>
      </c>
    </row>
    <row r="26" spans="1:9" x14ac:dyDescent="0.25">
      <c r="A26" s="519" t="s">
        <v>773</v>
      </c>
      <c r="B26" s="519"/>
      <c r="C26" s="519"/>
      <c r="D26" s="519"/>
      <c r="E26" s="519"/>
      <c r="F26" s="519"/>
      <c r="G26" s="519"/>
      <c r="H26" s="519"/>
      <c r="I26" s="144">
        <f>I16</f>
        <v>4745.6066666666666</v>
      </c>
    </row>
    <row r="27" spans="1:9" x14ac:dyDescent="0.25">
      <c r="A27" s="519" t="s">
        <v>811</v>
      </c>
      <c r="B27" s="519"/>
      <c r="C27" s="519"/>
      <c r="D27" s="519"/>
      <c r="E27" s="519"/>
      <c r="F27" s="519"/>
      <c r="G27" s="519"/>
      <c r="H27" s="519"/>
      <c r="I27" s="144">
        <f>I17</f>
        <v>0</v>
      </c>
    </row>
    <row r="28" spans="1:9" x14ac:dyDescent="0.25">
      <c r="A28" s="519" t="s">
        <v>812</v>
      </c>
      <c r="B28" s="519"/>
      <c r="C28" s="519"/>
      <c r="D28" s="519"/>
      <c r="E28" s="519"/>
      <c r="F28" s="519"/>
      <c r="G28" s="519"/>
      <c r="H28" s="519"/>
      <c r="I28" s="151">
        <f>SUM(I26:I26)</f>
        <v>4745.6066666666666</v>
      </c>
    </row>
  </sheetData>
  <mergeCells count="23">
    <mergeCell ref="A24:I24"/>
    <mergeCell ref="A25:H25"/>
    <mergeCell ref="A26:H26"/>
    <mergeCell ref="A27:H27"/>
    <mergeCell ref="A28:H28"/>
    <mergeCell ref="A23:I23"/>
    <mergeCell ref="C9:D9"/>
    <mergeCell ref="A10:H10"/>
    <mergeCell ref="A12:I12"/>
    <mergeCell ref="C13:E13"/>
    <mergeCell ref="C14:E14"/>
    <mergeCell ref="C15:E15"/>
    <mergeCell ref="A16:H16"/>
    <mergeCell ref="A19:I19"/>
    <mergeCell ref="C20:E20"/>
    <mergeCell ref="C21:E21"/>
    <mergeCell ref="A22:H22"/>
    <mergeCell ref="C8:E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106" zoomScaleNormal="100" zoomScaleSheetLayoutView="106" workbookViewId="0">
      <selection activeCell="I3" sqref="I3"/>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1118</v>
      </c>
    </row>
    <row r="5" spans="1:9" x14ac:dyDescent="0.25">
      <c r="A5" s="505" t="s">
        <v>1063</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2" t="s">
        <v>1057</v>
      </c>
      <c r="B7" s="502"/>
      <c r="C7" s="502"/>
      <c r="D7" s="502"/>
      <c r="E7" s="502"/>
      <c r="F7" s="502"/>
      <c r="G7" s="502"/>
      <c r="H7" s="502"/>
      <c r="I7" s="502"/>
    </row>
    <row r="8" spans="1:9" x14ac:dyDescent="0.25">
      <c r="A8" s="114" t="s">
        <v>746</v>
      </c>
      <c r="B8" s="215" t="s">
        <v>9</v>
      </c>
      <c r="C8" s="511" t="s">
        <v>747</v>
      </c>
      <c r="D8" s="511"/>
      <c r="E8" s="511"/>
      <c r="F8" s="215" t="s">
        <v>748</v>
      </c>
      <c r="G8" s="115" t="s">
        <v>749</v>
      </c>
      <c r="H8" s="116" t="s">
        <v>750</v>
      </c>
      <c r="I8" s="117" t="s">
        <v>751</v>
      </c>
    </row>
    <row r="9" spans="1:9" x14ac:dyDescent="0.25">
      <c r="A9" s="147"/>
      <c r="B9" s="147"/>
      <c r="C9" s="533"/>
      <c r="D9" s="534"/>
      <c r="E9" s="122"/>
      <c r="F9" s="213"/>
      <c r="G9" s="119"/>
      <c r="H9" s="123"/>
      <c r="I9" s="155"/>
    </row>
    <row r="10" spans="1:9" x14ac:dyDescent="0.25">
      <c r="A10" s="147"/>
      <c r="B10" s="147"/>
      <c r="C10" s="512"/>
      <c r="D10" s="513"/>
      <c r="E10" s="122"/>
      <c r="F10" s="213"/>
      <c r="G10" s="119"/>
      <c r="H10" s="123"/>
      <c r="I10" s="155"/>
    </row>
    <row r="11" spans="1:9" x14ac:dyDescent="0.25">
      <c r="A11" s="514" t="s">
        <v>753</v>
      </c>
      <c r="B11" s="514"/>
      <c r="C11" s="514"/>
      <c r="D11" s="514"/>
      <c r="E11" s="514"/>
      <c r="F11" s="514"/>
      <c r="G11" s="514"/>
      <c r="H11" s="514"/>
      <c r="I11" s="125">
        <f>I9+I10</f>
        <v>0</v>
      </c>
    </row>
    <row r="12" spans="1:9" x14ac:dyDescent="0.25">
      <c r="A12" s="212"/>
      <c r="B12" s="212"/>
      <c r="C12" s="212"/>
      <c r="D12" s="212"/>
      <c r="E12" s="212"/>
      <c r="F12" s="212"/>
      <c r="G12" s="212"/>
      <c r="H12" s="212"/>
      <c r="I12" s="125"/>
    </row>
    <row r="13" spans="1:9" x14ac:dyDescent="0.25">
      <c r="A13" s="502" t="s">
        <v>759</v>
      </c>
      <c r="B13" s="502"/>
      <c r="C13" s="502"/>
      <c r="D13" s="502"/>
      <c r="E13" s="502"/>
      <c r="F13" s="502"/>
      <c r="G13" s="502"/>
      <c r="H13" s="502"/>
      <c r="I13" s="502"/>
    </row>
    <row r="14" spans="1:9" x14ac:dyDescent="0.25">
      <c r="A14" s="114" t="s">
        <v>746</v>
      </c>
      <c r="B14" s="215" t="s">
        <v>9</v>
      </c>
      <c r="C14" s="511" t="s">
        <v>747</v>
      </c>
      <c r="D14" s="511"/>
      <c r="E14" s="511"/>
      <c r="F14" s="215" t="s">
        <v>748</v>
      </c>
      <c r="G14" s="115" t="s">
        <v>749</v>
      </c>
      <c r="H14" s="116" t="s">
        <v>750</v>
      </c>
      <c r="I14" s="117" t="s">
        <v>751</v>
      </c>
    </row>
    <row r="15" spans="1:9" x14ac:dyDescent="0.25">
      <c r="A15" s="132" t="s">
        <v>1068</v>
      </c>
      <c r="B15" s="118"/>
      <c r="C15" s="515" t="s">
        <v>1059</v>
      </c>
      <c r="D15" s="515"/>
      <c r="E15" s="515"/>
      <c r="F15" s="132" t="s">
        <v>748</v>
      </c>
      <c r="G15" s="158">
        <v>1</v>
      </c>
      <c r="H15" s="133">
        <f>[1]COTAÇÕES!P14</f>
        <v>2880.6666666666665</v>
      </c>
      <c r="I15" s="120">
        <f>H15*G15</f>
        <v>2880.6666666666665</v>
      </c>
    </row>
    <row r="16" spans="1:9" ht="46.5" customHeight="1" x14ac:dyDescent="0.25">
      <c r="A16" s="132" t="s">
        <v>1064</v>
      </c>
      <c r="B16" s="118" t="s">
        <v>849</v>
      </c>
      <c r="C16" s="528" t="s">
        <v>1065</v>
      </c>
      <c r="D16" s="529"/>
      <c r="E16" s="530"/>
      <c r="F16" s="132" t="s">
        <v>748</v>
      </c>
      <c r="G16" s="158">
        <v>1</v>
      </c>
      <c r="H16" s="133">
        <v>2088.1999999999998</v>
      </c>
      <c r="I16" s="120">
        <f>G16*H16</f>
        <v>2088.1999999999998</v>
      </c>
    </row>
    <row r="17" spans="1:9" x14ac:dyDescent="0.25">
      <c r="A17" s="514" t="s">
        <v>757</v>
      </c>
      <c r="B17" s="514"/>
      <c r="C17" s="514"/>
      <c r="D17" s="514"/>
      <c r="E17" s="514"/>
      <c r="F17" s="514"/>
      <c r="G17" s="514"/>
      <c r="H17" s="514"/>
      <c r="I17" s="143">
        <f>SUM(I15:I16)</f>
        <v>4968.8666666666668</v>
      </c>
    </row>
    <row r="18" spans="1:9" x14ac:dyDescent="0.25">
      <c r="A18" s="212"/>
      <c r="B18" s="212"/>
      <c r="C18" s="212"/>
      <c r="D18" s="212"/>
      <c r="E18" s="212"/>
      <c r="F18" s="212"/>
      <c r="G18" s="212"/>
      <c r="H18" s="212"/>
      <c r="I18" s="125"/>
    </row>
    <row r="19" spans="1:9" x14ac:dyDescent="0.25">
      <c r="A19" s="212"/>
      <c r="B19" s="212"/>
      <c r="C19" s="212"/>
      <c r="D19" s="212"/>
      <c r="E19" s="212"/>
      <c r="F19" s="212"/>
      <c r="G19" s="212"/>
      <c r="H19" s="212"/>
      <c r="I19" s="125"/>
    </row>
    <row r="20" spans="1:9" x14ac:dyDescent="0.25">
      <c r="A20" s="517" t="s">
        <v>769</v>
      </c>
      <c r="B20" s="517"/>
      <c r="C20" s="517"/>
      <c r="D20" s="517"/>
      <c r="E20" s="517"/>
      <c r="F20" s="517"/>
      <c r="G20" s="517"/>
      <c r="H20" s="517"/>
      <c r="I20" s="517"/>
    </row>
    <row r="21" spans="1:9" x14ac:dyDescent="0.25">
      <c r="A21" s="121"/>
      <c r="B21" s="213"/>
      <c r="C21" s="518" t="s">
        <v>747</v>
      </c>
      <c r="D21" s="518"/>
      <c r="E21" s="518"/>
      <c r="F21" s="213" t="s">
        <v>748</v>
      </c>
      <c r="G21" s="126" t="s">
        <v>749</v>
      </c>
      <c r="H21" s="123" t="s">
        <v>750</v>
      </c>
      <c r="I21" s="124" t="s">
        <v>751</v>
      </c>
    </row>
    <row r="22" spans="1:9" x14ac:dyDescent="0.25">
      <c r="A22" s="127"/>
      <c r="B22" s="127"/>
      <c r="C22" s="508"/>
      <c r="D22" s="509"/>
      <c r="E22" s="510"/>
      <c r="F22" s="128"/>
      <c r="G22" s="128"/>
      <c r="H22" s="129"/>
      <c r="I22" s="130"/>
    </row>
    <row r="23" spans="1:9" x14ac:dyDescent="0.25">
      <c r="A23" s="514" t="s">
        <v>758</v>
      </c>
      <c r="B23" s="514"/>
      <c r="C23" s="514"/>
      <c r="D23" s="514"/>
      <c r="E23" s="514"/>
      <c r="F23" s="514"/>
      <c r="G23" s="514"/>
      <c r="H23" s="514"/>
      <c r="I23" s="131">
        <f>I22</f>
        <v>0</v>
      </c>
    </row>
    <row r="24" spans="1:9" x14ac:dyDescent="0.25">
      <c r="A24" s="520"/>
      <c r="B24" s="521"/>
      <c r="C24" s="521"/>
      <c r="D24" s="521"/>
      <c r="E24" s="521"/>
      <c r="F24" s="521"/>
      <c r="G24" s="521"/>
      <c r="H24" s="521"/>
      <c r="I24" s="522"/>
    </row>
    <row r="25" spans="1:9" x14ac:dyDescent="0.25">
      <c r="A25" s="502" t="s">
        <v>762</v>
      </c>
      <c r="B25" s="502"/>
      <c r="C25" s="502"/>
      <c r="D25" s="502"/>
      <c r="E25" s="502"/>
      <c r="F25" s="502"/>
      <c r="G25" s="502"/>
      <c r="H25" s="502"/>
      <c r="I25" s="502"/>
    </row>
    <row r="26" spans="1:9" x14ac:dyDescent="0.25">
      <c r="A26" s="519" t="s">
        <v>772</v>
      </c>
      <c r="B26" s="519"/>
      <c r="C26" s="519"/>
      <c r="D26" s="519"/>
      <c r="E26" s="519"/>
      <c r="F26" s="519"/>
      <c r="G26" s="519"/>
      <c r="H26" s="519"/>
      <c r="I26" s="144">
        <f>I11</f>
        <v>0</v>
      </c>
    </row>
    <row r="27" spans="1:9" x14ac:dyDescent="0.25">
      <c r="A27" s="519" t="s">
        <v>773</v>
      </c>
      <c r="B27" s="519"/>
      <c r="C27" s="519"/>
      <c r="D27" s="519"/>
      <c r="E27" s="519"/>
      <c r="F27" s="519"/>
      <c r="G27" s="519"/>
      <c r="H27" s="519"/>
      <c r="I27" s="144">
        <f>I17</f>
        <v>4968.8666666666668</v>
      </c>
    </row>
    <row r="28" spans="1:9" x14ac:dyDescent="0.25">
      <c r="A28" s="519" t="s">
        <v>811</v>
      </c>
      <c r="B28" s="519"/>
      <c r="C28" s="519"/>
      <c r="D28" s="519"/>
      <c r="E28" s="519"/>
      <c r="F28" s="519"/>
      <c r="G28" s="519"/>
      <c r="H28" s="519"/>
      <c r="I28" s="144">
        <f>I18</f>
        <v>0</v>
      </c>
    </row>
    <row r="29" spans="1:9" x14ac:dyDescent="0.25">
      <c r="A29" s="519" t="s">
        <v>812</v>
      </c>
      <c r="B29" s="519"/>
      <c r="C29" s="519"/>
      <c r="D29" s="519"/>
      <c r="E29" s="519"/>
      <c r="F29" s="519"/>
      <c r="G29" s="519"/>
      <c r="H29" s="519"/>
      <c r="I29" s="151">
        <f>SUM(I27:I27)</f>
        <v>4968.8666666666668</v>
      </c>
    </row>
  </sheetData>
  <mergeCells count="24">
    <mergeCell ref="A29:H29"/>
    <mergeCell ref="C16:E16"/>
    <mergeCell ref="A17:H17"/>
    <mergeCell ref="A20:I20"/>
    <mergeCell ref="C21:E21"/>
    <mergeCell ref="C22:E22"/>
    <mergeCell ref="A23:H23"/>
    <mergeCell ref="A24:I24"/>
    <mergeCell ref="A25:I25"/>
    <mergeCell ref="A26:H26"/>
    <mergeCell ref="A27:H27"/>
    <mergeCell ref="A28:H28"/>
    <mergeCell ref="C15:E15"/>
    <mergeCell ref="A1:H4"/>
    <mergeCell ref="I1:I2"/>
    <mergeCell ref="A5:H6"/>
    <mergeCell ref="I5:I6"/>
    <mergeCell ref="A7:I7"/>
    <mergeCell ref="C8:E8"/>
    <mergeCell ref="C9:D9"/>
    <mergeCell ref="C10:D10"/>
    <mergeCell ref="A11:H11"/>
    <mergeCell ref="A13:I13"/>
    <mergeCell ref="C14:E14"/>
  </mergeCells>
  <pageMargins left="0.511811024" right="0.511811024" top="0.78740157499999996" bottom="0.78740157499999996" header="0.31496062000000002" footer="0.31496062000000002"/>
  <pageSetup paperSize="9" scale="76"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100" zoomScaleSheetLayoutView="100" workbookViewId="0">
      <selection activeCell="I3" sqref="I3"/>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1171</v>
      </c>
    </row>
    <row r="5" spans="1:9" x14ac:dyDescent="0.25">
      <c r="A5" s="505" t="s">
        <v>1067</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2" t="s">
        <v>1057</v>
      </c>
      <c r="B7" s="502"/>
      <c r="C7" s="502"/>
      <c r="D7" s="502"/>
      <c r="E7" s="502"/>
      <c r="F7" s="502"/>
      <c r="G7" s="502"/>
      <c r="H7" s="502"/>
      <c r="I7" s="502"/>
    </row>
    <row r="8" spans="1:9" x14ac:dyDescent="0.25">
      <c r="A8" s="114" t="s">
        <v>746</v>
      </c>
      <c r="B8" s="215" t="s">
        <v>9</v>
      </c>
      <c r="C8" s="511" t="s">
        <v>747</v>
      </c>
      <c r="D8" s="511"/>
      <c r="E8" s="511"/>
      <c r="F8" s="215" t="s">
        <v>748</v>
      </c>
      <c r="G8" s="115" t="s">
        <v>749</v>
      </c>
      <c r="H8" s="116" t="s">
        <v>750</v>
      </c>
      <c r="I8" s="117" t="s">
        <v>751</v>
      </c>
    </row>
    <row r="9" spans="1:9" x14ac:dyDescent="0.25">
      <c r="A9" s="147"/>
      <c r="B9" s="147"/>
      <c r="C9" s="533"/>
      <c r="D9" s="534"/>
      <c r="E9" s="122"/>
      <c r="F9" s="213"/>
      <c r="G9" s="119"/>
      <c r="H9" s="123"/>
      <c r="I9" s="155"/>
    </row>
    <row r="10" spans="1:9" x14ac:dyDescent="0.25">
      <c r="A10" s="147"/>
      <c r="B10" s="147"/>
      <c r="C10" s="512"/>
      <c r="D10" s="513"/>
      <c r="E10" s="122"/>
      <c r="F10" s="213"/>
      <c r="G10" s="119"/>
      <c r="H10" s="123"/>
      <c r="I10" s="155"/>
    </row>
    <row r="11" spans="1:9" x14ac:dyDescent="0.25">
      <c r="A11" s="514" t="s">
        <v>753</v>
      </c>
      <c r="B11" s="514"/>
      <c r="C11" s="514"/>
      <c r="D11" s="514"/>
      <c r="E11" s="514"/>
      <c r="F11" s="514"/>
      <c r="G11" s="514"/>
      <c r="H11" s="514"/>
      <c r="I11" s="125">
        <f>I9+I10</f>
        <v>0</v>
      </c>
    </row>
    <row r="12" spans="1:9" x14ac:dyDescent="0.25">
      <c r="A12" s="212"/>
      <c r="B12" s="212"/>
      <c r="C12" s="212"/>
      <c r="D12" s="212"/>
      <c r="E12" s="212"/>
      <c r="F12" s="212"/>
      <c r="G12" s="212"/>
      <c r="H12" s="212"/>
      <c r="I12" s="125"/>
    </row>
    <row r="13" spans="1:9" x14ac:dyDescent="0.25">
      <c r="A13" s="502" t="s">
        <v>759</v>
      </c>
      <c r="B13" s="502"/>
      <c r="C13" s="502"/>
      <c r="D13" s="502"/>
      <c r="E13" s="502"/>
      <c r="F13" s="502"/>
      <c r="G13" s="502"/>
      <c r="H13" s="502"/>
      <c r="I13" s="502"/>
    </row>
    <row r="14" spans="1:9" x14ac:dyDescent="0.25">
      <c r="A14" s="114" t="s">
        <v>746</v>
      </c>
      <c r="B14" s="215" t="s">
        <v>9</v>
      </c>
      <c r="C14" s="511" t="s">
        <v>747</v>
      </c>
      <c r="D14" s="511"/>
      <c r="E14" s="511"/>
      <c r="F14" s="215" t="s">
        <v>748</v>
      </c>
      <c r="G14" s="115" t="s">
        <v>749</v>
      </c>
      <c r="H14" s="116" t="s">
        <v>750</v>
      </c>
      <c r="I14" s="117" t="s">
        <v>751</v>
      </c>
    </row>
    <row r="15" spans="1:9" x14ac:dyDescent="0.25">
      <c r="A15" s="132" t="s">
        <v>1173</v>
      </c>
      <c r="B15" s="118"/>
      <c r="C15" s="515" t="s">
        <v>1069</v>
      </c>
      <c r="D15" s="515"/>
      <c r="E15" s="515"/>
      <c r="F15" s="132" t="s">
        <v>748</v>
      </c>
      <c r="G15" s="158">
        <v>1</v>
      </c>
      <c r="H15" s="133">
        <f>[1]COTAÇÕES!P15</f>
        <v>2897.3333333333335</v>
      </c>
      <c r="I15" s="120">
        <f>H15*G15</f>
        <v>2897.3333333333335</v>
      </c>
    </row>
    <row r="16" spans="1:9" ht="46.5" customHeight="1" x14ac:dyDescent="0.25">
      <c r="A16" s="132" t="s">
        <v>1070</v>
      </c>
      <c r="B16" s="118" t="s">
        <v>849</v>
      </c>
      <c r="C16" s="528" t="s">
        <v>1071</v>
      </c>
      <c r="D16" s="529"/>
      <c r="E16" s="530"/>
      <c r="F16" s="132" t="s">
        <v>748</v>
      </c>
      <c r="G16" s="158">
        <v>1</v>
      </c>
      <c r="H16" s="133">
        <v>3100</v>
      </c>
      <c r="I16" s="120">
        <f>H16*G16</f>
        <v>3100</v>
      </c>
    </row>
    <row r="17" spans="1:9" x14ac:dyDescent="0.25">
      <c r="A17" s="514" t="s">
        <v>757</v>
      </c>
      <c r="B17" s="514"/>
      <c r="C17" s="514"/>
      <c r="D17" s="514"/>
      <c r="E17" s="514"/>
      <c r="F17" s="514"/>
      <c r="G17" s="514"/>
      <c r="H17" s="514"/>
      <c r="I17" s="143">
        <f>SUM(I15:I16)</f>
        <v>5997.3333333333339</v>
      </c>
    </row>
    <row r="18" spans="1:9" x14ac:dyDescent="0.25">
      <c r="A18" s="212"/>
      <c r="B18" s="212"/>
      <c r="C18" s="212"/>
      <c r="D18" s="212"/>
      <c r="E18" s="212"/>
      <c r="F18" s="212"/>
      <c r="G18" s="212"/>
      <c r="H18" s="212"/>
      <c r="I18" s="125"/>
    </row>
    <row r="19" spans="1:9" x14ac:dyDescent="0.25">
      <c r="A19" s="212"/>
      <c r="B19" s="212"/>
      <c r="C19" s="212"/>
      <c r="D19" s="212"/>
      <c r="E19" s="212"/>
      <c r="F19" s="212"/>
      <c r="G19" s="212"/>
      <c r="H19" s="212"/>
      <c r="I19" s="125"/>
    </row>
    <row r="20" spans="1:9" x14ac:dyDescent="0.25">
      <c r="A20" s="517" t="s">
        <v>769</v>
      </c>
      <c r="B20" s="517"/>
      <c r="C20" s="517"/>
      <c r="D20" s="517"/>
      <c r="E20" s="517"/>
      <c r="F20" s="517"/>
      <c r="G20" s="517"/>
      <c r="H20" s="517"/>
      <c r="I20" s="517"/>
    </row>
    <row r="21" spans="1:9" x14ac:dyDescent="0.25">
      <c r="A21" s="121"/>
      <c r="B21" s="213"/>
      <c r="C21" s="518" t="s">
        <v>747</v>
      </c>
      <c r="D21" s="518"/>
      <c r="E21" s="518"/>
      <c r="F21" s="213" t="s">
        <v>748</v>
      </c>
      <c r="G21" s="126" t="s">
        <v>749</v>
      </c>
      <c r="H21" s="123" t="s">
        <v>750</v>
      </c>
      <c r="I21" s="124" t="s">
        <v>751</v>
      </c>
    </row>
    <row r="22" spans="1:9" x14ac:dyDescent="0.25">
      <c r="A22" s="127"/>
      <c r="B22" s="127"/>
      <c r="C22" s="508"/>
      <c r="D22" s="509"/>
      <c r="E22" s="510"/>
      <c r="F22" s="128"/>
      <c r="G22" s="128"/>
      <c r="H22" s="129"/>
      <c r="I22" s="130"/>
    </row>
    <row r="23" spans="1:9" x14ac:dyDescent="0.25">
      <c r="A23" s="514" t="s">
        <v>758</v>
      </c>
      <c r="B23" s="514"/>
      <c r="C23" s="514"/>
      <c r="D23" s="514"/>
      <c r="E23" s="514"/>
      <c r="F23" s="514"/>
      <c r="G23" s="514"/>
      <c r="H23" s="514"/>
      <c r="I23" s="131">
        <f>I22</f>
        <v>0</v>
      </c>
    </row>
    <row r="24" spans="1:9" x14ac:dyDescent="0.25">
      <c r="A24" s="520"/>
      <c r="B24" s="521"/>
      <c r="C24" s="521"/>
      <c r="D24" s="521"/>
      <c r="E24" s="521"/>
      <c r="F24" s="521"/>
      <c r="G24" s="521"/>
      <c r="H24" s="521"/>
      <c r="I24" s="522"/>
    </row>
    <row r="25" spans="1:9" x14ac:dyDescent="0.25">
      <c r="A25" s="502" t="s">
        <v>762</v>
      </c>
      <c r="B25" s="502"/>
      <c r="C25" s="502"/>
      <c r="D25" s="502"/>
      <c r="E25" s="502"/>
      <c r="F25" s="502"/>
      <c r="G25" s="502"/>
      <c r="H25" s="502"/>
      <c r="I25" s="502"/>
    </row>
    <row r="26" spans="1:9" x14ac:dyDescent="0.25">
      <c r="A26" s="519" t="s">
        <v>772</v>
      </c>
      <c r="B26" s="519"/>
      <c r="C26" s="519"/>
      <c r="D26" s="519"/>
      <c r="E26" s="519"/>
      <c r="F26" s="519"/>
      <c r="G26" s="519"/>
      <c r="H26" s="519"/>
      <c r="I26" s="144">
        <f>I11</f>
        <v>0</v>
      </c>
    </row>
    <row r="27" spans="1:9" x14ac:dyDescent="0.25">
      <c r="A27" s="519" t="s">
        <v>773</v>
      </c>
      <c r="B27" s="519"/>
      <c r="C27" s="519"/>
      <c r="D27" s="519"/>
      <c r="E27" s="519"/>
      <c r="F27" s="519"/>
      <c r="G27" s="519"/>
      <c r="H27" s="519"/>
      <c r="I27" s="144">
        <f>I17</f>
        <v>5997.3333333333339</v>
      </c>
    </row>
    <row r="28" spans="1:9" x14ac:dyDescent="0.25">
      <c r="A28" s="519" t="s">
        <v>811</v>
      </c>
      <c r="B28" s="519"/>
      <c r="C28" s="519"/>
      <c r="D28" s="519"/>
      <c r="E28" s="519"/>
      <c r="F28" s="519"/>
      <c r="G28" s="519"/>
      <c r="H28" s="519"/>
      <c r="I28" s="144">
        <f>I18</f>
        <v>0</v>
      </c>
    </row>
    <row r="29" spans="1:9" x14ac:dyDescent="0.25">
      <c r="A29" s="519" t="s">
        <v>812</v>
      </c>
      <c r="B29" s="519"/>
      <c r="C29" s="519"/>
      <c r="D29" s="519"/>
      <c r="E29" s="519"/>
      <c r="F29" s="519"/>
      <c r="G29" s="519"/>
      <c r="H29" s="519"/>
      <c r="I29" s="151">
        <f>SUM(I27:I27)</f>
        <v>5997.3333333333339</v>
      </c>
    </row>
  </sheetData>
  <mergeCells count="24">
    <mergeCell ref="A29:H29"/>
    <mergeCell ref="C16:E16"/>
    <mergeCell ref="A17:H17"/>
    <mergeCell ref="A20:I20"/>
    <mergeCell ref="C21:E21"/>
    <mergeCell ref="C22:E22"/>
    <mergeCell ref="A23:H23"/>
    <mergeCell ref="A24:I24"/>
    <mergeCell ref="A25:I25"/>
    <mergeCell ref="A26:H26"/>
    <mergeCell ref="A27:H27"/>
    <mergeCell ref="A28:H28"/>
    <mergeCell ref="C15:E15"/>
    <mergeCell ref="A1:H4"/>
    <mergeCell ref="I1:I2"/>
    <mergeCell ref="A5:H6"/>
    <mergeCell ref="I5:I6"/>
    <mergeCell ref="A7:I7"/>
    <mergeCell ref="C8:E8"/>
    <mergeCell ref="C9:D9"/>
    <mergeCell ref="C10:D10"/>
    <mergeCell ref="A11:H11"/>
    <mergeCell ref="A13:I13"/>
    <mergeCell ref="C14:E14"/>
  </mergeCells>
  <pageMargins left="0.511811024" right="0.511811024" top="0.78740157499999996" bottom="0.78740157499999996" header="0.31496062000000002" footer="0.31496062000000002"/>
  <pageSetup paperSize="9" scale="76"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98" zoomScaleNormal="100" zoomScaleSheetLayoutView="98" workbookViewId="0">
      <selection activeCell="I3" sqref="I3"/>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16" t="s">
        <v>1188</v>
      </c>
    </row>
    <row r="5" spans="1:9" x14ac:dyDescent="0.25">
      <c r="A5" s="505" t="s">
        <v>1073</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2" t="s">
        <v>1057</v>
      </c>
      <c r="B7" s="502"/>
      <c r="C7" s="502"/>
      <c r="D7" s="502"/>
      <c r="E7" s="502"/>
      <c r="F7" s="502"/>
      <c r="G7" s="502"/>
      <c r="H7" s="502"/>
      <c r="I7" s="502"/>
    </row>
    <row r="8" spans="1:9" x14ac:dyDescent="0.25">
      <c r="A8" s="114" t="s">
        <v>746</v>
      </c>
      <c r="B8" s="215" t="s">
        <v>9</v>
      </c>
      <c r="C8" s="511" t="s">
        <v>747</v>
      </c>
      <c r="D8" s="511"/>
      <c r="E8" s="511"/>
      <c r="F8" s="215" t="s">
        <v>748</v>
      </c>
      <c r="G8" s="115" t="s">
        <v>749</v>
      </c>
      <c r="H8" s="116" t="s">
        <v>750</v>
      </c>
      <c r="I8" s="117" t="s">
        <v>751</v>
      </c>
    </row>
    <row r="9" spans="1:9" x14ac:dyDescent="0.25">
      <c r="A9" s="147"/>
      <c r="B9" s="147"/>
      <c r="C9" s="533"/>
      <c r="D9" s="534"/>
      <c r="E9" s="122"/>
      <c r="F9" s="213"/>
      <c r="G9" s="119"/>
      <c r="H9" s="123"/>
      <c r="I9" s="155"/>
    </row>
    <row r="10" spans="1:9" x14ac:dyDescent="0.25">
      <c r="A10" s="147"/>
      <c r="B10" s="147"/>
      <c r="C10" s="512"/>
      <c r="D10" s="513"/>
      <c r="E10" s="122"/>
      <c r="F10" s="213"/>
      <c r="G10" s="119"/>
      <c r="H10" s="123"/>
      <c r="I10" s="155"/>
    </row>
    <row r="11" spans="1:9" x14ac:dyDescent="0.25">
      <c r="A11" s="514" t="s">
        <v>753</v>
      </c>
      <c r="B11" s="514"/>
      <c r="C11" s="514"/>
      <c r="D11" s="514"/>
      <c r="E11" s="514"/>
      <c r="F11" s="514"/>
      <c r="G11" s="514"/>
      <c r="H11" s="514"/>
      <c r="I11" s="125">
        <f>I9+I10</f>
        <v>0</v>
      </c>
    </row>
    <row r="12" spans="1:9" x14ac:dyDescent="0.25">
      <c r="A12" s="212"/>
      <c r="B12" s="212"/>
      <c r="C12" s="212"/>
      <c r="D12" s="212"/>
      <c r="E12" s="212"/>
      <c r="F12" s="212"/>
      <c r="G12" s="212"/>
      <c r="H12" s="212"/>
      <c r="I12" s="125"/>
    </row>
    <row r="13" spans="1:9" x14ac:dyDescent="0.25">
      <c r="A13" s="502" t="s">
        <v>759</v>
      </c>
      <c r="B13" s="502"/>
      <c r="C13" s="502"/>
      <c r="D13" s="502"/>
      <c r="E13" s="502"/>
      <c r="F13" s="502"/>
      <c r="G13" s="502"/>
      <c r="H13" s="502"/>
      <c r="I13" s="502"/>
    </row>
    <row r="14" spans="1:9" x14ac:dyDescent="0.25">
      <c r="A14" s="114" t="s">
        <v>746</v>
      </c>
      <c r="B14" s="215" t="s">
        <v>9</v>
      </c>
      <c r="C14" s="511" t="s">
        <v>747</v>
      </c>
      <c r="D14" s="511"/>
      <c r="E14" s="511"/>
      <c r="F14" s="215" t="s">
        <v>748</v>
      </c>
      <c r="G14" s="115" t="s">
        <v>749</v>
      </c>
      <c r="H14" s="116" t="s">
        <v>750</v>
      </c>
      <c r="I14" s="117" t="s">
        <v>751</v>
      </c>
    </row>
    <row r="15" spans="1:9" x14ac:dyDescent="0.25">
      <c r="A15" s="132" t="s">
        <v>1173</v>
      </c>
      <c r="B15" s="118"/>
      <c r="C15" s="515" t="s">
        <v>1069</v>
      </c>
      <c r="D15" s="515"/>
      <c r="E15" s="515"/>
      <c r="F15" s="132" t="s">
        <v>748</v>
      </c>
      <c r="G15" s="158">
        <v>1</v>
      </c>
      <c r="H15" s="133">
        <f>[1]COTAÇÕES!P15</f>
        <v>2897.3333333333335</v>
      </c>
      <c r="I15" s="120">
        <f>H15*G15</f>
        <v>2897.3333333333335</v>
      </c>
    </row>
    <row r="16" spans="1:9" ht="43.5" customHeight="1" x14ac:dyDescent="0.25">
      <c r="A16" s="132" t="s">
        <v>1074</v>
      </c>
      <c r="B16" s="118" t="s">
        <v>849</v>
      </c>
      <c r="C16" s="528" t="s">
        <v>1075</v>
      </c>
      <c r="D16" s="529"/>
      <c r="E16" s="530"/>
      <c r="F16" s="132" t="s">
        <v>748</v>
      </c>
      <c r="G16" s="158">
        <v>1</v>
      </c>
      <c r="H16" s="133">
        <v>4284.49</v>
      </c>
      <c r="I16" s="120">
        <f>H16*G16</f>
        <v>4284.49</v>
      </c>
    </row>
    <row r="17" spans="1:9" x14ac:dyDescent="0.25">
      <c r="A17" s="514" t="s">
        <v>757</v>
      </c>
      <c r="B17" s="514"/>
      <c r="C17" s="514"/>
      <c r="D17" s="514"/>
      <c r="E17" s="514"/>
      <c r="F17" s="514"/>
      <c r="G17" s="514"/>
      <c r="H17" s="514"/>
      <c r="I17" s="143">
        <f>SUM(I15:I16)</f>
        <v>7181.8233333333337</v>
      </c>
    </row>
    <row r="18" spans="1:9" x14ac:dyDescent="0.25">
      <c r="A18" s="212"/>
      <c r="B18" s="212"/>
      <c r="C18" s="212"/>
      <c r="D18" s="212"/>
      <c r="E18" s="212"/>
      <c r="F18" s="212"/>
      <c r="G18" s="212"/>
      <c r="H18" s="212"/>
      <c r="I18" s="125"/>
    </row>
    <row r="19" spans="1:9" x14ac:dyDescent="0.25">
      <c r="A19" s="212"/>
      <c r="B19" s="212"/>
      <c r="C19" s="212"/>
      <c r="D19" s="212"/>
      <c r="E19" s="212"/>
      <c r="F19" s="212"/>
      <c r="G19" s="212"/>
      <c r="H19" s="212"/>
      <c r="I19" s="125"/>
    </row>
    <row r="20" spans="1:9" x14ac:dyDescent="0.25">
      <c r="A20" s="517" t="s">
        <v>769</v>
      </c>
      <c r="B20" s="517"/>
      <c r="C20" s="517"/>
      <c r="D20" s="517"/>
      <c r="E20" s="517"/>
      <c r="F20" s="517"/>
      <c r="G20" s="517"/>
      <c r="H20" s="517"/>
      <c r="I20" s="517"/>
    </row>
    <row r="21" spans="1:9" x14ac:dyDescent="0.25">
      <c r="A21" s="121"/>
      <c r="B21" s="213"/>
      <c r="C21" s="518" t="s">
        <v>747</v>
      </c>
      <c r="D21" s="518"/>
      <c r="E21" s="518"/>
      <c r="F21" s="213" t="s">
        <v>748</v>
      </c>
      <c r="G21" s="126" t="s">
        <v>749</v>
      </c>
      <c r="H21" s="123" t="s">
        <v>750</v>
      </c>
      <c r="I21" s="124" t="s">
        <v>751</v>
      </c>
    </row>
    <row r="22" spans="1:9" x14ac:dyDescent="0.25">
      <c r="A22" s="127"/>
      <c r="B22" s="127"/>
      <c r="C22" s="508"/>
      <c r="D22" s="509"/>
      <c r="E22" s="510"/>
      <c r="F22" s="128"/>
      <c r="G22" s="128"/>
      <c r="H22" s="129"/>
      <c r="I22" s="130"/>
    </row>
    <row r="23" spans="1:9" x14ac:dyDescent="0.25">
      <c r="A23" s="514" t="s">
        <v>758</v>
      </c>
      <c r="B23" s="514"/>
      <c r="C23" s="514"/>
      <c r="D23" s="514"/>
      <c r="E23" s="514"/>
      <c r="F23" s="514"/>
      <c r="G23" s="514"/>
      <c r="H23" s="514"/>
      <c r="I23" s="131">
        <f>I22</f>
        <v>0</v>
      </c>
    </row>
    <row r="24" spans="1:9" x14ac:dyDescent="0.25">
      <c r="A24" s="520"/>
      <c r="B24" s="521"/>
      <c r="C24" s="521"/>
      <c r="D24" s="521"/>
      <c r="E24" s="521"/>
      <c r="F24" s="521"/>
      <c r="G24" s="521"/>
      <c r="H24" s="521"/>
      <c r="I24" s="522"/>
    </row>
    <row r="25" spans="1:9" x14ac:dyDescent="0.25">
      <c r="A25" s="502" t="s">
        <v>762</v>
      </c>
      <c r="B25" s="502"/>
      <c r="C25" s="502"/>
      <c r="D25" s="502"/>
      <c r="E25" s="502"/>
      <c r="F25" s="502"/>
      <c r="G25" s="502"/>
      <c r="H25" s="502"/>
      <c r="I25" s="502"/>
    </row>
    <row r="26" spans="1:9" x14ac:dyDescent="0.25">
      <c r="A26" s="519" t="s">
        <v>772</v>
      </c>
      <c r="B26" s="519"/>
      <c r="C26" s="519"/>
      <c r="D26" s="519"/>
      <c r="E26" s="519"/>
      <c r="F26" s="519"/>
      <c r="G26" s="519"/>
      <c r="H26" s="519"/>
      <c r="I26" s="144">
        <f>I11</f>
        <v>0</v>
      </c>
    </row>
    <row r="27" spans="1:9" x14ac:dyDescent="0.25">
      <c r="A27" s="519" t="s">
        <v>773</v>
      </c>
      <c r="B27" s="519"/>
      <c r="C27" s="519"/>
      <c r="D27" s="519"/>
      <c r="E27" s="519"/>
      <c r="F27" s="519"/>
      <c r="G27" s="519"/>
      <c r="H27" s="519"/>
      <c r="I27" s="144">
        <f>I17</f>
        <v>7181.8233333333337</v>
      </c>
    </row>
    <row r="28" spans="1:9" x14ac:dyDescent="0.25">
      <c r="A28" s="519" t="s">
        <v>758</v>
      </c>
      <c r="B28" s="519"/>
      <c r="C28" s="519"/>
      <c r="D28" s="519"/>
      <c r="E28" s="519"/>
      <c r="F28" s="519"/>
      <c r="G28" s="519"/>
      <c r="H28" s="519"/>
      <c r="I28" s="144">
        <f>I18</f>
        <v>0</v>
      </c>
    </row>
    <row r="29" spans="1:9" x14ac:dyDescent="0.25">
      <c r="A29" s="519" t="s">
        <v>812</v>
      </c>
      <c r="B29" s="519"/>
      <c r="C29" s="519"/>
      <c r="D29" s="519"/>
      <c r="E29" s="519"/>
      <c r="F29" s="519"/>
      <c r="G29" s="519"/>
      <c r="H29" s="519"/>
      <c r="I29" s="151">
        <f>SUM(I27:I27)</f>
        <v>7181.8233333333337</v>
      </c>
    </row>
  </sheetData>
  <mergeCells count="24">
    <mergeCell ref="A29:H29"/>
    <mergeCell ref="C16:E16"/>
    <mergeCell ref="A17:H17"/>
    <mergeCell ref="A20:I20"/>
    <mergeCell ref="C21:E21"/>
    <mergeCell ref="C22:E22"/>
    <mergeCell ref="A23:H23"/>
    <mergeCell ref="A24:I24"/>
    <mergeCell ref="A25:I25"/>
    <mergeCell ref="A26:H26"/>
    <mergeCell ref="A27:H27"/>
    <mergeCell ref="A28:H28"/>
    <mergeCell ref="C15:E15"/>
    <mergeCell ref="A1:H4"/>
    <mergeCell ref="I1:I2"/>
    <mergeCell ref="A5:H6"/>
    <mergeCell ref="I5:I6"/>
    <mergeCell ref="A7:I7"/>
    <mergeCell ref="C8:E8"/>
    <mergeCell ref="C9:D9"/>
    <mergeCell ref="C10:D10"/>
    <mergeCell ref="A11:H11"/>
    <mergeCell ref="A13:I13"/>
    <mergeCell ref="C14:E14"/>
  </mergeCells>
  <pageMargins left="0.511811024" right="0.511811024" top="0.78740157499999996" bottom="0.78740157499999996" header="0.31496062000000002" footer="0.31496062000000002"/>
  <pageSetup paperSize="9" scale="76"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106" zoomScaleNormal="100" zoomScaleSheetLayoutView="106" workbookViewId="0">
      <selection activeCell="I3" sqref="I3"/>
    </sheetView>
  </sheetViews>
  <sheetFormatPr defaultRowHeight="15" x14ac:dyDescent="0.25"/>
  <cols>
    <col min="1" max="1" width="14.28515625" style="145" customWidth="1"/>
    <col min="2" max="2" width="10" style="145" bestFit="1" customWidth="1"/>
    <col min="3" max="3" width="9.140625" style="146"/>
    <col min="4" max="4" width="25.14062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76" t="s">
        <v>1257</v>
      </c>
    </row>
    <row r="5" spans="1:9" x14ac:dyDescent="0.25">
      <c r="A5" s="505" t="s">
        <v>1258</v>
      </c>
      <c r="B5" s="505"/>
      <c r="C5" s="505"/>
      <c r="D5" s="505"/>
      <c r="E5" s="505"/>
      <c r="F5" s="505"/>
      <c r="G5" s="505"/>
      <c r="H5" s="505"/>
      <c r="I5" s="506" t="s">
        <v>1039</v>
      </c>
    </row>
    <row r="6" spans="1:9" x14ac:dyDescent="0.25">
      <c r="A6" s="505"/>
      <c r="B6" s="505"/>
      <c r="C6" s="505"/>
      <c r="D6" s="505"/>
      <c r="E6" s="505"/>
      <c r="F6" s="505"/>
      <c r="G6" s="505"/>
      <c r="H6" s="505"/>
      <c r="I6" s="506"/>
    </row>
    <row r="7" spans="1:9" x14ac:dyDescent="0.25">
      <c r="A7" s="507" t="s">
        <v>1040</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74" t="s">
        <v>9</v>
      </c>
      <c r="C9" s="511" t="s">
        <v>747</v>
      </c>
      <c r="D9" s="511"/>
      <c r="E9" s="511"/>
      <c r="F9" s="274" t="s">
        <v>748</v>
      </c>
      <c r="G9" s="115" t="s">
        <v>749</v>
      </c>
      <c r="H9" s="187" t="s">
        <v>750</v>
      </c>
      <c r="I9" s="117" t="s">
        <v>751</v>
      </c>
    </row>
    <row r="10" spans="1:9" ht="39.75" customHeight="1" x14ac:dyDescent="0.25">
      <c r="A10" s="153" t="s">
        <v>765</v>
      </c>
      <c r="B10" s="147" t="s">
        <v>599</v>
      </c>
      <c r="C10" s="532" t="s">
        <v>1261</v>
      </c>
      <c r="D10" s="524"/>
      <c r="E10" s="122" t="s">
        <v>755</v>
      </c>
      <c r="F10" s="274" t="s">
        <v>752</v>
      </c>
      <c r="G10" s="115">
        <v>0.55000000000000004</v>
      </c>
      <c r="H10" s="185">
        <v>17.850000000000001</v>
      </c>
      <c r="I10" s="155">
        <f>G10*H10</f>
        <v>9.8175000000000008</v>
      </c>
    </row>
    <row r="11" spans="1:9" x14ac:dyDescent="0.25">
      <c r="A11" s="153" t="s">
        <v>766</v>
      </c>
      <c r="B11" s="147" t="s">
        <v>599</v>
      </c>
      <c r="C11" s="523" t="s">
        <v>756</v>
      </c>
      <c r="D11" s="524"/>
      <c r="E11" s="122" t="s">
        <v>755</v>
      </c>
      <c r="F11" s="274" t="s">
        <v>752</v>
      </c>
      <c r="G11" s="115">
        <v>0.42</v>
      </c>
      <c r="H11" s="185">
        <v>13.12</v>
      </c>
      <c r="I11" s="155">
        <f>G11*H11</f>
        <v>5.5103999999999997</v>
      </c>
    </row>
    <row r="12" spans="1:9" x14ac:dyDescent="0.25">
      <c r="A12" s="147"/>
      <c r="B12" s="275"/>
      <c r="C12" s="513"/>
      <c r="D12" s="513"/>
      <c r="E12" s="122"/>
      <c r="F12" s="275"/>
      <c r="G12" s="119"/>
      <c r="H12" s="189"/>
      <c r="I12" s="155"/>
    </row>
    <row r="13" spans="1:9" x14ac:dyDescent="0.25">
      <c r="A13" s="514" t="s">
        <v>753</v>
      </c>
      <c r="B13" s="514"/>
      <c r="C13" s="514"/>
      <c r="D13" s="514"/>
      <c r="E13" s="514"/>
      <c r="F13" s="514"/>
      <c r="G13" s="514"/>
      <c r="H13" s="514"/>
      <c r="I13" s="125">
        <f>I10+I11</f>
        <v>15.3279</v>
      </c>
    </row>
    <row r="14" spans="1:9" x14ac:dyDescent="0.25">
      <c r="A14" s="272"/>
      <c r="B14" s="272"/>
      <c r="C14" s="272"/>
      <c r="D14" s="272"/>
      <c r="E14" s="272"/>
      <c r="F14" s="272"/>
      <c r="G14" s="272"/>
      <c r="H14" s="273"/>
      <c r="I14" s="125"/>
    </row>
    <row r="15" spans="1:9" x14ac:dyDescent="0.25">
      <c r="A15" s="502" t="s">
        <v>759</v>
      </c>
      <c r="B15" s="502"/>
      <c r="C15" s="502"/>
      <c r="D15" s="502"/>
      <c r="E15" s="502"/>
      <c r="F15" s="502"/>
      <c r="G15" s="502"/>
      <c r="H15" s="502"/>
      <c r="I15" s="502"/>
    </row>
    <row r="16" spans="1:9" x14ac:dyDescent="0.25">
      <c r="A16" s="114" t="s">
        <v>746</v>
      </c>
      <c r="B16" s="274" t="s">
        <v>9</v>
      </c>
      <c r="C16" s="511" t="s">
        <v>747</v>
      </c>
      <c r="D16" s="511"/>
      <c r="E16" s="511"/>
      <c r="F16" s="274" t="s">
        <v>748</v>
      </c>
      <c r="G16" s="115" t="s">
        <v>749</v>
      </c>
      <c r="H16" s="187" t="s">
        <v>750</v>
      </c>
      <c r="I16" s="117" t="s">
        <v>751</v>
      </c>
    </row>
    <row r="17" spans="1:9" x14ac:dyDescent="0.25">
      <c r="A17" s="132" t="s">
        <v>1041</v>
      </c>
      <c r="B17" s="118" t="s">
        <v>599</v>
      </c>
      <c r="C17" s="515" t="s">
        <v>1042</v>
      </c>
      <c r="D17" s="515"/>
      <c r="E17" s="515"/>
      <c r="F17" s="132" t="s">
        <v>614</v>
      </c>
      <c r="G17" s="119">
        <v>0.33400000000000002</v>
      </c>
      <c r="H17" s="191">
        <v>3.86</v>
      </c>
      <c r="I17" s="157">
        <f>G17*H17</f>
        <v>1.2892399999999999</v>
      </c>
    </row>
    <row r="18" spans="1:9" x14ac:dyDescent="0.25">
      <c r="A18" s="132" t="s">
        <v>1043</v>
      </c>
      <c r="B18" s="118" t="s">
        <v>599</v>
      </c>
      <c r="C18" s="515" t="s">
        <v>1044</v>
      </c>
      <c r="D18" s="515"/>
      <c r="E18" s="515"/>
      <c r="F18" s="132" t="s">
        <v>614</v>
      </c>
      <c r="G18" s="166">
        <v>7.5</v>
      </c>
      <c r="H18" s="191">
        <v>0.7</v>
      </c>
      <c r="I18" s="157">
        <f>G18*H18</f>
        <v>5.25</v>
      </c>
    </row>
    <row r="19" spans="1:9" ht="30" customHeight="1" x14ac:dyDescent="0.25">
      <c r="A19" s="132" t="s">
        <v>1259</v>
      </c>
      <c r="B19" s="118" t="s">
        <v>849</v>
      </c>
      <c r="C19" s="515" t="s">
        <v>1260</v>
      </c>
      <c r="D19" s="515"/>
      <c r="E19" s="515"/>
      <c r="F19" s="132" t="s">
        <v>24</v>
      </c>
      <c r="G19" s="166">
        <v>1</v>
      </c>
      <c r="H19" s="191">
        <v>56.59</v>
      </c>
      <c r="I19" s="157">
        <f>G19*H19</f>
        <v>56.59</v>
      </c>
    </row>
    <row r="20" spans="1:9" x14ac:dyDescent="0.25">
      <c r="A20" s="138"/>
      <c r="B20" s="138"/>
      <c r="C20" s="516"/>
      <c r="D20" s="516"/>
      <c r="E20" s="516"/>
      <c r="F20" s="139"/>
      <c r="G20" s="140"/>
      <c r="H20" s="193"/>
      <c r="I20" s="142"/>
    </row>
    <row r="21" spans="1:9" x14ac:dyDescent="0.25">
      <c r="A21" s="514" t="s">
        <v>757</v>
      </c>
      <c r="B21" s="514"/>
      <c r="C21" s="514"/>
      <c r="D21" s="514"/>
      <c r="E21" s="514"/>
      <c r="F21" s="514"/>
      <c r="G21" s="514"/>
      <c r="H21" s="514"/>
      <c r="I21" s="143">
        <f>SUM(I17:I20)</f>
        <v>63.129240000000003</v>
      </c>
    </row>
    <row r="22" spans="1:9" x14ac:dyDescent="0.25">
      <c r="A22" s="272"/>
      <c r="B22" s="272"/>
      <c r="C22" s="272"/>
      <c r="D22" s="272"/>
      <c r="E22" s="272"/>
      <c r="F22" s="272"/>
      <c r="G22" s="272"/>
      <c r="H22" s="273"/>
      <c r="I22" s="125"/>
    </row>
    <row r="23" spans="1:9" x14ac:dyDescent="0.25">
      <c r="A23" s="517" t="s">
        <v>769</v>
      </c>
      <c r="B23" s="517"/>
      <c r="C23" s="517"/>
      <c r="D23" s="517"/>
      <c r="E23" s="517"/>
      <c r="F23" s="517"/>
      <c r="G23" s="517"/>
      <c r="H23" s="517"/>
      <c r="I23" s="517"/>
    </row>
    <row r="24" spans="1:9" x14ac:dyDescent="0.25">
      <c r="A24" s="121"/>
      <c r="B24" s="275"/>
      <c r="C24" s="518" t="s">
        <v>747</v>
      </c>
      <c r="D24" s="518"/>
      <c r="E24" s="518"/>
      <c r="F24" s="275" t="s">
        <v>748</v>
      </c>
      <c r="G24" s="126" t="s">
        <v>749</v>
      </c>
      <c r="H24" s="189" t="s">
        <v>750</v>
      </c>
      <c r="I24" s="124" t="s">
        <v>751</v>
      </c>
    </row>
    <row r="25" spans="1:9" x14ac:dyDescent="0.25">
      <c r="A25" s="150"/>
      <c r="B25" s="138"/>
      <c r="C25" s="525"/>
      <c r="D25" s="526"/>
      <c r="E25" s="527"/>
      <c r="F25" s="134"/>
      <c r="G25" s="159"/>
      <c r="H25" s="193"/>
      <c r="I25" s="156"/>
    </row>
    <row r="26" spans="1:9" x14ac:dyDescent="0.25">
      <c r="A26" s="127"/>
      <c r="B26" s="127"/>
      <c r="C26" s="508"/>
      <c r="D26" s="509"/>
      <c r="E26" s="510"/>
      <c r="F26" s="128"/>
      <c r="G26" s="128"/>
      <c r="H26" s="196"/>
      <c r="I26" s="130"/>
    </row>
    <row r="27" spans="1:9" x14ac:dyDescent="0.25">
      <c r="A27" s="514" t="s">
        <v>758</v>
      </c>
      <c r="B27" s="514"/>
      <c r="C27" s="514"/>
      <c r="D27" s="514"/>
      <c r="E27" s="514"/>
      <c r="F27" s="514"/>
      <c r="G27" s="514"/>
      <c r="H27" s="514"/>
      <c r="I27" s="131">
        <f>I25</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I13</f>
        <v>15.3279</v>
      </c>
    </row>
    <row r="31" spans="1:9" x14ac:dyDescent="0.25">
      <c r="A31" s="519" t="s">
        <v>773</v>
      </c>
      <c r="B31" s="519"/>
      <c r="C31" s="519"/>
      <c r="D31" s="519"/>
      <c r="E31" s="519"/>
      <c r="F31" s="519"/>
      <c r="G31" s="519"/>
      <c r="H31" s="519"/>
      <c r="I31" s="144">
        <f>I21</f>
        <v>63.129240000000003</v>
      </c>
    </row>
    <row r="32" spans="1:9" x14ac:dyDescent="0.25">
      <c r="A32" s="519" t="s">
        <v>811</v>
      </c>
      <c r="B32" s="519"/>
      <c r="C32" s="519"/>
      <c r="D32" s="519"/>
      <c r="E32" s="519"/>
      <c r="F32" s="519"/>
      <c r="G32" s="519"/>
      <c r="H32" s="519"/>
      <c r="I32" s="144">
        <f>I27</f>
        <v>0</v>
      </c>
    </row>
    <row r="33" spans="1:9" x14ac:dyDescent="0.25">
      <c r="A33" s="519" t="s">
        <v>812</v>
      </c>
      <c r="B33" s="519"/>
      <c r="C33" s="519"/>
      <c r="D33" s="519"/>
      <c r="E33" s="519"/>
      <c r="F33" s="519"/>
      <c r="G33" s="519"/>
      <c r="H33" s="519"/>
      <c r="I33" s="151">
        <f>SUM(I30:I32)</f>
        <v>78.45714000000001</v>
      </c>
    </row>
  </sheetData>
  <mergeCells count="29">
    <mergeCell ref="A29:I29"/>
    <mergeCell ref="A30:H30"/>
    <mergeCell ref="A31:H31"/>
    <mergeCell ref="A32:H32"/>
    <mergeCell ref="A33:H33"/>
    <mergeCell ref="A28:I28"/>
    <mergeCell ref="C16:E16"/>
    <mergeCell ref="C17:E17"/>
    <mergeCell ref="C18:E18"/>
    <mergeCell ref="C19:E19"/>
    <mergeCell ref="C20:E20"/>
    <mergeCell ref="A21:H21"/>
    <mergeCell ref="A23:I23"/>
    <mergeCell ref="C24:E24"/>
    <mergeCell ref="C25:E25"/>
    <mergeCell ref="C26:E26"/>
    <mergeCell ref="A27:H27"/>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81"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112" zoomScaleNormal="100" zoomScaleSheetLayoutView="112" workbookViewId="0">
      <selection activeCell="I3" sqref="I3"/>
    </sheetView>
  </sheetViews>
  <sheetFormatPr defaultRowHeight="15" x14ac:dyDescent="0.25"/>
  <cols>
    <col min="1" max="1" width="14.28515625" style="145" customWidth="1"/>
    <col min="2" max="2" width="10" style="145" bestFit="1"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90" t="s">
        <v>1278</v>
      </c>
    </row>
    <row r="5" spans="1:9" x14ac:dyDescent="0.25">
      <c r="A5" s="505" t="s">
        <v>1277</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1276</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88" t="s">
        <v>9</v>
      </c>
      <c r="C9" s="511" t="s">
        <v>747</v>
      </c>
      <c r="D9" s="511"/>
      <c r="E9" s="511"/>
      <c r="F9" s="288" t="s">
        <v>748</v>
      </c>
      <c r="G9" s="115" t="s">
        <v>749</v>
      </c>
      <c r="H9" s="187" t="s">
        <v>750</v>
      </c>
      <c r="I9" s="117" t="s">
        <v>751</v>
      </c>
    </row>
    <row r="10" spans="1:9" ht="48.75" customHeight="1" x14ac:dyDescent="0.25">
      <c r="A10" s="153" t="s">
        <v>1192</v>
      </c>
      <c r="B10" s="147" t="s">
        <v>1280</v>
      </c>
      <c r="C10" s="532" t="s">
        <v>1279</v>
      </c>
      <c r="D10" s="537"/>
      <c r="E10" s="122" t="s">
        <v>755</v>
      </c>
      <c r="F10" s="288" t="s">
        <v>752</v>
      </c>
      <c r="G10" s="115">
        <v>0.31619999999999998</v>
      </c>
      <c r="H10" s="123">
        <f>(18.8/1.8674)*2.5727</f>
        <v>25.900589054300102</v>
      </c>
      <c r="I10" s="155">
        <f>G10*H10</f>
        <v>8.1897662589696925</v>
      </c>
    </row>
    <row r="11" spans="1:9" ht="33" customHeight="1" x14ac:dyDescent="0.25">
      <c r="A11" s="153" t="s">
        <v>935</v>
      </c>
      <c r="B11" s="147" t="s">
        <v>1280</v>
      </c>
      <c r="C11" s="532" t="s">
        <v>936</v>
      </c>
      <c r="D11" s="537"/>
      <c r="E11" s="122" t="s">
        <v>755</v>
      </c>
      <c r="F11" s="288" t="s">
        <v>752</v>
      </c>
      <c r="G11" s="291">
        <v>9.9599999999999994E-2</v>
      </c>
      <c r="H11" s="123">
        <f>(14.98/1.8674)*2.5727</f>
        <v>20.637809789011463</v>
      </c>
      <c r="I11" s="155">
        <f>G11*H11</f>
        <v>2.0555258549855417</v>
      </c>
    </row>
    <row r="12" spans="1:9" x14ac:dyDescent="0.25">
      <c r="A12" s="147"/>
      <c r="B12" s="289"/>
      <c r="C12" s="513"/>
      <c r="D12" s="513"/>
      <c r="E12" s="122"/>
      <c r="F12" s="289"/>
      <c r="G12" s="119"/>
      <c r="H12" s="189"/>
      <c r="I12" s="155"/>
    </row>
    <row r="13" spans="1:9" x14ac:dyDescent="0.25">
      <c r="A13" s="514" t="s">
        <v>753</v>
      </c>
      <c r="B13" s="514"/>
      <c r="C13" s="514"/>
      <c r="D13" s="514"/>
      <c r="E13" s="514"/>
      <c r="F13" s="514"/>
      <c r="G13" s="514"/>
      <c r="H13" s="514"/>
      <c r="I13" s="125">
        <f>I10+I11</f>
        <v>10.245292113955234</v>
      </c>
    </row>
    <row r="14" spans="1:9" x14ac:dyDescent="0.25">
      <c r="A14" s="286"/>
      <c r="B14" s="286"/>
      <c r="C14" s="286"/>
      <c r="D14" s="286"/>
      <c r="E14" s="286"/>
      <c r="F14" s="286"/>
      <c r="G14" s="286"/>
      <c r="H14" s="287"/>
      <c r="I14" s="125"/>
    </row>
    <row r="15" spans="1:9" x14ac:dyDescent="0.25">
      <c r="A15" s="502" t="s">
        <v>759</v>
      </c>
      <c r="B15" s="502"/>
      <c r="C15" s="502"/>
      <c r="D15" s="502"/>
      <c r="E15" s="502"/>
      <c r="F15" s="502"/>
      <c r="G15" s="502"/>
      <c r="H15" s="502"/>
      <c r="I15" s="502"/>
    </row>
    <row r="16" spans="1:9" x14ac:dyDescent="0.25">
      <c r="A16" s="114" t="s">
        <v>746</v>
      </c>
      <c r="B16" s="288" t="s">
        <v>9</v>
      </c>
      <c r="C16" s="511" t="s">
        <v>747</v>
      </c>
      <c r="D16" s="511"/>
      <c r="E16" s="511"/>
      <c r="F16" s="288" t="s">
        <v>748</v>
      </c>
      <c r="G16" s="115" t="s">
        <v>749</v>
      </c>
      <c r="H16" s="187" t="s">
        <v>750</v>
      </c>
      <c r="I16" s="117" t="s">
        <v>751</v>
      </c>
    </row>
    <row r="17" spans="1:9" ht="27" customHeight="1" x14ac:dyDescent="0.25">
      <c r="A17" s="132" t="s">
        <v>1281</v>
      </c>
      <c r="B17" s="147" t="s">
        <v>1280</v>
      </c>
      <c r="C17" s="515" t="s">
        <v>1289</v>
      </c>
      <c r="D17" s="515"/>
      <c r="E17" s="515"/>
      <c r="F17" s="132" t="s">
        <v>25</v>
      </c>
      <c r="G17" s="119">
        <v>1</v>
      </c>
      <c r="H17" s="191">
        <v>60.95</v>
      </c>
      <c r="I17" s="157">
        <f>G17*H17</f>
        <v>60.95</v>
      </c>
    </row>
    <row r="18" spans="1:9" x14ac:dyDescent="0.25">
      <c r="A18" s="132"/>
      <c r="B18" s="118"/>
      <c r="C18" s="515"/>
      <c r="D18" s="515"/>
      <c r="E18" s="515"/>
      <c r="F18" s="132"/>
      <c r="G18" s="166"/>
      <c r="H18" s="191"/>
      <c r="I18" s="157"/>
    </row>
    <row r="19" spans="1:9" x14ac:dyDescent="0.25">
      <c r="A19" s="132"/>
      <c r="B19" s="118"/>
      <c r="C19" s="515"/>
      <c r="D19" s="515"/>
      <c r="E19" s="515"/>
      <c r="F19" s="132"/>
      <c r="G19" s="166"/>
      <c r="H19" s="191"/>
      <c r="I19" s="157"/>
    </row>
    <row r="20" spans="1:9" x14ac:dyDescent="0.25">
      <c r="A20" s="138"/>
      <c r="B20" s="138"/>
      <c r="C20" s="516"/>
      <c r="D20" s="516"/>
      <c r="E20" s="516"/>
      <c r="F20" s="139"/>
      <c r="G20" s="140"/>
      <c r="H20" s="193"/>
      <c r="I20" s="142"/>
    </row>
    <row r="21" spans="1:9" x14ac:dyDescent="0.25">
      <c r="A21" s="514" t="s">
        <v>757</v>
      </c>
      <c r="B21" s="514"/>
      <c r="C21" s="514"/>
      <c r="D21" s="514"/>
      <c r="E21" s="514"/>
      <c r="F21" s="514"/>
      <c r="G21" s="514"/>
      <c r="H21" s="514"/>
      <c r="I21" s="143">
        <f>SUM(I17:I20)</f>
        <v>60.95</v>
      </c>
    </row>
    <row r="22" spans="1:9" x14ac:dyDescent="0.25">
      <c r="A22" s="286"/>
      <c r="B22" s="286"/>
      <c r="C22" s="286"/>
      <c r="D22" s="286"/>
      <c r="E22" s="286"/>
      <c r="F22" s="286"/>
      <c r="G22" s="286"/>
      <c r="H22" s="287"/>
      <c r="I22" s="125"/>
    </row>
    <row r="23" spans="1:9" x14ac:dyDescent="0.25">
      <c r="A23" s="517" t="s">
        <v>769</v>
      </c>
      <c r="B23" s="517"/>
      <c r="C23" s="517"/>
      <c r="D23" s="517"/>
      <c r="E23" s="517"/>
      <c r="F23" s="517"/>
      <c r="G23" s="517"/>
      <c r="H23" s="517"/>
      <c r="I23" s="517"/>
    </row>
    <row r="24" spans="1:9" x14ac:dyDescent="0.25">
      <c r="A24" s="121"/>
      <c r="B24" s="289"/>
      <c r="C24" s="518" t="s">
        <v>747</v>
      </c>
      <c r="D24" s="518"/>
      <c r="E24" s="518"/>
      <c r="F24" s="289" t="s">
        <v>748</v>
      </c>
      <c r="G24" s="126" t="s">
        <v>749</v>
      </c>
      <c r="H24" s="189" t="s">
        <v>750</v>
      </c>
      <c r="I24" s="124" t="s">
        <v>751</v>
      </c>
    </row>
    <row r="25" spans="1:9" x14ac:dyDescent="0.25">
      <c r="A25" s="150"/>
      <c r="B25" s="138"/>
      <c r="C25" s="525"/>
      <c r="D25" s="526"/>
      <c r="E25" s="527"/>
      <c r="F25" s="134"/>
      <c r="G25" s="159"/>
      <c r="H25" s="193"/>
      <c r="I25" s="156"/>
    </row>
    <row r="26" spans="1:9" x14ac:dyDescent="0.25">
      <c r="A26" s="127"/>
      <c r="B26" s="127"/>
      <c r="C26" s="508"/>
      <c r="D26" s="509"/>
      <c r="E26" s="510"/>
      <c r="F26" s="128"/>
      <c r="G26" s="128"/>
      <c r="H26" s="196"/>
      <c r="I26" s="130"/>
    </row>
    <row r="27" spans="1:9" x14ac:dyDescent="0.25">
      <c r="A27" s="514" t="s">
        <v>758</v>
      </c>
      <c r="B27" s="514"/>
      <c r="C27" s="514"/>
      <c r="D27" s="514"/>
      <c r="E27" s="514"/>
      <c r="F27" s="514"/>
      <c r="G27" s="514"/>
      <c r="H27" s="514"/>
      <c r="I27" s="131">
        <f>I25</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I13</f>
        <v>10.245292113955234</v>
      </c>
    </row>
    <row r="31" spans="1:9" x14ac:dyDescent="0.25">
      <c r="A31" s="519" t="s">
        <v>773</v>
      </c>
      <c r="B31" s="519"/>
      <c r="C31" s="519"/>
      <c r="D31" s="519"/>
      <c r="E31" s="519"/>
      <c r="F31" s="519"/>
      <c r="G31" s="519"/>
      <c r="H31" s="519"/>
      <c r="I31" s="144">
        <f>I21</f>
        <v>60.95</v>
      </c>
    </row>
    <row r="32" spans="1:9" x14ac:dyDescent="0.25">
      <c r="A32" s="519" t="s">
        <v>811</v>
      </c>
      <c r="B32" s="519"/>
      <c r="C32" s="519"/>
      <c r="D32" s="519"/>
      <c r="E32" s="519"/>
      <c r="F32" s="519"/>
      <c r="G32" s="519"/>
      <c r="H32" s="519"/>
      <c r="I32" s="144">
        <f>I27</f>
        <v>0</v>
      </c>
    </row>
    <row r="33" spans="1:9" x14ac:dyDescent="0.25">
      <c r="A33" s="519" t="s">
        <v>812</v>
      </c>
      <c r="B33" s="519"/>
      <c r="C33" s="519"/>
      <c r="D33" s="519"/>
      <c r="E33" s="519"/>
      <c r="F33" s="519"/>
      <c r="G33" s="519"/>
      <c r="H33" s="519"/>
      <c r="I33" s="151">
        <f>SUM(I30:I32)</f>
        <v>71.195292113955233</v>
      </c>
    </row>
  </sheetData>
  <mergeCells count="29">
    <mergeCell ref="A29:I29"/>
    <mergeCell ref="A30:H30"/>
    <mergeCell ref="A31:H31"/>
    <mergeCell ref="A32:H32"/>
    <mergeCell ref="A33:H33"/>
    <mergeCell ref="A28:I28"/>
    <mergeCell ref="C16:E16"/>
    <mergeCell ref="C17:E17"/>
    <mergeCell ref="C18:E18"/>
    <mergeCell ref="C19:E19"/>
    <mergeCell ref="C20:E20"/>
    <mergeCell ref="A21:H21"/>
    <mergeCell ref="A23:I23"/>
    <mergeCell ref="C24:E24"/>
    <mergeCell ref="C25:E25"/>
    <mergeCell ref="C26:E26"/>
    <mergeCell ref="A27:H27"/>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124" zoomScaleNormal="100" zoomScaleSheetLayoutView="124" workbookViewId="0">
      <selection activeCell="I3" sqref="I3"/>
    </sheetView>
  </sheetViews>
  <sheetFormatPr defaultRowHeight="15" x14ac:dyDescent="0.25"/>
  <cols>
    <col min="1" max="1" width="14.28515625" style="145" customWidth="1"/>
    <col min="2" max="2" width="10" style="145" bestFit="1"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90" t="s">
        <v>1284</v>
      </c>
    </row>
    <row r="5" spans="1:9" x14ac:dyDescent="0.25">
      <c r="A5" s="505" t="s">
        <v>1285</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1286</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88" t="s">
        <v>9</v>
      </c>
      <c r="C9" s="511" t="s">
        <v>747</v>
      </c>
      <c r="D9" s="511"/>
      <c r="E9" s="511"/>
      <c r="F9" s="288" t="s">
        <v>748</v>
      </c>
      <c r="G9" s="115" t="s">
        <v>749</v>
      </c>
      <c r="H9" s="187" t="s">
        <v>750</v>
      </c>
      <c r="I9" s="117" t="s">
        <v>751</v>
      </c>
    </row>
    <row r="10" spans="1:9" ht="48.75" customHeight="1" x14ac:dyDescent="0.25">
      <c r="A10" s="153" t="s">
        <v>1192</v>
      </c>
      <c r="B10" s="147" t="s">
        <v>1280</v>
      </c>
      <c r="C10" s="532" t="s">
        <v>1279</v>
      </c>
      <c r="D10" s="537"/>
      <c r="E10" s="122" t="s">
        <v>755</v>
      </c>
      <c r="F10" s="288" t="s">
        <v>752</v>
      </c>
      <c r="G10" s="115">
        <v>0.31619999999999998</v>
      </c>
      <c r="H10" s="123">
        <f>(18.8/1.8674)*2.5727</f>
        <v>25.900589054300102</v>
      </c>
      <c r="I10" s="155">
        <f>G10*H10</f>
        <v>8.1897662589696925</v>
      </c>
    </row>
    <row r="11" spans="1:9" ht="33" customHeight="1" x14ac:dyDescent="0.25">
      <c r="A11" s="153" t="s">
        <v>935</v>
      </c>
      <c r="B11" s="147" t="s">
        <v>1280</v>
      </c>
      <c r="C11" s="532" t="s">
        <v>936</v>
      </c>
      <c r="D11" s="537"/>
      <c r="E11" s="122" t="s">
        <v>755</v>
      </c>
      <c r="F11" s="288" t="s">
        <v>752</v>
      </c>
      <c r="G11" s="291">
        <v>9.9599999999999994E-2</v>
      </c>
      <c r="H11" s="123">
        <f>(14.98/1.8674)*2.5727</f>
        <v>20.637809789011463</v>
      </c>
      <c r="I11" s="155">
        <f>G11*H11</f>
        <v>2.0555258549855417</v>
      </c>
    </row>
    <row r="12" spans="1:9" x14ac:dyDescent="0.25">
      <c r="A12" s="147"/>
      <c r="B12" s="289"/>
      <c r="C12" s="513"/>
      <c r="D12" s="513"/>
      <c r="E12" s="122"/>
      <c r="F12" s="289"/>
      <c r="G12" s="119"/>
      <c r="H12" s="189"/>
      <c r="I12" s="155"/>
    </row>
    <row r="13" spans="1:9" x14ac:dyDescent="0.25">
      <c r="A13" s="514" t="s">
        <v>753</v>
      </c>
      <c r="B13" s="514"/>
      <c r="C13" s="514"/>
      <c r="D13" s="514"/>
      <c r="E13" s="514"/>
      <c r="F13" s="514"/>
      <c r="G13" s="514"/>
      <c r="H13" s="514"/>
      <c r="I13" s="125">
        <f>I10+I11</f>
        <v>10.245292113955234</v>
      </c>
    </row>
    <row r="14" spans="1:9" x14ac:dyDescent="0.25">
      <c r="A14" s="286"/>
      <c r="B14" s="286"/>
      <c r="C14" s="286"/>
      <c r="D14" s="286"/>
      <c r="E14" s="286"/>
      <c r="F14" s="286"/>
      <c r="G14" s="286"/>
      <c r="H14" s="287"/>
      <c r="I14" s="125"/>
    </row>
    <row r="15" spans="1:9" x14ac:dyDescent="0.25">
      <c r="A15" s="502" t="s">
        <v>759</v>
      </c>
      <c r="B15" s="502"/>
      <c r="C15" s="502"/>
      <c r="D15" s="502"/>
      <c r="E15" s="502"/>
      <c r="F15" s="502"/>
      <c r="G15" s="502"/>
      <c r="H15" s="502"/>
      <c r="I15" s="502"/>
    </row>
    <row r="16" spans="1:9" x14ac:dyDescent="0.25">
      <c r="A16" s="114" t="s">
        <v>746</v>
      </c>
      <c r="B16" s="288" t="s">
        <v>9</v>
      </c>
      <c r="C16" s="511" t="s">
        <v>747</v>
      </c>
      <c r="D16" s="511"/>
      <c r="E16" s="511"/>
      <c r="F16" s="288" t="s">
        <v>748</v>
      </c>
      <c r="G16" s="115" t="s">
        <v>749</v>
      </c>
      <c r="H16" s="187" t="s">
        <v>750</v>
      </c>
      <c r="I16" s="117" t="s">
        <v>751</v>
      </c>
    </row>
    <row r="17" spans="1:9" x14ac:dyDescent="0.25">
      <c r="A17" s="132" t="s">
        <v>1288</v>
      </c>
      <c r="B17" s="147" t="s">
        <v>1280</v>
      </c>
      <c r="C17" s="515" t="s">
        <v>1287</v>
      </c>
      <c r="D17" s="515"/>
      <c r="E17" s="515"/>
      <c r="F17" s="132" t="s">
        <v>25</v>
      </c>
      <c r="G17" s="119">
        <v>1</v>
      </c>
      <c r="H17" s="191">
        <v>25.03</v>
      </c>
      <c r="I17" s="157">
        <f>G17*H17</f>
        <v>25.03</v>
      </c>
    </row>
    <row r="18" spans="1:9" x14ac:dyDescent="0.25">
      <c r="A18" s="132"/>
      <c r="B18" s="118"/>
      <c r="C18" s="515"/>
      <c r="D18" s="515"/>
      <c r="E18" s="515"/>
      <c r="F18" s="132"/>
      <c r="G18" s="166"/>
      <c r="H18" s="191"/>
      <c r="I18" s="157"/>
    </row>
    <row r="19" spans="1:9" x14ac:dyDescent="0.25">
      <c r="A19" s="132"/>
      <c r="B19" s="118"/>
      <c r="C19" s="515"/>
      <c r="D19" s="515"/>
      <c r="E19" s="515"/>
      <c r="F19" s="132"/>
      <c r="G19" s="166"/>
      <c r="H19" s="191"/>
      <c r="I19" s="157"/>
    </row>
    <row r="20" spans="1:9" x14ac:dyDescent="0.25">
      <c r="A20" s="138"/>
      <c r="B20" s="138"/>
      <c r="C20" s="516"/>
      <c r="D20" s="516"/>
      <c r="E20" s="516"/>
      <c r="F20" s="139"/>
      <c r="G20" s="140"/>
      <c r="H20" s="193"/>
      <c r="I20" s="142"/>
    </row>
    <row r="21" spans="1:9" x14ac:dyDescent="0.25">
      <c r="A21" s="514" t="s">
        <v>757</v>
      </c>
      <c r="B21" s="514"/>
      <c r="C21" s="514"/>
      <c r="D21" s="514"/>
      <c r="E21" s="514"/>
      <c r="F21" s="514"/>
      <c r="G21" s="514"/>
      <c r="H21" s="514"/>
      <c r="I21" s="143">
        <f>SUM(I17:I20)</f>
        <v>25.03</v>
      </c>
    </row>
    <row r="22" spans="1:9" x14ac:dyDescent="0.25">
      <c r="A22" s="286"/>
      <c r="B22" s="286"/>
      <c r="C22" s="286"/>
      <c r="D22" s="286"/>
      <c r="E22" s="286"/>
      <c r="F22" s="286"/>
      <c r="G22" s="286"/>
      <c r="H22" s="287"/>
      <c r="I22" s="125"/>
    </row>
    <row r="23" spans="1:9" x14ac:dyDescent="0.25">
      <c r="A23" s="517" t="s">
        <v>769</v>
      </c>
      <c r="B23" s="517"/>
      <c r="C23" s="517"/>
      <c r="D23" s="517"/>
      <c r="E23" s="517"/>
      <c r="F23" s="517"/>
      <c r="G23" s="517"/>
      <c r="H23" s="517"/>
      <c r="I23" s="517"/>
    </row>
    <row r="24" spans="1:9" x14ac:dyDescent="0.25">
      <c r="A24" s="121"/>
      <c r="B24" s="289"/>
      <c r="C24" s="518" t="s">
        <v>747</v>
      </c>
      <c r="D24" s="518"/>
      <c r="E24" s="518"/>
      <c r="F24" s="289" t="s">
        <v>748</v>
      </c>
      <c r="G24" s="126" t="s">
        <v>749</v>
      </c>
      <c r="H24" s="189" t="s">
        <v>750</v>
      </c>
      <c r="I24" s="124" t="s">
        <v>751</v>
      </c>
    </row>
    <row r="25" spans="1:9" x14ac:dyDescent="0.25">
      <c r="A25" s="150"/>
      <c r="B25" s="138"/>
      <c r="C25" s="525"/>
      <c r="D25" s="526"/>
      <c r="E25" s="527"/>
      <c r="F25" s="134"/>
      <c r="G25" s="159"/>
      <c r="H25" s="193"/>
      <c r="I25" s="156"/>
    </row>
    <row r="26" spans="1:9" x14ac:dyDescent="0.25">
      <c r="A26" s="127"/>
      <c r="B26" s="127"/>
      <c r="C26" s="508"/>
      <c r="D26" s="509"/>
      <c r="E26" s="510"/>
      <c r="F26" s="128"/>
      <c r="G26" s="128"/>
      <c r="H26" s="196"/>
      <c r="I26" s="130"/>
    </row>
    <row r="27" spans="1:9" x14ac:dyDescent="0.25">
      <c r="A27" s="514" t="s">
        <v>758</v>
      </c>
      <c r="B27" s="514"/>
      <c r="C27" s="514"/>
      <c r="D27" s="514"/>
      <c r="E27" s="514"/>
      <c r="F27" s="514"/>
      <c r="G27" s="514"/>
      <c r="H27" s="514"/>
      <c r="I27" s="131">
        <f>I25</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I13</f>
        <v>10.245292113955234</v>
      </c>
    </row>
    <row r="31" spans="1:9" x14ac:dyDescent="0.25">
      <c r="A31" s="519" t="s">
        <v>773</v>
      </c>
      <c r="B31" s="519"/>
      <c r="C31" s="519"/>
      <c r="D31" s="519"/>
      <c r="E31" s="519"/>
      <c r="F31" s="519"/>
      <c r="G31" s="519"/>
      <c r="H31" s="519"/>
      <c r="I31" s="144">
        <f>I21</f>
        <v>25.03</v>
      </c>
    </row>
    <row r="32" spans="1:9" x14ac:dyDescent="0.25">
      <c r="A32" s="519" t="s">
        <v>811</v>
      </c>
      <c r="B32" s="519"/>
      <c r="C32" s="519"/>
      <c r="D32" s="519"/>
      <c r="E32" s="519"/>
      <c r="F32" s="519"/>
      <c r="G32" s="519"/>
      <c r="H32" s="519"/>
      <c r="I32" s="144">
        <f>I27</f>
        <v>0</v>
      </c>
    </row>
    <row r="33" spans="1:9" x14ac:dyDescent="0.25">
      <c r="A33" s="519" t="s">
        <v>812</v>
      </c>
      <c r="B33" s="519"/>
      <c r="C33" s="519"/>
      <c r="D33" s="519"/>
      <c r="E33" s="519"/>
      <c r="F33" s="519"/>
      <c r="G33" s="519"/>
      <c r="H33" s="519"/>
      <c r="I33" s="151">
        <f>SUM(I30:I32)</f>
        <v>35.275292113955231</v>
      </c>
    </row>
  </sheetData>
  <mergeCells count="29">
    <mergeCell ref="A29:I29"/>
    <mergeCell ref="A30:H30"/>
    <mergeCell ref="A31:H31"/>
    <mergeCell ref="A32:H32"/>
    <mergeCell ref="A33:H33"/>
    <mergeCell ref="A28:I28"/>
    <mergeCell ref="C16:E16"/>
    <mergeCell ref="C17:E17"/>
    <mergeCell ref="C18:E18"/>
    <mergeCell ref="C19:E19"/>
    <mergeCell ref="C20:E20"/>
    <mergeCell ref="A21:H21"/>
    <mergeCell ref="A23:I23"/>
    <mergeCell ref="C24:E24"/>
    <mergeCell ref="C25:E25"/>
    <mergeCell ref="C26:E26"/>
    <mergeCell ref="A27:H27"/>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95" zoomScaleNormal="100" zoomScaleSheetLayoutView="95" workbookViewId="0">
      <selection activeCell="I3" sqref="I3"/>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90" t="s">
        <v>1301</v>
      </c>
    </row>
    <row r="5" spans="1:9" x14ac:dyDescent="0.25">
      <c r="A5" s="505" t="s">
        <v>1293</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1276</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88" t="s">
        <v>9</v>
      </c>
      <c r="C9" s="511" t="s">
        <v>747</v>
      </c>
      <c r="D9" s="511"/>
      <c r="E9" s="511"/>
      <c r="F9" s="288" t="s">
        <v>748</v>
      </c>
      <c r="G9" s="115" t="s">
        <v>749</v>
      </c>
      <c r="H9" s="187" t="s">
        <v>750</v>
      </c>
      <c r="I9" s="117" t="s">
        <v>751</v>
      </c>
    </row>
    <row r="10" spans="1:9" ht="48.75" customHeight="1" x14ac:dyDescent="0.25">
      <c r="A10" s="153" t="s">
        <v>1192</v>
      </c>
      <c r="B10" s="147" t="s">
        <v>1280</v>
      </c>
      <c r="C10" s="532" t="s">
        <v>1279</v>
      </c>
      <c r="D10" s="537"/>
      <c r="E10" s="122" t="s">
        <v>755</v>
      </c>
      <c r="F10" s="288" t="s">
        <v>752</v>
      </c>
      <c r="G10" s="115">
        <v>0.31619999999999998</v>
      </c>
      <c r="H10" s="123">
        <f>(18.8/1.8674)*2.5727</f>
        <v>25.900589054300102</v>
      </c>
      <c r="I10" s="155">
        <f>G10*H10</f>
        <v>8.1897662589696925</v>
      </c>
    </row>
    <row r="11" spans="1:9" ht="33" customHeight="1" x14ac:dyDescent="0.25">
      <c r="A11" s="153" t="s">
        <v>935</v>
      </c>
      <c r="B11" s="147" t="s">
        <v>1280</v>
      </c>
      <c r="C11" s="532" t="s">
        <v>936</v>
      </c>
      <c r="D11" s="537"/>
      <c r="E11" s="122" t="s">
        <v>755</v>
      </c>
      <c r="F11" s="288" t="s">
        <v>752</v>
      </c>
      <c r="G11" s="291">
        <v>9.9599999999999994E-2</v>
      </c>
      <c r="H11" s="123">
        <f>(14.98/1.8674)*2.5727</f>
        <v>20.637809789011463</v>
      </c>
      <c r="I11" s="155">
        <f>G11*H11</f>
        <v>2.0555258549855417</v>
      </c>
    </row>
    <row r="12" spans="1:9" x14ac:dyDescent="0.25">
      <c r="A12" s="147"/>
      <c r="B12" s="289"/>
      <c r="C12" s="513"/>
      <c r="D12" s="513"/>
      <c r="E12" s="122"/>
      <c r="F12" s="289"/>
      <c r="G12" s="119"/>
      <c r="H12" s="189"/>
      <c r="I12" s="155"/>
    </row>
    <row r="13" spans="1:9" x14ac:dyDescent="0.25">
      <c r="A13" s="514" t="s">
        <v>753</v>
      </c>
      <c r="B13" s="514"/>
      <c r="C13" s="514"/>
      <c r="D13" s="514"/>
      <c r="E13" s="514"/>
      <c r="F13" s="514"/>
      <c r="G13" s="514"/>
      <c r="H13" s="514"/>
      <c r="I13" s="125">
        <f>I10+I11</f>
        <v>10.245292113955234</v>
      </c>
    </row>
    <row r="14" spans="1:9" x14ac:dyDescent="0.25">
      <c r="A14" s="286"/>
      <c r="B14" s="286"/>
      <c r="C14" s="286"/>
      <c r="D14" s="286"/>
      <c r="E14" s="286"/>
      <c r="F14" s="286"/>
      <c r="G14" s="286"/>
      <c r="H14" s="287"/>
      <c r="I14" s="125"/>
    </row>
    <row r="15" spans="1:9" x14ac:dyDescent="0.25">
      <c r="A15" s="502" t="s">
        <v>759</v>
      </c>
      <c r="B15" s="502"/>
      <c r="C15" s="502"/>
      <c r="D15" s="502"/>
      <c r="E15" s="502"/>
      <c r="F15" s="502"/>
      <c r="G15" s="502"/>
      <c r="H15" s="502"/>
      <c r="I15" s="502"/>
    </row>
    <row r="16" spans="1:9" x14ac:dyDescent="0.25">
      <c r="A16" s="114" t="s">
        <v>746</v>
      </c>
      <c r="B16" s="288" t="s">
        <v>9</v>
      </c>
      <c r="C16" s="511" t="s">
        <v>747</v>
      </c>
      <c r="D16" s="511"/>
      <c r="E16" s="511"/>
      <c r="F16" s="288" t="s">
        <v>748</v>
      </c>
      <c r="G16" s="115" t="s">
        <v>749</v>
      </c>
      <c r="H16" s="187" t="s">
        <v>750</v>
      </c>
      <c r="I16" s="117" t="s">
        <v>751</v>
      </c>
    </row>
    <row r="17" spans="1:9" ht="27" customHeight="1" x14ac:dyDescent="0.25">
      <c r="A17" s="132"/>
      <c r="B17" s="147" t="s">
        <v>1292</v>
      </c>
      <c r="C17" s="515" t="s">
        <v>1295</v>
      </c>
      <c r="D17" s="515"/>
      <c r="E17" s="515"/>
      <c r="F17" s="132" t="s">
        <v>25</v>
      </c>
      <c r="G17" s="119">
        <v>1</v>
      </c>
      <c r="H17" s="191">
        <f>'COTAÇÕES '!P17</f>
        <v>49.906666666666666</v>
      </c>
      <c r="I17" s="157">
        <f>G17*H17</f>
        <v>49.906666666666666</v>
      </c>
    </row>
    <row r="18" spans="1:9" x14ac:dyDescent="0.25">
      <c r="A18" s="132"/>
      <c r="B18" s="118"/>
      <c r="C18" s="515"/>
      <c r="D18" s="515"/>
      <c r="E18" s="515"/>
      <c r="F18" s="132"/>
      <c r="G18" s="166"/>
      <c r="H18" s="191"/>
      <c r="I18" s="157"/>
    </row>
    <row r="19" spans="1:9" x14ac:dyDescent="0.25">
      <c r="A19" s="514" t="s">
        <v>757</v>
      </c>
      <c r="B19" s="514"/>
      <c r="C19" s="514"/>
      <c r="D19" s="514"/>
      <c r="E19" s="514"/>
      <c r="F19" s="514"/>
      <c r="G19" s="514"/>
      <c r="H19" s="514"/>
      <c r="I19" s="143">
        <f>SUM(I17:I18)</f>
        <v>49.906666666666666</v>
      </c>
    </row>
    <row r="20" spans="1:9" x14ac:dyDescent="0.25">
      <c r="A20" s="286"/>
      <c r="B20" s="286"/>
      <c r="C20" s="286"/>
      <c r="D20" s="286"/>
      <c r="E20" s="286"/>
      <c r="F20" s="286"/>
      <c r="G20" s="286"/>
      <c r="H20" s="287"/>
      <c r="I20" s="125"/>
    </row>
    <row r="21" spans="1:9" x14ac:dyDescent="0.25">
      <c r="A21" s="517" t="s">
        <v>769</v>
      </c>
      <c r="B21" s="517"/>
      <c r="C21" s="517"/>
      <c r="D21" s="517"/>
      <c r="E21" s="517"/>
      <c r="F21" s="517"/>
      <c r="G21" s="517"/>
      <c r="H21" s="517"/>
      <c r="I21" s="517"/>
    </row>
    <row r="22" spans="1:9" x14ac:dyDescent="0.25">
      <c r="A22" s="121"/>
      <c r="B22" s="289"/>
      <c r="C22" s="518" t="s">
        <v>747</v>
      </c>
      <c r="D22" s="518"/>
      <c r="E22" s="518"/>
      <c r="F22" s="289" t="s">
        <v>748</v>
      </c>
      <c r="G22" s="126" t="s">
        <v>749</v>
      </c>
      <c r="H22" s="189" t="s">
        <v>750</v>
      </c>
      <c r="I22" s="124" t="s">
        <v>751</v>
      </c>
    </row>
    <row r="23" spans="1:9" x14ac:dyDescent="0.25">
      <c r="A23" s="150"/>
      <c r="B23" s="138"/>
      <c r="C23" s="525"/>
      <c r="D23" s="526"/>
      <c r="E23" s="527"/>
      <c r="F23" s="134"/>
      <c r="G23" s="159"/>
      <c r="H23" s="193"/>
      <c r="I23" s="156"/>
    </row>
    <row r="24" spans="1:9" x14ac:dyDescent="0.25">
      <c r="A24" s="127"/>
      <c r="B24" s="127"/>
      <c r="C24" s="508"/>
      <c r="D24" s="509"/>
      <c r="E24" s="510"/>
      <c r="F24" s="128"/>
      <c r="G24" s="128"/>
      <c r="H24" s="196"/>
      <c r="I24" s="130"/>
    </row>
    <row r="25" spans="1:9" x14ac:dyDescent="0.25">
      <c r="A25" s="514" t="s">
        <v>758</v>
      </c>
      <c r="B25" s="514"/>
      <c r="C25" s="514"/>
      <c r="D25" s="514"/>
      <c r="E25" s="514"/>
      <c r="F25" s="514"/>
      <c r="G25" s="514"/>
      <c r="H25" s="514"/>
      <c r="I25" s="131">
        <f>I23</f>
        <v>0</v>
      </c>
    </row>
    <row r="26" spans="1:9" x14ac:dyDescent="0.25">
      <c r="A26" s="520"/>
      <c r="B26" s="521"/>
      <c r="C26" s="521"/>
      <c r="D26" s="521"/>
      <c r="E26" s="521"/>
      <c r="F26" s="521"/>
      <c r="G26" s="521"/>
      <c r="H26" s="521"/>
      <c r="I26" s="522"/>
    </row>
    <row r="27" spans="1:9" x14ac:dyDescent="0.25">
      <c r="A27" s="502" t="s">
        <v>762</v>
      </c>
      <c r="B27" s="502"/>
      <c r="C27" s="502"/>
      <c r="D27" s="502"/>
      <c r="E27" s="502"/>
      <c r="F27" s="502"/>
      <c r="G27" s="502"/>
      <c r="H27" s="502"/>
      <c r="I27" s="502"/>
    </row>
    <row r="28" spans="1:9" x14ac:dyDescent="0.25">
      <c r="A28" s="519" t="s">
        <v>772</v>
      </c>
      <c r="B28" s="519"/>
      <c r="C28" s="519"/>
      <c r="D28" s="519"/>
      <c r="E28" s="519"/>
      <c r="F28" s="519"/>
      <c r="G28" s="519"/>
      <c r="H28" s="519"/>
      <c r="I28" s="144">
        <f>I13</f>
        <v>10.245292113955234</v>
      </c>
    </row>
    <row r="29" spans="1:9" x14ac:dyDescent="0.25">
      <c r="A29" s="519" t="s">
        <v>773</v>
      </c>
      <c r="B29" s="519"/>
      <c r="C29" s="519"/>
      <c r="D29" s="519"/>
      <c r="E29" s="519"/>
      <c r="F29" s="519"/>
      <c r="G29" s="519"/>
      <c r="H29" s="519"/>
      <c r="I29" s="144">
        <f>I19</f>
        <v>49.906666666666666</v>
      </c>
    </row>
    <row r="30" spans="1:9" x14ac:dyDescent="0.25">
      <c r="A30" s="519" t="s">
        <v>811</v>
      </c>
      <c r="B30" s="519"/>
      <c r="C30" s="519"/>
      <c r="D30" s="519"/>
      <c r="E30" s="519"/>
      <c r="F30" s="519"/>
      <c r="G30" s="519"/>
      <c r="H30" s="519"/>
      <c r="I30" s="144">
        <f>I25</f>
        <v>0</v>
      </c>
    </row>
    <row r="31" spans="1:9" x14ac:dyDescent="0.25">
      <c r="A31" s="519" t="s">
        <v>812</v>
      </c>
      <c r="B31" s="519"/>
      <c r="C31" s="519"/>
      <c r="D31" s="519"/>
      <c r="E31" s="519"/>
      <c r="F31" s="519"/>
      <c r="G31" s="519"/>
      <c r="H31" s="519"/>
      <c r="I31" s="151">
        <f>SUM(I28:I30)</f>
        <v>60.151958780621896</v>
      </c>
    </row>
  </sheetData>
  <mergeCells count="27">
    <mergeCell ref="A27:I27"/>
    <mergeCell ref="A28:H28"/>
    <mergeCell ref="A29:H29"/>
    <mergeCell ref="A30:H30"/>
    <mergeCell ref="A31:H31"/>
    <mergeCell ref="A26:I26"/>
    <mergeCell ref="C16:E16"/>
    <mergeCell ref="C17:E17"/>
    <mergeCell ref="C18:E18"/>
    <mergeCell ref="A19:H19"/>
    <mergeCell ref="A21:I21"/>
    <mergeCell ref="C22:E22"/>
    <mergeCell ref="C23:E23"/>
    <mergeCell ref="C24:E24"/>
    <mergeCell ref="A25:H25"/>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76"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106" zoomScaleNormal="100" zoomScaleSheetLayoutView="106" workbookViewId="0">
      <selection activeCell="I17" sqref="I17"/>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290" t="s">
        <v>1305</v>
      </c>
    </row>
    <row r="5" spans="1:9" x14ac:dyDescent="0.25">
      <c r="A5" s="505" t="s">
        <v>1487</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1306</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288" t="s">
        <v>9</v>
      </c>
      <c r="C9" s="511" t="s">
        <v>747</v>
      </c>
      <c r="D9" s="511"/>
      <c r="E9" s="511"/>
      <c r="F9" s="288" t="s">
        <v>748</v>
      </c>
      <c r="G9" s="115" t="s">
        <v>749</v>
      </c>
      <c r="H9" s="187" t="s">
        <v>750</v>
      </c>
      <c r="I9" s="117" t="s">
        <v>751</v>
      </c>
    </row>
    <row r="10" spans="1:9" ht="48.75" customHeight="1" x14ac:dyDescent="0.25">
      <c r="A10" s="153" t="s">
        <v>785</v>
      </c>
      <c r="B10" s="147" t="s">
        <v>599</v>
      </c>
      <c r="C10" s="532" t="s">
        <v>1488</v>
      </c>
      <c r="D10" s="537"/>
      <c r="E10" s="122" t="s">
        <v>755</v>
      </c>
      <c r="F10" s="288" t="s">
        <v>752</v>
      </c>
      <c r="G10" s="115">
        <v>0.21</v>
      </c>
      <c r="H10" s="123">
        <v>15.08</v>
      </c>
      <c r="I10" s="155">
        <f>G10*H10</f>
        <v>3.1667999999999998</v>
      </c>
    </row>
    <row r="11" spans="1:9" ht="33" customHeight="1" x14ac:dyDescent="0.25">
      <c r="A11" s="153" t="s">
        <v>1053</v>
      </c>
      <c r="B11" s="147" t="s">
        <v>599</v>
      </c>
      <c r="C11" s="532" t="s">
        <v>1489</v>
      </c>
      <c r="D11" s="537"/>
      <c r="E11" s="122" t="s">
        <v>755</v>
      </c>
      <c r="F11" s="288" t="s">
        <v>752</v>
      </c>
      <c r="G11" s="291">
        <v>0.21</v>
      </c>
      <c r="H11" s="123">
        <v>17.850000000000001</v>
      </c>
      <c r="I11" s="155">
        <f>G11*H11</f>
        <v>3.7484999999999999</v>
      </c>
    </row>
    <row r="12" spans="1:9" x14ac:dyDescent="0.25">
      <c r="A12" s="147"/>
      <c r="B12" s="289"/>
      <c r="C12" s="513"/>
      <c r="D12" s="513"/>
      <c r="E12" s="122"/>
      <c r="F12" s="289"/>
      <c r="G12" s="119"/>
      <c r="H12" s="189"/>
      <c r="I12" s="155"/>
    </row>
    <row r="13" spans="1:9" x14ac:dyDescent="0.25">
      <c r="A13" s="514" t="s">
        <v>753</v>
      </c>
      <c r="B13" s="514"/>
      <c r="C13" s="514"/>
      <c r="D13" s="514"/>
      <c r="E13" s="514"/>
      <c r="F13" s="514"/>
      <c r="G13" s="514"/>
      <c r="H13" s="514"/>
      <c r="I13" s="125">
        <f>I10+I11</f>
        <v>6.9153000000000002</v>
      </c>
    </row>
    <row r="14" spans="1:9" x14ac:dyDescent="0.25">
      <c r="A14" s="286"/>
      <c r="B14" s="286"/>
      <c r="C14" s="286"/>
      <c r="D14" s="286"/>
      <c r="E14" s="286"/>
      <c r="F14" s="286"/>
      <c r="G14" s="286"/>
      <c r="H14" s="287"/>
      <c r="I14" s="125"/>
    </row>
    <row r="15" spans="1:9" x14ac:dyDescent="0.25">
      <c r="A15" s="502" t="s">
        <v>759</v>
      </c>
      <c r="B15" s="502"/>
      <c r="C15" s="502"/>
      <c r="D15" s="502"/>
      <c r="E15" s="502"/>
      <c r="F15" s="502"/>
      <c r="G15" s="502"/>
      <c r="H15" s="502"/>
      <c r="I15" s="502"/>
    </row>
    <row r="16" spans="1:9" x14ac:dyDescent="0.25">
      <c r="A16" s="114" t="s">
        <v>746</v>
      </c>
      <c r="B16" s="288" t="s">
        <v>9</v>
      </c>
      <c r="C16" s="511" t="s">
        <v>747</v>
      </c>
      <c r="D16" s="511"/>
      <c r="E16" s="511"/>
      <c r="F16" s="288" t="s">
        <v>748</v>
      </c>
      <c r="G16" s="115" t="s">
        <v>749</v>
      </c>
      <c r="H16" s="187" t="s">
        <v>750</v>
      </c>
      <c r="I16" s="117" t="s">
        <v>751</v>
      </c>
    </row>
    <row r="17" spans="1:9" ht="27" customHeight="1" x14ac:dyDescent="0.25">
      <c r="A17" s="132" t="s">
        <v>1491</v>
      </c>
      <c r="B17" s="147"/>
      <c r="C17" s="515" t="s">
        <v>1490</v>
      </c>
      <c r="D17" s="515"/>
      <c r="E17" s="515"/>
      <c r="F17" s="132" t="s">
        <v>25</v>
      </c>
      <c r="G17" s="119">
        <v>1</v>
      </c>
      <c r="H17" s="191">
        <v>25.9</v>
      </c>
      <c r="I17" s="157">
        <f>G17*H17</f>
        <v>25.9</v>
      </c>
    </row>
    <row r="18" spans="1:9" x14ac:dyDescent="0.25">
      <c r="A18" s="132"/>
      <c r="B18" s="118"/>
      <c r="C18" s="515"/>
      <c r="D18" s="515"/>
      <c r="E18" s="515"/>
      <c r="F18" s="132"/>
      <c r="G18" s="166"/>
      <c r="H18" s="191"/>
      <c r="I18" s="157"/>
    </row>
    <row r="19" spans="1:9" x14ac:dyDescent="0.25">
      <c r="A19" s="514" t="s">
        <v>757</v>
      </c>
      <c r="B19" s="514"/>
      <c r="C19" s="514"/>
      <c r="D19" s="514"/>
      <c r="E19" s="514"/>
      <c r="F19" s="514"/>
      <c r="G19" s="514"/>
      <c r="H19" s="514"/>
      <c r="I19" s="143">
        <f>SUM(I17:I18)</f>
        <v>25.9</v>
      </c>
    </row>
    <row r="20" spans="1:9" x14ac:dyDescent="0.25">
      <c r="A20" s="286"/>
      <c r="B20" s="286"/>
      <c r="C20" s="286"/>
      <c r="D20" s="286"/>
      <c r="E20" s="286"/>
      <c r="F20" s="286"/>
      <c r="G20" s="286"/>
      <c r="H20" s="287"/>
      <c r="I20" s="125"/>
    </row>
    <row r="21" spans="1:9" x14ac:dyDescent="0.25">
      <c r="A21" s="517" t="s">
        <v>769</v>
      </c>
      <c r="B21" s="517"/>
      <c r="C21" s="517"/>
      <c r="D21" s="517"/>
      <c r="E21" s="517"/>
      <c r="F21" s="517"/>
      <c r="G21" s="517"/>
      <c r="H21" s="517"/>
      <c r="I21" s="517"/>
    </row>
    <row r="22" spans="1:9" x14ac:dyDescent="0.25">
      <c r="A22" s="121"/>
      <c r="B22" s="289"/>
      <c r="C22" s="518" t="s">
        <v>747</v>
      </c>
      <c r="D22" s="518"/>
      <c r="E22" s="518"/>
      <c r="F22" s="289" t="s">
        <v>748</v>
      </c>
      <c r="G22" s="126" t="s">
        <v>749</v>
      </c>
      <c r="H22" s="189" t="s">
        <v>750</v>
      </c>
      <c r="I22" s="124" t="s">
        <v>751</v>
      </c>
    </row>
    <row r="23" spans="1:9" x14ac:dyDescent="0.25">
      <c r="A23" s="150"/>
      <c r="B23" s="138"/>
      <c r="C23" s="525"/>
      <c r="D23" s="526"/>
      <c r="E23" s="527"/>
      <c r="F23" s="134"/>
      <c r="G23" s="159"/>
      <c r="H23" s="193"/>
      <c r="I23" s="156"/>
    </row>
    <row r="24" spans="1:9" x14ac:dyDescent="0.25">
      <c r="A24" s="127"/>
      <c r="B24" s="127"/>
      <c r="C24" s="508"/>
      <c r="D24" s="509"/>
      <c r="E24" s="510"/>
      <c r="F24" s="128"/>
      <c r="G24" s="128"/>
      <c r="H24" s="196"/>
      <c r="I24" s="130"/>
    </row>
    <row r="25" spans="1:9" x14ac:dyDescent="0.25">
      <c r="A25" s="514" t="s">
        <v>758</v>
      </c>
      <c r="B25" s="514"/>
      <c r="C25" s="514"/>
      <c r="D25" s="514"/>
      <c r="E25" s="514"/>
      <c r="F25" s="514"/>
      <c r="G25" s="514"/>
      <c r="H25" s="514"/>
      <c r="I25" s="131">
        <f>I23</f>
        <v>0</v>
      </c>
    </row>
    <row r="26" spans="1:9" x14ac:dyDescent="0.25">
      <c r="A26" s="520"/>
      <c r="B26" s="521"/>
      <c r="C26" s="521"/>
      <c r="D26" s="521"/>
      <c r="E26" s="521"/>
      <c r="F26" s="521"/>
      <c r="G26" s="521"/>
      <c r="H26" s="521"/>
      <c r="I26" s="522"/>
    </row>
    <row r="27" spans="1:9" x14ac:dyDescent="0.25">
      <c r="A27" s="502" t="s">
        <v>762</v>
      </c>
      <c r="B27" s="502"/>
      <c r="C27" s="502"/>
      <c r="D27" s="502"/>
      <c r="E27" s="502"/>
      <c r="F27" s="502"/>
      <c r="G27" s="502"/>
      <c r="H27" s="502"/>
      <c r="I27" s="502"/>
    </row>
    <row r="28" spans="1:9" x14ac:dyDescent="0.25">
      <c r="A28" s="519" t="s">
        <v>772</v>
      </c>
      <c r="B28" s="519"/>
      <c r="C28" s="519"/>
      <c r="D28" s="519"/>
      <c r="E28" s="519"/>
      <c r="F28" s="519"/>
      <c r="G28" s="519"/>
      <c r="H28" s="519"/>
      <c r="I28" s="144">
        <f>I13</f>
        <v>6.9153000000000002</v>
      </c>
    </row>
    <row r="29" spans="1:9" x14ac:dyDescent="0.25">
      <c r="A29" s="519" t="s">
        <v>773</v>
      </c>
      <c r="B29" s="519"/>
      <c r="C29" s="519"/>
      <c r="D29" s="519"/>
      <c r="E29" s="519"/>
      <c r="F29" s="519"/>
      <c r="G29" s="519"/>
      <c r="H29" s="519"/>
      <c r="I29" s="144">
        <f>I19</f>
        <v>25.9</v>
      </c>
    </row>
    <row r="30" spans="1:9" x14ac:dyDescent="0.25">
      <c r="A30" s="519" t="s">
        <v>811</v>
      </c>
      <c r="B30" s="519"/>
      <c r="C30" s="519"/>
      <c r="D30" s="519"/>
      <c r="E30" s="519"/>
      <c r="F30" s="519"/>
      <c r="G30" s="519"/>
      <c r="H30" s="519"/>
      <c r="I30" s="144">
        <f>I25</f>
        <v>0</v>
      </c>
    </row>
    <row r="31" spans="1:9" x14ac:dyDescent="0.25">
      <c r="A31" s="519" t="s">
        <v>812</v>
      </c>
      <c r="B31" s="519"/>
      <c r="C31" s="519"/>
      <c r="D31" s="519"/>
      <c r="E31" s="519"/>
      <c r="F31" s="519"/>
      <c r="G31" s="519"/>
      <c r="H31" s="519"/>
      <c r="I31" s="151">
        <f>SUM(I28:I30)</f>
        <v>32.815300000000001</v>
      </c>
    </row>
  </sheetData>
  <mergeCells count="27">
    <mergeCell ref="A29:H29"/>
    <mergeCell ref="A30:H30"/>
    <mergeCell ref="A31:H31"/>
    <mergeCell ref="C23:E23"/>
    <mergeCell ref="C24:E24"/>
    <mergeCell ref="A25:H25"/>
    <mergeCell ref="A26:I26"/>
    <mergeCell ref="A27:I27"/>
    <mergeCell ref="A28:H28"/>
    <mergeCell ref="C22:E22"/>
    <mergeCell ref="C9:E9"/>
    <mergeCell ref="C10:D10"/>
    <mergeCell ref="C11:D11"/>
    <mergeCell ref="C12:D12"/>
    <mergeCell ref="A13:H13"/>
    <mergeCell ref="A15:I15"/>
    <mergeCell ref="C16:E16"/>
    <mergeCell ref="C17:E17"/>
    <mergeCell ref="C18:E18"/>
    <mergeCell ref="A19:H19"/>
    <mergeCell ref="A21:I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view="pageBreakPreview" zoomScale="112" zoomScaleNormal="100" zoomScaleSheetLayoutView="112" workbookViewId="0">
      <selection activeCell="I3" sqref="I3"/>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14" x14ac:dyDescent="0.25">
      <c r="A1" s="503" t="s">
        <v>742</v>
      </c>
      <c r="B1" s="503"/>
      <c r="C1" s="503"/>
      <c r="D1" s="503"/>
      <c r="E1" s="503"/>
      <c r="F1" s="503"/>
      <c r="G1" s="503"/>
      <c r="H1" s="503"/>
      <c r="I1" s="504" t="s">
        <v>743</v>
      </c>
    </row>
    <row r="2" spans="1:14" x14ac:dyDescent="0.25">
      <c r="A2" s="503"/>
      <c r="B2" s="503"/>
      <c r="C2" s="503"/>
      <c r="D2" s="503"/>
      <c r="E2" s="503"/>
      <c r="F2" s="503"/>
      <c r="G2" s="503"/>
      <c r="H2" s="503"/>
      <c r="I2" s="504"/>
    </row>
    <row r="3" spans="1:14" x14ac:dyDescent="0.25">
      <c r="A3" s="503"/>
      <c r="B3" s="503"/>
      <c r="C3" s="503"/>
      <c r="D3" s="503"/>
      <c r="E3" s="503"/>
      <c r="F3" s="503"/>
      <c r="G3" s="503"/>
      <c r="H3" s="503"/>
      <c r="I3" s="113">
        <v>44287</v>
      </c>
    </row>
    <row r="4" spans="1:14" x14ac:dyDescent="0.25">
      <c r="A4" s="503"/>
      <c r="B4" s="503"/>
      <c r="C4" s="503"/>
      <c r="D4" s="503"/>
      <c r="E4" s="503"/>
      <c r="F4" s="503"/>
      <c r="G4" s="503"/>
      <c r="H4" s="503"/>
      <c r="I4" s="290" t="s">
        <v>1308</v>
      </c>
    </row>
    <row r="5" spans="1:14" x14ac:dyDescent="0.25">
      <c r="A5" s="505" t="s">
        <v>1310</v>
      </c>
      <c r="B5" s="505"/>
      <c r="C5" s="505"/>
      <c r="D5" s="505"/>
      <c r="E5" s="505"/>
      <c r="F5" s="505"/>
      <c r="G5" s="505"/>
      <c r="H5" s="505"/>
      <c r="I5" s="506" t="s">
        <v>844</v>
      </c>
    </row>
    <row r="6" spans="1:14" x14ac:dyDescent="0.25">
      <c r="A6" s="505"/>
      <c r="B6" s="505"/>
      <c r="C6" s="505"/>
      <c r="D6" s="505"/>
      <c r="E6" s="505"/>
      <c r="F6" s="505"/>
      <c r="G6" s="505"/>
      <c r="H6" s="505"/>
      <c r="I6" s="506"/>
    </row>
    <row r="7" spans="1:14" x14ac:dyDescent="0.25">
      <c r="A7" s="507" t="s">
        <v>1309</v>
      </c>
      <c r="B7" s="507"/>
      <c r="C7" s="507"/>
      <c r="D7" s="507"/>
      <c r="E7" s="507"/>
      <c r="F7" s="507"/>
      <c r="G7" s="507"/>
      <c r="H7" s="507"/>
      <c r="I7" s="507"/>
    </row>
    <row r="8" spans="1:14" x14ac:dyDescent="0.25">
      <c r="A8" s="502" t="s">
        <v>754</v>
      </c>
      <c r="B8" s="502"/>
      <c r="C8" s="502"/>
      <c r="D8" s="502"/>
      <c r="E8" s="502"/>
      <c r="F8" s="502"/>
      <c r="G8" s="502"/>
      <c r="H8" s="502"/>
      <c r="I8" s="502"/>
    </row>
    <row r="9" spans="1:14" x14ac:dyDescent="0.25">
      <c r="A9" s="114" t="s">
        <v>746</v>
      </c>
      <c r="B9" s="288" t="s">
        <v>9</v>
      </c>
      <c r="C9" s="511" t="s">
        <v>747</v>
      </c>
      <c r="D9" s="511"/>
      <c r="E9" s="511"/>
      <c r="F9" s="288" t="s">
        <v>748</v>
      </c>
      <c r="G9" s="115" t="s">
        <v>749</v>
      </c>
      <c r="H9" s="187" t="s">
        <v>750</v>
      </c>
      <c r="I9" s="117" t="s">
        <v>751</v>
      </c>
    </row>
    <row r="10" spans="1:14" ht="48.75" customHeight="1" x14ac:dyDescent="0.25">
      <c r="A10" s="153" t="s">
        <v>1303</v>
      </c>
      <c r="B10" s="147" t="s">
        <v>1280</v>
      </c>
      <c r="C10" s="532" t="s">
        <v>1106</v>
      </c>
      <c r="D10" s="537"/>
      <c r="E10" s="122" t="s">
        <v>755</v>
      </c>
      <c r="F10" s="288" t="s">
        <v>752</v>
      </c>
      <c r="G10" s="293">
        <v>0.22989999999999999</v>
      </c>
      <c r="H10" s="123">
        <f>(17.46/1.8674)*2.5727</f>
        <v>24.054483238727645</v>
      </c>
      <c r="I10" s="155">
        <f>G10*H10</f>
        <v>5.5301256965834851</v>
      </c>
    </row>
    <row r="11" spans="1:14" ht="33" customHeight="1" x14ac:dyDescent="0.25">
      <c r="A11" s="153" t="s">
        <v>1304</v>
      </c>
      <c r="B11" s="147" t="s">
        <v>1280</v>
      </c>
      <c r="C11" s="532" t="s">
        <v>1108</v>
      </c>
      <c r="D11" s="537"/>
      <c r="E11" s="122" t="s">
        <v>755</v>
      </c>
      <c r="F11" s="288" t="s">
        <v>752</v>
      </c>
      <c r="G11" s="291">
        <v>0.55179999999999996</v>
      </c>
      <c r="H11" s="123">
        <f>(22.54/1.8674)*2.5727</f>
        <v>31.053153047017243</v>
      </c>
      <c r="I11" s="155">
        <f>G11*H11</f>
        <v>17.135129851344114</v>
      </c>
      <c r="N11" s="183"/>
    </row>
    <row r="12" spans="1:14" x14ac:dyDescent="0.25">
      <c r="A12" s="147"/>
      <c r="B12" s="289"/>
      <c r="C12" s="513"/>
      <c r="D12" s="513"/>
      <c r="E12" s="122"/>
      <c r="F12" s="289"/>
      <c r="G12" s="119"/>
      <c r="H12" s="189"/>
      <c r="I12" s="155"/>
    </row>
    <row r="13" spans="1:14" x14ac:dyDescent="0.25">
      <c r="A13" s="514" t="s">
        <v>753</v>
      </c>
      <c r="B13" s="514"/>
      <c r="C13" s="514"/>
      <c r="D13" s="514"/>
      <c r="E13" s="514"/>
      <c r="F13" s="514"/>
      <c r="G13" s="514"/>
      <c r="H13" s="514"/>
      <c r="I13" s="125">
        <f>I10+I11</f>
        <v>22.6652555479276</v>
      </c>
    </row>
    <row r="14" spans="1:14" x14ac:dyDescent="0.25">
      <c r="A14" s="286"/>
      <c r="B14" s="286"/>
      <c r="C14" s="286"/>
      <c r="D14" s="286"/>
      <c r="E14" s="286"/>
      <c r="F14" s="286"/>
      <c r="G14" s="286"/>
      <c r="H14" s="287"/>
      <c r="I14" s="125"/>
    </row>
    <row r="15" spans="1:14" x14ac:dyDescent="0.25">
      <c r="A15" s="502" t="s">
        <v>759</v>
      </c>
      <c r="B15" s="502"/>
      <c r="C15" s="502"/>
      <c r="D15" s="502"/>
      <c r="E15" s="502"/>
      <c r="F15" s="502"/>
      <c r="G15" s="502"/>
      <c r="H15" s="502"/>
      <c r="I15" s="502"/>
    </row>
    <row r="16" spans="1:14" x14ac:dyDescent="0.25">
      <c r="A16" s="114" t="s">
        <v>746</v>
      </c>
      <c r="B16" s="288" t="s">
        <v>9</v>
      </c>
      <c r="C16" s="511" t="s">
        <v>747</v>
      </c>
      <c r="D16" s="511"/>
      <c r="E16" s="511"/>
      <c r="F16" s="288" t="s">
        <v>748</v>
      </c>
      <c r="G16" s="115" t="s">
        <v>749</v>
      </c>
      <c r="H16" s="187" t="s">
        <v>750</v>
      </c>
      <c r="I16" s="117" t="s">
        <v>751</v>
      </c>
    </row>
    <row r="17" spans="1:9" ht="27" customHeight="1" x14ac:dyDescent="0.25">
      <c r="A17" s="132" t="s">
        <v>1312</v>
      </c>
      <c r="B17" s="147" t="s">
        <v>1280</v>
      </c>
      <c r="C17" s="515" t="s">
        <v>1311</v>
      </c>
      <c r="D17" s="515"/>
      <c r="E17" s="515"/>
      <c r="F17" s="132" t="s">
        <v>25</v>
      </c>
      <c r="G17" s="119">
        <v>1</v>
      </c>
      <c r="H17" s="191">
        <v>8.68</v>
      </c>
      <c r="I17" s="157">
        <f>G17*H17</f>
        <v>8.68</v>
      </c>
    </row>
    <row r="18" spans="1:9" ht="48" customHeight="1" x14ac:dyDescent="0.25">
      <c r="A18" s="132" t="s">
        <v>1313</v>
      </c>
      <c r="B18" s="147" t="s">
        <v>1280</v>
      </c>
      <c r="C18" s="515" t="s">
        <v>1314</v>
      </c>
      <c r="D18" s="515"/>
      <c r="E18" s="515"/>
      <c r="F18" s="132" t="s">
        <v>25</v>
      </c>
      <c r="G18" s="166">
        <v>1</v>
      </c>
      <c r="H18" s="191">
        <v>62.81</v>
      </c>
      <c r="I18" s="157">
        <f>G18*H18</f>
        <v>62.81</v>
      </c>
    </row>
    <row r="19" spans="1:9" x14ac:dyDescent="0.25">
      <c r="A19" s="514" t="s">
        <v>757</v>
      </c>
      <c r="B19" s="514"/>
      <c r="C19" s="514"/>
      <c r="D19" s="514"/>
      <c r="E19" s="514"/>
      <c r="F19" s="514"/>
      <c r="G19" s="514"/>
      <c r="H19" s="514"/>
      <c r="I19" s="143">
        <f>SUM(I17:I18)</f>
        <v>71.490000000000009</v>
      </c>
    </row>
    <row r="20" spans="1:9" x14ac:dyDescent="0.25">
      <c r="A20" s="286"/>
      <c r="B20" s="286"/>
      <c r="C20" s="286"/>
      <c r="D20" s="286"/>
      <c r="E20" s="286"/>
      <c r="F20" s="286"/>
      <c r="G20" s="286"/>
      <c r="H20" s="287"/>
      <c r="I20" s="125"/>
    </row>
    <row r="21" spans="1:9" x14ac:dyDescent="0.25">
      <c r="A21" s="517" t="s">
        <v>769</v>
      </c>
      <c r="B21" s="517"/>
      <c r="C21" s="517"/>
      <c r="D21" s="517"/>
      <c r="E21" s="517"/>
      <c r="F21" s="517"/>
      <c r="G21" s="517"/>
      <c r="H21" s="517"/>
      <c r="I21" s="517"/>
    </row>
    <row r="22" spans="1:9" x14ac:dyDescent="0.25">
      <c r="A22" s="121"/>
      <c r="B22" s="289"/>
      <c r="C22" s="518" t="s">
        <v>747</v>
      </c>
      <c r="D22" s="518"/>
      <c r="E22" s="518"/>
      <c r="F22" s="289" t="s">
        <v>748</v>
      </c>
      <c r="G22" s="126" t="s">
        <v>749</v>
      </c>
      <c r="H22" s="189" t="s">
        <v>750</v>
      </c>
      <c r="I22" s="124" t="s">
        <v>751</v>
      </c>
    </row>
    <row r="23" spans="1:9" x14ac:dyDescent="0.25">
      <c r="A23" s="150"/>
      <c r="B23" s="138"/>
      <c r="C23" s="525"/>
      <c r="D23" s="526"/>
      <c r="E23" s="527"/>
      <c r="F23" s="134"/>
      <c r="G23" s="159"/>
      <c r="H23" s="193"/>
      <c r="I23" s="156"/>
    </row>
    <row r="24" spans="1:9" x14ac:dyDescent="0.25">
      <c r="A24" s="127"/>
      <c r="B24" s="127"/>
      <c r="C24" s="508"/>
      <c r="D24" s="509"/>
      <c r="E24" s="510"/>
      <c r="F24" s="128"/>
      <c r="G24" s="128"/>
      <c r="H24" s="196"/>
      <c r="I24" s="130"/>
    </row>
    <row r="25" spans="1:9" x14ac:dyDescent="0.25">
      <c r="A25" s="514" t="s">
        <v>758</v>
      </c>
      <c r="B25" s="514"/>
      <c r="C25" s="514"/>
      <c r="D25" s="514"/>
      <c r="E25" s="514"/>
      <c r="F25" s="514"/>
      <c r="G25" s="514"/>
      <c r="H25" s="514"/>
      <c r="I25" s="131">
        <f>I23</f>
        <v>0</v>
      </c>
    </row>
    <row r="26" spans="1:9" x14ac:dyDescent="0.25">
      <c r="A26" s="520"/>
      <c r="B26" s="521"/>
      <c r="C26" s="521"/>
      <c r="D26" s="521"/>
      <c r="E26" s="521"/>
      <c r="F26" s="521"/>
      <c r="G26" s="521"/>
      <c r="H26" s="521"/>
      <c r="I26" s="522"/>
    </row>
    <row r="27" spans="1:9" x14ac:dyDescent="0.25">
      <c r="A27" s="502" t="s">
        <v>762</v>
      </c>
      <c r="B27" s="502"/>
      <c r="C27" s="502"/>
      <c r="D27" s="502"/>
      <c r="E27" s="502"/>
      <c r="F27" s="502"/>
      <c r="G27" s="502"/>
      <c r="H27" s="502"/>
      <c r="I27" s="502"/>
    </row>
    <row r="28" spans="1:9" x14ac:dyDescent="0.25">
      <c r="A28" s="519" t="s">
        <v>772</v>
      </c>
      <c r="B28" s="519"/>
      <c r="C28" s="519"/>
      <c r="D28" s="519"/>
      <c r="E28" s="519"/>
      <c r="F28" s="519"/>
      <c r="G28" s="519"/>
      <c r="H28" s="519"/>
      <c r="I28" s="144">
        <f>I13</f>
        <v>22.6652555479276</v>
      </c>
    </row>
    <row r="29" spans="1:9" x14ac:dyDescent="0.25">
      <c r="A29" s="519" t="s">
        <v>773</v>
      </c>
      <c r="B29" s="519"/>
      <c r="C29" s="519"/>
      <c r="D29" s="519"/>
      <c r="E29" s="519"/>
      <c r="F29" s="519"/>
      <c r="G29" s="519"/>
      <c r="H29" s="519"/>
      <c r="I29" s="144">
        <f>I19</f>
        <v>71.490000000000009</v>
      </c>
    </row>
    <row r="30" spans="1:9" x14ac:dyDescent="0.25">
      <c r="A30" s="519" t="s">
        <v>811</v>
      </c>
      <c r="B30" s="519"/>
      <c r="C30" s="519"/>
      <c r="D30" s="519"/>
      <c r="E30" s="519"/>
      <c r="F30" s="519"/>
      <c r="G30" s="519"/>
      <c r="H30" s="519"/>
      <c r="I30" s="144">
        <f>I25</f>
        <v>0</v>
      </c>
    </row>
    <row r="31" spans="1:9" x14ac:dyDescent="0.25">
      <c r="A31" s="519" t="s">
        <v>812</v>
      </c>
      <c r="B31" s="519"/>
      <c r="C31" s="519"/>
      <c r="D31" s="519"/>
      <c r="E31" s="519"/>
      <c r="F31" s="519"/>
      <c r="G31" s="519"/>
      <c r="H31" s="519"/>
      <c r="I31" s="151">
        <f>SUM(I28:I30)</f>
        <v>94.155255547927609</v>
      </c>
    </row>
  </sheetData>
  <mergeCells count="27">
    <mergeCell ref="A29:H29"/>
    <mergeCell ref="A30:H30"/>
    <mergeCell ref="A31:H31"/>
    <mergeCell ref="C23:E23"/>
    <mergeCell ref="C24:E24"/>
    <mergeCell ref="A25:H25"/>
    <mergeCell ref="A26:I26"/>
    <mergeCell ref="A27:I27"/>
    <mergeCell ref="A28:H28"/>
    <mergeCell ref="C22:E22"/>
    <mergeCell ref="C9:E9"/>
    <mergeCell ref="C10:D10"/>
    <mergeCell ref="C11:D11"/>
    <mergeCell ref="C12:D12"/>
    <mergeCell ref="A13:H13"/>
    <mergeCell ref="A15:I15"/>
    <mergeCell ref="C16:E16"/>
    <mergeCell ref="C17:E17"/>
    <mergeCell ref="C18:E18"/>
    <mergeCell ref="A19:H19"/>
    <mergeCell ref="A21:I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view="pageBreakPreview" zoomScaleNormal="100" zoomScaleSheetLayoutView="100" workbookViewId="0">
      <selection activeCell="I3" sqref="I3"/>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14" x14ac:dyDescent="0.25">
      <c r="A1" s="503" t="s">
        <v>742</v>
      </c>
      <c r="B1" s="503"/>
      <c r="C1" s="503"/>
      <c r="D1" s="503"/>
      <c r="E1" s="503"/>
      <c r="F1" s="503"/>
      <c r="G1" s="503"/>
      <c r="H1" s="503"/>
      <c r="I1" s="504" t="s">
        <v>743</v>
      </c>
    </row>
    <row r="2" spans="1:14" x14ac:dyDescent="0.25">
      <c r="A2" s="503"/>
      <c r="B2" s="503"/>
      <c r="C2" s="503"/>
      <c r="D2" s="503"/>
      <c r="E2" s="503"/>
      <c r="F2" s="503"/>
      <c r="G2" s="503"/>
      <c r="H2" s="503"/>
      <c r="I2" s="504"/>
    </row>
    <row r="3" spans="1:14" x14ac:dyDescent="0.25">
      <c r="A3" s="503"/>
      <c r="B3" s="503"/>
      <c r="C3" s="503"/>
      <c r="D3" s="503"/>
      <c r="E3" s="503"/>
      <c r="F3" s="503"/>
      <c r="G3" s="503"/>
      <c r="H3" s="503"/>
      <c r="I3" s="113">
        <v>44287</v>
      </c>
    </row>
    <row r="4" spans="1:14" x14ac:dyDescent="0.25">
      <c r="A4" s="503"/>
      <c r="B4" s="503"/>
      <c r="C4" s="503"/>
      <c r="D4" s="503"/>
      <c r="E4" s="503"/>
      <c r="F4" s="503"/>
      <c r="G4" s="503"/>
      <c r="H4" s="503"/>
      <c r="I4" s="290" t="s">
        <v>1327</v>
      </c>
    </row>
    <row r="5" spans="1:14" x14ac:dyDescent="0.25">
      <c r="A5" s="505" t="s">
        <v>1371</v>
      </c>
      <c r="B5" s="505"/>
      <c r="C5" s="505"/>
      <c r="D5" s="505"/>
      <c r="E5" s="505"/>
      <c r="F5" s="505"/>
      <c r="G5" s="505"/>
      <c r="H5" s="505"/>
      <c r="I5" s="506" t="s">
        <v>844</v>
      </c>
    </row>
    <row r="6" spans="1:14" x14ac:dyDescent="0.25">
      <c r="A6" s="505"/>
      <c r="B6" s="505"/>
      <c r="C6" s="505"/>
      <c r="D6" s="505"/>
      <c r="E6" s="505"/>
      <c r="F6" s="505"/>
      <c r="G6" s="505"/>
      <c r="H6" s="505"/>
      <c r="I6" s="506"/>
    </row>
    <row r="7" spans="1:14" x14ac:dyDescent="0.25">
      <c r="A7" s="507" t="s">
        <v>1335</v>
      </c>
      <c r="B7" s="507"/>
      <c r="C7" s="507"/>
      <c r="D7" s="507"/>
      <c r="E7" s="507"/>
      <c r="F7" s="507"/>
      <c r="G7" s="507"/>
      <c r="H7" s="507"/>
      <c r="I7" s="507"/>
    </row>
    <row r="8" spans="1:14" x14ac:dyDescent="0.25">
      <c r="A8" s="502" t="s">
        <v>754</v>
      </c>
      <c r="B8" s="502"/>
      <c r="C8" s="502"/>
      <c r="D8" s="502"/>
      <c r="E8" s="502"/>
      <c r="F8" s="502"/>
      <c r="G8" s="502"/>
      <c r="H8" s="502"/>
      <c r="I8" s="502"/>
    </row>
    <row r="9" spans="1:14" x14ac:dyDescent="0.25">
      <c r="A9" s="114" t="s">
        <v>746</v>
      </c>
      <c r="B9" s="288" t="s">
        <v>9</v>
      </c>
      <c r="C9" s="511" t="s">
        <v>747</v>
      </c>
      <c r="D9" s="511"/>
      <c r="E9" s="511"/>
      <c r="F9" s="288" t="s">
        <v>748</v>
      </c>
      <c r="G9" s="115" t="s">
        <v>749</v>
      </c>
      <c r="H9" s="187" t="s">
        <v>750</v>
      </c>
      <c r="I9" s="117" t="s">
        <v>751</v>
      </c>
    </row>
    <row r="10" spans="1:14" ht="48.75" customHeight="1" x14ac:dyDescent="0.25">
      <c r="A10" s="153" t="s">
        <v>948</v>
      </c>
      <c r="B10" s="147" t="s">
        <v>1280</v>
      </c>
      <c r="C10" s="532" t="s">
        <v>936</v>
      </c>
      <c r="D10" s="537"/>
      <c r="E10" s="122" t="s">
        <v>755</v>
      </c>
      <c r="F10" s="288" t="s">
        <v>752</v>
      </c>
      <c r="G10" s="293">
        <v>0.1018</v>
      </c>
      <c r="H10" s="123">
        <f>(14.98/1.8674)*2.5727</f>
        <v>20.637809789011463</v>
      </c>
      <c r="I10" s="155">
        <f>G10*H10</f>
        <v>2.1009290365213671</v>
      </c>
    </row>
    <row r="11" spans="1:14" ht="33" customHeight="1" x14ac:dyDescent="0.25">
      <c r="A11" s="153" t="s">
        <v>1319</v>
      </c>
      <c r="B11" s="147" t="s">
        <v>1280</v>
      </c>
      <c r="C11" s="532" t="s">
        <v>1318</v>
      </c>
      <c r="D11" s="537"/>
      <c r="E11" s="122" t="s">
        <v>755</v>
      </c>
      <c r="F11" s="288" t="s">
        <v>752</v>
      </c>
      <c r="G11" s="291">
        <v>2.5499999999999998E-2</v>
      </c>
      <c r="H11" s="123">
        <f>(20.25/1.8674)*2.5727</f>
        <v>27.898240869658352</v>
      </c>
      <c r="I11" s="155">
        <f>G11*H11</f>
        <v>0.71140514217628792</v>
      </c>
      <c r="N11" s="183"/>
    </row>
    <row r="12" spans="1:14" x14ac:dyDescent="0.25">
      <c r="A12" s="147"/>
      <c r="B12" s="289"/>
      <c r="C12" s="513"/>
      <c r="D12" s="513"/>
      <c r="E12" s="122"/>
      <c r="F12" s="289"/>
      <c r="G12" s="119"/>
      <c r="H12" s="189"/>
      <c r="I12" s="155"/>
    </row>
    <row r="13" spans="1:14" x14ac:dyDescent="0.25">
      <c r="A13" s="514" t="s">
        <v>753</v>
      </c>
      <c r="B13" s="514"/>
      <c r="C13" s="514"/>
      <c r="D13" s="514"/>
      <c r="E13" s="514"/>
      <c r="F13" s="514"/>
      <c r="G13" s="514"/>
      <c r="H13" s="514"/>
      <c r="I13" s="125">
        <f>SUM(I10:I12)</f>
        <v>2.8123341786976548</v>
      </c>
    </row>
    <row r="14" spans="1:14" x14ac:dyDescent="0.25">
      <c r="A14" s="286"/>
      <c r="B14" s="286"/>
      <c r="C14" s="286"/>
      <c r="D14" s="286"/>
      <c r="E14" s="286"/>
      <c r="F14" s="286"/>
      <c r="G14" s="286"/>
      <c r="H14" s="287"/>
      <c r="I14" s="125"/>
    </row>
    <row r="15" spans="1:14" x14ac:dyDescent="0.25">
      <c r="A15" s="502" t="s">
        <v>759</v>
      </c>
      <c r="B15" s="502"/>
      <c r="C15" s="502"/>
      <c r="D15" s="502"/>
      <c r="E15" s="502"/>
      <c r="F15" s="502"/>
      <c r="G15" s="502"/>
      <c r="H15" s="502"/>
      <c r="I15" s="502"/>
    </row>
    <row r="16" spans="1:14" x14ac:dyDescent="0.25">
      <c r="A16" s="114" t="s">
        <v>746</v>
      </c>
      <c r="B16" s="288" t="s">
        <v>9</v>
      </c>
      <c r="C16" s="511" t="s">
        <v>747</v>
      </c>
      <c r="D16" s="511"/>
      <c r="E16" s="511"/>
      <c r="F16" s="288" t="s">
        <v>748</v>
      </c>
      <c r="G16" s="115" t="s">
        <v>749</v>
      </c>
      <c r="H16" s="187" t="s">
        <v>750</v>
      </c>
      <c r="I16" s="117" t="s">
        <v>751</v>
      </c>
    </row>
    <row r="17" spans="1:9" ht="32.25" customHeight="1" x14ac:dyDescent="0.25">
      <c r="A17" s="132" t="s">
        <v>1336</v>
      </c>
      <c r="B17" s="147" t="s">
        <v>1280</v>
      </c>
      <c r="C17" s="515" t="s">
        <v>1337</v>
      </c>
      <c r="D17" s="515"/>
      <c r="E17" s="515"/>
      <c r="F17" s="132" t="s">
        <v>25</v>
      </c>
      <c r="G17" s="119">
        <v>1</v>
      </c>
      <c r="H17" s="191">
        <v>35.630000000000003</v>
      </c>
      <c r="I17" s="157">
        <f>G17*H17</f>
        <v>35.630000000000003</v>
      </c>
    </row>
    <row r="18" spans="1:9" x14ac:dyDescent="0.25">
      <c r="A18" s="514" t="s">
        <v>757</v>
      </c>
      <c r="B18" s="514"/>
      <c r="C18" s="514"/>
      <c r="D18" s="514"/>
      <c r="E18" s="514"/>
      <c r="F18" s="514"/>
      <c r="G18" s="514"/>
      <c r="H18" s="514"/>
      <c r="I18" s="143">
        <f>SUM(I17:I17)</f>
        <v>35.630000000000003</v>
      </c>
    </row>
    <row r="19" spans="1:9" x14ac:dyDescent="0.25">
      <c r="A19" s="286"/>
      <c r="B19" s="286"/>
      <c r="C19" s="286"/>
      <c r="D19" s="286"/>
      <c r="E19" s="286"/>
      <c r="F19" s="286"/>
      <c r="G19" s="286"/>
      <c r="H19" s="287"/>
      <c r="I19" s="125"/>
    </row>
    <row r="20" spans="1:9" x14ac:dyDescent="0.25">
      <c r="A20" s="517" t="s">
        <v>769</v>
      </c>
      <c r="B20" s="517"/>
      <c r="C20" s="517"/>
      <c r="D20" s="517"/>
      <c r="E20" s="517"/>
      <c r="F20" s="517"/>
      <c r="G20" s="517"/>
      <c r="H20" s="517"/>
      <c r="I20" s="517"/>
    </row>
    <row r="21" spans="1:9" x14ac:dyDescent="0.25">
      <c r="A21" s="121"/>
      <c r="B21" s="289"/>
      <c r="C21" s="518" t="s">
        <v>747</v>
      </c>
      <c r="D21" s="518"/>
      <c r="E21" s="518"/>
      <c r="F21" s="289" t="s">
        <v>748</v>
      </c>
      <c r="G21" s="126" t="s">
        <v>749</v>
      </c>
      <c r="H21" s="189" t="s">
        <v>750</v>
      </c>
      <c r="I21" s="124" t="s">
        <v>751</v>
      </c>
    </row>
    <row r="22" spans="1:9" x14ac:dyDescent="0.25">
      <c r="A22" s="150"/>
      <c r="B22" s="147"/>
      <c r="C22" s="525"/>
      <c r="D22" s="526"/>
      <c r="E22" s="527"/>
      <c r="F22" s="134"/>
      <c r="G22" s="159"/>
      <c r="H22" s="193"/>
      <c r="I22" s="156"/>
    </row>
    <row r="23" spans="1:9" x14ac:dyDescent="0.25">
      <c r="A23" s="127"/>
      <c r="B23" s="147"/>
      <c r="C23" s="538"/>
      <c r="D23" s="509"/>
      <c r="E23" s="510"/>
      <c r="F23" s="294"/>
      <c r="G23" s="128"/>
      <c r="H23" s="196"/>
      <c r="I23" s="156"/>
    </row>
    <row r="24" spans="1:9" x14ac:dyDescent="0.25">
      <c r="A24" s="514" t="s">
        <v>758</v>
      </c>
      <c r="B24" s="514"/>
      <c r="C24" s="514"/>
      <c r="D24" s="514"/>
      <c r="E24" s="514"/>
      <c r="F24" s="514"/>
      <c r="G24" s="514"/>
      <c r="H24" s="514"/>
      <c r="I24" s="131">
        <f>SUM(I22:I23)</f>
        <v>0</v>
      </c>
    </row>
    <row r="25" spans="1:9" x14ac:dyDescent="0.25">
      <c r="A25" s="520"/>
      <c r="B25" s="521"/>
      <c r="C25" s="521"/>
      <c r="D25" s="521"/>
      <c r="E25" s="521"/>
      <c r="F25" s="521"/>
      <c r="G25" s="521"/>
      <c r="H25" s="521"/>
      <c r="I25" s="522"/>
    </row>
    <row r="26" spans="1:9" x14ac:dyDescent="0.25">
      <c r="A26" s="502" t="s">
        <v>762</v>
      </c>
      <c r="B26" s="502"/>
      <c r="C26" s="502"/>
      <c r="D26" s="502"/>
      <c r="E26" s="502"/>
      <c r="F26" s="502"/>
      <c r="G26" s="502"/>
      <c r="H26" s="502"/>
      <c r="I26" s="502"/>
    </row>
    <row r="27" spans="1:9" x14ac:dyDescent="0.25">
      <c r="A27" s="519" t="s">
        <v>772</v>
      </c>
      <c r="B27" s="519"/>
      <c r="C27" s="519"/>
      <c r="D27" s="519"/>
      <c r="E27" s="519"/>
      <c r="F27" s="519"/>
      <c r="G27" s="519"/>
      <c r="H27" s="519"/>
      <c r="I27" s="144">
        <f>I13</f>
        <v>2.8123341786976548</v>
      </c>
    </row>
    <row r="28" spans="1:9" x14ac:dyDescent="0.25">
      <c r="A28" s="519" t="s">
        <v>773</v>
      </c>
      <c r="B28" s="519"/>
      <c r="C28" s="519"/>
      <c r="D28" s="519"/>
      <c r="E28" s="519"/>
      <c r="F28" s="519"/>
      <c r="G28" s="519"/>
      <c r="H28" s="519"/>
      <c r="I28" s="144">
        <f>I18</f>
        <v>35.630000000000003</v>
      </c>
    </row>
    <row r="29" spans="1:9" x14ac:dyDescent="0.25">
      <c r="A29" s="519" t="s">
        <v>811</v>
      </c>
      <c r="B29" s="519"/>
      <c r="C29" s="519"/>
      <c r="D29" s="519"/>
      <c r="E29" s="519"/>
      <c r="F29" s="519"/>
      <c r="G29" s="519"/>
      <c r="H29" s="519"/>
      <c r="I29" s="144">
        <f>I24</f>
        <v>0</v>
      </c>
    </row>
    <row r="30" spans="1:9" x14ac:dyDescent="0.25">
      <c r="A30" s="519" t="s">
        <v>812</v>
      </c>
      <c r="B30" s="519"/>
      <c r="C30" s="519"/>
      <c r="D30" s="519"/>
      <c r="E30" s="519"/>
      <c r="F30" s="519"/>
      <c r="G30" s="519"/>
      <c r="H30" s="519"/>
      <c r="I30" s="151">
        <f>SUM(I27:I29)</f>
        <v>38.442334178697656</v>
      </c>
    </row>
  </sheetData>
  <mergeCells count="26">
    <mergeCell ref="A29:H29"/>
    <mergeCell ref="A30:H30"/>
    <mergeCell ref="C23:E23"/>
    <mergeCell ref="A24:H24"/>
    <mergeCell ref="A25:I25"/>
    <mergeCell ref="A26:I26"/>
    <mergeCell ref="A27:H27"/>
    <mergeCell ref="A28:H28"/>
    <mergeCell ref="C22:E22"/>
    <mergeCell ref="C9:E9"/>
    <mergeCell ref="C10:D10"/>
    <mergeCell ref="C11:D11"/>
    <mergeCell ref="C12:D12"/>
    <mergeCell ref="A13:H13"/>
    <mergeCell ref="A15:I15"/>
    <mergeCell ref="C16:E16"/>
    <mergeCell ref="C17:E17"/>
    <mergeCell ref="A18:H18"/>
    <mergeCell ref="A20:I20"/>
    <mergeCell ref="C21:E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view="pageBreakPreview" zoomScale="112" zoomScaleNormal="100" zoomScaleSheetLayoutView="112" workbookViewId="0">
      <selection activeCell="A20" sqref="A20:I20"/>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14" x14ac:dyDescent="0.25">
      <c r="A1" s="503" t="s">
        <v>742</v>
      </c>
      <c r="B1" s="503"/>
      <c r="C1" s="503"/>
      <c r="D1" s="503"/>
      <c r="E1" s="503"/>
      <c r="F1" s="503"/>
      <c r="G1" s="503"/>
      <c r="H1" s="503"/>
      <c r="I1" s="504" t="s">
        <v>743</v>
      </c>
    </row>
    <row r="2" spans="1:14" x14ac:dyDescent="0.25">
      <c r="A2" s="503"/>
      <c r="B2" s="503"/>
      <c r="C2" s="503"/>
      <c r="D2" s="503"/>
      <c r="E2" s="503"/>
      <c r="F2" s="503"/>
      <c r="G2" s="503"/>
      <c r="H2" s="503"/>
      <c r="I2" s="504"/>
    </row>
    <row r="3" spans="1:14" x14ac:dyDescent="0.25">
      <c r="A3" s="503"/>
      <c r="B3" s="503"/>
      <c r="C3" s="503"/>
      <c r="D3" s="503"/>
      <c r="E3" s="503"/>
      <c r="F3" s="503"/>
      <c r="G3" s="503"/>
      <c r="H3" s="503"/>
      <c r="I3" s="113">
        <v>44287</v>
      </c>
    </row>
    <row r="4" spans="1:14" x14ac:dyDescent="0.25">
      <c r="A4" s="503"/>
      <c r="B4" s="503"/>
      <c r="C4" s="503"/>
      <c r="D4" s="503"/>
      <c r="E4" s="503"/>
      <c r="F4" s="503"/>
      <c r="G4" s="503"/>
      <c r="H4" s="503"/>
      <c r="I4" s="290" t="s">
        <v>1334</v>
      </c>
    </row>
    <row r="5" spans="1:14" x14ac:dyDescent="0.25">
      <c r="A5" s="505" t="s">
        <v>1317</v>
      </c>
      <c r="B5" s="505"/>
      <c r="C5" s="505"/>
      <c r="D5" s="505"/>
      <c r="E5" s="505"/>
      <c r="F5" s="505"/>
      <c r="G5" s="505"/>
      <c r="H5" s="505"/>
      <c r="I5" s="506" t="s">
        <v>844</v>
      </c>
    </row>
    <row r="6" spans="1:14" x14ac:dyDescent="0.25">
      <c r="A6" s="505"/>
      <c r="B6" s="505"/>
      <c r="C6" s="505"/>
      <c r="D6" s="505"/>
      <c r="E6" s="505"/>
      <c r="F6" s="505"/>
      <c r="G6" s="505"/>
      <c r="H6" s="505"/>
      <c r="I6" s="506"/>
    </row>
    <row r="7" spans="1:14" x14ac:dyDescent="0.25">
      <c r="A7" s="507" t="s">
        <v>1328</v>
      </c>
      <c r="B7" s="507"/>
      <c r="C7" s="507"/>
      <c r="D7" s="507"/>
      <c r="E7" s="507"/>
      <c r="F7" s="507"/>
      <c r="G7" s="507"/>
      <c r="H7" s="507"/>
      <c r="I7" s="507"/>
    </row>
    <row r="8" spans="1:14" x14ac:dyDescent="0.25">
      <c r="A8" s="502" t="s">
        <v>754</v>
      </c>
      <c r="B8" s="502"/>
      <c r="C8" s="502"/>
      <c r="D8" s="502"/>
      <c r="E8" s="502"/>
      <c r="F8" s="502"/>
      <c r="G8" s="502"/>
      <c r="H8" s="502"/>
      <c r="I8" s="502"/>
    </row>
    <row r="9" spans="1:14" x14ac:dyDescent="0.25">
      <c r="A9" s="114" t="s">
        <v>746</v>
      </c>
      <c r="B9" s="288" t="s">
        <v>9</v>
      </c>
      <c r="C9" s="511" t="s">
        <v>747</v>
      </c>
      <c r="D9" s="511"/>
      <c r="E9" s="511"/>
      <c r="F9" s="288" t="s">
        <v>748</v>
      </c>
      <c r="G9" s="115" t="s">
        <v>749</v>
      </c>
      <c r="H9" s="187" t="s">
        <v>750</v>
      </c>
      <c r="I9" s="117" t="s">
        <v>751</v>
      </c>
    </row>
    <row r="10" spans="1:14" ht="48.75" customHeight="1" x14ac:dyDescent="0.25">
      <c r="A10" s="153" t="s">
        <v>948</v>
      </c>
      <c r="B10" s="147" t="s">
        <v>1280</v>
      </c>
      <c r="C10" s="532" t="s">
        <v>936</v>
      </c>
      <c r="D10" s="537"/>
      <c r="E10" s="122" t="s">
        <v>755</v>
      </c>
      <c r="F10" s="288" t="s">
        <v>752</v>
      </c>
      <c r="G10" s="293">
        <v>4.3620000000000001</v>
      </c>
      <c r="H10" s="123">
        <f>(14.98/1.8674)*2.5727</f>
        <v>20.637809789011463</v>
      </c>
      <c r="I10" s="155">
        <f>G10*H10</f>
        <v>90.022126299668003</v>
      </c>
    </row>
    <row r="11" spans="1:14" ht="33" customHeight="1" x14ac:dyDescent="0.25">
      <c r="A11" s="153" t="s">
        <v>1319</v>
      </c>
      <c r="B11" s="147" t="s">
        <v>1280</v>
      </c>
      <c r="C11" s="532" t="s">
        <v>1318</v>
      </c>
      <c r="D11" s="537"/>
      <c r="E11" s="122" t="s">
        <v>755</v>
      </c>
      <c r="F11" s="288" t="s">
        <v>752</v>
      </c>
      <c r="G11" s="291">
        <v>1.0905</v>
      </c>
      <c r="H11" s="123">
        <f>(20.25/1.8674)*2.5727</f>
        <v>27.898240869658352</v>
      </c>
      <c r="I11" s="155">
        <f>G11*H11</f>
        <v>30.423031668362434</v>
      </c>
      <c r="N11" s="183"/>
    </row>
    <row r="12" spans="1:14" x14ac:dyDescent="0.25">
      <c r="A12" s="147"/>
      <c r="B12" s="289"/>
      <c r="C12" s="513"/>
      <c r="D12" s="513"/>
      <c r="E12" s="122"/>
      <c r="F12" s="289"/>
      <c r="G12" s="119"/>
      <c r="H12" s="189"/>
      <c r="I12" s="155"/>
    </row>
    <row r="13" spans="1:14" x14ac:dyDescent="0.25">
      <c r="A13" s="514" t="s">
        <v>753</v>
      </c>
      <c r="B13" s="514"/>
      <c r="C13" s="514"/>
      <c r="D13" s="514"/>
      <c r="E13" s="514"/>
      <c r="F13" s="514"/>
      <c r="G13" s="514"/>
      <c r="H13" s="514"/>
      <c r="I13" s="125">
        <f>SUM(I10:I12)</f>
        <v>120.44515796803043</v>
      </c>
    </row>
    <row r="14" spans="1:14" x14ac:dyDescent="0.25">
      <c r="A14" s="286"/>
      <c r="B14" s="286"/>
      <c r="C14" s="286"/>
      <c r="D14" s="286"/>
      <c r="E14" s="286"/>
      <c r="F14" s="286"/>
      <c r="G14" s="286"/>
      <c r="H14" s="287"/>
      <c r="I14" s="125"/>
    </row>
    <row r="15" spans="1:14" x14ac:dyDescent="0.25">
      <c r="A15" s="502" t="s">
        <v>759</v>
      </c>
      <c r="B15" s="502"/>
      <c r="C15" s="502"/>
      <c r="D15" s="502"/>
      <c r="E15" s="502"/>
      <c r="F15" s="502"/>
      <c r="G15" s="502"/>
      <c r="H15" s="502"/>
      <c r="I15" s="502"/>
    </row>
    <row r="16" spans="1:14" x14ac:dyDescent="0.25">
      <c r="A16" s="114" t="s">
        <v>746</v>
      </c>
      <c r="B16" s="288" t="s">
        <v>9</v>
      </c>
      <c r="C16" s="511" t="s">
        <v>747</v>
      </c>
      <c r="D16" s="511"/>
      <c r="E16" s="511"/>
      <c r="F16" s="288" t="s">
        <v>748</v>
      </c>
      <c r="G16" s="115" t="s">
        <v>749</v>
      </c>
      <c r="H16" s="187" t="s">
        <v>750</v>
      </c>
      <c r="I16" s="117" t="s">
        <v>751</v>
      </c>
    </row>
    <row r="17" spans="1:9" ht="27" customHeight="1" x14ac:dyDescent="0.25">
      <c r="A17" s="132" t="s">
        <v>1325</v>
      </c>
      <c r="B17" s="147" t="s">
        <v>1280</v>
      </c>
      <c r="C17" s="515" t="s">
        <v>1326</v>
      </c>
      <c r="D17" s="515"/>
      <c r="E17" s="515"/>
      <c r="F17" s="132" t="s">
        <v>25</v>
      </c>
      <c r="G17" s="119">
        <v>1</v>
      </c>
      <c r="H17" s="191">
        <v>86.2</v>
      </c>
      <c r="I17" s="157">
        <f>G17*H17</f>
        <v>86.2</v>
      </c>
    </row>
    <row r="18" spans="1:9" x14ac:dyDescent="0.25">
      <c r="A18" s="514" t="s">
        <v>757</v>
      </c>
      <c r="B18" s="514"/>
      <c r="C18" s="514"/>
      <c r="D18" s="514"/>
      <c r="E18" s="514"/>
      <c r="F18" s="514"/>
      <c r="G18" s="514"/>
      <c r="H18" s="514"/>
      <c r="I18" s="143">
        <f>SUM(I17:I17)</f>
        <v>86.2</v>
      </c>
    </row>
    <row r="19" spans="1:9" x14ac:dyDescent="0.25">
      <c r="A19" s="286"/>
      <c r="B19" s="286"/>
      <c r="C19" s="286"/>
      <c r="D19" s="286"/>
      <c r="E19" s="286"/>
      <c r="F19" s="286"/>
      <c r="G19" s="286"/>
      <c r="H19" s="287"/>
      <c r="I19" s="125"/>
    </row>
    <row r="20" spans="1:9" x14ac:dyDescent="0.25">
      <c r="A20" s="517" t="s">
        <v>769</v>
      </c>
      <c r="B20" s="517"/>
      <c r="C20" s="517"/>
      <c r="D20" s="517"/>
      <c r="E20" s="517"/>
      <c r="F20" s="517"/>
      <c r="G20" s="517"/>
      <c r="H20" s="517"/>
      <c r="I20" s="517"/>
    </row>
    <row r="21" spans="1:9" x14ac:dyDescent="0.25">
      <c r="A21" s="121"/>
      <c r="B21" s="289"/>
      <c r="C21" s="518" t="s">
        <v>747</v>
      </c>
      <c r="D21" s="518"/>
      <c r="E21" s="518"/>
      <c r="F21" s="289" t="s">
        <v>748</v>
      </c>
      <c r="G21" s="126" t="s">
        <v>749</v>
      </c>
      <c r="H21" s="189" t="s">
        <v>750</v>
      </c>
      <c r="I21" s="124" t="s">
        <v>751</v>
      </c>
    </row>
    <row r="22" spans="1:9" ht="68.25" customHeight="1" x14ac:dyDescent="0.25">
      <c r="A22" s="150" t="s">
        <v>1320</v>
      </c>
      <c r="B22" s="147" t="s">
        <v>1280</v>
      </c>
      <c r="C22" s="525" t="s">
        <v>1321</v>
      </c>
      <c r="D22" s="526"/>
      <c r="E22" s="527"/>
      <c r="F22" s="134" t="s">
        <v>1323</v>
      </c>
      <c r="G22" s="159">
        <v>0.2999</v>
      </c>
      <c r="H22" s="193">
        <v>147.99</v>
      </c>
      <c r="I22" s="156">
        <f>G22*H22</f>
        <v>44.382201000000002</v>
      </c>
    </row>
    <row r="23" spans="1:9" ht="63" customHeight="1" x14ac:dyDescent="0.25">
      <c r="A23" s="127">
        <v>91635</v>
      </c>
      <c r="B23" s="147" t="s">
        <v>1280</v>
      </c>
      <c r="C23" s="538" t="s">
        <v>1322</v>
      </c>
      <c r="D23" s="509"/>
      <c r="E23" s="510"/>
      <c r="F23" s="294" t="s">
        <v>1324</v>
      </c>
      <c r="G23" s="128">
        <v>1.2252000000000001</v>
      </c>
      <c r="H23" s="196">
        <v>37.69</v>
      </c>
      <c r="I23" s="156">
        <f>G23*H23</f>
        <v>46.177788</v>
      </c>
    </row>
    <row r="24" spans="1:9" x14ac:dyDescent="0.25">
      <c r="A24" s="514" t="s">
        <v>758</v>
      </c>
      <c r="B24" s="514"/>
      <c r="C24" s="514"/>
      <c r="D24" s="514"/>
      <c r="E24" s="514"/>
      <c r="F24" s="514"/>
      <c r="G24" s="514"/>
      <c r="H24" s="514"/>
      <c r="I24" s="131">
        <f>SUM(I22:I23)</f>
        <v>90.559989000000002</v>
      </c>
    </row>
    <row r="25" spans="1:9" x14ac:dyDescent="0.25">
      <c r="A25" s="520"/>
      <c r="B25" s="521"/>
      <c r="C25" s="521"/>
      <c r="D25" s="521"/>
      <c r="E25" s="521"/>
      <c r="F25" s="521"/>
      <c r="G25" s="521"/>
      <c r="H25" s="521"/>
      <c r="I25" s="522"/>
    </row>
    <row r="26" spans="1:9" x14ac:dyDescent="0.25">
      <c r="A26" s="502" t="s">
        <v>762</v>
      </c>
      <c r="B26" s="502"/>
      <c r="C26" s="502"/>
      <c r="D26" s="502"/>
      <c r="E26" s="502"/>
      <c r="F26" s="502"/>
      <c r="G26" s="502"/>
      <c r="H26" s="502"/>
      <c r="I26" s="502"/>
    </row>
    <row r="27" spans="1:9" x14ac:dyDescent="0.25">
      <c r="A27" s="519" t="s">
        <v>772</v>
      </c>
      <c r="B27" s="519"/>
      <c r="C27" s="519"/>
      <c r="D27" s="519"/>
      <c r="E27" s="519"/>
      <c r="F27" s="519"/>
      <c r="G27" s="519"/>
      <c r="H27" s="519"/>
      <c r="I27" s="144">
        <f>I13</f>
        <v>120.44515796803043</v>
      </c>
    </row>
    <row r="28" spans="1:9" x14ac:dyDescent="0.25">
      <c r="A28" s="519" t="s">
        <v>773</v>
      </c>
      <c r="B28" s="519"/>
      <c r="C28" s="519"/>
      <c r="D28" s="519"/>
      <c r="E28" s="519"/>
      <c r="F28" s="519"/>
      <c r="G28" s="519"/>
      <c r="H28" s="519"/>
      <c r="I28" s="144">
        <f>I18</f>
        <v>86.2</v>
      </c>
    </row>
    <row r="29" spans="1:9" x14ac:dyDescent="0.25">
      <c r="A29" s="519" t="s">
        <v>811</v>
      </c>
      <c r="B29" s="519"/>
      <c r="C29" s="519"/>
      <c r="D29" s="519"/>
      <c r="E29" s="519"/>
      <c r="F29" s="519"/>
      <c r="G29" s="519"/>
      <c r="H29" s="519"/>
      <c r="I29" s="144">
        <f>I24</f>
        <v>90.559989000000002</v>
      </c>
    </row>
    <row r="30" spans="1:9" x14ac:dyDescent="0.25">
      <c r="A30" s="519" t="s">
        <v>812</v>
      </c>
      <c r="B30" s="519"/>
      <c r="C30" s="519"/>
      <c r="D30" s="519"/>
      <c r="E30" s="519"/>
      <c r="F30" s="519"/>
      <c r="G30" s="519"/>
      <c r="H30" s="519"/>
      <c r="I30" s="151">
        <f>SUM(I27:I29)</f>
        <v>297.20514696803048</v>
      </c>
    </row>
  </sheetData>
  <mergeCells count="26">
    <mergeCell ref="A28:H28"/>
    <mergeCell ref="A29:H29"/>
    <mergeCell ref="A30:H30"/>
    <mergeCell ref="C22:E22"/>
    <mergeCell ref="C23:E23"/>
    <mergeCell ref="A24:H24"/>
    <mergeCell ref="A25:I25"/>
    <mergeCell ref="A26:I26"/>
    <mergeCell ref="A27:H27"/>
    <mergeCell ref="C16:E16"/>
    <mergeCell ref="C17:E17"/>
    <mergeCell ref="A18:H18"/>
    <mergeCell ref="A20:I20"/>
    <mergeCell ref="C21:E21"/>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76"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2" zoomScaleNormal="100" zoomScaleSheetLayoutView="100" workbookViewId="0">
      <selection activeCell="K26" sqref="K26"/>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361" t="s">
        <v>1425</v>
      </c>
    </row>
    <row r="5" spans="1:9" x14ac:dyDescent="0.25">
      <c r="A5" s="505" t="s">
        <v>1426</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1432</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362" t="s">
        <v>9</v>
      </c>
      <c r="C9" s="511" t="s">
        <v>747</v>
      </c>
      <c r="D9" s="511"/>
      <c r="E9" s="511"/>
      <c r="F9" s="362" t="s">
        <v>748</v>
      </c>
      <c r="G9" s="115" t="s">
        <v>749</v>
      </c>
      <c r="H9" s="187" t="s">
        <v>750</v>
      </c>
      <c r="I9" s="117" t="s">
        <v>751</v>
      </c>
    </row>
    <row r="10" spans="1:9" ht="30.75" customHeight="1" x14ac:dyDescent="0.25">
      <c r="A10" s="153" t="s">
        <v>1105</v>
      </c>
      <c r="B10" s="147" t="s">
        <v>1280</v>
      </c>
      <c r="C10" s="532" t="s">
        <v>1106</v>
      </c>
      <c r="D10" s="537"/>
      <c r="E10" s="122" t="s">
        <v>755</v>
      </c>
      <c r="F10" s="362" t="s">
        <v>752</v>
      </c>
      <c r="G10" s="293">
        <v>0.40899999999999997</v>
      </c>
      <c r="H10" s="123">
        <f>(17.46/1.8674)*2.5727</f>
        <v>24.054483238727645</v>
      </c>
      <c r="I10" s="155">
        <f>G10*H10</f>
        <v>9.8382836446396063</v>
      </c>
    </row>
    <row r="11" spans="1:9" ht="29.25" customHeight="1" x14ac:dyDescent="0.25">
      <c r="A11" s="153" t="s">
        <v>1107</v>
      </c>
      <c r="B11" s="147" t="s">
        <v>1280</v>
      </c>
      <c r="C11" s="532" t="s">
        <v>1108</v>
      </c>
      <c r="D11" s="537"/>
      <c r="E11" s="122" t="s">
        <v>755</v>
      </c>
      <c r="F11" s="362" t="s">
        <v>752</v>
      </c>
      <c r="G11" s="293">
        <f>0.409+0.124</f>
        <v>0.53299999999999992</v>
      </c>
      <c r="H11" s="123">
        <f>(22.54/1.8674)*2.5727</f>
        <v>31.053153047017243</v>
      </c>
      <c r="I11" s="155">
        <f>G11*H11</f>
        <v>16.551330574060188</v>
      </c>
    </row>
    <row r="12" spans="1:9" x14ac:dyDescent="0.25">
      <c r="A12" s="147"/>
      <c r="B12" s="365"/>
      <c r="C12" s="513"/>
      <c r="D12" s="513"/>
      <c r="E12" s="122"/>
      <c r="F12" s="365"/>
      <c r="G12" s="119"/>
      <c r="H12" s="189"/>
      <c r="I12" s="155"/>
    </row>
    <row r="13" spans="1:9" x14ac:dyDescent="0.25">
      <c r="A13" s="514" t="s">
        <v>753</v>
      </c>
      <c r="B13" s="514"/>
      <c r="C13" s="514"/>
      <c r="D13" s="514"/>
      <c r="E13" s="514"/>
      <c r="F13" s="514"/>
      <c r="G13" s="514"/>
      <c r="H13" s="514"/>
      <c r="I13" s="125">
        <f>SUM(I10:I12)</f>
        <v>26.389614218699794</v>
      </c>
    </row>
    <row r="14" spans="1:9" x14ac:dyDescent="0.25">
      <c r="A14" s="363"/>
      <c r="B14" s="363"/>
      <c r="C14" s="363"/>
      <c r="D14" s="363"/>
      <c r="E14" s="363"/>
      <c r="F14" s="363"/>
      <c r="G14" s="363"/>
      <c r="H14" s="360"/>
      <c r="I14" s="125"/>
    </row>
    <row r="15" spans="1:9" x14ac:dyDescent="0.25">
      <c r="A15" s="502" t="s">
        <v>759</v>
      </c>
      <c r="B15" s="502"/>
      <c r="C15" s="502"/>
      <c r="D15" s="502"/>
      <c r="E15" s="502"/>
      <c r="F15" s="502"/>
      <c r="G15" s="502"/>
      <c r="H15" s="502"/>
      <c r="I15" s="502"/>
    </row>
    <row r="16" spans="1:9" x14ac:dyDescent="0.25">
      <c r="A16" s="114" t="s">
        <v>746</v>
      </c>
      <c r="B16" s="362" t="s">
        <v>9</v>
      </c>
      <c r="C16" s="511" t="s">
        <v>747</v>
      </c>
      <c r="D16" s="511"/>
      <c r="E16" s="511"/>
      <c r="F16" s="362" t="s">
        <v>748</v>
      </c>
      <c r="G16" s="115" t="s">
        <v>749</v>
      </c>
      <c r="H16" s="187" t="s">
        <v>750</v>
      </c>
      <c r="I16" s="117" t="s">
        <v>751</v>
      </c>
    </row>
    <row r="17" spans="1:9" ht="18" customHeight="1" x14ac:dyDescent="0.25">
      <c r="A17" s="132" t="s">
        <v>1428</v>
      </c>
      <c r="B17" s="147" t="s">
        <v>1280</v>
      </c>
      <c r="C17" s="515" t="s">
        <v>1427</v>
      </c>
      <c r="D17" s="515"/>
      <c r="E17" s="515"/>
      <c r="F17" s="132" t="s">
        <v>25</v>
      </c>
      <c r="G17" s="119">
        <v>2</v>
      </c>
      <c r="H17" s="191">
        <v>7.87</v>
      </c>
      <c r="I17" s="157">
        <f>G17*H17</f>
        <v>15.74</v>
      </c>
    </row>
    <row r="18" spans="1:9" ht="28.5" customHeight="1" x14ac:dyDescent="0.25">
      <c r="A18" s="132" t="s">
        <v>1429</v>
      </c>
      <c r="B18" s="147" t="s">
        <v>1280</v>
      </c>
      <c r="C18" s="528" t="s">
        <v>1433</v>
      </c>
      <c r="D18" s="529"/>
      <c r="E18" s="530"/>
      <c r="F18" s="132" t="s">
        <v>25</v>
      </c>
      <c r="G18" s="119">
        <v>1</v>
      </c>
      <c r="H18" s="191">
        <v>2.93</v>
      </c>
      <c r="I18" s="157">
        <f>G18*H18</f>
        <v>2.93</v>
      </c>
    </row>
    <row r="19" spans="1:9" ht="46.5" customHeight="1" x14ac:dyDescent="0.25">
      <c r="A19" s="132" t="s">
        <v>1430</v>
      </c>
      <c r="B19" s="147" t="s">
        <v>1280</v>
      </c>
      <c r="C19" s="528" t="s">
        <v>1431</v>
      </c>
      <c r="D19" s="529"/>
      <c r="E19" s="530"/>
      <c r="F19" s="132" t="s">
        <v>25</v>
      </c>
      <c r="G19" s="119">
        <v>1</v>
      </c>
      <c r="H19" s="191">
        <v>1.52</v>
      </c>
      <c r="I19" s="157">
        <f>G19*H19</f>
        <v>1.52</v>
      </c>
    </row>
    <row r="20" spans="1:9" x14ac:dyDescent="0.25">
      <c r="A20" s="132"/>
      <c r="B20" s="147"/>
      <c r="C20" s="364"/>
      <c r="D20" s="364"/>
      <c r="E20" s="364"/>
      <c r="F20" s="132"/>
      <c r="G20" s="119"/>
      <c r="H20" s="191"/>
      <c r="I20" s="157"/>
    </row>
    <row r="21" spans="1:9" x14ac:dyDescent="0.25">
      <c r="A21" s="514" t="s">
        <v>757</v>
      </c>
      <c r="B21" s="514"/>
      <c r="C21" s="514"/>
      <c r="D21" s="514"/>
      <c r="E21" s="514"/>
      <c r="F21" s="514"/>
      <c r="G21" s="514"/>
      <c r="H21" s="514"/>
      <c r="I21" s="143">
        <f>SUM(I17:I19)</f>
        <v>20.190000000000001</v>
      </c>
    </row>
    <row r="22" spans="1:9" x14ac:dyDescent="0.25">
      <c r="A22" s="363"/>
      <c r="B22" s="363"/>
      <c r="C22" s="363"/>
      <c r="D22" s="363"/>
      <c r="E22" s="363"/>
      <c r="F22" s="363"/>
      <c r="G22" s="363"/>
      <c r="H22" s="360"/>
      <c r="I22" s="125"/>
    </row>
    <row r="23" spans="1:9" x14ac:dyDescent="0.25">
      <c r="A23" s="517" t="s">
        <v>769</v>
      </c>
      <c r="B23" s="517"/>
      <c r="C23" s="517"/>
      <c r="D23" s="517"/>
      <c r="E23" s="517"/>
      <c r="F23" s="517"/>
      <c r="G23" s="517"/>
      <c r="H23" s="517"/>
      <c r="I23" s="517"/>
    </row>
    <row r="24" spans="1:9" x14ac:dyDescent="0.25">
      <c r="A24" s="121"/>
      <c r="B24" s="365"/>
      <c r="C24" s="518" t="s">
        <v>747</v>
      </c>
      <c r="D24" s="518"/>
      <c r="E24" s="518"/>
      <c r="F24" s="365" t="s">
        <v>748</v>
      </c>
      <c r="G24" s="126" t="s">
        <v>749</v>
      </c>
      <c r="H24" s="189" t="s">
        <v>750</v>
      </c>
      <c r="I24" s="124" t="s">
        <v>751</v>
      </c>
    </row>
    <row r="25" spans="1:9" x14ac:dyDescent="0.25">
      <c r="A25" s="150"/>
      <c r="B25" s="147"/>
      <c r="C25" s="525"/>
      <c r="D25" s="526"/>
      <c r="E25" s="527"/>
      <c r="F25" s="134"/>
      <c r="G25" s="159"/>
      <c r="H25" s="193"/>
      <c r="I25" s="156"/>
    </row>
    <row r="26" spans="1:9" x14ac:dyDescent="0.25">
      <c r="A26" s="127"/>
      <c r="B26" s="147"/>
      <c r="C26" s="538"/>
      <c r="D26" s="509"/>
      <c r="E26" s="510"/>
      <c r="F26" s="294"/>
      <c r="G26" s="128"/>
      <c r="H26" s="196"/>
      <c r="I26" s="156"/>
    </row>
    <row r="27" spans="1:9" x14ac:dyDescent="0.25">
      <c r="A27" s="514" t="s">
        <v>758</v>
      </c>
      <c r="B27" s="514"/>
      <c r="C27" s="514"/>
      <c r="D27" s="514"/>
      <c r="E27" s="514"/>
      <c r="F27" s="514"/>
      <c r="G27" s="514"/>
      <c r="H27" s="514"/>
      <c r="I27" s="131">
        <f>SUM(I25:I26)</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I13</f>
        <v>26.389614218699794</v>
      </c>
    </row>
    <row r="31" spans="1:9" x14ac:dyDescent="0.25">
      <c r="A31" s="519" t="s">
        <v>773</v>
      </c>
      <c r="B31" s="519"/>
      <c r="C31" s="519"/>
      <c r="D31" s="519"/>
      <c r="E31" s="519"/>
      <c r="F31" s="519"/>
      <c r="G31" s="519"/>
      <c r="H31" s="519"/>
      <c r="I31" s="144">
        <f>I21</f>
        <v>20.190000000000001</v>
      </c>
    </row>
    <row r="32" spans="1:9" x14ac:dyDescent="0.25">
      <c r="A32" s="519" t="s">
        <v>811</v>
      </c>
      <c r="B32" s="519"/>
      <c r="C32" s="519"/>
      <c r="D32" s="519"/>
      <c r="E32" s="519"/>
      <c r="F32" s="519"/>
      <c r="G32" s="519"/>
      <c r="H32" s="519"/>
      <c r="I32" s="144">
        <f>I27</f>
        <v>0</v>
      </c>
    </row>
    <row r="33" spans="1:9" x14ac:dyDescent="0.25">
      <c r="A33" s="519" t="s">
        <v>812</v>
      </c>
      <c r="B33" s="519"/>
      <c r="C33" s="519"/>
      <c r="D33" s="519"/>
      <c r="E33" s="519"/>
      <c r="F33" s="519"/>
      <c r="G33" s="519"/>
      <c r="H33" s="519"/>
      <c r="I33" s="151">
        <f>SUM(I30:I32)</f>
        <v>46.579614218699795</v>
      </c>
    </row>
  </sheetData>
  <mergeCells count="28">
    <mergeCell ref="A15:I15"/>
    <mergeCell ref="A1:H4"/>
    <mergeCell ref="I1:I2"/>
    <mergeCell ref="A5:H6"/>
    <mergeCell ref="I5:I6"/>
    <mergeCell ref="A7:I7"/>
    <mergeCell ref="A8:I8"/>
    <mergeCell ref="C9:E9"/>
    <mergeCell ref="C10:D10"/>
    <mergeCell ref="C11:D11"/>
    <mergeCell ref="C12:D12"/>
    <mergeCell ref="A13:H13"/>
    <mergeCell ref="C16:E16"/>
    <mergeCell ref="C17:E17"/>
    <mergeCell ref="A21:H21"/>
    <mergeCell ref="A23:I23"/>
    <mergeCell ref="C24:E24"/>
    <mergeCell ref="A32:H32"/>
    <mergeCell ref="A33:H33"/>
    <mergeCell ref="C18:E18"/>
    <mergeCell ref="C19:E19"/>
    <mergeCell ref="C26:E26"/>
    <mergeCell ref="A27:H27"/>
    <mergeCell ref="A28:I28"/>
    <mergeCell ref="A29:I29"/>
    <mergeCell ref="A30:H30"/>
    <mergeCell ref="A31:H31"/>
    <mergeCell ref="C25:E25"/>
  </mergeCells>
  <pageMargins left="0.511811024" right="0.511811024" top="0.78740157499999996" bottom="0.78740157499999996" header="0.31496062000000002" footer="0.31496062000000002"/>
  <pageSetup paperSize="9" scale="76" orientation="portrait" horizontalDpi="0" verticalDpi="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2" zoomScale="115" zoomScaleNormal="100" zoomScaleSheetLayoutView="115" workbookViewId="0">
      <selection activeCell="A28" sqref="A28:I28"/>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361" t="s">
        <v>1436</v>
      </c>
    </row>
    <row r="5" spans="1:9" x14ac:dyDescent="0.25">
      <c r="A5" s="505" t="s">
        <v>1437</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1438</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362" t="s">
        <v>9</v>
      </c>
      <c r="C9" s="511" t="s">
        <v>747</v>
      </c>
      <c r="D9" s="511"/>
      <c r="E9" s="511"/>
      <c r="F9" s="362" t="s">
        <v>748</v>
      </c>
      <c r="G9" s="115" t="s">
        <v>749</v>
      </c>
      <c r="H9" s="187" t="s">
        <v>750</v>
      </c>
      <c r="I9" s="117" t="s">
        <v>751</v>
      </c>
    </row>
    <row r="10" spans="1:9" x14ac:dyDescent="0.25">
      <c r="A10" s="153" t="s">
        <v>1105</v>
      </c>
      <c r="B10" s="147" t="s">
        <v>1280</v>
      </c>
      <c r="C10" s="532" t="s">
        <v>1106</v>
      </c>
      <c r="D10" s="537"/>
      <c r="E10" s="122" t="s">
        <v>755</v>
      </c>
      <c r="F10" s="362" t="s">
        <v>752</v>
      </c>
      <c r="G10" s="293">
        <v>0.55500000000000005</v>
      </c>
      <c r="H10" s="123">
        <f>(17.46/1.8674)*2.5727</f>
        <v>24.054483238727645</v>
      </c>
      <c r="I10" s="155">
        <f>G10*H10</f>
        <v>13.350238197493844</v>
      </c>
    </row>
    <row r="11" spans="1:9" x14ac:dyDescent="0.25">
      <c r="A11" s="153" t="s">
        <v>1107</v>
      </c>
      <c r="B11" s="147" t="s">
        <v>1280</v>
      </c>
      <c r="C11" s="532" t="s">
        <v>1108</v>
      </c>
      <c r="D11" s="537"/>
      <c r="E11" s="122" t="s">
        <v>755</v>
      </c>
      <c r="F11" s="362" t="s">
        <v>752</v>
      </c>
      <c r="G11" s="293">
        <f>0.555+0.124</f>
        <v>0.67900000000000005</v>
      </c>
      <c r="H11" s="123">
        <f>(22.54/1.8674)*2.5727</f>
        <v>31.053153047017243</v>
      </c>
      <c r="I11" s="155">
        <f>G11*H11</f>
        <v>21.08509091892471</v>
      </c>
    </row>
    <row r="12" spans="1:9" x14ac:dyDescent="0.25">
      <c r="A12" s="147"/>
      <c r="B12" s="365"/>
      <c r="C12" s="513"/>
      <c r="D12" s="513"/>
      <c r="E12" s="122"/>
      <c r="F12" s="365"/>
      <c r="G12" s="119"/>
      <c r="H12" s="189"/>
      <c r="I12" s="155"/>
    </row>
    <row r="13" spans="1:9" x14ac:dyDescent="0.25">
      <c r="A13" s="514" t="s">
        <v>753</v>
      </c>
      <c r="B13" s="514"/>
      <c r="C13" s="514"/>
      <c r="D13" s="514"/>
      <c r="E13" s="514"/>
      <c r="F13" s="514"/>
      <c r="G13" s="514"/>
      <c r="H13" s="514"/>
      <c r="I13" s="125">
        <f>SUM(I10:I12)</f>
        <v>34.435329116418558</v>
      </c>
    </row>
    <row r="14" spans="1:9" x14ac:dyDescent="0.25">
      <c r="A14" s="363"/>
      <c r="B14" s="363"/>
      <c r="C14" s="363"/>
      <c r="D14" s="363"/>
      <c r="E14" s="363"/>
      <c r="F14" s="363"/>
      <c r="G14" s="363"/>
      <c r="H14" s="360"/>
      <c r="I14" s="125"/>
    </row>
    <row r="15" spans="1:9" x14ac:dyDescent="0.25">
      <c r="A15" s="502" t="s">
        <v>759</v>
      </c>
      <c r="B15" s="502"/>
      <c r="C15" s="502"/>
      <c r="D15" s="502"/>
      <c r="E15" s="502"/>
      <c r="F15" s="502"/>
      <c r="G15" s="502"/>
      <c r="H15" s="502"/>
      <c r="I15" s="502"/>
    </row>
    <row r="16" spans="1:9" x14ac:dyDescent="0.25">
      <c r="A16" s="114" t="s">
        <v>746</v>
      </c>
      <c r="B16" s="362" t="s">
        <v>9</v>
      </c>
      <c r="C16" s="511" t="s">
        <v>747</v>
      </c>
      <c r="D16" s="511"/>
      <c r="E16" s="511"/>
      <c r="F16" s="362" t="s">
        <v>748</v>
      </c>
      <c r="G16" s="115" t="s">
        <v>749</v>
      </c>
      <c r="H16" s="187" t="s">
        <v>750</v>
      </c>
      <c r="I16" s="117" t="s">
        <v>751</v>
      </c>
    </row>
    <row r="17" spans="1:9" x14ac:dyDescent="0.25">
      <c r="A17" s="132" t="s">
        <v>1428</v>
      </c>
      <c r="B17" s="147" t="s">
        <v>1280</v>
      </c>
      <c r="C17" s="515" t="s">
        <v>1427</v>
      </c>
      <c r="D17" s="515"/>
      <c r="E17" s="515"/>
      <c r="F17" s="132" t="s">
        <v>25</v>
      </c>
      <c r="G17" s="119">
        <v>2</v>
      </c>
      <c r="H17" s="191">
        <v>7.87</v>
      </c>
      <c r="I17" s="157">
        <f>G17*H17</f>
        <v>15.74</v>
      </c>
    </row>
    <row r="18" spans="1:9" x14ac:dyDescent="0.25">
      <c r="A18" s="132" t="s">
        <v>1429</v>
      </c>
      <c r="B18" s="147" t="s">
        <v>1280</v>
      </c>
      <c r="C18" s="528" t="s">
        <v>1433</v>
      </c>
      <c r="D18" s="529"/>
      <c r="E18" s="530"/>
      <c r="F18" s="132" t="s">
        <v>25</v>
      </c>
      <c r="G18" s="119">
        <v>1</v>
      </c>
      <c r="H18" s="191">
        <v>2.93</v>
      </c>
      <c r="I18" s="157">
        <f>G18*H18</f>
        <v>2.93</v>
      </c>
    </row>
    <row r="19" spans="1:9" x14ac:dyDescent="0.25">
      <c r="A19" s="132" t="s">
        <v>1430</v>
      </c>
      <c r="B19" s="147" t="s">
        <v>1280</v>
      </c>
      <c r="C19" s="528" t="s">
        <v>1431</v>
      </c>
      <c r="D19" s="529"/>
      <c r="E19" s="530"/>
      <c r="F19" s="132" t="s">
        <v>25</v>
      </c>
      <c r="G19" s="119">
        <v>1</v>
      </c>
      <c r="H19" s="191">
        <v>1.52</v>
      </c>
      <c r="I19" s="157">
        <f>G19*H19</f>
        <v>1.52</v>
      </c>
    </row>
    <row r="20" spans="1:9" x14ac:dyDescent="0.25">
      <c r="A20" s="132"/>
      <c r="B20" s="147"/>
      <c r="C20" s="364"/>
      <c r="D20" s="364"/>
      <c r="E20" s="364"/>
      <c r="F20" s="132"/>
      <c r="G20" s="119"/>
      <c r="H20" s="191"/>
      <c r="I20" s="157"/>
    </row>
    <row r="21" spans="1:9" x14ac:dyDescent="0.25">
      <c r="A21" s="514" t="s">
        <v>757</v>
      </c>
      <c r="B21" s="514"/>
      <c r="C21" s="514"/>
      <c r="D21" s="514"/>
      <c r="E21" s="514"/>
      <c r="F21" s="514"/>
      <c r="G21" s="514"/>
      <c r="H21" s="514"/>
      <c r="I21" s="143">
        <f>SUM(I17:I19)</f>
        <v>20.190000000000001</v>
      </c>
    </row>
    <row r="22" spans="1:9" x14ac:dyDescent="0.25">
      <c r="A22" s="363"/>
      <c r="B22" s="363"/>
      <c r="C22" s="363"/>
      <c r="D22" s="363"/>
      <c r="E22" s="363"/>
      <c r="F22" s="363"/>
      <c r="G22" s="363"/>
      <c r="H22" s="360"/>
      <c r="I22" s="125"/>
    </row>
    <row r="23" spans="1:9" x14ac:dyDescent="0.25">
      <c r="A23" s="517" t="s">
        <v>769</v>
      </c>
      <c r="B23" s="517"/>
      <c r="C23" s="517"/>
      <c r="D23" s="517"/>
      <c r="E23" s="517"/>
      <c r="F23" s="517"/>
      <c r="G23" s="517"/>
      <c r="H23" s="517"/>
      <c r="I23" s="517"/>
    </row>
    <row r="24" spans="1:9" x14ac:dyDescent="0.25">
      <c r="A24" s="121"/>
      <c r="B24" s="365"/>
      <c r="C24" s="518" t="s">
        <v>747</v>
      </c>
      <c r="D24" s="518"/>
      <c r="E24" s="518"/>
      <c r="F24" s="365" t="s">
        <v>748</v>
      </c>
      <c r="G24" s="126" t="s">
        <v>749</v>
      </c>
      <c r="H24" s="189" t="s">
        <v>750</v>
      </c>
      <c r="I24" s="124" t="s">
        <v>751</v>
      </c>
    </row>
    <row r="25" spans="1:9" x14ac:dyDescent="0.25">
      <c r="A25" s="150"/>
      <c r="B25" s="147"/>
      <c r="C25" s="525"/>
      <c r="D25" s="526"/>
      <c r="E25" s="527"/>
      <c r="F25" s="134"/>
      <c r="G25" s="159"/>
      <c r="H25" s="193"/>
      <c r="I25" s="156"/>
    </row>
    <row r="26" spans="1:9" x14ac:dyDescent="0.25">
      <c r="A26" s="127"/>
      <c r="B26" s="147"/>
      <c r="C26" s="538"/>
      <c r="D26" s="509"/>
      <c r="E26" s="510"/>
      <c r="F26" s="294"/>
      <c r="G26" s="128"/>
      <c r="H26" s="196"/>
      <c r="I26" s="156"/>
    </row>
    <row r="27" spans="1:9" x14ac:dyDescent="0.25">
      <c r="A27" s="514" t="s">
        <v>758</v>
      </c>
      <c r="B27" s="514"/>
      <c r="C27" s="514"/>
      <c r="D27" s="514"/>
      <c r="E27" s="514"/>
      <c r="F27" s="514"/>
      <c r="G27" s="514"/>
      <c r="H27" s="514"/>
      <c r="I27" s="131">
        <f>SUM(I25:I26)</f>
        <v>0</v>
      </c>
    </row>
    <row r="28" spans="1:9" x14ac:dyDescent="0.25">
      <c r="A28" s="520"/>
      <c r="B28" s="521"/>
      <c r="C28" s="521"/>
      <c r="D28" s="521"/>
      <c r="E28" s="521"/>
      <c r="F28" s="521"/>
      <c r="G28" s="521"/>
      <c r="H28" s="521"/>
      <c r="I28" s="522"/>
    </row>
    <row r="29" spans="1:9" x14ac:dyDescent="0.25">
      <c r="A29" s="502" t="s">
        <v>762</v>
      </c>
      <c r="B29" s="502"/>
      <c r="C29" s="502"/>
      <c r="D29" s="502"/>
      <c r="E29" s="502"/>
      <c r="F29" s="502"/>
      <c r="G29" s="502"/>
      <c r="H29" s="502"/>
      <c r="I29" s="502"/>
    </row>
    <row r="30" spans="1:9" x14ac:dyDescent="0.25">
      <c r="A30" s="519" t="s">
        <v>772</v>
      </c>
      <c r="B30" s="519"/>
      <c r="C30" s="519"/>
      <c r="D30" s="519"/>
      <c r="E30" s="519"/>
      <c r="F30" s="519"/>
      <c r="G30" s="519"/>
      <c r="H30" s="519"/>
      <c r="I30" s="144">
        <f>I13</f>
        <v>34.435329116418558</v>
      </c>
    </row>
    <row r="31" spans="1:9" x14ac:dyDescent="0.25">
      <c r="A31" s="519" t="s">
        <v>773</v>
      </c>
      <c r="B31" s="519"/>
      <c r="C31" s="519"/>
      <c r="D31" s="519"/>
      <c r="E31" s="519"/>
      <c r="F31" s="519"/>
      <c r="G31" s="519"/>
      <c r="H31" s="519"/>
      <c r="I31" s="144">
        <f>I21</f>
        <v>20.190000000000001</v>
      </c>
    </row>
    <row r="32" spans="1:9" x14ac:dyDescent="0.25">
      <c r="A32" s="519" t="s">
        <v>811</v>
      </c>
      <c r="B32" s="519"/>
      <c r="C32" s="519"/>
      <c r="D32" s="519"/>
      <c r="E32" s="519"/>
      <c r="F32" s="519"/>
      <c r="G32" s="519"/>
      <c r="H32" s="519"/>
      <c r="I32" s="144">
        <f>I27</f>
        <v>0</v>
      </c>
    </row>
    <row r="33" spans="1:9" x14ac:dyDescent="0.25">
      <c r="A33" s="519" t="s">
        <v>812</v>
      </c>
      <c r="B33" s="519"/>
      <c r="C33" s="519"/>
      <c r="D33" s="519"/>
      <c r="E33" s="519"/>
      <c r="F33" s="519"/>
      <c r="G33" s="519"/>
      <c r="H33" s="519"/>
      <c r="I33" s="151">
        <f>SUM(I30:I32)</f>
        <v>54.625329116418555</v>
      </c>
    </row>
  </sheetData>
  <mergeCells count="28">
    <mergeCell ref="A8:I8"/>
    <mergeCell ref="A1:H4"/>
    <mergeCell ref="I1:I2"/>
    <mergeCell ref="A5:H6"/>
    <mergeCell ref="I5:I6"/>
    <mergeCell ref="A7:I7"/>
    <mergeCell ref="A23:I23"/>
    <mergeCell ref="C9:E9"/>
    <mergeCell ref="C10:D10"/>
    <mergeCell ref="C11:D11"/>
    <mergeCell ref="C12:D12"/>
    <mergeCell ref="A13:H13"/>
    <mergeCell ref="A15:I15"/>
    <mergeCell ref="C16:E16"/>
    <mergeCell ref="C17:E17"/>
    <mergeCell ref="C18:E18"/>
    <mergeCell ref="C19:E19"/>
    <mergeCell ref="A21:H21"/>
    <mergeCell ref="A30:H30"/>
    <mergeCell ref="A31:H31"/>
    <mergeCell ref="A32:H32"/>
    <mergeCell ref="A33:H33"/>
    <mergeCell ref="C24:E24"/>
    <mergeCell ref="C25:E25"/>
    <mergeCell ref="C26:E26"/>
    <mergeCell ref="A27:H27"/>
    <mergeCell ref="A28:I28"/>
    <mergeCell ref="A29:I29"/>
  </mergeCells>
  <pageMargins left="0.511811024" right="0.511811024" top="0.78740157499999996" bottom="0.78740157499999996" header="0.31496062000000002" footer="0.31496062000000002"/>
  <pageSetup paperSize="9" scale="76" orientation="portrait" horizontalDpi="0" verticalDpi="0"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Normal="100" zoomScaleSheetLayoutView="100" workbookViewId="0">
      <selection activeCell="N18" sqref="N18"/>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03" t="s">
        <v>742</v>
      </c>
      <c r="B1" s="503"/>
      <c r="C1" s="503"/>
      <c r="D1" s="503"/>
      <c r="E1" s="503"/>
      <c r="F1" s="503"/>
      <c r="G1" s="503"/>
      <c r="H1" s="503"/>
      <c r="I1" s="504" t="s">
        <v>743</v>
      </c>
    </row>
    <row r="2" spans="1:9" x14ac:dyDescent="0.25">
      <c r="A2" s="503"/>
      <c r="B2" s="503"/>
      <c r="C2" s="503"/>
      <c r="D2" s="503"/>
      <c r="E2" s="503"/>
      <c r="F2" s="503"/>
      <c r="G2" s="503"/>
      <c r="H2" s="503"/>
      <c r="I2" s="504"/>
    </row>
    <row r="3" spans="1:9" x14ac:dyDescent="0.25">
      <c r="A3" s="503"/>
      <c r="B3" s="503"/>
      <c r="C3" s="503"/>
      <c r="D3" s="503"/>
      <c r="E3" s="503"/>
      <c r="F3" s="503"/>
      <c r="G3" s="503"/>
      <c r="H3" s="503"/>
      <c r="I3" s="113">
        <v>44287</v>
      </c>
    </row>
    <row r="4" spans="1:9" x14ac:dyDescent="0.25">
      <c r="A4" s="503"/>
      <c r="B4" s="503"/>
      <c r="C4" s="503"/>
      <c r="D4" s="503"/>
      <c r="E4" s="503"/>
      <c r="F4" s="503"/>
      <c r="G4" s="503"/>
      <c r="H4" s="503"/>
      <c r="I4" s="377" t="s">
        <v>1477</v>
      </c>
    </row>
    <row r="5" spans="1:9" x14ac:dyDescent="0.25">
      <c r="A5" s="505" t="s">
        <v>1481</v>
      </c>
      <c r="B5" s="505"/>
      <c r="C5" s="505"/>
      <c r="D5" s="505"/>
      <c r="E5" s="505"/>
      <c r="F5" s="505"/>
      <c r="G5" s="505"/>
      <c r="H5" s="505"/>
      <c r="I5" s="506" t="s">
        <v>844</v>
      </c>
    </row>
    <row r="6" spans="1:9" x14ac:dyDescent="0.25">
      <c r="A6" s="505"/>
      <c r="B6" s="505"/>
      <c r="C6" s="505"/>
      <c r="D6" s="505"/>
      <c r="E6" s="505"/>
      <c r="F6" s="505"/>
      <c r="G6" s="505"/>
      <c r="H6" s="505"/>
      <c r="I6" s="506"/>
    </row>
    <row r="7" spans="1:9" x14ac:dyDescent="0.25">
      <c r="A7" s="507" t="s">
        <v>1482</v>
      </c>
      <c r="B7" s="507"/>
      <c r="C7" s="507"/>
      <c r="D7" s="507"/>
      <c r="E7" s="507"/>
      <c r="F7" s="507"/>
      <c r="G7" s="507"/>
      <c r="H7" s="507"/>
      <c r="I7" s="507"/>
    </row>
    <row r="8" spans="1:9" x14ac:dyDescent="0.25">
      <c r="A8" s="502" t="s">
        <v>754</v>
      </c>
      <c r="B8" s="502"/>
      <c r="C8" s="502"/>
      <c r="D8" s="502"/>
      <c r="E8" s="502"/>
      <c r="F8" s="502"/>
      <c r="G8" s="502"/>
      <c r="H8" s="502"/>
      <c r="I8" s="502"/>
    </row>
    <row r="9" spans="1:9" x14ac:dyDescent="0.25">
      <c r="A9" s="114" t="s">
        <v>746</v>
      </c>
      <c r="B9" s="374" t="s">
        <v>9</v>
      </c>
      <c r="C9" s="511" t="s">
        <v>747</v>
      </c>
      <c r="D9" s="511"/>
      <c r="E9" s="511"/>
      <c r="F9" s="374" t="s">
        <v>748</v>
      </c>
      <c r="G9" s="115" t="s">
        <v>749</v>
      </c>
      <c r="H9" s="187" t="s">
        <v>750</v>
      </c>
      <c r="I9" s="117" t="s">
        <v>751</v>
      </c>
    </row>
    <row r="10" spans="1:9" x14ac:dyDescent="0.25">
      <c r="A10" s="153" t="s">
        <v>948</v>
      </c>
      <c r="B10" s="147" t="s">
        <v>1280</v>
      </c>
      <c r="C10" s="532" t="s">
        <v>936</v>
      </c>
      <c r="D10" s="537"/>
      <c r="E10" s="122" t="s">
        <v>755</v>
      </c>
      <c r="F10" s="374" t="s">
        <v>752</v>
      </c>
      <c r="G10" s="293">
        <v>8.8999999999999996E-2</v>
      </c>
      <c r="H10" s="123">
        <f>(14.98/1.8674)*2.5727</f>
        <v>20.637809789011463</v>
      </c>
      <c r="I10" s="155">
        <f>G10*H10</f>
        <v>1.83676507122202</v>
      </c>
    </row>
    <row r="11" spans="1:9" x14ac:dyDescent="0.25">
      <c r="A11" s="147"/>
      <c r="B11" s="376"/>
      <c r="C11" s="513"/>
      <c r="D11" s="513"/>
      <c r="E11" s="122"/>
      <c r="F11" s="376"/>
      <c r="G11" s="119"/>
      <c r="H11" s="189"/>
      <c r="I11" s="155"/>
    </row>
    <row r="12" spans="1:9" x14ac:dyDescent="0.25">
      <c r="A12" s="514" t="s">
        <v>753</v>
      </c>
      <c r="B12" s="514"/>
      <c r="C12" s="514"/>
      <c r="D12" s="514"/>
      <c r="E12" s="514"/>
      <c r="F12" s="514"/>
      <c r="G12" s="514"/>
      <c r="H12" s="514"/>
      <c r="I12" s="125">
        <f>SUM(I10:I11)</f>
        <v>1.83676507122202</v>
      </c>
    </row>
    <row r="13" spans="1:9" x14ac:dyDescent="0.25">
      <c r="A13" s="372"/>
      <c r="B13" s="372"/>
      <c r="C13" s="372"/>
      <c r="D13" s="372"/>
      <c r="E13" s="372"/>
      <c r="F13" s="372"/>
      <c r="G13" s="372"/>
      <c r="H13" s="373"/>
      <c r="I13" s="125"/>
    </row>
    <row r="14" spans="1:9" x14ac:dyDescent="0.25">
      <c r="A14" s="502" t="s">
        <v>759</v>
      </c>
      <c r="B14" s="502"/>
      <c r="C14" s="502"/>
      <c r="D14" s="502"/>
      <c r="E14" s="502"/>
      <c r="F14" s="502"/>
      <c r="G14" s="502"/>
      <c r="H14" s="502"/>
      <c r="I14" s="502"/>
    </row>
    <row r="15" spans="1:9" x14ac:dyDescent="0.25">
      <c r="A15" s="114" t="s">
        <v>746</v>
      </c>
      <c r="B15" s="374" t="s">
        <v>9</v>
      </c>
      <c r="C15" s="511" t="s">
        <v>747</v>
      </c>
      <c r="D15" s="511"/>
      <c r="E15" s="511"/>
      <c r="F15" s="374" t="s">
        <v>748</v>
      </c>
      <c r="G15" s="115" t="s">
        <v>749</v>
      </c>
      <c r="H15" s="187" t="s">
        <v>750</v>
      </c>
      <c r="I15" s="117" t="s">
        <v>751</v>
      </c>
    </row>
    <row r="16" spans="1:9" ht="81.75" customHeight="1" x14ac:dyDescent="0.25">
      <c r="A16" s="153" t="s">
        <v>1478</v>
      </c>
      <c r="B16" s="147" t="s">
        <v>1280</v>
      </c>
      <c r="C16" s="532" t="s">
        <v>1479</v>
      </c>
      <c r="D16" s="537"/>
      <c r="E16" s="122"/>
      <c r="F16" s="374" t="s">
        <v>752</v>
      </c>
      <c r="G16" s="293">
        <v>1.4999999999999999E-2</v>
      </c>
      <c r="H16" s="123">
        <v>1.26</v>
      </c>
      <c r="I16" s="155">
        <f>G16*H16</f>
        <v>1.89E-2</v>
      </c>
    </row>
    <row r="17" spans="1:9" x14ac:dyDescent="0.25">
      <c r="A17" s="132"/>
      <c r="B17" s="147"/>
      <c r="C17" s="528"/>
      <c r="D17" s="529"/>
      <c r="E17" s="530"/>
      <c r="F17" s="132"/>
      <c r="G17" s="119"/>
      <c r="H17" s="191"/>
      <c r="I17" s="157"/>
    </row>
    <row r="18" spans="1:9" x14ac:dyDescent="0.25">
      <c r="A18" s="132"/>
      <c r="B18" s="147"/>
      <c r="C18" s="375"/>
      <c r="D18" s="375"/>
      <c r="E18" s="375"/>
      <c r="F18" s="132"/>
      <c r="G18" s="119"/>
      <c r="H18" s="191"/>
      <c r="I18" s="157"/>
    </row>
    <row r="19" spans="1:9" x14ac:dyDescent="0.25">
      <c r="A19" s="514" t="s">
        <v>757</v>
      </c>
      <c r="B19" s="514"/>
      <c r="C19" s="514"/>
      <c r="D19" s="514"/>
      <c r="E19" s="514"/>
      <c r="F19" s="514"/>
      <c r="G19" s="514"/>
      <c r="H19" s="514"/>
      <c r="I19" s="143">
        <f>SUM(I16:I17)</f>
        <v>1.89E-2</v>
      </c>
    </row>
    <row r="20" spans="1:9" x14ac:dyDescent="0.25">
      <c r="A20" s="372"/>
      <c r="B20" s="372"/>
      <c r="C20" s="372"/>
      <c r="D20" s="372"/>
      <c r="E20" s="372"/>
      <c r="F20" s="372"/>
      <c r="G20" s="372"/>
      <c r="H20" s="373"/>
      <c r="I20" s="125"/>
    </row>
    <row r="21" spans="1:9" x14ac:dyDescent="0.25">
      <c r="A21" s="517" t="s">
        <v>769</v>
      </c>
      <c r="B21" s="517"/>
      <c r="C21" s="517"/>
      <c r="D21" s="517"/>
      <c r="E21" s="517"/>
      <c r="F21" s="517"/>
      <c r="G21" s="517"/>
      <c r="H21" s="517"/>
      <c r="I21" s="517"/>
    </row>
    <row r="22" spans="1:9" x14ac:dyDescent="0.25">
      <c r="A22" s="121"/>
      <c r="B22" s="376"/>
      <c r="C22" s="518" t="s">
        <v>747</v>
      </c>
      <c r="D22" s="518"/>
      <c r="E22" s="518"/>
      <c r="F22" s="376" t="s">
        <v>748</v>
      </c>
      <c r="G22" s="126" t="s">
        <v>749</v>
      </c>
      <c r="H22" s="189" t="s">
        <v>750</v>
      </c>
      <c r="I22" s="124" t="s">
        <v>751</v>
      </c>
    </row>
    <row r="23" spans="1:9" x14ac:dyDescent="0.25">
      <c r="A23" s="150"/>
      <c r="B23" s="147"/>
      <c r="C23" s="525"/>
      <c r="D23" s="526"/>
      <c r="E23" s="527"/>
      <c r="F23" s="134"/>
      <c r="G23" s="159"/>
      <c r="H23" s="193"/>
      <c r="I23" s="156"/>
    </row>
    <row r="24" spans="1:9" x14ac:dyDescent="0.25">
      <c r="A24" s="127"/>
      <c r="B24" s="147"/>
      <c r="C24" s="538"/>
      <c r="D24" s="509"/>
      <c r="E24" s="510"/>
      <c r="F24" s="294"/>
      <c r="G24" s="128"/>
      <c r="H24" s="196"/>
      <c r="I24" s="156"/>
    </row>
    <row r="25" spans="1:9" x14ac:dyDescent="0.25">
      <c r="A25" s="514" t="s">
        <v>758</v>
      </c>
      <c r="B25" s="514"/>
      <c r="C25" s="514"/>
      <c r="D25" s="514"/>
      <c r="E25" s="514"/>
      <c r="F25" s="514"/>
      <c r="G25" s="514"/>
      <c r="H25" s="514"/>
      <c r="I25" s="131">
        <f>SUM(I23:I24)</f>
        <v>0</v>
      </c>
    </row>
    <row r="26" spans="1:9" x14ac:dyDescent="0.25">
      <c r="A26" s="520"/>
      <c r="B26" s="521"/>
      <c r="C26" s="521"/>
      <c r="D26" s="521"/>
      <c r="E26" s="521"/>
      <c r="F26" s="521"/>
      <c r="G26" s="521"/>
      <c r="H26" s="521"/>
      <c r="I26" s="522"/>
    </row>
    <row r="27" spans="1:9" x14ac:dyDescent="0.25">
      <c r="A27" s="502" t="s">
        <v>762</v>
      </c>
      <c r="B27" s="502"/>
      <c r="C27" s="502"/>
      <c r="D27" s="502"/>
      <c r="E27" s="502"/>
      <c r="F27" s="502"/>
      <c r="G27" s="502"/>
      <c r="H27" s="502"/>
      <c r="I27" s="502"/>
    </row>
    <row r="28" spans="1:9" x14ac:dyDescent="0.25">
      <c r="A28" s="519" t="s">
        <v>772</v>
      </c>
      <c r="B28" s="519"/>
      <c r="C28" s="519"/>
      <c r="D28" s="519"/>
      <c r="E28" s="519"/>
      <c r="F28" s="519"/>
      <c r="G28" s="519"/>
      <c r="H28" s="519"/>
      <c r="I28" s="144">
        <f>I12</f>
        <v>1.83676507122202</v>
      </c>
    </row>
    <row r="29" spans="1:9" x14ac:dyDescent="0.25">
      <c r="A29" s="519" t="s">
        <v>773</v>
      </c>
      <c r="B29" s="519"/>
      <c r="C29" s="519"/>
      <c r="D29" s="519"/>
      <c r="E29" s="519"/>
      <c r="F29" s="519"/>
      <c r="G29" s="519"/>
      <c r="H29" s="519"/>
      <c r="I29" s="144">
        <f>I19</f>
        <v>1.89E-2</v>
      </c>
    </row>
    <row r="30" spans="1:9" x14ac:dyDescent="0.25">
      <c r="A30" s="519" t="s">
        <v>811</v>
      </c>
      <c r="B30" s="519"/>
      <c r="C30" s="519"/>
      <c r="D30" s="519"/>
      <c r="E30" s="519"/>
      <c r="F30" s="519"/>
      <c r="G30" s="519"/>
      <c r="H30" s="519"/>
      <c r="I30" s="144">
        <f>I25</f>
        <v>0</v>
      </c>
    </row>
    <row r="31" spans="1:9" x14ac:dyDescent="0.25">
      <c r="A31" s="519" t="s">
        <v>812</v>
      </c>
      <c r="B31" s="519"/>
      <c r="C31" s="519"/>
      <c r="D31" s="519"/>
      <c r="E31" s="519"/>
      <c r="F31" s="519"/>
      <c r="G31" s="519"/>
      <c r="H31" s="519"/>
      <c r="I31" s="151">
        <f>SUM(I28:I30)</f>
        <v>1.85566507122202</v>
      </c>
    </row>
  </sheetData>
  <mergeCells count="26">
    <mergeCell ref="A28:H28"/>
    <mergeCell ref="A29:H29"/>
    <mergeCell ref="A30:H30"/>
    <mergeCell ref="A31:H31"/>
    <mergeCell ref="C16:D16"/>
    <mergeCell ref="C22:E22"/>
    <mergeCell ref="C23:E23"/>
    <mergeCell ref="C24:E24"/>
    <mergeCell ref="A25:H25"/>
    <mergeCell ref="A26:I26"/>
    <mergeCell ref="A27:I27"/>
    <mergeCell ref="C15:E15"/>
    <mergeCell ref="C17:E17"/>
    <mergeCell ref="A19:H19"/>
    <mergeCell ref="A21:I21"/>
    <mergeCell ref="C9:E9"/>
    <mergeCell ref="C10:D10"/>
    <mergeCell ref="C11:D11"/>
    <mergeCell ref="A12:H12"/>
    <mergeCell ref="A14:I14"/>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horizontalDpi="0" verticalDpi="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0"/>
  <sheetViews>
    <sheetView view="pageBreakPreview" zoomScale="55" zoomScaleNormal="100" zoomScaleSheetLayoutView="55" workbookViewId="0">
      <selection activeCell="M13" sqref="M13"/>
    </sheetView>
  </sheetViews>
  <sheetFormatPr defaultRowHeight="15" x14ac:dyDescent="0.25"/>
  <cols>
    <col min="1" max="1" width="11.7109375" customWidth="1"/>
    <col min="2" max="2" width="18.5703125" customWidth="1"/>
    <col min="3" max="3" width="50.42578125" bestFit="1" customWidth="1"/>
    <col min="4" max="4" width="26.42578125" bestFit="1" customWidth="1"/>
    <col min="5" max="5" width="34" customWidth="1"/>
    <col min="6" max="6" width="18.7109375" bestFit="1" customWidth="1"/>
    <col min="7" max="7" width="14" bestFit="1" customWidth="1"/>
    <col min="8" max="8" width="24.85546875" customWidth="1"/>
    <col min="9" max="9" width="38.85546875" customWidth="1"/>
    <col min="10" max="10" width="19.140625" bestFit="1" customWidth="1"/>
    <col min="11" max="11" width="14" bestFit="1" customWidth="1"/>
    <col min="12" max="12" width="24.42578125" bestFit="1" customWidth="1"/>
    <col min="13" max="13" width="36.85546875" customWidth="1"/>
    <col min="14" max="14" width="16.28515625" bestFit="1" customWidth="1"/>
    <col min="15" max="15" width="14" bestFit="1" customWidth="1"/>
    <col min="16" max="16" width="18.7109375" bestFit="1" customWidth="1"/>
    <col min="17" max="17" width="24" customWidth="1"/>
  </cols>
  <sheetData>
    <row r="1" spans="1:17" ht="15" customHeight="1" x14ac:dyDescent="0.25">
      <c r="A1" s="539"/>
      <c r="B1" s="542" t="s">
        <v>0</v>
      </c>
      <c r="C1" s="542"/>
      <c r="D1" s="542"/>
      <c r="E1" s="542"/>
      <c r="F1" s="542"/>
      <c r="G1" s="542"/>
      <c r="H1" s="542"/>
      <c r="I1" s="542"/>
      <c r="J1" s="542"/>
      <c r="K1" s="542"/>
      <c r="L1" s="542"/>
      <c r="M1" s="542"/>
      <c r="N1" s="542"/>
      <c r="O1" s="542"/>
      <c r="P1" s="542"/>
      <c r="Q1" s="542"/>
    </row>
    <row r="2" spans="1:17" ht="15.75" x14ac:dyDescent="0.25">
      <c r="A2" s="540"/>
      <c r="B2" s="543" t="s">
        <v>819</v>
      </c>
      <c r="C2" s="544"/>
      <c r="D2" s="544"/>
      <c r="E2" s="544"/>
      <c r="F2" s="544"/>
      <c r="G2" s="544"/>
      <c r="H2" s="544"/>
      <c r="I2" s="544"/>
      <c r="J2" s="544"/>
      <c r="K2" s="544"/>
      <c r="L2" s="544"/>
      <c r="M2" s="544"/>
      <c r="N2" s="544"/>
      <c r="O2" s="544"/>
      <c r="P2" s="544"/>
      <c r="Q2" s="545"/>
    </row>
    <row r="3" spans="1:17" ht="15" customHeight="1" x14ac:dyDescent="0.25">
      <c r="A3" s="540"/>
      <c r="B3" s="543" t="s">
        <v>19</v>
      </c>
      <c r="C3" s="544"/>
      <c r="D3" s="544"/>
      <c r="E3" s="544"/>
      <c r="F3" s="544"/>
      <c r="G3" s="544"/>
      <c r="H3" s="544"/>
      <c r="I3" s="544"/>
      <c r="J3" s="544"/>
      <c r="K3" s="544"/>
      <c r="L3" s="544"/>
      <c r="M3" s="544"/>
      <c r="N3" s="544"/>
      <c r="O3" s="544"/>
      <c r="P3" s="544"/>
      <c r="Q3" s="545"/>
    </row>
    <row r="4" spans="1:17" ht="15" customHeight="1" x14ac:dyDescent="0.25">
      <c r="A4" s="540"/>
      <c r="B4" s="543" t="s">
        <v>2</v>
      </c>
      <c r="C4" s="544"/>
      <c r="D4" s="544"/>
      <c r="E4" s="544"/>
      <c r="F4" s="544"/>
      <c r="G4" s="544"/>
      <c r="H4" s="544"/>
      <c r="I4" s="544"/>
      <c r="J4" s="544"/>
      <c r="K4" s="544"/>
      <c r="L4" s="544"/>
      <c r="M4" s="544"/>
      <c r="N4" s="544"/>
      <c r="O4" s="544"/>
      <c r="P4" s="544"/>
      <c r="Q4" s="545"/>
    </row>
    <row r="5" spans="1:17" ht="15" customHeight="1" x14ac:dyDescent="0.25">
      <c r="A5" s="541"/>
      <c r="B5" s="543" t="s">
        <v>1355</v>
      </c>
      <c r="C5" s="544"/>
      <c r="D5" s="544"/>
      <c r="E5" s="544"/>
      <c r="F5" s="544"/>
      <c r="G5" s="544"/>
      <c r="H5" s="544"/>
      <c r="I5" s="544"/>
      <c r="J5" s="544"/>
      <c r="K5" s="544"/>
      <c r="L5" s="544"/>
      <c r="M5" s="544"/>
      <c r="N5" s="544"/>
      <c r="O5" s="544"/>
      <c r="P5" s="544"/>
      <c r="Q5" s="545"/>
    </row>
    <row r="6" spans="1:17" x14ac:dyDescent="0.25">
      <c r="A6" s="547" t="s">
        <v>820</v>
      </c>
      <c r="B6" s="548" t="s">
        <v>821</v>
      </c>
      <c r="C6" s="549" t="s">
        <v>747</v>
      </c>
      <c r="D6" s="550" t="s">
        <v>822</v>
      </c>
      <c r="E6" s="550" t="s">
        <v>823</v>
      </c>
      <c r="F6" s="552" t="s">
        <v>824</v>
      </c>
      <c r="G6" s="553" t="s">
        <v>825</v>
      </c>
      <c r="H6" s="554" t="s">
        <v>826</v>
      </c>
      <c r="I6" s="556" t="s">
        <v>823</v>
      </c>
      <c r="J6" s="557" t="s">
        <v>824</v>
      </c>
      <c r="K6" s="559" t="s">
        <v>827</v>
      </c>
      <c r="L6" s="546" t="s">
        <v>828</v>
      </c>
      <c r="M6" s="546" t="s">
        <v>823</v>
      </c>
      <c r="N6" s="561" t="s">
        <v>824</v>
      </c>
      <c r="O6" s="562" t="s">
        <v>827</v>
      </c>
      <c r="P6" s="564" t="s">
        <v>829</v>
      </c>
      <c r="Q6" s="564" t="s">
        <v>830</v>
      </c>
    </row>
    <row r="7" spans="1:17" ht="21.75" customHeight="1" x14ac:dyDescent="0.25">
      <c r="A7" s="547"/>
      <c r="B7" s="549"/>
      <c r="C7" s="547"/>
      <c r="D7" s="550"/>
      <c r="E7" s="551"/>
      <c r="F7" s="552"/>
      <c r="G7" s="553"/>
      <c r="H7" s="555"/>
      <c r="I7" s="554"/>
      <c r="J7" s="558"/>
      <c r="K7" s="559"/>
      <c r="L7" s="546"/>
      <c r="M7" s="560"/>
      <c r="N7" s="560"/>
      <c r="O7" s="563"/>
      <c r="P7" s="565"/>
      <c r="Q7" s="565"/>
    </row>
    <row r="8" spans="1:17" ht="291.75" customHeight="1" x14ac:dyDescent="0.25">
      <c r="A8" s="338">
        <v>1</v>
      </c>
      <c r="B8" s="338" t="s">
        <v>313</v>
      </c>
      <c r="C8" s="339" t="s">
        <v>853</v>
      </c>
      <c r="D8" s="340" t="s">
        <v>854</v>
      </c>
      <c r="E8" s="341" t="s">
        <v>855</v>
      </c>
      <c r="F8" s="342">
        <v>911.7</v>
      </c>
      <c r="G8" s="343">
        <v>44327</v>
      </c>
      <c r="H8" s="340" t="s">
        <v>834</v>
      </c>
      <c r="I8" s="341" t="s">
        <v>856</v>
      </c>
      <c r="J8" s="342">
        <v>869.43</v>
      </c>
      <c r="K8" s="343">
        <v>44327</v>
      </c>
      <c r="L8" s="340" t="s">
        <v>1468</v>
      </c>
      <c r="M8" s="341" t="s">
        <v>857</v>
      </c>
      <c r="N8" s="344">
        <v>915.19</v>
      </c>
      <c r="O8" s="343">
        <v>44327</v>
      </c>
      <c r="P8" s="345">
        <f t="shared" ref="P8:P16" si="0">(F8+J8+N8)/3</f>
        <v>898.77333333333343</v>
      </c>
      <c r="Q8" s="339" t="s">
        <v>838</v>
      </c>
    </row>
    <row r="9" spans="1:17" ht="69.75" customHeight="1" x14ac:dyDescent="0.25">
      <c r="A9" s="338">
        <v>2</v>
      </c>
      <c r="B9" s="338" t="s">
        <v>315</v>
      </c>
      <c r="C9" s="339" t="s">
        <v>1166</v>
      </c>
      <c r="D9" s="339" t="s">
        <v>1167</v>
      </c>
      <c r="E9" s="346" t="s">
        <v>1168</v>
      </c>
      <c r="F9" s="342">
        <v>1815</v>
      </c>
      <c r="G9" s="343">
        <v>44336</v>
      </c>
      <c r="H9" s="339" t="s">
        <v>1236</v>
      </c>
      <c r="I9" s="346" t="s">
        <v>1235</v>
      </c>
      <c r="J9" s="342">
        <v>1397</v>
      </c>
      <c r="K9" s="343">
        <v>44337</v>
      </c>
      <c r="L9" s="339" t="s">
        <v>1268</v>
      </c>
      <c r="M9" s="346" t="s">
        <v>1269</v>
      </c>
      <c r="N9" s="344">
        <v>1480</v>
      </c>
      <c r="O9" s="343">
        <v>44342</v>
      </c>
      <c r="P9" s="345">
        <f>(F9+J9+N9)/3</f>
        <v>1564</v>
      </c>
      <c r="Q9" s="339" t="s">
        <v>838</v>
      </c>
    </row>
    <row r="10" spans="1:17" ht="95.25" customHeight="1" x14ac:dyDescent="0.25">
      <c r="A10" s="338">
        <v>3</v>
      </c>
      <c r="B10" s="338" t="s">
        <v>321</v>
      </c>
      <c r="C10" s="339" t="s">
        <v>952</v>
      </c>
      <c r="D10" s="340" t="s">
        <v>961</v>
      </c>
      <c r="E10" s="346" t="s">
        <v>962</v>
      </c>
      <c r="F10" s="342">
        <v>18896.64</v>
      </c>
      <c r="G10" s="343">
        <v>44329</v>
      </c>
      <c r="H10" s="340" t="s">
        <v>1023</v>
      </c>
      <c r="I10" s="346" t="s">
        <v>1024</v>
      </c>
      <c r="J10" s="342">
        <v>20380.52</v>
      </c>
      <c r="K10" s="343">
        <v>44333</v>
      </c>
      <c r="L10" s="340" t="s">
        <v>1025</v>
      </c>
      <c r="M10" s="346" t="s">
        <v>1026</v>
      </c>
      <c r="N10" s="344">
        <v>19044.63</v>
      </c>
      <c r="O10" s="343">
        <v>44333</v>
      </c>
      <c r="P10" s="345">
        <f t="shared" si="0"/>
        <v>19440.596666666668</v>
      </c>
      <c r="Q10" s="339" t="s">
        <v>838</v>
      </c>
    </row>
    <row r="11" spans="1:17" ht="78.75" customHeight="1" x14ac:dyDescent="0.25">
      <c r="A11" s="338">
        <v>4</v>
      </c>
      <c r="B11" s="338" t="s">
        <v>954</v>
      </c>
      <c r="C11" s="339" t="s">
        <v>955</v>
      </c>
      <c r="D11" s="340" t="s">
        <v>963</v>
      </c>
      <c r="E11" s="346" t="s">
        <v>1469</v>
      </c>
      <c r="F11" s="342">
        <v>6800</v>
      </c>
      <c r="G11" s="343">
        <v>44328</v>
      </c>
      <c r="H11" s="340" t="s">
        <v>964</v>
      </c>
      <c r="I11" s="346" t="s">
        <v>965</v>
      </c>
      <c r="J11" s="342">
        <v>7500</v>
      </c>
      <c r="K11" s="343">
        <v>44328</v>
      </c>
      <c r="L11" s="339" t="s">
        <v>1027</v>
      </c>
      <c r="M11" s="346" t="s">
        <v>1028</v>
      </c>
      <c r="N11" s="344">
        <v>9000</v>
      </c>
      <c r="O11" s="343">
        <v>44330</v>
      </c>
      <c r="P11" s="345">
        <f t="shared" si="0"/>
        <v>7766.666666666667</v>
      </c>
      <c r="Q11" s="339" t="s">
        <v>838</v>
      </c>
    </row>
    <row r="12" spans="1:17" ht="72" customHeight="1" x14ac:dyDescent="0.25">
      <c r="A12" s="338">
        <v>5</v>
      </c>
      <c r="B12" s="347" t="s">
        <v>1029</v>
      </c>
      <c r="C12" s="339" t="s">
        <v>1030</v>
      </c>
      <c r="D12" s="340" t="s">
        <v>966</v>
      </c>
      <c r="E12" s="346" t="s">
        <v>967</v>
      </c>
      <c r="F12" s="342">
        <v>350</v>
      </c>
      <c r="G12" s="343">
        <v>44328</v>
      </c>
      <c r="H12" s="340" t="s">
        <v>968</v>
      </c>
      <c r="I12" s="346" t="s">
        <v>969</v>
      </c>
      <c r="J12" s="342">
        <v>300</v>
      </c>
      <c r="K12" s="343">
        <v>44329</v>
      </c>
      <c r="L12" s="340" t="s">
        <v>970</v>
      </c>
      <c r="M12" s="346" t="s">
        <v>971</v>
      </c>
      <c r="N12" s="342">
        <v>300</v>
      </c>
      <c r="O12" s="343">
        <v>44329</v>
      </c>
      <c r="P12" s="345">
        <f t="shared" si="0"/>
        <v>316.66666666666669</v>
      </c>
      <c r="Q12" s="339" t="s">
        <v>838</v>
      </c>
    </row>
    <row r="13" spans="1:17" ht="189" customHeight="1" x14ac:dyDescent="0.25">
      <c r="A13" s="338">
        <v>6</v>
      </c>
      <c r="B13" s="338" t="s">
        <v>840</v>
      </c>
      <c r="C13" s="339" t="s">
        <v>831</v>
      </c>
      <c r="D13" s="340" t="s">
        <v>832</v>
      </c>
      <c r="E13" s="341" t="s">
        <v>833</v>
      </c>
      <c r="F13" s="342">
        <v>49</v>
      </c>
      <c r="G13" s="343">
        <v>44327</v>
      </c>
      <c r="H13" s="340" t="s">
        <v>834</v>
      </c>
      <c r="I13" s="341" t="s">
        <v>835</v>
      </c>
      <c r="J13" s="342">
        <v>58.88</v>
      </c>
      <c r="K13" s="343">
        <v>44327</v>
      </c>
      <c r="L13" s="340" t="s">
        <v>836</v>
      </c>
      <c r="M13" s="341" t="s">
        <v>837</v>
      </c>
      <c r="N13" s="344">
        <v>63.9</v>
      </c>
      <c r="O13" s="343">
        <v>44327</v>
      </c>
      <c r="P13" s="345">
        <f t="shared" si="0"/>
        <v>57.26</v>
      </c>
      <c r="Q13" s="339" t="s">
        <v>838</v>
      </c>
    </row>
    <row r="14" spans="1:17" ht="68.25" customHeight="1" x14ac:dyDescent="0.25">
      <c r="A14" s="338">
        <v>7</v>
      </c>
      <c r="B14" s="338" t="s">
        <v>959</v>
      </c>
      <c r="C14" s="339" t="s">
        <v>1472</v>
      </c>
      <c r="D14" s="340" t="s">
        <v>977</v>
      </c>
      <c r="E14" s="346" t="s">
        <v>978</v>
      </c>
      <c r="F14" s="342">
        <v>6620</v>
      </c>
      <c r="G14" s="343">
        <v>44379</v>
      </c>
      <c r="H14" s="340" t="s">
        <v>1421</v>
      </c>
      <c r="I14" s="346" t="s">
        <v>1422</v>
      </c>
      <c r="J14" s="344">
        <v>8580</v>
      </c>
      <c r="K14" s="343">
        <v>44378</v>
      </c>
      <c r="L14" s="340" t="s">
        <v>1475</v>
      </c>
      <c r="M14" s="346" t="s">
        <v>1476</v>
      </c>
      <c r="N14" s="344">
        <v>8500</v>
      </c>
      <c r="O14" s="343">
        <v>44382</v>
      </c>
      <c r="P14" s="345">
        <f t="shared" si="0"/>
        <v>7900</v>
      </c>
      <c r="Q14" s="339"/>
    </row>
    <row r="15" spans="1:17" ht="78.75" customHeight="1" x14ac:dyDescent="0.25">
      <c r="A15" s="338">
        <v>8</v>
      </c>
      <c r="B15" s="347" t="s">
        <v>1169</v>
      </c>
      <c r="C15" s="339" t="s">
        <v>1031</v>
      </c>
      <c r="D15" s="339" t="s">
        <v>972</v>
      </c>
      <c r="E15" s="346" t="s">
        <v>979</v>
      </c>
      <c r="F15" s="342">
        <v>2790</v>
      </c>
      <c r="G15" s="343">
        <v>44319</v>
      </c>
      <c r="H15" s="340" t="s">
        <v>973</v>
      </c>
      <c r="I15" s="346" t="s">
        <v>974</v>
      </c>
      <c r="J15" s="342">
        <v>3278</v>
      </c>
      <c r="K15" s="343">
        <v>44321</v>
      </c>
      <c r="L15" s="339" t="s">
        <v>975</v>
      </c>
      <c r="M15" s="346" t="s">
        <v>1032</v>
      </c>
      <c r="N15" s="344">
        <v>2574</v>
      </c>
      <c r="O15" s="343">
        <v>44326</v>
      </c>
      <c r="P15" s="345">
        <f t="shared" si="0"/>
        <v>2880.6666666666665</v>
      </c>
      <c r="Q15" s="339"/>
    </row>
    <row r="16" spans="1:17" ht="70.5" customHeight="1" x14ac:dyDescent="0.25">
      <c r="A16" s="338">
        <v>9</v>
      </c>
      <c r="B16" s="347" t="s">
        <v>1170</v>
      </c>
      <c r="C16" s="339" t="s">
        <v>1033</v>
      </c>
      <c r="D16" s="339" t="s">
        <v>972</v>
      </c>
      <c r="E16" s="346" t="s">
        <v>979</v>
      </c>
      <c r="F16" s="342">
        <v>2790</v>
      </c>
      <c r="G16" s="343">
        <v>44319</v>
      </c>
      <c r="H16" s="340" t="s">
        <v>973</v>
      </c>
      <c r="I16" s="346" t="s">
        <v>974</v>
      </c>
      <c r="J16" s="342">
        <v>3278</v>
      </c>
      <c r="K16" s="343">
        <v>44321</v>
      </c>
      <c r="L16" s="339" t="s">
        <v>975</v>
      </c>
      <c r="M16" s="346" t="s">
        <v>1032</v>
      </c>
      <c r="N16" s="344">
        <v>2624</v>
      </c>
      <c r="O16" s="343">
        <v>44326</v>
      </c>
      <c r="P16" s="345">
        <f t="shared" si="0"/>
        <v>2897.3333333333335</v>
      </c>
      <c r="Q16" s="339"/>
    </row>
    <row r="17" spans="1:17" ht="256.5" customHeight="1" x14ac:dyDescent="0.25">
      <c r="A17" s="338">
        <v>10</v>
      </c>
      <c r="B17" s="347" t="s">
        <v>1291</v>
      </c>
      <c r="C17" s="339" t="s">
        <v>1295</v>
      </c>
      <c r="D17" s="339" t="s">
        <v>854</v>
      </c>
      <c r="E17" s="348" t="s">
        <v>1294</v>
      </c>
      <c r="F17" s="342">
        <v>50.52</v>
      </c>
      <c r="G17" s="343">
        <v>44369</v>
      </c>
      <c r="H17" s="340" t="s">
        <v>1296</v>
      </c>
      <c r="I17" s="348" t="s">
        <v>1297</v>
      </c>
      <c r="J17" s="342">
        <v>45.2</v>
      </c>
      <c r="K17" s="343">
        <v>44369</v>
      </c>
      <c r="L17" s="339" t="s">
        <v>1298</v>
      </c>
      <c r="M17" s="348" t="s">
        <v>1299</v>
      </c>
      <c r="N17" s="344">
        <v>54</v>
      </c>
      <c r="O17" s="343">
        <v>44369</v>
      </c>
      <c r="P17" s="345">
        <f t="shared" ref="P17:P20" si="1">(F17+J17+N17)/3</f>
        <v>49.906666666666666</v>
      </c>
      <c r="Q17" s="339" t="s">
        <v>838</v>
      </c>
    </row>
    <row r="18" spans="1:17" ht="95.25" customHeight="1" x14ac:dyDescent="0.25">
      <c r="A18" s="338">
        <v>11</v>
      </c>
      <c r="B18" s="347" t="s">
        <v>1333</v>
      </c>
      <c r="C18" s="339" t="s">
        <v>1360</v>
      </c>
      <c r="D18" s="339" t="s">
        <v>1359</v>
      </c>
      <c r="E18" s="346" t="s">
        <v>1470</v>
      </c>
      <c r="F18" s="342">
        <v>10120</v>
      </c>
      <c r="G18" s="343">
        <v>44343</v>
      </c>
      <c r="H18" s="340" t="s">
        <v>1423</v>
      </c>
      <c r="I18" s="346" t="s">
        <v>1424</v>
      </c>
      <c r="J18" s="342">
        <v>13359</v>
      </c>
      <c r="K18" s="343">
        <v>44377</v>
      </c>
      <c r="L18" s="339" t="s">
        <v>1498</v>
      </c>
      <c r="M18" s="346" t="s">
        <v>1499</v>
      </c>
      <c r="N18" s="344">
        <v>11650</v>
      </c>
      <c r="O18" s="343">
        <v>44383</v>
      </c>
      <c r="P18" s="345">
        <f t="shared" si="1"/>
        <v>11709.666666666666</v>
      </c>
      <c r="Q18" s="339"/>
    </row>
    <row r="19" spans="1:17" ht="77.25" customHeight="1" x14ac:dyDescent="0.25">
      <c r="A19" s="338">
        <v>12</v>
      </c>
      <c r="B19" s="347" t="s">
        <v>1419</v>
      </c>
      <c r="C19" s="339" t="s">
        <v>1386</v>
      </c>
      <c r="D19" s="339" t="s">
        <v>1384</v>
      </c>
      <c r="E19" s="348" t="s">
        <v>1385</v>
      </c>
      <c r="F19" s="342">
        <v>27200</v>
      </c>
      <c r="G19" s="343">
        <v>44375</v>
      </c>
      <c r="H19" s="340" t="s">
        <v>1415</v>
      </c>
      <c r="I19" s="346" t="s">
        <v>1416</v>
      </c>
      <c r="J19" s="342">
        <v>57657.4</v>
      </c>
      <c r="K19" s="343">
        <v>44377</v>
      </c>
      <c r="L19" s="339" t="s">
        <v>1417</v>
      </c>
      <c r="M19" s="348" t="s">
        <v>1418</v>
      </c>
      <c r="N19" s="344">
        <v>59700</v>
      </c>
      <c r="O19" s="343">
        <v>44377</v>
      </c>
      <c r="P19" s="345">
        <f t="shared" si="1"/>
        <v>48185.799999999996</v>
      </c>
      <c r="Q19" s="339"/>
    </row>
    <row r="20" spans="1:17" ht="240" customHeight="1" x14ac:dyDescent="0.25">
      <c r="A20" s="338">
        <v>13</v>
      </c>
      <c r="B20" s="347" t="s">
        <v>1461</v>
      </c>
      <c r="C20" s="339" t="s">
        <v>1486</v>
      </c>
      <c r="D20" s="339" t="s">
        <v>1492</v>
      </c>
      <c r="E20" s="348" t="s">
        <v>1495</v>
      </c>
      <c r="F20" s="342">
        <v>19.41</v>
      </c>
      <c r="G20" s="343">
        <v>44383</v>
      </c>
      <c r="H20" s="340" t="s">
        <v>1493</v>
      </c>
      <c r="I20" s="348" t="s">
        <v>1496</v>
      </c>
      <c r="J20" s="342">
        <v>28.4</v>
      </c>
      <c r="K20" s="343">
        <v>44383</v>
      </c>
      <c r="L20" s="339" t="s">
        <v>1494</v>
      </c>
      <c r="M20" s="348" t="s">
        <v>1497</v>
      </c>
      <c r="N20" s="344">
        <v>29.9</v>
      </c>
      <c r="O20" s="343">
        <v>44383</v>
      </c>
      <c r="P20" s="345">
        <f t="shared" si="1"/>
        <v>25.903333333333336</v>
      </c>
      <c r="Q20" s="339" t="s">
        <v>838</v>
      </c>
    </row>
  </sheetData>
  <mergeCells count="23">
    <mergeCell ref="M6:M7"/>
    <mergeCell ref="N6:N7"/>
    <mergeCell ref="O6:O7"/>
    <mergeCell ref="P6:P7"/>
    <mergeCell ref="Q6:Q7"/>
    <mergeCell ref="L6:L7"/>
    <mergeCell ref="A6:A7"/>
    <mergeCell ref="B6:B7"/>
    <mergeCell ref="C6:C7"/>
    <mergeCell ref="D6:D7"/>
    <mergeCell ref="E6:E7"/>
    <mergeCell ref="F6:F7"/>
    <mergeCell ref="G6:G7"/>
    <mergeCell ref="H6:H7"/>
    <mergeCell ref="I6:I7"/>
    <mergeCell ref="J6:J7"/>
    <mergeCell ref="K6:K7"/>
    <mergeCell ref="A1:A5"/>
    <mergeCell ref="B1:Q1"/>
    <mergeCell ref="B2:Q2"/>
    <mergeCell ref="B3:Q3"/>
    <mergeCell ref="B4:Q4"/>
    <mergeCell ref="B5:Q5"/>
  </mergeCells>
  <hyperlinks>
    <hyperlink ref="E13" r:id="rId1"/>
    <hyperlink ref="I13" display="https://www.madeiramadeira.com.br/painel-plafon-led-embutir-24w-quadrado-branco-neutro-4000k-2164787.html?seller=4697&amp;origem=pla-2164787&amp;utm_source=google&amp;utm_medium=cpc&amp;utm_content=plafons-led-606&amp;utm_term=&amp;utm_id=6448165818&amp;gclid=EAIaIQobChMIv7j4ns3B8AI"/>
    <hyperlink ref="M13" r:id="rId2"/>
    <hyperlink ref="E17" display="https://www.americanas.com.br/produto/1978061482/dispenser-p-papel-toalha-velox-premisse-branco?WT.srch=1&amp;acc=e789ea56094489dffd798f86ff51c7a9&amp;epar=bp_pl_00_go_todos-os-produtos_geral_gmv&amp;gclid=Cj0KCQjwqrb7BRDlARIsACwGad7MVi73ugrkWG5jAIN6yU4ecz3MaOidsVcft"/>
    <hyperlink ref="I17" r:id="rId3"/>
    <hyperlink ref="M17" display="https://www.submarino.com.br/produto/1978061482/dispenser-p-papel-toalha-velox-premisse-branco?WT.srch=1&amp;acc=d47a04c6f99456bc289220d5d0ff208d&amp;epar=bp_pl_00_go_pla_aic_geral_gmv&amp;gclid=Cj0KCQjwqrb7BRDlARIsACwGad5qhu8e-MVC7waZ4lS8pgcaHr3VGGgI1Hi8l7aEO5_d5nqD"/>
    <hyperlink ref="E19" r:id="rId4"/>
    <hyperlink ref="M19" r:id="rId5"/>
    <hyperlink ref="E20" r:id="rId6"/>
  </hyperlinks>
  <pageMargins left="0.51181102362204722" right="0.51181102362204722" top="0.78740157480314965" bottom="0.78740157480314965" header="0.31496062992125984" footer="0.31496062992125984"/>
  <pageSetup paperSize="9" scale="33" fitToHeight="0" orientation="landscape"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36</vt:i4>
      </vt:variant>
      <vt:variant>
        <vt:lpstr>Intervalos nomeados</vt:lpstr>
      </vt:variant>
      <vt:variant>
        <vt:i4>10</vt:i4>
      </vt:variant>
    </vt:vector>
  </HeadingPairs>
  <TitlesOfParts>
    <vt:vector size="46" baseType="lpstr">
      <vt:lpstr>PLANILHA ORÇAMENTÁRIA</vt:lpstr>
      <vt:lpstr>MC</vt:lpstr>
      <vt:lpstr>CRONOGRAMA</vt:lpstr>
      <vt:lpstr>BDI</vt:lpstr>
      <vt:lpstr>LS</vt:lpstr>
      <vt:lpstr>COMP-01</vt:lpstr>
      <vt:lpstr>COMP-02</vt:lpstr>
      <vt:lpstr>COMP-03</vt:lpstr>
      <vt:lpstr>COMP-04</vt:lpstr>
      <vt:lpstr>COMP-05</vt:lpstr>
      <vt:lpstr>COMP-06</vt:lpstr>
      <vt:lpstr>COMP-07</vt:lpstr>
      <vt:lpstr>COMP-08</vt:lpstr>
      <vt:lpstr>COMP-09</vt:lpstr>
      <vt:lpstr>COMP-10</vt:lpstr>
      <vt:lpstr>COMP-11</vt:lpstr>
      <vt:lpstr>COMP-12</vt:lpstr>
      <vt:lpstr>COMP-13</vt:lpstr>
      <vt:lpstr>COMP-14</vt:lpstr>
      <vt:lpstr>COMP-15</vt:lpstr>
      <vt:lpstr>COMP-16</vt:lpstr>
      <vt:lpstr>COMP-17</vt:lpstr>
      <vt:lpstr>COMP-18</vt:lpstr>
      <vt:lpstr>COMP-19</vt:lpstr>
      <vt:lpstr>COMP-20</vt:lpstr>
      <vt:lpstr>COMP-21</vt:lpstr>
      <vt:lpstr>COMP-22</vt:lpstr>
      <vt:lpstr>COMP-23</vt:lpstr>
      <vt:lpstr>COMP-24</vt:lpstr>
      <vt:lpstr>COMP-25</vt:lpstr>
      <vt:lpstr>COMP-26</vt:lpstr>
      <vt:lpstr>COMP-27</vt:lpstr>
      <vt:lpstr>COMP-28</vt:lpstr>
      <vt:lpstr>COMP-29</vt:lpstr>
      <vt:lpstr>COMP-30</vt:lpstr>
      <vt:lpstr>COTAÇÕES </vt:lpstr>
      <vt:lpstr>BDI!Area_de_impressao</vt:lpstr>
      <vt:lpstr>'COTAÇÕES '!Area_de_impressao</vt:lpstr>
      <vt:lpstr>CRONOGRAMA!Area_de_impressao</vt:lpstr>
      <vt:lpstr>LS!Area_de_impressao</vt:lpstr>
      <vt:lpstr>MC!Area_de_impressao</vt:lpstr>
      <vt:lpstr>'PLANILHA ORÇAMENTÁRIA'!Area_de_impressao</vt:lpstr>
      <vt:lpstr>'COTAÇÕES '!Titulos_de_impressao</vt:lpstr>
      <vt:lpstr>CRONOGRAMA!Titulos_de_impressao</vt:lpstr>
      <vt:lpstr>MC!Titulos_de_impressao</vt:lpstr>
      <vt:lpstr>'PLANILHA ORÇAMENTÁRIA'!Titulos_de_impressao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thais.baptista</dc:creator>
  <cp:lastModifiedBy>neidemara.imberti</cp:lastModifiedBy>
  <cp:lastPrinted>2021-07-07T15:20:49Z</cp:lastPrinted>
  <dcterms:created xsi:type="dcterms:W3CDTF">2021-04-14T10:19:50Z</dcterms:created>
  <dcterms:modified xsi:type="dcterms:W3CDTF">2022-01-12T18:15:35Z</dcterms:modified>
</cp:coreProperties>
</file>