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X:\Obras\ENGENHARIA\2.PROPOSTA - NOVAS OBRAS\27 - QUADRA DE CAVALINHO\"/>
    </mc:Choice>
  </mc:AlternateContent>
  <bookViews>
    <workbookView xWindow="0" yWindow="0" windowWidth="19200" windowHeight="11595" firstSheet="7" activeTab="12"/>
  </bookViews>
  <sheets>
    <sheet name="PLANILHA ORÇAMENTÁRIA" sheetId="1" r:id="rId1"/>
    <sheet name="MEMÓRIA DE CÁLCULO" sheetId="2" r:id="rId2"/>
    <sheet name="LS" sheetId="9" r:id="rId3"/>
    <sheet name="BDI" sheetId="8" r:id="rId4"/>
    <sheet name="COMP - 01" sheetId="3" r:id="rId5"/>
    <sheet name="COMP - 02" sheetId="4" r:id="rId6"/>
    <sheet name="COMP - 03" sheetId="5" r:id="rId7"/>
    <sheet name="COMP-04" sheetId="10" r:id="rId8"/>
    <sheet name="COMP-05" sheetId="11" r:id="rId9"/>
    <sheet name="COMP-06" sheetId="13" r:id="rId10"/>
    <sheet name="COMP-07" sheetId="12" r:id="rId11"/>
    <sheet name="COTAÇÕES" sheetId="6" r:id="rId12"/>
    <sheet name="CRONOGRAMA" sheetId="7" r:id="rId13"/>
  </sheets>
  <definedNames>
    <definedName name="_xlnm.Print_Area" localSheetId="3">BDI!$B$2:$J$48</definedName>
    <definedName name="_xlnm.Print_Area" localSheetId="5">'COMP - 02'!$A$1:$I$31</definedName>
    <definedName name="_xlnm.Print_Area" localSheetId="11">COTAÇÕES!$A$1:$Q$29</definedName>
    <definedName name="_xlnm.Print_Area" localSheetId="2">LS!$B$2:$E$50</definedName>
    <definedName name="_xlnm.Print_Area" localSheetId="1">'MEMÓRIA DE CÁLCULO'!$A$1:$J$639</definedName>
    <definedName name="_xlnm.Print_Titles" localSheetId="0">'PLANILHA ORÇAMENTÁRIA'!$1:$7</definedName>
  </definedNames>
  <calcPr calcId="15251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9" i="6" l="1"/>
  <c r="F177" i="1"/>
  <c r="F176" i="1"/>
  <c r="F175" i="1"/>
  <c r="F174" i="1"/>
  <c r="J637" i="2"/>
  <c r="J636" i="2"/>
  <c r="J632" i="2"/>
  <c r="J631" i="2"/>
  <c r="J633" i="2" s="1"/>
  <c r="J627" i="2"/>
  <c r="J626" i="2"/>
  <c r="J628" i="2" s="1"/>
  <c r="J618" i="2"/>
  <c r="J623" i="2"/>
  <c r="J622" i="2"/>
  <c r="J621" i="2"/>
  <c r="C630" i="2"/>
  <c r="C635" i="2"/>
  <c r="B635" i="2"/>
  <c r="A635" i="2"/>
  <c r="B630" i="2"/>
  <c r="A630" i="2"/>
  <c r="C625" i="2"/>
  <c r="B625" i="2"/>
  <c r="A625" i="2"/>
  <c r="C620" i="2"/>
  <c r="B620" i="2"/>
  <c r="A620" i="2"/>
  <c r="H11" i="12"/>
  <c r="I11" i="12" s="1"/>
  <c r="I13" i="12" s="1"/>
  <c r="H10" i="12"/>
  <c r="I10" i="12" s="1"/>
  <c r="G176" i="1"/>
  <c r="H176" i="1" s="1"/>
  <c r="I176" i="1" s="1"/>
  <c r="H11" i="13"/>
  <c r="I11" i="13" s="1"/>
  <c r="H10" i="13"/>
  <c r="H17" i="13"/>
  <c r="I17" i="13" s="1"/>
  <c r="I19" i="13" s="1"/>
  <c r="I29" i="13" s="1"/>
  <c r="I31" i="11"/>
  <c r="H11" i="11"/>
  <c r="H10" i="11"/>
  <c r="I12" i="10"/>
  <c r="H11" i="10"/>
  <c r="H10" i="10"/>
  <c r="P9" i="6"/>
  <c r="I10" i="13"/>
  <c r="I25" i="13"/>
  <c r="I30" i="13"/>
  <c r="I25" i="12"/>
  <c r="I30" i="12" s="1"/>
  <c r="I17" i="12"/>
  <c r="I19" i="12" s="1"/>
  <c r="I29" i="12" s="1"/>
  <c r="J638" i="2" l="1"/>
  <c r="I28" i="12"/>
  <c r="I13" i="13"/>
  <c r="I28" i="13" s="1"/>
  <c r="I31" i="13"/>
  <c r="I31" i="12"/>
  <c r="G177" i="1" s="1"/>
  <c r="H177" i="1" s="1"/>
  <c r="I177" i="1" s="1"/>
  <c r="I25" i="11" l="1"/>
  <c r="I30" i="11" s="1"/>
  <c r="I17" i="11"/>
  <c r="I11" i="11"/>
  <c r="I10" i="11"/>
  <c r="I13" i="11" s="1"/>
  <c r="I29" i="10"/>
  <c r="I24" i="10"/>
  <c r="I28" i="10"/>
  <c r="I30" i="10" s="1"/>
  <c r="G174" i="1" s="1"/>
  <c r="H174" i="1" s="1"/>
  <c r="I174" i="1" s="1"/>
  <c r="I178" i="1" s="1"/>
  <c r="I17" i="10"/>
  <c r="I16" i="10"/>
  <c r="I18" i="10" s="1"/>
  <c r="I11" i="10"/>
  <c r="I10" i="10"/>
  <c r="E41" i="9"/>
  <c r="E43" i="9" s="1"/>
  <c r="E39" i="9"/>
  <c r="E50" i="9" s="1"/>
  <c r="E30" i="9"/>
  <c r="E17" i="9"/>
  <c r="E30" i="8"/>
  <c r="E27" i="8"/>
  <c r="E23" i="8"/>
  <c r="E32" i="8" s="1"/>
  <c r="E20" i="8"/>
  <c r="E13" i="8"/>
  <c r="E10" i="8"/>
  <c r="I19" i="11" l="1"/>
  <c r="I29" i="11" s="1"/>
  <c r="I28" i="11"/>
  <c r="G175" i="1" s="1"/>
  <c r="H175" i="1" s="1"/>
  <c r="I175" i="1" s="1"/>
  <c r="I27" i="10"/>
  <c r="J574" i="2" l="1"/>
  <c r="E259" i="2"/>
  <c r="H259" i="2" s="1"/>
  <c r="J259" i="2" s="1"/>
  <c r="J260" i="2" s="1"/>
  <c r="G576" i="2"/>
  <c r="H576" i="2" s="1"/>
  <c r="J576" i="2" s="1"/>
  <c r="H575" i="2"/>
  <c r="J575" i="2"/>
  <c r="E552" i="2"/>
  <c r="E553" i="2"/>
  <c r="H553" i="2" s="1"/>
  <c r="J553" i="2" s="1"/>
  <c r="G552" i="2"/>
  <c r="H552" i="2"/>
  <c r="J552" i="2" s="1"/>
  <c r="H132" i="2"/>
  <c r="J132" i="2"/>
  <c r="G133" i="2"/>
  <c r="H133" i="2" s="1"/>
  <c r="J133" i="2" s="1"/>
  <c r="I40" i="2"/>
  <c r="J40" i="2"/>
  <c r="I36" i="2"/>
  <c r="J36" i="2" s="1"/>
  <c r="A322" i="2"/>
  <c r="A315" i="2"/>
  <c r="B41" i="7"/>
  <c r="B39" i="7"/>
  <c r="B37" i="7"/>
  <c r="B35" i="7"/>
  <c r="B33" i="7"/>
  <c r="B31" i="7"/>
  <c r="B29" i="7"/>
  <c r="B27" i="7"/>
  <c r="B25" i="7"/>
  <c r="B23" i="7"/>
  <c r="B21" i="7"/>
  <c r="B19" i="7"/>
  <c r="B17" i="7"/>
  <c r="B15" i="7"/>
  <c r="B13" i="7"/>
  <c r="B11" i="7"/>
  <c r="I352" i="2"/>
  <c r="I350" i="2"/>
  <c r="C336" i="2"/>
  <c r="B336" i="2"/>
  <c r="B335" i="2"/>
  <c r="A335" i="2"/>
  <c r="A336" i="2"/>
  <c r="H64" i="1"/>
  <c r="I154" i="1"/>
  <c r="I153" i="1"/>
  <c r="I144" i="1"/>
  <c r="I148" i="1"/>
  <c r="I151" i="1"/>
  <c r="I143" i="1"/>
  <c r="I137" i="1"/>
  <c r="I140" i="1"/>
  <c r="I136" i="1"/>
  <c r="I106" i="1"/>
  <c r="I122" i="1"/>
  <c r="I128" i="1"/>
  <c r="I130" i="1"/>
  <c r="I105" i="1"/>
  <c r="I97" i="1"/>
  <c r="I96" i="1"/>
  <c r="I92" i="1"/>
  <c r="I91" i="1"/>
  <c r="I86" i="1"/>
  <c r="I85" i="1"/>
  <c r="I82" i="1"/>
  <c r="I81" i="1"/>
  <c r="I74" i="1"/>
  <c r="I73" i="1"/>
  <c r="I70" i="1"/>
  <c r="I69" i="1"/>
  <c r="I63" i="1"/>
  <c r="I65" i="1"/>
  <c r="I62" i="1"/>
  <c r="I59" i="1"/>
  <c r="I58" i="1"/>
  <c r="I43" i="1"/>
  <c r="I49" i="1"/>
  <c r="I42" i="1"/>
  <c r="I35" i="1"/>
  <c r="I37" i="1"/>
  <c r="I39" i="1"/>
  <c r="I34" i="1"/>
  <c r="G332" i="2"/>
  <c r="H332" i="2" s="1"/>
  <c r="J332" i="2" s="1"/>
  <c r="G270" i="2"/>
  <c r="H277" i="2"/>
  <c r="J277" i="2" s="1"/>
  <c r="H276" i="2"/>
  <c r="J276" i="2" s="1"/>
  <c r="J278" i="2" s="1"/>
  <c r="F64" i="1" s="1"/>
  <c r="I64" i="1" s="1"/>
  <c r="C275" i="2"/>
  <c r="B275" i="2"/>
  <c r="B274" i="2"/>
  <c r="A275" i="2"/>
  <c r="A274" i="2"/>
  <c r="H344" i="2"/>
  <c r="J344" i="2" s="1"/>
  <c r="H343" i="2"/>
  <c r="J343" i="2" s="1"/>
  <c r="J345" i="2" s="1"/>
  <c r="F93" i="1" s="1"/>
  <c r="H10" i="5"/>
  <c r="H9" i="5"/>
  <c r="H10" i="4"/>
  <c r="H9" i="4"/>
  <c r="H10" i="3"/>
  <c r="H9" i="3"/>
  <c r="H582" i="2"/>
  <c r="J582" i="2" s="1"/>
  <c r="H583" i="2"/>
  <c r="J583" i="2" s="1"/>
  <c r="H581" i="2"/>
  <c r="J581" i="2"/>
  <c r="J573" i="2"/>
  <c r="G580" i="2"/>
  <c r="H580" i="2" s="1"/>
  <c r="J580" i="2" s="1"/>
  <c r="G579" i="2"/>
  <c r="H579" i="2" s="1"/>
  <c r="J579" i="2" s="1"/>
  <c r="G578" i="2"/>
  <c r="E578" i="2"/>
  <c r="H578" i="2" s="1"/>
  <c r="J578" i="2" s="1"/>
  <c r="G577" i="2"/>
  <c r="H577" i="2" s="1"/>
  <c r="J577" i="2" s="1"/>
  <c r="H584" i="2"/>
  <c r="J584" i="2" s="1"/>
  <c r="H585" i="2"/>
  <c r="J585" i="2" s="1"/>
  <c r="G76" i="2"/>
  <c r="H76" i="2" s="1"/>
  <c r="J76" i="2" s="1"/>
  <c r="H75" i="2"/>
  <c r="J75" i="2" s="1"/>
  <c r="H121" i="1"/>
  <c r="J429" i="2"/>
  <c r="C427" i="2"/>
  <c r="B427" i="2"/>
  <c r="A427" i="2"/>
  <c r="J428" i="2"/>
  <c r="J430" i="2" s="1"/>
  <c r="F121" i="1" s="1"/>
  <c r="I121" i="1" s="1"/>
  <c r="H555" i="2"/>
  <c r="J555" i="2"/>
  <c r="H556" i="2"/>
  <c r="J556" i="2"/>
  <c r="H557" i="2"/>
  <c r="J557" i="2"/>
  <c r="H558" i="2"/>
  <c r="J558" i="2"/>
  <c r="G559" i="2"/>
  <c r="H559" i="2"/>
  <c r="J559" i="2"/>
  <c r="H560" i="2"/>
  <c r="I560" i="2"/>
  <c r="J560" i="2"/>
  <c r="H538" i="2"/>
  <c r="J538" i="2"/>
  <c r="H539" i="2"/>
  <c r="J539" i="2"/>
  <c r="H540" i="2"/>
  <c r="J540" i="2"/>
  <c r="J541" i="2"/>
  <c r="J542" i="2"/>
  <c r="H543" i="2"/>
  <c r="J543" i="2"/>
  <c r="H544" i="2"/>
  <c r="J544" i="2"/>
  <c r="H545" i="2"/>
  <c r="J545" i="2"/>
  <c r="H546" i="2"/>
  <c r="I546" i="2"/>
  <c r="J546" i="2"/>
  <c r="G547" i="2"/>
  <c r="H547" i="2"/>
  <c r="I547" i="2"/>
  <c r="J547" i="2"/>
  <c r="E548" i="2"/>
  <c r="H548" i="2"/>
  <c r="I548" i="2"/>
  <c r="J548" i="2"/>
  <c r="E549" i="2"/>
  <c r="G549" i="2"/>
  <c r="H549" i="2"/>
  <c r="J549" i="2"/>
  <c r="H550" i="2"/>
  <c r="I550" i="2"/>
  <c r="J550" i="2"/>
  <c r="G551" i="2"/>
  <c r="H551" i="2"/>
  <c r="J551" i="2"/>
  <c r="H328" i="2"/>
  <c r="J328" i="2"/>
  <c r="H329" i="2"/>
  <c r="J329" i="2"/>
  <c r="G330" i="2"/>
  <c r="H330" i="2"/>
  <c r="J330" i="2"/>
  <c r="H331" i="2"/>
  <c r="I331" i="2"/>
  <c r="J331" i="2"/>
  <c r="H327" i="2"/>
  <c r="J327" i="2" s="1"/>
  <c r="H326" i="2"/>
  <c r="J326" i="2" s="1"/>
  <c r="E319" i="2"/>
  <c r="H319" i="2" s="1"/>
  <c r="J319" i="2" s="1"/>
  <c r="H318" i="2"/>
  <c r="J318" i="2" s="1"/>
  <c r="J320" i="2" s="1"/>
  <c r="F83" i="1" s="1"/>
  <c r="H36" i="1"/>
  <c r="H38" i="1"/>
  <c r="H147" i="1"/>
  <c r="A612" i="2"/>
  <c r="A614" i="2"/>
  <c r="A613" i="2"/>
  <c r="A608" i="2"/>
  <c r="A604" i="2"/>
  <c r="A603" i="2"/>
  <c r="A599" i="2"/>
  <c r="A598" i="2"/>
  <c r="B9" i="7"/>
  <c r="A597" i="2"/>
  <c r="A593" i="2"/>
  <c r="A589" i="2"/>
  <c r="B7" i="7"/>
  <c r="A588" i="2"/>
  <c r="A571" i="2"/>
  <c r="A570" i="2"/>
  <c r="A564" i="2"/>
  <c r="A563" i="2"/>
  <c r="A536" i="2"/>
  <c r="A535" i="2"/>
  <c r="A534" i="2"/>
  <c r="A530" i="2"/>
  <c r="A523" i="2"/>
  <c r="A522" i="2"/>
  <c r="A517" i="2"/>
  <c r="A511" i="2"/>
  <c r="A504" i="2"/>
  <c r="A502" i="2"/>
  <c r="A503" i="2"/>
  <c r="A497" i="2"/>
  <c r="A496" i="2"/>
  <c r="A491" i="2"/>
  <c r="A486" i="2"/>
  <c r="A485" i="2"/>
  <c r="A484" i="2"/>
  <c r="A386" i="2"/>
  <c r="A385" i="2"/>
  <c r="A384" i="2"/>
  <c r="A380" i="2"/>
  <c r="A379" i="2"/>
  <c r="A374" i="2"/>
  <c r="A369" i="2"/>
  <c r="A364" i="2"/>
  <c r="A359" i="2"/>
  <c r="A358" i="2"/>
  <c r="A357" i="2"/>
  <c r="A347" i="2"/>
  <c r="A342" i="2"/>
  <c r="A340" i="2"/>
  <c r="A341" i="2"/>
  <c r="A324" i="2"/>
  <c r="A323" i="2"/>
  <c r="A317" i="2"/>
  <c r="A316" i="2"/>
  <c r="A310" i="2"/>
  <c r="A309" i="2"/>
  <c r="A305" i="2"/>
  <c r="A304" i="2"/>
  <c r="A300" i="2"/>
  <c r="A299" i="2"/>
  <c r="A298" i="2"/>
  <c r="A293" i="2"/>
  <c r="A292" i="2"/>
  <c r="A291" i="2"/>
  <c r="A286" i="2"/>
  <c r="A281" i="2"/>
  <c r="A280" i="2"/>
  <c r="A273" i="2"/>
  <c r="A268" i="2"/>
  <c r="A267" i="2"/>
  <c r="A266" i="2"/>
  <c r="A262" i="2"/>
  <c r="A258" i="2"/>
  <c r="A257" i="2"/>
  <c r="A248" i="2"/>
  <c r="A239" i="2"/>
  <c r="A233" i="2"/>
  <c r="A219" i="2"/>
  <c r="A218" i="2"/>
  <c r="A212" i="2"/>
  <c r="A204" i="2"/>
  <c r="A186" i="2"/>
  <c r="A180" i="2"/>
  <c r="A175" i="2"/>
  <c r="A174" i="2"/>
  <c r="A173" i="2"/>
  <c r="A157" i="2"/>
  <c r="A156" i="2"/>
  <c r="A149" i="2"/>
  <c r="A148" i="2"/>
  <c r="A143" i="2"/>
  <c r="A142" i="2"/>
  <c r="A141" i="2"/>
  <c r="B141" i="2"/>
  <c r="B143" i="2"/>
  <c r="I144" i="2"/>
  <c r="J144" i="2"/>
  <c r="I145" i="2"/>
  <c r="J145" i="2"/>
  <c r="J146" i="2"/>
  <c r="H108" i="1"/>
  <c r="I108" i="1" s="1"/>
  <c r="H109" i="1"/>
  <c r="H110" i="1"/>
  <c r="I110" i="1" s="1"/>
  <c r="H111" i="1"/>
  <c r="H112" i="1"/>
  <c r="I112" i="1" s="1"/>
  <c r="H113" i="1"/>
  <c r="H114" i="1"/>
  <c r="I114" i="1" s="1"/>
  <c r="H115" i="1"/>
  <c r="H116" i="1"/>
  <c r="I116" i="1" s="1"/>
  <c r="H119" i="1"/>
  <c r="H120" i="1"/>
  <c r="H123" i="1"/>
  <c r="H124" i="1"/>
  <c r="H125" i="1"/>
  <c r="H126" i="1"/>
  <c r="H127" i="1"/>
  <c r="H129" i="1"/>
  <c r="H131" i="1"/>
  <c r="H132" i="1"/>
  <c r="H133" i="1"/>
  <c r="H134" i="1"/>
  <c r="J477" i="2"/>
  <c r="C480" i="2"/>
  <c r="B480" i="2"/>
  <c r="A480" i="2"/>
  <c r="J481" i="2"/>
  <c r="J482" i="2" s="1"/>
  <c r="F134" i="1" s="1"/>
  <c r="I134" i="1" s="1"/>
  <c r="C475" i="2"/>
  <c r="C470" i="2"/>
  <c r="B475" i="2"/>
  <c r="A475" i="2"/>
  <c r="J476" i="2"/>
  <c r="J478" i="2" s="1"/>
  <c r="F133" i="1" s="1"/>
  <c r="I133" i="1" s="1"/>
  <c r="B470" i="2"/>
  <c r="A470" i="2"/>
  <c r="J471" i="2"/>
  <c r="J472" i="2" s="1"/>
  <c r="F132" i="1" s="1"/>
  <c r="I132" i="1" s="1"/>
  <c r="C466" i="2"/>
  <c r="B466" i="2"/>
  <c r="A466" i="2"/>
  <c r="B465" i="2"/>
  <c r="A465" i="2"/>
  <c r="J467" i="2"/>
  <c r="J468" i="2" s="1"/>
  <c r="A391" i="2"/>
  <c r="A423" i="2"/>
  <c r="A419" i="2"/>
  <c r="A415" i="2"/>
  <c r="A411" i="2"/>
  <c r="A410" i="2"/>
  <c r="B406" i="2"/>
  <c r="A406" i="2"/>
  <c r="B405" i="2"/>
  <c r="A405" i="2"/>
  <c r="J407" i="2"/>
  <c r="J408" i="2" s="1"/>
  <c r="F115" i="1" s="1"/>
  <c r="I115" i="1" s="1"/>
  <c r="C406" i="2"/>
  <c r="C401" i="2"/>
  <c r="B401" i="2"/>
  <c r="B400" i="2"/>
  <c r="A401" i="2"/>
  <c r="A400" i="2"/>
  <c r="J402" i="2"/>
  <c r="J403" i="2" s="1"/>
  <c r="F113" i="1" s="1"/>
  <c r="I113" i="1" s="1"/>
  <c r="C396" i="2"/>
  <c r="A396" i="2"/>
  <c r="A395" i="2"/>
  <c r="B396" i="2"/>
  <c r="B395" i="2"/>
  <c r="J397" i="2"/>
  <c r="J398" i="2" s="1"/>
  <c r="F111" i="1" s="1"/>
  <c r="I111" i="1" s="1"/>
  <c r="J392" i="2"/>
  <c r="J393" i="2" s="1"/>
  <c r="F109" i="1" s="1"/>
  <c r="I109" i="1" s="1"/>
  <c r="C391" i="2"/>
  <c r="B391" i="2"/>
  <c r="A390" i="2"/>
  <c r="B390" i="2"/>
  <c r="C423" i="2"/>
  <c r="B423" i="2"/>
  <c r="J424" i="2"/>
  <c r="J425" i="2" s="1"/>
  <c r="F120" i="1" s="1"/>
  <c r="I120" i="1" s="1"/>
  <c r="B411" i="2"/>
  <c r="J453" i="2"/>
  <c r="J454" i="2" s="1"/>
  <c r="F126" i="1" s="1"/>
  <c r="I126" i="1" s="1"/>
  <c r="H283" i="2"/>
  <c r="J283" i="2" s="1"/>
  <c r="H282" i="2"/>
  <c r="C281" i="2"/>
  <c r="B281" i="2"/>
  <c r="H66" i="1"/>
  <c r="J457" i="2"/>
  <c r="J458" i="2"/>
  <c r="F127" i="1" s="1"/>
  <c r="I127" i="1" s="1"/>
  <c r="H52" i="2"/>
  <c r="J52" i="2" s="1"/>
  <c r="C112" i="2"/>
  <c r="B112" i="2"/>
  <c r="H24" i="1"/>
  <c r="J86" i="2"/>
  <c r="H121" i="2"/>
  <c r="J121" i="2"/>
  <c r="H122" i="2"/>
  <c r="J122" i="2"/>
  <c r="J447" i="2"/>
  <c r="J448" i="2" s="1"/>
  <c r="F125" i="1" s="1"/>
  <c r="I125" i="1" s="1"/>
  <c r="H38" i="2"/>
  <c r="H33" i="2"/>
  <c r="J443" i="2"/>
  <c r="J442" i="2"/>
  <c r="J444" i="2" s="1"/>
  <c r="F124" i="1" s="1"/>
  <c r="I124" i="1" s="1"/>
  <c r="J436" i="2"/>
  <c r="J437" i="2"/>
  <c r="J438" i="2"/>
  <c r="J435" i="2"/>
  <c r="J439" i="2" s="1"/>
  <c r="F123" i="1" s="1"/>
  <c r="I123" i="1" s="1"/>
  <c r="C456" i="2"/>
  <c r="C452" i="2"/>
  <c r="C446" i="2"/>
  <c r="A461" i="2"/>
  <c r="B456" i="2"/>
  <c r="A456" i="2"/>
  <c r="B452" i="2"/>
  <c r="A452" i="2"/>
  <c r="B446" i="2"/>
  <c r="B441" i="2"/>
  <c r="A446" i="2"/>
  <c r="A441" i="2"/>
  <c r="C441" i="2"/>
  <c r="C434" i="2"/>
  <c r="B434" i="2"/>
  <c r="A434" i="2"/>
  <c r="B433" i="2"/>
  <c r="A433" i="2"/>
  <c r="A460" i="2"/>
  <c r="J531" i="2"/>
  <c r="J532" i="2"/>
  <c r="F150" i="1" s="1"/>
  <c r="C530" i="2"/>
  <c r="B530" i="2"/>
  <c r="J113" i="2"/>
  <c r="J114" i="2"/>
  <c r="F24" i="1" s="1"/>
  <c r="I24" i="1" s="1"/>
  <c r="H51" i="1"/>
  <c r="H52" i="1"/>
  <c r="H53" i="1"/>
  <c r="H50" i="1"/>
  <c r="E254" i="2"/>
  <c r="H254" i="2" s="1"/>
  <c r="J254" i="2" s="1"/>
  <c r="H253" i="2"/>
  <c r="J253" i="2" s="1"/>
  <c r="H252" i="2"/>
  <c r="J252" i="2" s="1"/>
  <c r="H251" i="2"/>
  <c r="J251" i="2" s="1"/>
  <c r="H250" i="2"/>
  <c r="J250" i="2" s="1"/>
  <c r="J255" i="2" s="1"/>
  <c r="F53" i="1" s="1"/>
  <c r="I53" i="1" s="1"/>
  <c r="E215" i="2"/>
  <c r="H15" i="5"/>
  <c r="E236" i="2"/>
  <c r="I235" i="2"/>
  <c r="J235" i="2"/>
  <c r="I236" i="2"/>
  <c r="J236" i="2" s="1"/>
  <c r="I234" i="2"/>
  <c r="J234" i="2" s="1"/>
  <c r="J237" i="2" s="1"/>
  <c r="F51" i="1" s="1"/>
  <c r="H245" i="2"/>
  <c r="J245" i="2" s="1"/>
  <c r="H242" i="2"/>
  <c r="J242" i="2" s="1"/>
  <c r="J246" i="2" s="1"/>
  <c r="F52" i="1" s="1"/>
  <c r="I52" i="1" s="1"/>
  <c r="H230" i="2"/>
  <c r="J230" i="2" s="1"/>
  <c r="P8" i="6"/>
  <c r="H223" i="2"/>
  <c r="J223" i="2" s="1"/>
  <c r="H224" i="2"/>
  <c r="J224" i="2" s="1"/>
  <c r="H225" i="2"/>
  <c r="J225" i="2" s="1"/>
  <c r="H226" i="2"/>
  <c r="J226" i="2" s="1"/>
  <c r="H227" i="2"/>
  <c r="J227" i="2" s="1"/>
  <c r="H222" i="2"/>
  <c r="J222" i="2" s="1"/>
  <c r="J231" i="2" s="1"/>
  <c r="F50" i="1" s="1"/>
  <c r="I50" i="1" s="1"/>
  <c r="I15" i="5"/>
  <c r="I17" i="5" s="1"/>
  <c r="I27" i="5" s="1"/>
  <c r="I10" i="5"/>
  <c r="I9" i="5"/>
  <c r="I11" i="5" s="1"/>
  <c r="I26" i="5" s="1"/>
  <c r="I29" i="5" s="1"/>
  <c r="G150" i="1" s="1"/>
  <c r="H150" i="1" s="1"/>
  <c r="C120" i="2"/>
  <c r="B120" i="2"/>
  <c r="H26" i="1"/>
  <c r="B419" i="2"/>
  <c r="J420" i="2"/>
  <c r="J421" i="2" s="1"/>
  <c r="F119" i="1" s="1"/>
  <c r="I119" i="1" s="1"/>
  <c r="C419" i="2"/>
  <c r="B415" i="2"/>
  <c r="J416" i="2"/>
  <c r="J417" i="2" s="1"/>
  <c r="F118" i="1" s="1"/>
  <c r="C415" i="2"/>
  <c r="E177" i="2"/>
  <c r="H182" i="2"/>
  <c r="J182" i="2" s="1"/>
  <c r="H181" i="2"/>
  <c r="I17" i="4"/>
  <c r="I16" i="4"/>
  <c r="I18" i="4" s="1"/>
  <c r="I28" i="4" s="1"/>
  <c r="I10" i="4"/>
  <c r="I9" i="4"/>
  <c r="I12" i="4" s="1"/>
  <c r="I27" i="4" s="1"/>
  <c r="E183" i="2"/>
  <c r="H183" i="2" s="1"/>
  <c r="J183" i="2"/>
  <c r="I215" i="2"/>
  <c r="J215" i="2"/>
  <c r="G214" i="2"/>
  <c r="I214" i="2" s="1"/>
  <c r="J214" i="2" s="1"/>
  <c r="I213" i="2"/>
  <c r="J213" i="2" s="1"/>
  <c r="J216" i="2" s="1"/>
  <c r="H197" i="2"/>
  <c r="J197" i="2"/>
  <c r="H195" i="2"/>
  <c r="J195" i="2" s="1"/>
  <c r="H196" i="2"/>
  <c r="J196" i="2" s="1"/>
  <c r="H194" i="2"/>
  <c r="J194" i="2" s="1"/>
  <c r="H193" i="2"/>
  <c r="J193" i="2" s="1"/>
  <c r="H209" i="2"/>
  <c r="J209" i="2" s="1"/>
  <c r="H207" i="2"/>
  <c r="J207" i="2" s="1"/>
  <c r="J210" i="2" s="1"/>
  <c r="F47" i="1" s="1"/>
  <c r="H201" i="2"/>
  <c r="J201" i="2" s="1"/>
  <c r="H200" i="2"/>
  <c r="J200" i="2" s="1"/>
  <c r="H190" i="2"/>
  <c r="J190" i="2" s="1"/>
  <c r="H189" i="2"/>
  <c r="J189" i="2" s="1"/>
  <c r="J202" i="2" s="1"/>
  <c r="F46" i="1" s="1"/>
  <c r="C411" i="2"/>
  <c r="J412" i="2"/>
  <c r="J413" i="2"/>
  <c r="F117" i="1" s="1"/>
  <c r="I16" i="3"/>
  <c r="I17" i="3"/>
  <c r="I18" i="3" s="1"/>
  <c r="I28" i="3" s="1"/>
  <c r="I9" i="3"/>
  <c r="I10" i="3"/>
  <c r="J513" i="2"/>
  <c r="J514" i="2"/>
  <c r="J508" i="2"/>
  <c r="J519" i="2"/>
  <c r="J518" i="2"/>
  <c r="J520" i="2" s="1"/>
  <c r="F147" i="1" s="1"/>
  <c r="I147" i="1" s="1"/>
  <c r="B517" i="2"/>
  <c r="J506" i="2"/>
  <c r="J507" i="2"/>
  <c r="J181" i="2"/>
  <c r="J184" i="2" s="1"/>
  <c r="F45" i="1" s="1"/>
  <c r="I176" i="2"/>
  <c r="J176" i="2"/>
  <c r="I177" i="2"/>
  <c r="J177" i="2" s="1"/>
  <c r="I60" i="2"/>
  <c r="J60" i="2" s="1"/>
  <c r="I58" i="2"/>
  <c r="J58" i="2" s="1"/>
  <c r="I59" i="2"/>
  <c r="J59" i="2" s="1"/>
  <c r="C317" i="2"/>
  <c r="C310" i="2"/>
  <c r="C305" i="2"/>
  <c r="C300" i="2"/>
  <c r="C293" i="2"/>
  <c r="C286" i="2"/>
  <c r="C268" i="2"/>
  <c r="C262" i="2"/>
  <c r="C258" i="2"/>
  <c r="C157" i="2"/>
  <c r="C136" i="2"/>
  <c r="C131" i="2"/>
  <c r="C127" i="2"/>
  <c r="C116" i="2"/>
  <c r="C108" i="2"/>
  <c r="C90" i="2"/>
  <c r="C83" i="2"/>
  <c r="C79" i="2"/>
  <c r="C73" i="2"/>
  <c r="C68" i="2"/>
  <c r="C63" i="2"/>
  <c r="C50" i="2"/>
  <c r="C45" i="2"/>
  <c r="C23" i="2"/>
  <c r="C14" i="2"/>
  <c r="C9" i="2"/>
  <c r="I34" i="2"/>
  <c r="J34" i="2" s="1"/>
  <c r="I35" i="2"/>
  <c r="J35" i="2" s="1"/>
  <c r="I37" i="2"/>
  <c r="J37" i="2" s="1"/>
  <c r="I38" i="2"/>
  <c r="J38" i="2" s="1"/>
  <c r="I39" i="2"/>
  <c r="J39" i="2" s="1"/>
  <c r="I41" i="2"/>
  <c r="J41" i="2" s="1"/>
  <c r="I42" i="2"/>
  <c r="J42" i="2" s="1"/>
  <c r="I33" i="2"/>
  <c r="J33" i="2" s="1"/>
  <c r="J43" i="2" s="1"/>
  <c r="C30" i="2"/>
  <c r="C149" i="2"/>
  <c r="B149" i="2"/>
  <c r="B148" i="2"/>
  <c r="C143" i="2"/>
  <c r="C57" i="2"/>
  <c r="B57" i="2"/>
  <c r="H16" i="1"/>
  <c r="C248" i="2"/>
  <c r="B248" i="2"/>
  <c r="C239" i="2"/>
  <c r="B239" i="2"/>
  <c r="C233" i="2"/>
  <c r="B233" i="2"/>
  <c r="C219" i="2"/>
  <c r="B219" i="2"/>
  <c r="B218" i="2"/>
  <c r="C212" i="2"/>
  <c r="B212" i="2"/>
  <c r="C204" i="2"/>
  <c r="B204" i="2"/>
  <c r="C186" i="2"/>
  <c r="B186" i="2"/>
  <c r="C180" i="2"/>
  <c r="B180" i="2"/>
  <c r="C175" i="2"/>
  <c r="B175" i="2"/>
  <c r="B174" i="2"/>
  <c r="H44" i="1"/>
  <c r="H45" i="1"/>
  <c r="H46" i="1"/>
  <c r="H47" i="1"/>
  <c r="H48" i="1"/>
  <c r="H20" i="2"/>
  <c r="J20" i="2" s="1"/>
  <c r="H270" i="2"/>
  <c r="J270" i="2" s="1"/>
  <c r="H27" i="2"/>
  <c r="I27" i="2"/>
  <c r="G105" i="2"/>
  <c r="H105" i="2" s="1"/>
  <c r="J105" i="2" s="1"/>
  <c r="I104" i="2"/>
  <c r="H104" i="2"/>
  <c r="J104" i="2" s="1"/>
  <c r="G103" i="2"/>
  <c r="E103" i="2"/>
  <c r="H103" i="2" s="1"/>
  <c r="J103" i="2" s="1"/>
  <c r="I101" i="2"/>
  <c r="G101" i="2"/>
  <c r="H101" i="2" s="1"/>
  <c r="J101" i="2" s="1"/>
  <c r="I102" i="2"/>
  <c r="E102" i="2"/>
  <c r="H102" i="2" s="1"/>
  <c r="J102" i="2" s="1"/>
  <c r="I100" i="2"/>
  <c r="H100" i="2"/>
  <c r="J100" i="2" s="1"/>
  <c r="H99" i="2"/>
  <c r="J99" i="2" s="1"/>
  <c r="H98" i="2"/>
  <c r="J98" i="2" s="1"/>
  <c r="J96" i="2"/>
  <c r="H97" i="2"/>
  <c r="J97" i="2" s="1"/>
  <c r="J95" i="2"/>
  <c r="H93" i="2"/>
  <c r="J93" i="2" s="1"/>
  <c r="H94" i="2"/>
  <c r="J94" i="2" s="1"/>
  <c r="H92" i="2"/>
  <c r="J92" i="2" s="1"/>
  <c r="J106" i="2" s="1"/>
  <c r="J567" i="2"/>
  <c r="J566" i="2"/>
  <c r="J528" i="2"/>
  <c r="J525" i="2"/>
  <c r="J526" i="2"/>
  <c r="J527" i="2"/>
  <c r="J524" i="2"/>
  <c r="J529" i="2" s="1"/>
  <c r="F149" i="1" s="1"/>
  <c r="J512" i="2"/>
  <c r="J515" i="2" s="1"/>
  <c r="J505" i="2"/>
  <c r="J509" i="2" s="1"/>
  <c r="H149" i="1"/>
  <c r="B523" i="2"/>
  <c r="B522" i="2"/>
  <c r="J594" i="2"/>
  <c r="J462" i="2"/>
  <c r="J387" i="2"/>
  <c r="J388" i="2" s="1"/>
  <c r="J381" i="2"/>
  <c r="J382" i="2" s="1"/>
  <c r="F107" i="1" s="1"/>
  <c r="J375" i="2"/>
  <c r="J376" i="2"/>
  <c r="J377" i="2"/>
  <c r="J370" i="2"/>
  <c r="J371" i="2"/>
  <c r="J372" i="2"/>
  <c r="J365" i="2"/>
  <c r="J366" i="2"/>
  <c r="J367" i="2"/>
  <c r="J361" i="2"/>
  <c r="J360" i="2"/>
  <c r="J362" i="2"/>
  <c r="F98" i="1"/>
  <c r="F103" i="1"/>
  <c r="B380" i="2"/>
  <c r="B379" i="2"/>
  <c r="F99" i="1"/>
  <c r="F100" i="1"/>
  <c r="F101" i="1"/>
  <c r="J463" i="2"/>
  <c r="F145" i="1"/>
  <c r="F146" i="1"/>
  <c r="H10" i="1"/>
  <c r="H11" i="1"/>
  <c r="H12" i="1"/>
  <c r="H13" i="1"/>
  <c r="H14" i="1"/>
  <c r="H15" i="1"/>
  <c r="H17" i="1"/>
  <c r="H18" i="1"/>
  <c r="H19" i="1"/>
  <c r="H20" i="1"/>
  <c r="H21" i="1"/>
  <c r="H22" i="1"/>
  <c r="H23" i="1"/>
  <c r="H25" i="1"/>
  <c r="H28" i="1"/>
  <c r="I28" i="1" s="1"/>
  <c r="H29" i="1"/>
  <c r="I29" i="1" s="1"/>
  <c r="H30" i="1"/>
  <c r="H31" i="1"/>
  <c r="H32" i="1"/>
  <c r="H40" i="1"/>
  <c r="H54" i="1"/>
  <c r="I54" i="1" s="1"/>
  <c r="H55" i="1"/>
  <c r="H56" i="1"/>
  <c r="H60" i="1"/>
  <c r="H67" i="1"/>
  <c r="H71" i="1"/>
  <c r="H75" i="1"/>
  <c r="H76" i="1"/>
  <c r="I76" i="1" s="1"/>
  <c r="H77" i="1"/>
  <c r="H78" i="1"/>
  <c r="I78" i="1" s="1"/>
  <c r="H79" i="1"/>
  <c r="H83" i="1"/>
  <c r="H87" i="1"/>
  <c r="H88" i="1"/>
  <c r="I88" i="1" s="1"/>
  <c r="H89" i="1"/>
  <c r="H93" i="1"/>
  <c r="H94" i="1"/>
  <c r="H98" i="1"/>
  <c r="H99" i="1"/>
  <c r="H100" i="1"/>
  <c r="H101" i="1"/>
  <c r="H102" i="1"/>
  <c r="I102" i="1" s="1"/>
  <c r="H103" i="1"/>
  <c r="H107" i="1"/>
  <c r="H138" i="1"/>
  <c r="H139" i="1"/>
  <c r="H141" i="1"/>
  <c r="H145" i="1"/>
  <c r="H146" i="1"/>
  <c r="H155" i="1"/>
  <c r="H156" i="1"/>
  <c r="I156" i="1" s="1"/>
  <c r="H157" i="1"/>
  <c r="H158" i="1"/>
  <c r="I158" i="1" s="1"/>
  <c r="H159" i="1"/>
  <c r="H160" i="1"/>
  <c r="I160" i="1" s="1"/>
  <c r="H161" i="1"/>
  <c r="H162" i="1"/>
  <c r="H164" i="1"/>
  <c r="I164" i="1" s="1"/>
  <c r="H165" i="1"/>
  <c r="I165" i="1" s="1"/>
  <c r="H166" i="1"/>
  <c r="H167" i="1"/>
  <c r="I167" i="1" s="1"/>
  <c r="H168" i="1"/>
  <c r="H169" i="1"/>
  <c r="H171" i="1"/>
  <c r="I171" i="1" s="1"/>
  <c r="H172" i="1"/>
  <c r="I172" i="1" s="1"/>
  <c r="H173" i="1"/>
  <c r="B386" i="2"/>
  <c r="B461" i="2"/>
  <c r="B460" i="2"/>
  <c r="H269" i="2"/>
  <c r="J269" i="2" s="1"/>
  <c r="J271" i="2" s="1"/>
  <c r="F60" i="1" s="1"/>
  <c r="I60" i="1" s="1"/>
  <c r="H354" i="2"/>
  <c r="J354" i="2" s="1"/>
  <c r="H349" i="2"/>
  <c r="J349" i="2" s="1"/>
  <c r="H348" i="2"/>
  <c r="J348" i="2" s="1"/>
  <c r="H353" i="2"/>
  <c r="H352" i="2"/>
  <c r="J353" i="2"/>
  <c r="J352" i="2"/>
  <c r="J498" i="2"/>
  <c r="J499" i="2"/>
  <c r="J500" i="2"/>
  <c r="F141" i="1" s="1"/>
  <c r="I141" i="1" s="1"/>
  <c r="J492" i="2"/>
  <c r="J493" i="2"/>
  <c r="J494" i="2"/>
  <c r="F139" i="1" s="1"/>
  <c r="I139" i="1" s="1"/>
  <c r="J488" i="2"/>
  <c r="J487" i="2"/>
  <c r="J489" i="2" s="1"/>
  <c r="F138" i="1" s="1"/>
  <c r="I138" i="1" s="1"/>
  <c r="J288" i="2"/>
  <c r="J287" i="2"/>
  <c r="J289" i="2" s="1"/>
  <c r="F67" i="1" s="1"/>
  <c r="I67" i="1" s="1"/>
  <c r="H295" i="2"/>
  <c r="J295" i="2" s="1"/>
  <c r="H294" i="2"/>
  <c r="J294" i="2" s="1"/>
  <c r="J296" i="2" s="1"/>
  <c r="F71" i="1" s="1"/>
  <c r="I71" i="1" s="1"/>
  <c r="J600" i="2"/>
  <c r="J601" i="2"/>
  <c r="F166" i="1" s="1"/>
  <c r="I166" i="1" s="1"/>
  <c r="H301" i="2"/>
  <c r="J301" i="2" s="1"/>
  <c r="J302" i="2" s="1"/>
  <c r="F75" i="1" s="1"/>
  <c r="I75" i="1" s="1"/>
  <c r="H351" i="2"/>
  <c r="J351" i="2" s="1"/>
  <c r="H350" i="2"/>
  <c r="J350" i="2" s="1"/>
  <c r="J311" i="2"/>
  <c r="J312" i="2"/>
  <c r="H306" i="2"/>
  <c r="J306" i="2" s="1"/>
  <c r="J307" i="2" s="1"/>
  <c r="F77" i="1" s="1"/>
  <c r="I77" i="1" s="1"/>
  <c r="H609" i="2"/>
  <c r="J609" i="2" s="1"/>
  <c r="E263" i="2"/>
  <c r="H263" i="2"/>
  <c r="J610" i="2"/>
  <c r="F169" i="1" s="1"/>
  <c r="I169" i="1" s="1"/>
  <c r="F55" i="1"/>
  <c r="I55" i="1" s="1"/>
  <c r="J595" i="2"/>
  <c r="F162" i="1" s="1"/>
  <c r="I162" i="1" s="1"/>
  <c r="E590" i="2"/>
  <c r="J590" i="2" s="1"/>
  <c r="J591" i="2" s="1"/>
  <c r="F161" i="1" s="1"/>
  <c r="I161" i="1" s="1"/>
  <c r="H138" i="2"/>
  <c r="J138" i="2" s="1"/>
  <c r="H137" i="2"/>
  <c r="J137" i="2" s="1"/>
  <c r="J139" i="2" s="1"/>
  <c r="F32" i="1" s="1"/>
  <c r="I32" i="1" s="1"/>
  <c r="J616" i="2"/>
  <c r="J617" i="2"/>
  <c r="J615" i="2"/>
  <c r="F173" i="1" s="1"/>
  <c r="I173" i="1" s="1"/>
  <c r="H128" i="2"/>
  <c r="J128" i="2" s="1"/>
  <c r="J129" i="2" s="1"/>
  <c r="F30" i="1" s="1"/>
  <c r="I30" i="1" s="1"/>
  <c r="H117" i="2"/>
  <c r="J117" i="2" s="1"/>
  <c r="J118" i="2" s="1"/>
  <c r="H109" i="2"/>
  <c r="J109" i="2" s="1"/>
  <c r="J110" i="2" s="1"/>
  <c r="J85" i="2"/>
  <c r="J87" i="2"/>
  <c r="J84" i="2"/>
  <c r="J88" i="2" s="1"/>
  <c r="H80" i="2"/>
  <c r="J80" i="2" s="1"/>
  <c r="H65" i="2"/>
  <c r="J65" i="2" s="1"/>
  <c r="H64" i="2"/>
  <c r="J64" i="2" s="1"/>
  <c r="J66" i="2" s="1"/>
  <c r="J605" i="2"/>
  <c r="J606" i="2" s="1"/>
  <c r="F168" i="1" s="1"/>
  <c r="I168" i="1" s="1"/>
  <c r="H74" i="2"/>
  <c r="J74" i="2" s="1"/>
  <c r="J77" i="2" s="1"/>
  <c r="G26" i="2"/>
  <c r="H26" i="2" s="1"/>
  <c r="J26" i="2" s="1"/>
  <c r="H25" i="2"/>
  <c r="J25" i="2" s="1"/>
  <c r="J70" i="2"/>
  <c r="J69" i="2"/>
  <c r="J71" i="2" s="1"/>
  <c r="H24" i="2"/>
  <c r="J24" i="2" s="1"/>
  <c r="B614" i="2"/>
  <c r="B613" i="2"/>
  <c r="B612" i="2"/>
  <c r="H54" i="2"/>
  <c r="J54" i="2" s="1"/>
  <c r="H53" i="2"/>
  <c r="J53" i="2" s="1"/>
  <c r="I19" i="2"/>
  <c r="H51" i="2"/>
  <c r="J51" i="2" s="1"/>
  <c r="J55" i="2" s="1"/>
  <c r="H47" i="2"/>
  <c r="J47" i="2" s="1"/>
  <c r="H46" i="2"/>
  <c r="I16" i="2"/>
  <c r="H19" i="2"/>
  <c r="J19" i="2" s="1"/>
  <c r="H18" i="2"/>
  <c r="J18" i="2" s="1"/>
  <c r="B608" i="2"/>
  <c r="H17" i="2"/>
  <c r="J17" i="2" s="1"/>
  <c r="H16" i="2"/>
  <c r="J16" i="2" s="1"/>
  <c r="J21" i="2" s="1"/>
  <c r="H11" i="2"/>
  <c r="J11" i="2" s="1"/>
  <c r="H10" i="2"/>
  <c r="J10" i="2" s="1"/>
  <c r="J12" i="2" s="1"/>
  <c r="B604" i="2"/>
  <c r="B603" i="2"/>
  <c r="B599" i="2"/>
  <c r="B598" i="2"/>
  <c r="B597" i="2"/>
  <c r="B593" i="2"/>
  <c r="B589" i="2"/>
  <c r="B588" i="2"/>
  <c r="B571" i="2"/>
  <c r="B570" i="2"/>
  <c r="B564" i="2"/>
  <c r="B563" i="2"/>
  <c r="B536" i="2"/>
  <c r="B535" i="2"/>
  <c r="B534" i="2"/>
  <c r="B511" i="2"/>
  <c r="B504" i="2"/>
  <c r="B503" i="2"/>
  <c r="B502" i="2"/>
  <c r="A23" i="2"/>
  <c r="A14" i="2"/>
  <c r="A9" i="2"/>
  <c r="B497" i="2"/>
  <c r="B496" i="2"/>
  <c r="B491" i="2"/>
  <c r="B486" i="2"/>
  <c r="B485" i="2"/>
  <c r="B484" i="2"/>
  <c r="B410" i="2"/>
  <c r="B385" i="2"/>
  <c r="B384" i="2"/>
  <c r="B374" i="2"/>
  <c r="B369" i="2"/>
  <c r="B364" i="2"/>
  <c r="B359" i="2"/>
  <c r="B358" i="2"/>
  <c r="B357" i="2"/>
  <c r="B347" i="2"/>
  <c r="B342" i="2"/>
  <c r="B341" i="2"/>
  <c r="B340" i="2"/>
  <c r="B324" i="2"/>
  <c r="B323" i="2"/>
  <c r="B322" i="2"/>
  <c r="B317" i="2"/>
  <c r="B316" i="2"/>
  <c r="B315" i="2"/>
  <c r="B310" i="2"/>
  <c r="B309" i="2"/>
  <c r="B305" i="2"/>
  <c r="B304" i="2"/>
  <c r="B300" i="2"/>
  <c r="B299" i="2"/>
  <c r="B298" i="2"/>
  <c r="B293" i="2"/>
  <c r="B292" i="2"/>
  <c r="B291" i="2"/>
  <c r="B286" i="2"/>
  <c r="B280" i="2"/>
  <c r="B273" i="2"/>
  <c r="B268" i="2"/>
  <c r="B267" i="2"/>
  <c r="B266" i="2"/>
  <c r="B262" i="2"/>
  <c r="B258" i="2"/>
  <c r="B257" i="2"/>
  <c r="B173" i="2"/>
  <c r="B157" i="2"/>
  <c r="B156" i="2"/>
  <c r="B136" i="2"/>
  <c r="B131" i="2"/>
  <c r="B127" i="2"/>
  <c r="B126" i="2"/>
  <c r="B125" i="2"/>
  <c r="B116" i="2"/>
  <c r="B108" i="2"/>
  <c r="B90" i="2"/>
  <c r="B83" i="2"/>
  <c r="B79" i="2"/>
  <c r="B73" i="2"/>
  <c r="B68" i="2"/>
  <c r="B63" i="2"/>
  <c r="B50" i="2"/>
  <c r="B45" i="2"/>
  <c r="B30" i="2"/>
  <c r="B23" i="2"/>
  <c r="B14" i="2"/>
  <c r="B9" i="2"/>
  <c r="B8" i="2"/>
  <c r="B7" i="2"/>
  <c r="I30" i="4" l="1"/>
  <c r="G118" i="1" s="1"/>
  <c r="H118" i="1" s="1"/>
  <c r="I51" i="1"/>
  <c r="I93" i="1"/>
  <c r="I83" i="1"/>
  <c r="I84" i="1" s="1"/>
  <c r="D23" i="7" s="1"/>
  <c r="J263" i="2"/>
  <c r="J264" i="2" s="1"/>
  <c r="F56" i="1" s="1"/>
  <c r="I56" i="1" s="1"/>
  <c r="J586" i="2"/>
  <c r="J561" i="2"/>
  <c r="J134" i="2"/>
  <c r="F31" i="1"/>
  <c r="I31" i="1" s="1"/>
  <c r="I33" i="1" s="1"/>
  <c r="F22" i="1"/>
  <c r="J355" i="2"/>
  <c r="F94" i="1" s="1"/>
  <c r="I94" i="1" s="1"/>
  <c r="J333" i="2"/>
  <c r="I146" i="1"/>
  <c r="I145" i="1"/>
  <c r="I101" i="1"/>
  <c r="I100" i="1"/>
  <c r="I99" i="1"/>
  <c r="I103" i="1"/>
  <c r="I98" i="1"/>
  <c r="I107" i="1"/>
  <c r="I149" i="1"/>
  <c r="I22" i="1"/>
  <c r="I45" i="1"/>
  <c r="I46" i="1"/>
  <c r="I47" i="1"/>
  <c r="I118" i="1"/>
  <c r="I150" i="1"/>
  <c r="F159" i="1"/>
  <c r="I159" i="1" s="1"/>
  <c r="F155" i="1"/>
  <c r="I155" i="1" s="1"/>
  <c r="F48" i="1"/>
  <c r="I48" i="1" s="1"/>
  <c r="I152" i="2"/>
  <c r="I150" i="2"/>
  <c r="F36" i="1"/>
  <c r="I36" i="1" s="1"/>
  <c r="I61" i="1"/>
  <c r="D15" i="7" s="1"/>
  <c r="F129" i="1"/>
  <c r="I129" i="1" s="1"/>
  <c r="F131" i="1"/>
  <c r="I131" i="1" s="1"/>
  <c r="J282" i="2"/>
  <c r="J284" i="2" s="1"/>
  <c r="F66" i="1" s="1"/>
  <c r="I66" i="1" s="1"/>
  <c r="J123" i="2"/>
  <c r="F26" i="1" s="1"/>
  <c r="I26" i="1" s="1"/>
  <c r="J81" i="2"/>
  <c r="F20" i="1" s="1"/>
  <c r="I20" i="1" s="1"/>
  <c r="J61" i="2"/>
  <c r="F16" i="1" s="1"/>
  <c r="I16" i="1" s="1"/>
  <c r="J178" i="2"/>
  <c r="I12" i="3"/>
  <c r="I27" i="3" s="1"/>
  <c r="I30" i="3" s="1"/>
  <c r="G117" i="1" s="1"/>
  <c r="H117" i="1" s="1"/>
  <c r="F21" i="1"/>
  <c r="I21" i="1" s="1"/>
  <c r="D168" i="2"/>
  <c r="I168" i="2" s="1"/>
  <c r="J168" i="2" s="1"/>
  <c r="F23" i="1"/>
  <c r="I23" i="1" s="1"/>
  <c r="H169" i="2"/>
  <c r="I169" i="2" s="1"/>
  <c r="J169" i="2" s="1"/>
  <c r="F25" i="1"/>
  <c r="I25" i="1" s="1"/>
  <c r="H170" i="2"/>
  <c r="I170" i="2" s="1"/>
  <c r="J170" i="2" s="1"/>
  <c r="F18" i="1"/>
  <c r="I18" i="1" s="1"/>
  <c r="D166" i="2"/>
  <c r="I166" i="2" s="1"/>
  <c r="J166" i="2" s="1"/>
  <c r="F19" i="1"/>
  <c r="I19" i="1" s="1"/>
  <c r="H167" i="2"/>
  <c r="I167" i="2" s="1"/>
  <c r="J167" i="2" s="1"/>
  <c r="F17" i="1"/>
  <c r="I17" i="1" s="1"/>
  <c r="H165" i="2"/>
  <c r="I165" i="2" s="1"/>
  <c r="J165" i="2" s="1"/>
  <c r="F15" i="1"/>
  <c r="I15" i="1" s="1"/>
  <c r="H163" i="2"/>
  <c r="I163" i="2" s="1"/>
  <c r="J163" i="2" s="1"/>
  <c r="F10" i="1"/>
  <c r="I10" i="1" s="1"/>
  <c r="H158" i="2"/>
  <c r="I158" i="2" s="1"/>
  <c r="J158" i="2" s="1"/>
  <c r="I164" i="2"/>
  <c r="J164" i="2" s="1"/>
  <c r="J27" i="2"/>
  <c r="J28" i="2" s="1"/>
  <c r="J568" i="2"/>
  <c r="F157" i="1"/>
  <c r="I157" i="1" s="1"/>
  <c r="D41" i="7"/>
  <c r="J41" i="7" s="1"/>
  <c r="J42" i="7" s="1"/>
  <c r="I170" i="1"/>
  <c r="D39" i="7" s="1"/>
  <c r="I142" i="1"/>
  <c r="D33" i="7" s="1"/>
  <c r="G33" i="7" s="1"/>
  <c r="G34" i="7" s="1"/>
  <c r="J313" i="2"/>
  <c r="F79" i="1" s="1"/>
  <c r="I79" i="1" s="1"/>
  <c r="J46" i="2"/>
  <c r="J48" i="2" s="1"/>
  <c r="I152" i="1" l="1"/>
  <c r="D35" i="7" s="1"/>
  <c r="H35" i="7" s="1"/>
  <c r="H36" i="7" s="1"/>
  <c r="I104" i="1"/>
  <c r="D29" i="7" s="1"/>
  <c r="G29" i="7" s="1"/>
  <c r="G30" i="7" s="1"/>
  <c r="F23" i="7"/>
  <c r="F24" i="7" s="1"/>
  <c r="G23" i="7"/>
  <c r="G24" i="7" s="1"/>
  <c r="F87" i="1"/>
  <c r="I87" i="1" s="1"/>
  <c r="J337" i="2"/>
  <c r="J338" i="2" s="1"/>
  <c r="F89" i="1" s="1"/>
  <c r="I89" i="1" s="1"/>
  <c r="J39" i="7"/>
  <c r="J40" i="7" s="1"/>
  <c r="I39" i="7"/>
  <c r="I40" i="7" s="1"/>
  <c r="H15" i="7"/>
  <c r="G15" i="7"/>
  <c r="G16" i="7" s="1"/>
  <c r="I117" i="1"/>
  <c r="I135" i="1" s="1"/>
  <c r="D31" i="7" s="1"/>
  <c r="D9" i="7"/>
  <c r="I72" i="1"/>
  <c r="D19" i="7" s="1"/>
  <c r="I19" i="7" s="1"/>
  <c r="I20" i="7" s="1"/>
  <c r="I80" i="1"/>
  <c r="D21" i="7" s="1"/>
  <c r="I95" i="1"/>
  <c r="D27" i="7" s="1"/>
  <c r="H27" i="7" s="1"/>
  <c r="H28" i="7" s="1"/>
  <c r="I68" i="1"/>
  <c r="D17" i="7" s="1"/>
  <c r="I17" i="7" s="1"/>
  <c r="F44" i="1"/>
  <c r="I151" i="2"/>
  <c r="J153" i="2" s="1"/>
  <c r="J154" i="2" s="1"/>
  <c r="F38" i="1" s="1"/>
  <c r="I38" i="1" s="1"/>
  <c r="I163" i="1"/>
  <c r="D37" i="7" s="1"/>
  <c r="F14" i="1"/>
  <c r="I14" i="1" s="1"/>
  <c r="H162" i="2"/>
  <c r="I162" i="2" s="1"/>
  <c r="J162" i="2" s="1"/>
  <c r="F12" i="1"/>
  <c r="I12" i="1" s="1"/>
  <c r="H160" i="2"/>
  <c r="I160" i="2" s="1"/>
  <c r="J160" i="2" s="1"/>
  <c r="F13" i="1"/>
  <c r="I13" i="1" s="1"/>
  <c r="I161" i="2"/>
  <c r="J161" i="2" s="1"/>
  <c r="F11" i="1"/>
  <c r="I11" i="1" s="1"/>
  <c r="H159" i="2"/>
  <c r="I159" i="2" s="1"/>
  <c r="J159" i="2" s="1"/>
  <c r="J171" i="2" s="1"/>
  <c r="F40" i="1" s="1"/>
  <c r="I40" i="1" s="1"/>
  <c r="F9" i="7" l="1"/>
  <c r="E9" i="7"/>
  <c r="I90" i="1"/>
  <c r="D25" i="7" s="1"/>
  <c r="H25" i="7" s="1"/>
  <c r="H26" i="7" s="1"/>
  <c r="J37" i="7"/>
  <c r="J45" i="7" s="1"/>
  <c r="I37" i="7"/>
  <c r="I38" i="7" s="1"/>
  <c r="H37" i="7"/>
  <c r="H38" i="7" s="1"/>
  <c r="I18" i="7"/>
  <c r="H16" i="7"/>
  <c r="G31" i="7"/>
  <c r="G32" i="7" s="1"/>
  <c r="F31" i="7"/>
  <c r="F32" i="7" s="1"/>
  <c r="G21" i="7"/>
  <c r="G22" i="7" s="1"/>
  <c r="F21" i="7"/>
  <c r="F22" i="7" s="1"/>
  <c r="I41" i="1"/>
  <c r="D11" i="7" s="1"/>
  <c r="F11" i="7" s="1"/>
  <c r="I44" i="1"/>
  <c r="I27" i="1"/>
  <c r="I57" i="1" l="1"/>
  <c r="D13" i="7" s="1"/>
  <c r="F13" i="7" s="1"/>
  <c r="F45" i="7" s="1"/>
  <c r="I45" i="7"/>
  <c r="H45" i="7"/>
  <c r="F12" i="7"/>
  <c r="J38" i="7"/>
  <c r="D7" i="7"/>
  <c r="G13" i="7" l="1"/>
  <c r="G45" i="7" s="1"/>
  <c r="D45" i="7"/>
  <c r="H43" i="7" s="1"/>
  <c r="I179" i="1"/>
  <c r="E7" i="7"/>
  <c r="D16" i="7" l="1"/>
  <c r="D36" i="7"/>
  <c r="D22" i="7"/>
  <c r="D38" i="7"/>
  <c r="J43" i="7"/>
  <c r="D10" i="7"/>
  <c r="D24" i="7"/>
  <c r="D14" i="7"/>
  <c r="D30" i="7"/>
  <c r="D8" i="7"/>
  <c r="I43" i="7"/>
  <c r="D12" i="7"/>
  <c r="D32" i="7"/>
  <c r="D18" i="7"/>
  <c r="D34" i="7"/>
  <c r="D28" i="7"/>
  <c r="D20" i="7"/>
  <c r="D40" i="7"/>
  <c r="D26" i="7"/>
  <c r="D42" i="7"/>
  <c r="G14" i="7"/>
  <c r="E8" i="7"/>
  <c r="E45" i="7"/>
  <c r="G43" i="7"/>
  <c r="F43" i="7"/>
  <c r="E46" i="7" l="1"/>
  <c r="F46" i="7" s="1"/>
  <c r="G46" i="7" s="1"/>
  <c r="H46" i="7" s="1"/>
  <c r="I46" i="7" s="1"/>
  <c r="J46" i="7" s="1"/>
  <c r="E43" i="7"/>
  <c r="E44" i="7" s="1"/>
  <c r="F44" i="7" s="1"/>
  <c r="G44" i="7" s="1"/>
  <c r="H44" i="7" s="1"/>
  <c r="I44" i="7" s="1"/>
  <c r="J44" i="7" s="1"/>
</calcChain>
</file>

<file path=xl/sharedStrings.xml><?xml version="1.0" encoding="utf-8"?>
<sst xmlns="http://schemas.openxmlformats.org/spreadsheetml/2006/main" count="2325" uniqueCount="799">
  <si>
    <t>PREFEITURA MUNICIPAL DE JOÃO NEIVA</t>
  </si>
  <si>
    <t>PLANILHA ORÇAMENTÁRIA</t>
  </si>
  <si>
    <t>OBRA: REFORMA DA QUADRA POLIESPORTIVA DE CAVALINHO, JOÃO NEIVA/ES</t>
  </si>
  <si>
    <t>L. SOCIAIS:</t>
  </si>
  <si>
    <t>TABELA DE REFERÊNCIA: DER/ES</t>
  </si>
  <si>
    <t>LOCAL: CAVALINHO, JOÃO NEIVA/ES</t>
  </si>
  <si>
    <t>BDI:</t>
  </si>
  <si>
    <t>DATA-BASE:</t>
  </si>
  <si>
    <t>OUT/21</t>
  </si>
  <si>
    <t>ORÇAMENTISTAS: BRUNA PEROVANO SIRTULI E THAÍS BAPTISTA MENELLI</t>
  </si>
  <si>
    <t>ITEM</t>
  </si>
  <si>
    <t>CÓDIGO</t>
  </si>
  <si>
    <t>ORGÃO</t>
  </si>
  <si>
    <t>DESCRIÇÃO SERVIÇO</t>
  </si>
  <si>
    <t>UNIDADE</t>
  </si>
  <si>
    <t>QUANTIDADE</t>
  </si>
  <si>
    <t>CUSTO (R$)</t>
  </si>
  <si>
    <t>UNITÁRIO</t>
  </si>
  <si>
    <t>UNITÁRIO C/ BDI</t>
  </si>
  <si>
    <t>TOTAL</t>
  </si>
  <si>
    <t>01</t>
  </si>
  <si>
    <t>SERVIÇOS PRELIMINARES</t>
  </si>
  <si>
    <t>1.1</t>
  </si>
  <si>
    <t>0102 / 0103</t>
  </si>
  <si>
    <t>DER-ES</t>
  </si>
  <si>
    <t>DEMOLIÇÕES E RETIRADAS</t>
  </si>
  <si>
    <t>1.1.1</t>
  </si>
  <si>
    <t>010202</t>
  </si>
  <si>
    <t xml:space="preserve">Demolição de piso revestido com cerâmica </t>
  </si>
  <si>
    <t>m2</t>
  </si>
  <si>
    <t>1.1.2</t>
  </si>
  <si>
    <t>010206</t>
  </si>
  <si>
    <t>Demolição de revestimento com azulejos</t>
  </si>
  <si>
    <t>1.1.3</t>
  </si>
  <si>
    <t>010208</t>
  </si>
  <si>
    <t xml:space="preserve">Retirada de revestimento antigo em reboco </t>
  </si>
  <si>
    <t>1.1.4</t>
  </si>
  <si>
    <t>010209</t>
  </si>
  <si>
    <t xml:space="preserve">Demolição de alvenaria </t>
  </si>
  <si>
    <t>m3</t>
  </si>
  <si>
    <t>1.1.5</t>
  </si>
  <si>
    <t>010214</t>
  </si>
  <si>
    <t xml:space="preserve">Retirada de portas e janelas de madeira, inclusive batentes </t>
  </si>
  <si>
    <t xml:space="preserve">m2 </t>
  </si>
  <si>
    <t>1.1.6</t>
  </si>
  <si>
    <t>010215</t>
  </si>
  <si>
    <t xml:space="preserve">Retirada de esquadrias metálicas </t>
  </si>
  <si>
    <t>1.1.7</t>
  </si>
  <si>
    <t>010219</t>
  </si>
  <si>
    <t xml:space="preserve">Demolição manual de concreto armado (EMOP 05.001.033) </t>
  </si>
  <si>
    <t xml:space="preserve">m3 </t>
  </si>
  <si>
    <t>1.1.8</t>
  </si>
  <si>
    <t>010220</t>
  </si>
  <si>
    <t xml:space="preserve">Demolição de piso cimentado, exclusive lastro de concreto </t>
  </si>
  <si>
    <t>1.1.9</t>
  </si>
  <si>
    <t>010223</t>
  </si>
  <si>
    <t xml:space="preserve">Retirada de aparelhos sanitários </t>
  </si>
  <si>
    <t xml:space="preserve">und </t>
  </si>
  <si>
    <t>1.1.10</t>
  </si>
  <si>
    <t>010224</t>
  </si>
  <si>
    <t xml:space="preserve">Retirada de grades, gradis, alambrados, cercas e portões  </t>
  </si>
  <si>
    <t>1.1.11</t>
  </si>
  <si>
    <t>010239</t>
  </si>
  <si>
    <t xml:space="preserve">Retirada de divisórias com reaproveitamento </t>
  </si>
  <si>
    <t>1.1.12</t>
  </si>
  <si>
    <t>010240</t>
  </si>
  <si>
    <t xml:space="preserve">Retirada de pontos elétricos (luminárias, interruptores e tomadas) </t>
  </si>
  <si>
    <t>und</t>
  </si>
  <si>
    <t>1.1.13</t>
  </si>
  <si>
    <t>010246</t>
  </si>
  <si>
    <t>Lixamento de parede com pintura antiga PVA para recebimento de nova camada de tinta</t>
  </si>
  <si>
    <t xml:space="preserve"> m2</t>
  </si>
  <si>
    <t>1.1.14</t>
  </si>
  <si>
    <t>010256</t>
  </si>
  <si>
    <t>Remoção de telha ondulada de fibrocimento, inclusive cumeeira</t>
  </si>
  <si>
    <t>1.1.15</t>
  </si>
  <si>
    <t>010271</t>
  </si>
  <si>
    <t xml:space="preserve">Retirada de caixas/quadros elétricos </t>
  </si>
  <si>
    <t>1.1.16</t>
  </si>
  <si>
    <t>010325</t>
  </si>
  <si>
    <t xml:space="preserve">Demolição de estrutura de madeira para telhado </t>
  </si>
  <si>
    <t>1.1.17</t>
  </si>
  <si>
    <t>010333</t>
  </si>
  <si>
    <t xml:space="preserve">Retirada de piso de borracha </t>
  </si>
  <si>
    <t>SUB-ITEM 01</t>
  </si>
  <si>
    <t xml:space="preserve">02 </t>
  </si>
  <si>
    <t>INSTALAÇÃO DO CANTEIRO DE OBRAS</t>
  </si>
  <si>
    <t>2.1</t>
  </si>
  <si>
    <t>0203</t>
  </si>
  <si>
    <t>TAPUMES, BARRACÕES E COBERTURAS</t>
  </si>
  <si>
    <t>2.1.1</t>
  </si>
  <si>
    <t>020305</t>
  </si>
  <si>
    <t xml:space="preserve">Placa de obra nas dimensões de 2.0 x 4.0 m, padrão IOPES </t>
  </si>
  <si>
    <t>2.1.2</t>
  </si>
  <si>
    <t>020339</t>
  </si>
  <si>
    <t xml:space="preserve">Locação de andaime metálico para trabalho em fachada de edifíco (aluguel de 1 m² por 1 mês) inclusive frete, montagem e desmontagem </t>
  </si>
  <si>
    <t>2.1.3</t>
  </si>
  <si>
    <t>020350</t>
  </si>
  <si>
    <t>Tapume Telha Metálica Ondulada em aço galvalume 0,50mm Branca h=2,20m, incl. montagem estr. mad. 8"x8", c/adesivo "DER-ES" 60x60cm a cada 10m, incl. faixas pint. esmalte sint. cores azul c/ h=30cm e rosa c/ h=10cm (Reaproveitamento 2x)</t>
  </si>
  <si>
    <t xml:space="preserve">m </t>
  </si>
  <si>
    <t>SUB-ITEM 02</t>
  </si>
  <si>
    <t>03</t>
  </si>
  <si>
    <t>MOVIMENTO DE TERRA</t>
  </si>
  <si>
    <t>3.1</t>
  </si>
  <si>
    <t>0301</t>
  </si>
  <si>
    <t>ESCAVAÇÕES</t>
  </si>
  <si>
    <t>3.1.1</t>
  </si>
  <si>
    <t>030101</t>
  </si>
  <si>
    <t xml:space="preserve">Escavação manual em material de 1a. categoria, até 1.50 m de profundidade </t>
  </si>
  <si>
    <t>3.2</t>
  </si>
  <si>
    <t>0302</t>
  </si>
  <si>
    <t>REATERRO E COMPACTAÇÃO</t>
  </si>
  <si>
    <t>3.2.1</t>
  </si>
  <si>
    <t>030201</t>
  </si>
  <si>
    <t xml:space="preserve">Reaterro apiloado de cavas de fundação, em camadas de 20 cm </t>
  </si>
  <si>
    <t>3.3</t>
  </si>
  <si>
    <t>0303</t>
  </si>
  <si>
    <t>TRANSPORTES</t>
  </si>
  <si>
    <t>3.3.1</t>
  </si>
  <si>
    <t>030304</t>
  </si>
  <si>
    <t>Índice de preço para remoção de entulho decorrente da execução de obras (Classe A CONAMA - NBR 10.004 - Classe II-B), incluindo aluguel da caçamba, carga, transporte e descarga em área licenciada</t>
  </si>
  <si>
    <t>SUB-ITEM 03</t>
  </si>
  <si>
    <t>04</t>
  </si>
  <si>
    <t>ESTRUTURAS</t>
  </si>
  <si>
    <t>4.1</t>
  </si>
  <si>
    <t>0402</t>
  </si>
  <si>
    <t>INFRA-ESTRUTURA (FUNDAÇÃO)</t>
  </si>
  <si>
    <t>4.1.1</t>
  </si>
  <si>
    <t>040231</t>
  </si>
  <si>
    <t>Fornecimento, preparo e aplicação de concreto magro com consumo mínimo de cimento de 250 kg/m3 (brita 1 e 2) - (5% de perdas já incluído no custo)</t>
  </si>
  <si>
    <t>4.1.2</t>
  </si>
  <si>
    <t>040238</t>
  </si>
  <si>
    <t>Fôrma de chapa compensada resinada 12mm, levando-se em conta a utilização 3 vezes (incluido o material, corte, montagem, escoramento e desfôrma)</t>
  </si>
  <si>
    <t>4.1.3</t>
  </si>
  <si>
    <t>040243</t>
  </si>
  <si>
    <t xml:space="preserve">Fornecimento, dobragem e colocação em fôrma, de armadura CA-50 A média, diâmetro de 6.3 a 10.0 mm </t>
  </si>
  <si>
    <t xml:space="preserve">kg </t>
  </si>
  <si>
    <t>4.1.4</t>
  </si>
  <si>
    <t>040246</t>
  </si>
  <si>
    <t>Fornecimento, dobragem e colocação em fôrma, de armadura CA-60 B fina, diâmetro de 4.0 a 7.0mm</t>
  </si>
  <si>
    <t xml:space="preserve"> kg </t>
  </si>
  <si>
    <t>4.1.5</t>
  </si>
  <si>
    <t>040253</t>
  </si>
  <si>
    <t>Fornecimento e aplicação de concreto USINADO Fck=30 MPa - considerando lançamento MANUAL para INFRA-ESTRUTURA (5% de perdas já incluído no custo)</t>
  </si>
  <si>
    <t>4.2</t>
  </si>
  <si>
    <t xml:space="preserve">0403 </t>
  </si>
  <si>
    <t>SUPER-ESTRUTURA</t>
  </si>
  <si>
    <t>4.2.1</t>
  </si>
  <si>
    <t>040328</t>
  </si>
  <si>
    <t>4.2.2</t>
  </si>
  <si>
    <t>040331</t>
  </si>
  <si>
    <t>Fornecimento e aplicação de concreto USINADO Fck=30 MPa - considerando BOMBEAMENTO (5% de perdas já incluído no custo) (6% de taxa p/ concr. bombeavel)</t>
  </si>
  <si>
    <t>4.2.3</t>
  </si>
  <si>
    <t>040333</t>
  </si>
  <si>
    <t>4.2.4</t>
  </si>
  <si>
    <t>040337</t>
  </si>
  <si>
    <t>Fôrma em chapa de madeira compensada plastificada 12mm para estrutura em geral, 5 reaproveitamentos, reforçada com sarrafos de madeira 2.5x10cm (incl material, corte, montagem, escoras em eucalipto e desforma)</t>
  </si>
  <si>
    <t>4.3</t>
  </si>
  <si>
    <t>0408</t>
  </si>
  <si>
    <t>RECUPERAÇÃO DE ESTRUTURAS</t>
  </si>
  <si>
    <t>4.3.1</t>
  </si>
  <si>
    <t>040806</t>
  </si>
  <si>
    <t>Limpeza de aço com lixamento e escovamento com escova de aço, até a completa remoção de partículas soltas, materiais indesejáveis e corrosão</t>
  </si>
  <si>
    <t>4.3.2</t>
  </si>
  <si>
    <t>040807</t>
  </si>
  <si>
    <t xml:space="preserve">Aplicação de Sika Top 108 Armatec ou equivalente, nas ferragens a serem recuperadas </t>
  </si>
  <si>
    <t>SUB-ITEM 04</t>
  </si>
  <si>
    <t>05</t>
  </si>
  <si>
    <t>PAREDES E PAINÉIS</t>
  </si>
  <si>
    <t>5.1</t>
  </si>
  <si>
    <t>0506</t>
  </si>
  <si>
    <t>ALVENARIA DE VEDAÇÃO EMPREGANDO ARGAMASSA DE CIMENTO, CAL E AREIA</t>
  </si>
  <si>
    <t>5.1.1</t>
  </si>
  <si>
    <t xml:space="preserve">050605 </t>
  </si>
  <si>
    <t>Alvenaria de blocos cerâmicos 10 furos 10x20x20cm, assentados c/argamassa de cimento, cal hidratada CH1 e areia traço 1:0,5:8, juntas 12mm e esp. das paredes s/revestimento, 10cm (bloco comprado na praça de Vitória, posto obra)</t>
  </si>
  <si>
    <t>SUB-ITEM 05</t>
  </si>
  <si>
    <t>07</t>
  </si>
  <si>
    <t>ESQUADRIAS METÁLICAS</t>
  </si>
  <si>
    <t>6.1</t>
  </si>
  <si>
    <t>0711</t>
  </si>
  <si>
    <t>GRADES E PORTÕES</t>
  </si>
  <si>
    <t>6.1.1</t>
  </si>
  <si>
    <t xml:space="preserve">Portão de ferro de correr em barra chata, inclusive chumbamento </t>
  </si>
  <si>
    <t>6.2</t>
  </si>
  <si>
    <t>0717</t>
  </si>
  <si>
    <t>ESQUADRIAS METÁLICAS (M2)</t>
  </si>
  <si>
    <t>6.2.1</t>
  </si>
  <si>
    <t>071702</t>
  </si>
  <si>
    <t>Báscula para vidro em alumínio anodizado cor natural, linha 25, completa, com tranca, caixilho, alizar e contramarco, exclusive vidro</t>
  </si>
  <si>
    <t>6.2.2</t>
  </si>
  <si>
    <t>071704</t>
  </si>
  <si>
    <t>Porta de abrir tipo veneziana em alumínio anodizado, linha 25, completa, incl. puxador com tranca, caixilho, alizar e contramarco</t>
  </si>
  <si>
    <t>SUB-ITEM 06</t>
  </si>
  <si>
    <t>08</t>
  </si>
  <si>
    <t>VIDROS E ESPELHOS</t>
  </si>
  <si>
    <t>7.1</t>
  </si>
  <si>
    <t>0802</t>
  </si>
  <si>
    <t>ESPELHOS</t>
  </si>
  <si>
    <t>7.1.1</t>
  </si>
  <si>
    <t>080201</t>
  </si>
  <si>
    <t>Espelho para banheiros espessura 4 mm, incluindo chapa compensada 10 mm, moldura de alumínio em
perfil L 3/4", fixado com parafusos cromados</t>
  </si>
  <si>
    <t>SUB-ITEM 07</t>
  </si>
  <si>
    <t>09</t>
  </si>
  <si>
    <t>COBERTURA</t>
  </si>
  <si>
    <t>8.1</t>
  </si>
  <si>
    <t>0901</t>
  </si>
  <si>
    <t>ESTRUTURA PARA TELHADO</t>
  </si>
  <si>
    <t>8.1.1</t>
  </si>
  <si>
    <t>090102</t>
  </si>
  <si>
    <t>Estrutura de madeira de lei tipo Paraju, peroba mica, angelim pedra ou equivalente para telhado de telha ondulada de fibrocimento esp. 6mm, com pontaletes e caibros, inclusive tratamento com cupinicida, exclusive telhas</t>
  </si>
  <si>
    <t>8.2</t>
  </si>
  <si>
    <t>0902</t>
  </si>
  <si>
    <t>TELHADO</t>
  </si>
  <si>
    <t>8.2.1</t>
  </si>
  <si>
    <t>090202</t>
  </si>
  <si>
    <t xml:space="preserve">Cobertura nova de telhas onduladas de fibrocimento 6.0mm, inclusive cumeeiras e acessórios de fixação </t>
  </si>
  <si>
    <t>8.3</t>
  </si>
  <si>
    <t>0903</t>
  </si>
  <si>
    <t>RUFOS E CALHAS</t>
  </si>
  <si>
    <t>8.3.1</t>
  </si>
  <si>
    <t>090312</t>
  </si>
  <si>
    <t xml:space="preserve">Calha em chapa galvanizada com largura de 40 cm </t>
  </si>
  <si>
    <t>SUB-ITEM 08</t>
  </si>
  <si>
    <t>IMPERMEABILIZAÇÃO</t>
  </si>
  <si>
    <t>9.1</t>
  </si>
  <si>
    <t>IMPERMEABILIZAÇÃO CALHAS, LAJES DESCOBERTAS, BALDRAMES, PAREDES E JARDINEIRAS</t>
  </si>
  <si>
    <t>9.1.1</t>
  </si>
  <si>
    <t>Pintura impermeabilizante com igolflex ou equivalente a 3 demãos</t>
  </si>
  <si>
    <t>SUB-ITEM 09</t>
  </si>
  <si>
    <t>REVESTIMENTO DE PAREDES</t>
  </si>
  <si>
    <t>10.1</t>
  </si>
  <si>
    <t>REVESTIMENTO COM ARGAMASSA</t>
  </si>
  <si>
    <t>10.1.1</t>
  </si>
  <si>
    <t>Chapisco de argamassa de cimento e areia média ou grossa lavada, no traço 1:3, espessura 5 mm</t>
  </si>
  <si>
    <t>10.2</t>
  </si>
  <si>
    <t>REVESTIMENTO EMPREGANDO ARGAMASSA DE CIMENTO, CAL E AREIA</t>
  </si>
  <si>
    <t>10.2.1</t>
  </si>
  <si>
    <t>Reboco tipo paulista de argamassa de cimento, cal hidratada CH1 e areia média ou grossa lavada no traço 1:0.5:6, espessura 25 mm</t>
  </si>
  <si>
    <t>SUB-ITEM 10</t>
  </si>
  <si>
    <t>PISOS INTERNOS E EXTERNOS</t>
  </si>
  <si>
    <t>11.1</t>
  </si>
  <si>
    <t>ACABAMENTOS</t>
  </si>
  <si>
    <t>11.1.1</t>
  </si>
  <si>
    <t xml:space="preserve">Piso de cimentado camurçado executado com argamassa de cimento e areia no traço 1:3, esp. 3.0cm </t>
  </si>
  <si>
    <t>11.1.2</t>
  </si>
  <si>
    <t>Porcelanato polido, acabamento acetinado, dim. 60x60cm, ref. de cor CIMENTO CINZA BOLD Potobello/equiv, utilizando dupla colagem de argamassa colante para porcelanato tipo ACIII e rejunte 1mm para porcelanato</t>
  </si>
  <si>
    <t>SUB-ITEM 11</t>
  </si>
  <si>
    <t>INSTALAÇÕES HIDRO-SANITÁRIAS</t>
  </si>
  <si>
    <t>12.1</t>
  </si>
  <si>
    <t>PONTOS HIDRO-SANITÁRIOS</t>
  </si>
  <si>
    <t>12.1.1</t>
  </si>
  <si>
    <t>Ponto de água fria (lavatório, tanque, pia de cozinha, etc...)</t>
  </si>
  <si>
    <t>pt</t>
  </si>
  <si>
    <t>12.1.2</t>
  </si>
  <si>
    <t xml:space="preserve">Ponto para esgoto primário (vaso sanitário) </t>
  </si>
  <si>
    <t>12.1.3</t>
  </si>
  <si>
    <t xml:space="preserve">Ponto para esgoto secundário (pia, lavatório, mictório, tanque, bidê, etc...) </t>
  </si>
  <si>
    <t>12.1.4</t>
  </si>
  <si>
    <t xml:space="preserve">Ponto para caixa sifonada, inclusive caixa sifonada pvc 150x150x50mm com grelha em pvc </t>
  </si>
  <si>
    <t xml:space="preserve">pt </t>
  </si>
  <si>
    <t>12.2</t>
  </si>
  <si>
    <t>CAIXAS DE PVC / EQUIPAMENTOS</t>
  </si>
  <si>
    <t>12.2.1</t>
  </si>
  <si>
    <t>Sifão em PVC para pia de cozinha ou lavatório 1x11/2"</t>
  </si>
  <si>
    <t xml:space="preserve"> und </t>
  </si>
  <si>
    <t>SUB-ITEM 12</t>
  </si>
  <si>
    <t>INSTALAÇÕES ELÉTRICAS</t>
  </si>
  <si>
    <t>13.1</t>
  </si>
  <si>
    <t>QUADRO DE DISTRIBUIÇÃO</t>
  </si>
  <si>
    <t>13.1.1</t>
  </si>
  <si>
    <t>Quadro de distribuição de energia, de embutir, com 18 divisões modulares, com barramento</t>
  </si>
  <si>
    <t>13.2</t>
  </si>
  <si>
    <t>ENVELOPAMENTO DE ELETRODUTOS</t>
  </si>
  <si>
    <t>13.2.1</t>
  </si>
  <si>
    <t>Envelopamento de concreto simples com consumo mínimo de cimento de 250kg/m3, inclusive escavação
para profundidade mínima do eletroduto de 50 cm, de 25 x 25 cm, para 1 eletroduto</t>
  </si>
  <si>
    <t>m</t>
  </si>
  <si>
    <t>13.3</t>
  </si>
  <si>
    <t>INSTALAÇÕES APARENTES</t>
  </si>
  <si>
    <t>13.3.1</t>
  </si>
  <si>
    <t xml:space="preserve">Eletroduto aparente de PVC rígido roscável diâmetro 1", inclusive abraçadeira de fixação </t>
  </si>
  <si>
    <t>13.4</t>
  </si>
  <si>
    <t>COMPOSIÇÕES INTERMEDIÁRIAS P/ ELETRICA</t>
  </si>
  <si>
    <t>13.4.1</t>
  </si>
  <si>
    <t xml:space="preserve">Fita isolante em rolo de 19mm x 20 m, número 33 Scoth ou equivalente </t>
  </si>
  <si>
    <t>13.5</t>
  </si>
  <si>
    <t>ELETRODUTOS E CONEXÕES</t>
  </si>
  <si>
    <t>13.5.1</t>
  </si>
  <si>
    <t xml:space="preserve">Eletroduto flexível corrugado 3/4" , marca de referência TIGRE </t>
  </si>
  <si>
    <t>13.6</t>
  </si>
  <si>
    <t>CHAVES, FUSIVEIS E DISJUNTORES</t>
  </si>
  <si>
    <t>13.6.1</t>
  </si>
  <si>
    <t>COMP-01</t>
  </si>
  <si>
    <t>Disjuntor bipolar tipo din, corrente nominal de 10A - fornecimento e instalação</t>
  </si>
  <si>
    <t>13.6.2</t>
  </si>
  <si>
    <t>COMP-02</t>
  </si>
  <si>
    <t>Disjuntor monopolar tipo din, corrente nominal de 10A - fornecimento e instalação</t>
  </si>
  <si>
    <t>13.6.3</t>
  </si>
  <si>
    <t>Mini-Disjuntor monopolar 20 A, curva C - 5KA 220/127VCA (NBR IEC 60947-2), Ref. Siemens, GE,Schneider ou equivalente</t>
  </si>
  <si>
    <t>13.6.4</t>
  </si>
  <si>
    <t>Mini-Disjuntor bipolar 63 A, curva C - 5KA 220/127VCA (NBR IEC 60947-2), Ref. Siemens, GE, Schneider
ou equivalente</t>
  </si>
  <si>
    <t>13.6.5</t>
  </si>
  <si>
    <t>Interruptor Diferencial DR 16A a 25A, 30mA, 2 módulos</t>
  </si>
  <si>
    <t>13.7</t>
  </si>
  <si>
    <t>FIOS E CABOS</t>
  </si>
  <si>
    <t>13.7.1</t>
  </si>
  <si>
    <t xml:space="preserve">Fio de cobre termoplástico, com isolamento para 750V, seção de 1.5 mm2 </t>
  </si>
  <si>
    <t>13.7.2</t>
  </si>
  <si>
    <t xml:space="preserve"> Fio de cobre termoplástico, com isolamento para 750V, seção de 2.5 mm2 </t>
  </si>
  <si>
    <t>13.7.3</t>
  </si>
  <si>
    <t xml:space="preserve"> Fio ou cabo de cobre termoplástico, com isolamento para 750V, seção de 4.0 mm2 </t>
  </si>
  <si>
    <t>13.7.4</t>
  </si>
  <si>
    <t xml:space="preserve"> Fio ou cabo de cobre termoplástico, com isolamento para 750V, seção de 10.0 mm2 </t>
  </si>
  <si>
    <t>13.7.5</t>
  </si>
  <si>
    <t xml:space="preserve"> Fio ou cabo de cobre termoplástico, com isolamento para 750V, seção de 16.0 mm2 </t>
  </si>
  <si>
    <t>13.8</t>
  </si>
  <si>
    <t>PADRAO DE ENTRADA DE ENERGIA - NORTEC-01 - ESCELSA</t>
  </si>
  <si>
    <t>13.8.1</t>
  </si>
  <si>
    <t xml:space="preserve"> Padrão de entrada de energia elétrica, monofásico, entrada aérea, a 2 fios, carga instalada em muro de
3500 até 9000W - 220/127V</t>
  </si>
  <si>
    <t>13.9</t>
  </si>
  <si>
    <t>PONTOS ELETRICOS REVISAO NR-10</t>
  </si>
  <si>
    <t>13.9.1</t>
  </si>
  <si>
    <t>Ponto padrão de luz no teto - considerando eletroduto PVC rígido de 3/4" inclusive conexões (4.5m), fio
isolado PVC de 2.5mm2 (16.2m) e caixa PVC 4x4" (1 und)</t>
  </si>
  <si>
    <t>13.9.2</t>
  </si>
  <si>
    <t>Ponto padrão de tomada 2 pólos mais terra - considerando eletroduto PVC rígido de 3/4" inclusive conexões
(5.0m), fio isolado PVC de 2.5mm2 (16.5m) e caixa pvc 4x2" (1 und)</t>
  </si>
  <si>
    <t>13.9.3</t>
  </si>
  <si>
    <t>Ponto padrão de interruptor de 1 tecla simples e 1 tomada dois pólos mais terra 10A/250V - considerando
eletroduto PVC rígido de 3/4" inclusive conexões (4.5m), fio isolado PVC de 2.5mm2 (19.4m) e caixa PVC
4x2" (1 und)</t>
  </si>
  <si>
    <t>13.9.4</t>
  </si>
  <si>
    <t>Ponto padrão de interruptor de 1 tecla intermediário - considerando eletroduto PVC rígido de 3/4" inclusive
conexões (3.3m), fio isolado PVC de 2.5mm2 (15.8m) e caixa PVC 4x2" (1 und)</t>
  </si>
  <si>
    <t>SUB-ITEM 13</t>
  </si>
  <si>
    <t>APARELHOS HIDRO-SANITÁRIOS</t>
  </si>
  <si>
    <t>14.1</t>
  </si>
  <si>
    <t>LOUÇAS</t>
  </si>
  <si>
    <t>14.1.1</t>
  </si>
  <si>
    <t>Bacia sifonada de louça branca sem abertura frontal para portadores de necessidades especiais, Vogue Plus Conforto - Linha Conforto, mod P510, incl. assento poliester, ref.AP51,marca de ref. Deca ou equivalente, sem abertura frontal</t>
  </si>
  <si>
    <t>14.1.2</t>
  </si>
  <si>
    <t>Lavátorio de canto Coleção Master - ref. L76 marca de ref. Deca ou equivalente, inclusive válvula, sifão e engates cromados, exclusive torneira,para PNE</t>
  </si>
  <si>
    <t>14.2</t>
  </si>
  <si>
    <t>TORNEIRAS, REGISTROS, VÁLVULAS E METAIS</t>
  </si>
  <si>
    <t>14.2.1</t>
  </si>
  <si>
    <t>Torneira pressão cromada diâm. 1/2" para lavatório, marcas de referência Fabrimar, Deca ou Docol</t>
  </si>
  <si>
    <t>SUB-ITEM 14</t>
  </si>
  <si>
    <t>APARELHOS ELÉTRICOS</t>
  </si>
  <si>
    <t>15.1</t>
  </si>
  <si>
    <t>INTERRUPTORES E TOMADAS</t>
  </si>
  <si>
    <t>15.1.1</t>
  </si>
  <si>
    <t xml:space="preserve">Tomada padrão brasileiro linha branca, NBR 14136 2 polos + terra 10A/250V, com placa 4x2" </t>
  </si>
  <si>
    <t>15.1.2</t>
  </si>
  <si>
    <t xml:space="preserve">Interruptor de uma tecla simples 10A/250V, com placa 4x2" </t>
  </si>
  <si>
    <t>15.1.3</t>
  </si>
  <si>
    <t>Interruptor de uma tecla simples 10A/250V e uma tomada 3 polos 10A/250V, padrão brasileiro, NBR 14136,
linha branca, com placa 4x2"</t>
  </si>
  <si>
    <t>15.2</t>
  </si>
  <si>
    <t>LUMINARIAS PARA LÂMPADAS LED</t>
  </si>
  <si>
    <t>15.2.1</t>
  </si>
  <si>
    <t>Luminaria sobrepor compl., corpo ch. aço pintada branca, refletor, aletas parabólicas alum.alta pureza e refletância inclusive 2 lâmpadas LED T8 9W temp. de cor 5000k c/ 60cm - Ref. CS216AL-N - AMES, 663 - LUMAVI OU EQUIVALENTE</t>
  </si>
  <si>
    <t>15.2.2</t>
  </si>
  <si>
    <t>COMP-03</t>
  </si>
  <si>
    <t>Refletor Led Holofote 100w IP66 Branco Frio Resistente Água</t>
  </si>
  <si>
    <t>SUB-ITEM 15</t>
  </si>
  <si>
    <t>PINTURA</t>
  </si>
  <si>
    <t>16.1</t>
  </si>
  <si>
    <t>SOBRE PAREDES E FORROS</t>
  </si>
  <si>
    <t>16.1.1</t>
  </si>
  <si>
    <t>Pintura com tinta acrílica, marcas de referência Suvinil, Coral e Metalatex, inclusive selador acrílico, em paredes e forros, a duas demãos</t>
  </si>
  <si>
    <t>16.2</t>
  </si>
  <si>
    <t>SOBRE MADEIRA</t>
  </si>
  <si>
    <t>16.2.1</t>
  </si>
  <si>
    <t>Pintura com verniz brilhante, linha Premium, marcas de referência Suvinil, Coral ou Metalatex, em madeira, a três demãos</t>
  </si>
  <si>
    <t>16.3</t>
  </si>
  <si>
    <t>SOBRE METAL</t>
  </si>
  <si>
    <t>16.3.1</t>
  </si>
  <si>
    <t>Pintura com tinta esmalte sintético, marcas de referência Suvinil, Coral ou Metalatex, a duas demãos, inclusive fundo anticorrosivo a uma demão, em metal</t>
  </si>
  <si>
    <t>16.4</t>
  </si>
  <si>
    <t>SOBRE PISOS</t>
  </si>
  <si>
    <t>16.4.1</t>
  </si>
  <si>
    <t>Pintura à base de epoxi, marcas de referência Suvinil, Coral ou Metalatex, em faixas com largura de 5 cm, para demarcação de quadra de esportes</t>
  </si>
  <si>
    <t>16.4.2</t>
  </si>
  <si>
    <t>Aplicação de tinta epóxi de alta espessura semibrilhante sobre piso de concreto a três demãos, inclusive selador epóxi a uma demão - Ref. Intergard 2005 e 2001 - Internacional ou equivalente</t>
  </si>
  <si>
    <t>SUB-ITEM 16</t>
  </si>
  <si>
    <t>SERVIÇOS COMPLEMENTARES EXTERNOS</t>
  </si>
  <si>
    <t>17.1</t>
  </si>
  <si>
    <t>TRATAMENTO, CONSERVAÇÃO E LIMPEZA</t>
  </si>
  <si>
    <t>17.1.1</t>
  </si>
  <si>
    <t xml:space="preserve">Limpeza geral de obras (quadras, praças e jardins) </t>
  </si>
  <si>
    <t>17.2</t>
  </si>
  <si>
    <t xml:space="preserve">QUADRA DE ESPORTES </t>
  </si>
  <si>
    <t>17.2.1</t>
  </si>
  <si>
    <t>Conjunto de poste de voleibol de tubo de ferro galvanizado 3"e parte móvel de 21/2", inclusive carretilha, furo com tubo de ferro galvanizado de 31/2"e tampão de furo</t>
  </si>
  <si>
    <t>17.2.2</t>
  </si>
  <si>
    <t>Forn e assent de telhas de liga de alumínio e zinco (galvalume), ondulada, esp. mínima 0.43mm, alt. mínima de onda 17mm, sobrep. lateral de uma onda e longit. 200mm c/ mínimo de 3 apoios, assent. c/ utiliz. de fitas anti-corrosiva</t>
  </si>
  <si>
    <t>SUB-ITEM 17</t>
  </si>
  <si>
    <t>SERVIÇOS COMPLEMENTARES INTERNOS</t>
  </si>
  <si>
    <t>18.1</t>
  </si>
  <si>
    <t>DIVERSOS INTERNOS</t>
  </si>
  <si>
    <t>18.1.1</t>
  </si>
  <si>
    <t>Corrimão de tubo de ferro galvanizado diâmetro 3" com chumbadores a cada 1.50m, inclusive pintura a óleo ou esmalte</t>
  </si>
  <si>
    <t>SUB-ITEM 18</t>
  </si>
  <si>
    <t>PREFEITURA MUNICIPAL DE JOÃO NEIVA
SECRETARIA MUNICIPAL DE DESENVOLVIMENTO URBANO, HABITAÇÃO E OBRAS PÚBLICAS</t>
  </si>
  <si>
    <r>
      <t xml:space="preserve">LOCAL: </t>
    </r>
    <r>
      <rPr>
        <sz val="11"/>
        <color indexed="10"/>
        <rFont val="Arial"/>
      </rPr>
      <t xml:space="preserve"> </t>
    </r>
    <r>
      <rPr>
        <sz val="11"/>
        <color theme="1"/>
        <rFont val="Arial"/>
      </rPr>
      <t>JOÃO NEIVA/ES</t>
    </r>
  </si>
  <si>
    <t>MEMÓRIA DE CÁLCULO</t>
  </si>
  <si>
    <t>Qnt</t>
  </si>
  <si>
    <t>C (m)</t>
  </si>
  <si>
    <t>L (m)</t>
  </si>
  <si>
    <t>H (m)</t>
  </si>
  <si>
    <t>A(m2)</t>
  </si>
  <si>
    <t>V(m3)</t>
  </si>
  <si>
    <t>QUANT.  DO SERVIÇO</t>
  </si>
  <si>
    <t xml:space="preserve">Banheiro feminino </t>
  </si>
  <si>
    <t xml:space="preserve">Banheiro masculino </t>
  </si>
  <si>
    <t>Total</t>
  </si>
  <si>
    <t>Vãos a descontar (m²)</t>
  </si>
  <si>
    <t>Banheiro Feminino</t>
  </si>
  <si>
    <t>Banheiro Masculino</t>
  </si>
  <si>
    <t>Cozinha</t>
  </si>
  <si>
    <t xml:space="preserve">Parede interna muro fundos (lado escola) </t>
  </si>
  <si>
    <t>Parede externa muro fundos (lado escola)</t>
  </si>
  <si>
    <t>Parede externa muro fundos (lado escola/rampa bilheteria)</t>
  </si>
  <si>
    <t>Parte da parede externa da cozinha e banheiros</t>
  </si>
  <si>
    <t>Vãos a descontar (m³)</t>
  </si>
  <si>
    <t>Banheiro Feminino P.N.E</t>
  </si>
  <si>
    <t>Parede sanitário</t>
  </si>
  <si>
    <t>Vão da porta</t>
  </si>
  <si>
    <t>Vão da báscula a aumentar</t>
  </si>
  <si>
    <t>Banheiro Masculino P.N.E</t>
  </si>
  <si>
    <t>Vão da porta para o Depósito</t>
  </si>
  <si>
    <t>Parede divisa vizinho</t>
  </si>
  <si>
    <t xml:space="preserve">Viga parede divisa </t>
  </si>
  <si>
    <t>Piso da quadra para execução das sapatas de divisa</t>
  </si>
  <si>
    <t>Piso da quadra para execução da viga de divisa</t>
  </si>
  <si>
    <t>Rampa Entrada quadra P.N.E</t>
  </si>
  <si>
    <t>Rampa Bilheteria P.N.E</t>
  </si>
  <si>
    <t>Banheiro Feminino (2 vasos e 1 lavatório)</t>
  </si>
  <si>
    <t>Banheiro Masculino (2 mictórios, 1 vaso e 1 lavatório)</t>
  </si>
  <si>
    <t>Portão de entrada da quadra</t>
  </si>
  <si>
    <t>Portão de entrada da quadra (lado escola)</t>
  </si>
  <si>
    <t>Retirada do alambrado (lado vizinho)</t>
  </si>
  <si>
    <t>Refletores</t>
  </si>
  <si>
    <t>Tomadas quadra</t>
  </si>
  <si>
    <t>Tomadas e interruptores (banheiros e cozinha)</t>
  </si>
  <si>
    <t>Luminárias (Cozinha e banheiros)</t>
  </si>
  <si>
    <t>Parede interna muro lateral (lado rua)</t>
  </si>
  <si>
    <t>Parede interna muro rampa entrada da quadra (lado rua)</t>
  </si>
  <si>
    <t>Parede externa muro lateral (lado rua)</t>
  </si>
  <si>
    <t>Pilares (perímetro)</t>
  </si>
  <si>
    <t>Parede interna muro (próximo ao banheiro feminino)</t>
  </si>
  <si>
    <t>Parede acima das portas dos banheiros e cozinha</t>
  </si>
  <si>
    <t>Paredes externas Bilheteria</t>
  </si>
  <si>
    <t>Paredes internas Bilheteria (perímetro)</t>
  </si>
  <si>
    <t>Paredes internas Cozinha (perímetro)</t>
  </si>
  <si>
    <t>Paredes externas banheiros, cozinha e depósito</t>
  </si>
  <si>
    <t>Telhado (Cozinha e banheiros)</t>
  </si>
  <si>
    <t>Quadro de distribuição existente</t>
  </si>
  <si>
    <t>Placa da obra</t>
  </si>
  <si>
    <t>Para serviços internos</t>
  </si>
  <si>
    <t>Para pintura da estrutura do telhado interna</t>
  </si>
  <si>
    <t xml:space="preserve"> </t>
  </si>
  <si>
    <t>Tapume para proteção entrada principal</t>
  </si>
  <si>
    <t>Tapume para proteção entrada pela escola</t>
  </si>
  <si>
    <t xml:space="preserve">Sapatas divisa </t>
  </si>
  <si>
    <t>Viga divisa</t>
  </si>
  <si>
    <t>Escavação</t>
  </si>
  <si>
    <t>Concreto magro</t>
  </si>
  <si>
    <t>Concreto usinado</t>
  </si>
  <si>
    <t>Escavação menos o concreto da infraestrutura</t>
  </si>
  <si>
    <t xml:space="preserve">Demolição manual de concreto armado </t>
  </si>
  <si>
    <t>Sapatas divisa (S2=S4=S6=S8=S10)</t>
  </si>
  <si>
    <t>Vigas baldrames</t>
  </si>
  <si>
    <t>Forma Pilaretes</t>
  </si>
  <si>
    <t>Forma Viga baldrame</t>
  </si>
  <si>
    <t>Qtd de barras</t>
  </si>
  <si>
    <t>Total (m)</t>
  </si>
  <si>
    <t>Massa nominal (kg/m)</t>
  </si>
  <si>
    <t>Barras de Ø 6.3mm</t>
  </si>
  <si>
    <t>Total (kg)</t>
  </si>
  <si>
    <t>N5</t>
  </si>
  <si>
    <t>N6</t>
  </si>
  <si>
    <t>Barras de Ø 8.0mm</t>
  </si>
  <si>
    <t>Viga de fundação (V1)</t>
  </si>
  <si>
    <t>N7</t>
  </si>
  <si>
    <t>N8</t>
  </si>
  <si>
    <t>N9</t>
  </si>
  <si>
    <t>N10</t>
  </si>
  <si>
    <t>N11</t>
  </si>
  <si>
    <t>Barras de Ø 10.0mm</t>
  </si>
  <si>
    <t>Pilaretes (P2 / P4=P6=P8=P10)</t>
  </si>
  <si>
    <t>N12</t>
  </si>
  <si>
    <t>N15</t>
  </si>
  <si>
    <t>Barras de Ø 5.0mm</t>
  </si>
  <si>
    <t>N3</t>
  </si>
  <si>
    <t>N4</t>
  </si>
  <si>
    <t>Viga de topo (V1)</t>
  </si>
  <si>
    <t>Pilares (P2=P4=P6=P8=P10)</t>
  </si>
  <si>
    <t>Pilares existentes a concretar</t>
  </si>
  <si>
    <t>Pilares divisa com o vizinho a ser concretado</t>
  </si>
  <si>
    <t>Pilares divisa com vizinho (perímetro)</t>
  </si>
  <si>
    <t>Parede de divisa com o vizinho</t>
  </si>
  <si>
    <t>Banheiro Masculino P.N.E / Depósito</t>
  </si>
  <si>
    <t>Portão Entrada rampa</t>
  </si>
  <si>
    <t>Portão Entrada pela escola</t>
  </si>
  <si>
    <t xml:space="preserve">Total </t>
  </si>
  <si>
    <t>Banheiro feminino P.N.E</t>
  </si>
  <si>
    <t>Banheiro masculino P.N.E</t>
  </si>
  <si>
    <t>Banheiro feminino P.N.E.</t>
  </si>
  <si>
    <t>Calha (lado vizinho)</t>
  </si>
  <si>
    <t>Calha (lado rua)</t>
  </si>
  <si>
    <t>Pintura da viga baldrame</t>
  </si>
  <si>
    <t>Parede de divisa (parede nova)</t>
  </si>
  <si>
    <t>Parede cozinha e banheiros (externa até altura das portas)</t>
  </si>
  <si>
    <t>Área de chapisco</t>
  </si>
  <si>
    <t>Banheiro feminino P.N.E (paredes)</t>
  </si>
  <si>
    <t>Banheiro masculino P.N.E (paredes)</t>
  </si>
  <si>
    <t>Depósito</t>
  </si>
  <si>
    <t>circuito 6</t>
  </si>
  <si>
    <t>circuito 7</t>
  </si>
  <si>
    <t>circuito 1</t>
  </si>
  <si>
    <t>circuito 2</t>
  </si>
  <si>
    <t>circuito 3</t>
  </si>
  <si>
    <t>circuito 5</t>
  </si>
  <si>
    <t>circuito 4</t>
  </si>
  <si>
    <t xml:space="preserve">Alimentação </t>
  </si>
  <si>
    <t>Quadra</t>
  </si>
  <si>
    <t>Bilheteria</t>
  </si>
  <si>
    <t>Área que já havia pintura</t>
  </si>
  <si>
    <t>Paredes internas banheiro feminino (perímetro)</t>
  </si>
  <si>
    <t>Paredes internas banheiro masculino (perímetro)</t>
  </si>
  <si>
    <t>Área de novo chapisco</t>
  </si>
  <si>
    <t>Coeficiente utilizado</t>
  </si>
  <si>
    <t>Porta depósito</t>
  </si>
  <si>
    <t>Porta bilheteria</t>
  </si>
  <si>
    <t>Coeficiente para pintura</t>
  </si>
  <si>
    <t>Área do telhado (pintura da estrutura metálica em treliças)</t>
  </si>
  <si>
    <t>Pintura da trave</t>
  </si>
  <si>
    <t>Pilares lado rua</t>
  </si>
  <si>
    <t>Pilares lado vizinho</t>
  </si>
  <si>
    <t>Alambrado (lado escola)</t>
  </si>
  <si>
    <t>Alambrado (lado rua)</t>
  </si>
  <si>
    <t>Alambrado acima do muro (lado banheiros e cozinha)</t>
  </si>
  <si>
    <t>Alambrado (lado banheiros e cozinha)</t>
  </si>
  <si>
    <t>Grade Cozinha</t>
  </si>
  <si>
    <t>Portão Cozinha</t>
  </si>
  <si>
    <t>Grade Bilheteria</t>
  </si>
  <si>
    <t>Demarcação Quadra</t>
  </si>
  <si>
    <t>Area total</t>
  </si>
  <si>
    <t>Fechamento Lateral</t>
  </si>
  <si>
    <t>Rampa entrada</t>
  </si>
  <si>
    <t>Rampa bilheteria</t>
  </si>
  <si>
    <t>COMPOSIÇÃO ANALÍTICA DE PREÇO UNITÁRIO</t>
  </si>
  <si>
    <t>Data-base</t>
  </si>
  <si>
    <t>UND: und</t>
  </si>
  <si>
    <t>SERVIÇO: DISJUNTOR BIPOLAR TIPO DIN, CORRENTE NOMINAL DE 10A - FORNECIMENTO E INSTALAÇÃO</t>
  </si>
  <si>
    <t>REFERÊNCIA: SINAPI 93660</t>
  </si>
  <si>
    <t>MÃO-DE-OBRA</t>
  </si>
  <si>
    <t>CÓD.</t>
  </si>
  <si>
    <t>DESCRIÇÃO</t>
  </si>
  <si>
    <t>UND</t>
  </si>
  <si>
    <t>COEF</t>
  </si>
  <si>
    <t>R$ UNIT.</t>
  </si>
  <si>
    <t>R$ PARCIAL</t>
  </si>
  <si>
    <t>SINAPI</t>
  </si>
  <si>
    <t>AUXILIAR DE ELETRICISTA COM ENCARGOS COMPLEMENTARES</t>
  </si>
  <si>
    <t>Encargo: 157,27%</t>
  </si>
  <si>
    <t>h</t>
  </si>
  <si>
    <t>ELETRICISTA COM ENCARGOS COMPLEMENTARES</t>
  </si>
  <si>
    <t>TOTAL A</t>
  </si>
  <si>
    <t>MATERIAIS/ SERVIÇOS</t>
  </si>
  <si>
    <t>TERMINAL A COMPRESSAO EM COBRE ESTANHADO PARA CABO 2,5 MM2, 1 FURO E 1 COMPRESSAO, PARA PARAFUSO DE FIXACAO M5</t>
  </si>
  <si>
    <t>DISJUNTOR TIPO DIN/IEC, BIPOLAR DE 6 ATE 32A</t>
  </si>
  <si>
    <t>TOTAL B</t>
  </si>
  <si>
    <t>EQUIPAMENTOS</t>
  </si>
  <si>
    <t>TOTAL C</t>
  </si>
  <si>
    <t xml:space="preserve"> -   </t>
  </si>
  <si>
    <t>RESUMO</t>
  </si>
  <si>
    <t>TOTAL  A</t>
  </si>
  <si>
    <t>TOTAL  B</t>
  </si>
  <si>
    <t>TOTAL  C</t>
  </si>
  <si>
    <t>PREÇO DE VENDA = TOTAL (A+B+C)</t>
  </si>
  <si>
    <t>SERVIÇO: DISJUNTOR MONOPOLAR TIPO DIN, CORRENTE NOMINAL DE 10A - FORNECIMENTO E INSTALAÇÃO</t>
  </si>
  <si>
    <t>REFERÊNCIA: SINAPI 93653</t>
  </si>
  <si>
    <t>DISJUNTOR TIPO DIN/IEC, MONOPOLAR DE 6  ATE  32A</t>
  </si>
  <si>
    <t>SERVIÇO:  Refletor Led Holofote 100w IP66 Branco Frio Resistente Água</t>
  </si>
  <si>
    <t>REFERÊNCIA: SINAPI 97600</t>
  </si>
  <si>
    <t>COTAÇÃO 1</t>
  </si>
  <si>
    <t>Refletor de Led 100W ip66</t>
  </si>
  <si>
    <t>COTAÇÕES</t>
  </si>
  <si>
    <t>ORÇAMENTISTA: BRUNA PEROVANO SIRTULI E THAÍS BAPTISTA MENELLI</t>
  </si>
  <si>
    <t>NÚMERO</t>
  </si>
  <si>
    <t>ITEM PLANILHA</t>
  </si>
  <si>
    <t>FORNECEDOR 1</t>
  </si>
  <si>
    <t>CONTATO</t>
  </si>
  <si>
    <t>PREÇO</t>
  </si>
  <si>
    <t xml:space="preserve">DATA </t>
  </si>
  <si>
    <t>FORNECEDOR 2</t>
  </si>
  <si>
    <t>DATA</t>
  </si>
  <si>
    <t>FORNECEDOR 3</t>
  </si>
  <si>
    <t>MÉDIA</t>
  </si>
  <si>
    <t>OBSERVAÇÕES</t>
  </si>
  <si>
    <t>https://www.iluminim.com.br/refletor-holofote-microled-100w-branco-frio?utm_source=Site&amp;utm_medium=GoogleMerchant&amp;utm_campaign=GoogleMerchant&amp;gclid=EAIaIQobChMIrZ6DsPDg9AIVl4aRCh3VaQKOEAQYASABEgKnPfD_BwE</t>
  </si>
  <si>
    <t>Sustenta Led</t>
  </si>
  <si>
    <t>https://www.sustentaled.com.br/refletor-holofote-microled-100w-branco-frio?utm_source=Site&amp;utm_medium=GoogleMerchant&amp;utm_campaign=GoogleMerchant</t>
  </si>
  <si>
    <t>Compra Led</t>
  </si>
  <si>
    <t>https://www.compraled.com.br/refletor-holofote-led-100w-smd-ip66-a-prova-dagua-branco-frio-6000k?utm_source=Site&amp;utm_medium=GoogleMerchant&amp;utm_campaign=GoogleMerchant</t>
  </si>
  <si>
    <t>Não foi considerado frete</t>
  </si>
  <si>
    <t> </t>
  </si>
  <si>
    <t>CRONOGRAMA FÍSICO-FINANCEIRO</t>
  </si>
  <si>
    <t xml:space="preserve"> VALORES R$ </t>
  </si>
  <si>
    <t>PERÍODO (MESES)</t>
  </si>
  <si>
    <t>Financeiro (R$)</t>
  </si>
  <si>
    <t xml:space="preserve">Físico (%) </t>
  </si>
  <si>
    <t>Total Parcial (%)</t>
  </si>
  <si>
    <t>Total Acumulado (%)</t>
  </si>
  <si>
    <t>Total Financeiro (R$)</t>
  </si>
  <si>
    <t>Total Acumulado (R$)</t>
  </si>
  <si>
    <t>LOCAL: CAVALINHO, JOÃO NEIVA-ES</t>
  </si>
  <si>
    <t>Ilumini</t>
  </si>
  <si>
    <t>COMPOSIÇÃO BDI</t>
  </si>
  <si>
    <t>LOCAL: JOÃO NEIVA-ES</t>
  </si>
  <si>
    <t>Para Serviços</t>
  </si>
  <si>
    <t>GRUPO A</t>
  </si>
  <si>
    <t>Administração Central</t>
  </si>
  <si>
    <t>Total Grupo A</t>
  </si>
  <si>
    <t>GRUPO B</t>
  </si>
  <si>
    <t>Administração Local</t>
  </si>
  <si>
    <t>Total Grupo B</t>
  </si>
  <si>
    <t>GRUPO C</t>
  </si>
  <si>
    <t>Impostos/Tributos</t>
  </si>
  <si>
    <t>ISS</t>
  </si>
  <si>
    <t>PIS</t>
  </si>
  <si>
    <t>COFINS</t>
  </si>
  <si>
    <t>CPRB</t>
  </si>
  <si>
    <t>Total Grupo C</t>
  </si>
  <si>
    <t>GRUPO D</t>
  </si>
  <si>
    <t>Custos Financeiros</t>
  </si>
  <si>
    <t>Total Grupo D</t>
  </si>
  <si>
    <t>GRUPO E</t>
  </si>
  <si>
    <t>Seguros / Garantia</t>
  </si>
  <si>
    <t>Riscos</t>
  </si>
  <si>
    <t>Total Grupo E</t>
  </si>
  <si>
    <t>GRUPO F</t>
  </si>
  <si>
    <t>Lucro</t>
  </si>
  <si>
    <t>Total Grupo F</t>
  </si>
  <si>
    <t>BDI Total</t>
  </si>
  <si>
    <t>OBS:</t>
  </si>
  <si>
    <t>1</t>
  </si>
  <si>
    <t>- A fórmula para cálculo da taxa a ser acrescida aos custos diretos de um</t>
  </si>
  <si>
    <t>empreendimento a título de Benefícios e Despesas Indiretas é:</t>
  </si>
  <si>
    <r>
      <t>BDI = {</t>
    </r>
    <r>
      <rPr>
        <b/>
        <u/>
        <sz val="10"/>
        <rFont val="Arial"/>
        <family val="2"/>
      </rPr>
      <t>(1 + D)*(1 + A+B+E)*(1 + F)}</t>
    </r>
    <r>
      <rPr>
        <b/>
        <sz val="10"/>
        <rFont val="Arial"/>
        <family val="2"/>
      </rPr>
      <t xml:space="preserve">  -1, onde:</t>
    </r>
  </si>
  <si>
    <t>(1 – C)</t>
  </si>
  <si>
    <t>A = ADMINISTRAÇÃO CENTRAL;</t>
  </si>
  <si>
    <t>B = ADMINISTRAÇÃO LOCAL;</t>
  </si>
  <si>
    <t>C = ISS + PIS + COFINS+INSS;</t>
  </si>
  <si>
    <t>D = CUSTOS FINANCEIROS;</t>
  </si>
  <si>
    <t>E = RISCOS, SEGUROS E GARANTIAS;</t>
  </si>
  <si>
    <t>F = BENEFÍCIO/LUCRO;</t>
  </si>
  <si>
    <t>JUSTIFICATIVA MODIFICAÇÃO DOS PERCENTUAIS:</t>
  </si>
  <si>
    <r>
      <t xml:space="preserve">ADMINISTRAÇÃO LOCAL: </t>
    </r>
    <r>
      <rPr>
        <sz val="10"/>
        <rFont val="Arial"/>
        <family val="2"/>
      </rPr>
      <t>FOI CONSIDERADO PERCENTUAL INFERIOR AO DA TABELA DE TAXA DE BDI PADRÃO APLICÁVEL, CONFORME RESOLUÇÃO Nº329, DE 24 DE SETEMBRO DE 2019, VISANDO NÃO ULTRAPASSAR O PERCENTUAL DO BDI TOTAL, CONSIDERANDO QUE HOUVE A NECESSIDADE DE AUMENTO DO ISSQN, DE ACORDO COM A LEI MUNICIPAL N° 3.203, DE 27 DE SETEMBRO DE 2019</t>
    </r>
  </si>
  <si>
    <r>
      <t xml:space="preserve">ISSQN: </t>
    </r>
    <r>
      <rPr>
        <sz val="10"/>
        <rFont val="Arial"/>
        <family val="2"/>
      </rPr>
      <t>FOI CONSIDERADO PERCENTUAL SUPERIOR AO DA TABELA DE TAXA DE BDI PADRÃO APLICÁVEL, CONFORME RESOLUÇÃO Nº329, DE 24 DE SETEMBRO DE 2019, CONSIDERANDO QUE HOUVE A NECESSIDADE DE AUMENTO DO ISSQN, DE ACORDO COM A LEI MUNICIPAL N° 3.203, DE 27 DE SETEMBRO DE 2019.</t>
    </r>
  </si>
  <si>
    <t>2</t>
  </si>
  <si>
    <t>- Discriminação do BDI</t>
  </si>
  <si>
    <t xml:space="preserve">A – Despesas financeiras: </t>
  </si>
  <si>
    <t>são aquelas decorrentes do custo do capital de giro para fazer frente às despesas realizadas antes do efetivo recebimento das devidas receitas. Foi apropriada por estimativa com base na média proposta no ACÓRDÃO Nº 2.622/2013, PLENÁRIO de 25 set.2013.</t>
  </si>
  <si>
    <t xml:space="preserve">B – Administração Central: </t>
  </si>
  <si>
    <t>são as despesas relativas à manutenção de parcela do custo do escritório central da empresa, tais como: instalações do imóvel/sede (custo de propriedade ou de locação de imóveis); aquisição e manutenção dos equipamentos da sede (computadores, ar condicionado, veículos e correlatos); despesas administrativas (secretária, vigilante, auxiliar de escritório, contínuo, assessorias tercerizadas - ex. contadoria); despesas com consumo (água, luz, telefone, material para escritório, material para limpeza, alimentos, etc). Foi apropriada por estimativa com base na média proposta noACÓRDÃO Nº 2.622/2013, PLENÁRIO de 25 set.2013.</t>
  </si>
  <si>
    <t xml:space="preserve"> C – Benefício/Lucro: </t>
  </si>
  <si>
    <t>é a parcela que contempla a remuneração do construtor, definidos com base em valor percentual sobre o total dos custos diretos e despesas indiretas, excluídas aquelas referentes às parcelas tributárias. A taxa adotada como benefício deve ser entendida como uma provisão de onde será retirado o lucro do construtor, após desconto de todos os encargos decorrentes de inúmeras incertezas que podem ocorrer durante as obras, difíceis de serem mensuradas no seu conjunto com base no ACÓRDÃO Nº 2.622/2013, PLENÁRIO de 25 set.2013.</t>
  </si>
  <si>
    <t xml:space="preserve">D – Riscos Imprevistos, Garantias e Seguros: </t>
  </si>
  <si>
    <t>valores para cobertura de despesas imprevisíveis e os seguros e garantias estabelecidos no Projeto Básico e orientação contante no ACÓRDÃO Nº 2.622/2013, PLENÁRIO de 25 set.2013.</t>
  </si>
  <si>
    <t xml:space="preserve">E – Valores Relativos aos Tributos:                                                                                                   </t>
  </si>
  <si>
    <r>
      <t xml:space="preserve"> – Impostos sobre serviços de qualquer natureza – ISS, </t>
    </r>
    <r>
      <rPr>
        <sz val="10"/>
        <rFont val="Arial"/>
        <family val="2"/>
      </rPr>
      <t>é imposto de competência municipal, consoante art. 156, inciso III, da Constituição Federal. Alíquota de 4% sobre o valor total da nota fiscal.</t>
    </r>
    <r>
      <rPr>
        <b/>
        <sz val="10"/>
        <rFont val="Arial"/>
        <family val="2"/>
      </rPr>
      <t>(Os 4% consideram a redução de 20% da base de cálculo, conforme previsto no art. 9 do Decreto 13314/2007 e Lei Municipal 6075/2003).</t>
    </r>
  </si>
  <si>
    <r>
      <t xml:space="preserve"> – Contribuição para o Programa de Integração Social – PIS. </t>
    </r>
    <r>
      <rPr>
        <sz val="10"/>
        <rFont val="Arial"/>
        <family val="2"/>
      </rPr>
      <t>A taxa do PIS, definida pelos Decretos-Lei nº 2.445 e 2.449/88, é de 0,65% sobre a receita operacional bruta.</t>
    </r>
  </si>
  <si>
    <r>
      <t xml:space="preserve"> – Contribuição para o Programa de Financiamento da Seguridade Social – COFINS, </t>
    </r>
    <r>
      <rPr>
        <sz val="10"/>
        <rFont val="Arial"/>
        <family val="2"/>
      </rPr>
      <t>definida pela Lei 9.718/98, é de 3%, sobre a receita operacional bruta.</t>
    </r>
  </si>
  <si>
    <r>
      <t xml:space="preserve"> – Contribuição Patronal sobre a Receita Bruta,</t>
    </r>
    <r>
      <rPr>
        <sz val="10"/>
        <rFont val="Arial"/>
        <family val="2"/>
      </rPr>
      <t xml:space="preserve"> definida pela Lei 13.161, de 31 de agosto de 2015, é de 4,5%, sobre a receita operacional bruta.</t>
    </r>
  </si>
  <si>
    <t>COMPOSIÇÃO LEIS SOCIAIS</t>
  </si>
  <si>
    <t>GRUPO A - Encargos Sociais Básicos</t>
  </si>
  <si>
    <t>% IOPES</t>
  </si>
  <si>
    <t>A.1</t>
  </si>
  <si>
    <t>INSS (Art. 22 da Lei 8.212/91)</t>
  </si>
  <si>
    <t>A.2</t>
  </si>
  <si>
    <t>FGTS (Art. 27 do Decreto 99.684/90)</t>
  </si>
  <si>
    <t>A.3</t>
  </si>
  <si>
    <t>SESI/SESC (Lei 8.029/90 e Lei 8.036/90)</t>
  </si>
  <si>
    <t>A.4</t>
  </si>
  <si>
    <t>SENAI/SENAC (Lei 8.029/90 e Decreto-Lei 6246/44)</t>
  </si>
  <si>
    <t>A.5</t>
  </si>
  <si>
    <t>SEBRAE (já considerado no item A.3 e A.4)</t>
  </si>
  <si>
    <t>-</t>
  </si>
  <si>
    <t>A.6</t>
  </si>
  <si>
    <t>INCRA (Lei 2.613/55 e Decreto 1.146/70)</t>
  </si>
  <si>
    <t>A.7</t>
  </si>
  <si>
    <t>SALÁRIO-EDUCAÇÃO (Decreto 87.043/82)</t>
  </si>
  <si>
    <t>A.8</t>
  </si>
  <si>
    <t>SEGURO ACIDENTE DO TRABALHO (Lei 8.212/91 e Decreto 3.048/99)</t>
  </si>
  <si>
    <t>A.9</t>
  </si>
  <si>
    <t>SECONCI/Medicina do Trabalho</t>
  </si>
  <si>
    <t>TOTAL GRUPO A</t>
  </si>
  <si>
    <t>GRUPO B - Encargos Sociais que recebem a incidência do grupo A</t>
  </si>
  <si>
    <t>B.1</t>
  </si>
  <si>
    <t>Descanso Semanal Remunerado (Art. 66 da CLT e Art. 7º da CF/88)</t>
  </si>
  <si>
    <t>B.2</t>
  </si>
  <si>
    <t>Feriados (Art. 70 da CLT e Lei 605/49)</t>
  </si>
  <si>
    <t>B.3</t>
  </si>
  <si>
    <t>Auxílio doença e acidente do trabalho (Lei 3.607/60 e Art. 131 da CLT)</t>
  </si>
  <si>
    <t>B.4</t>
  </si>
  <si>
    <t>Licença Paternidade (Art. 7º da CF/88)</t>
  </si>
  <si>
    <t>B.5</t>
  </si>
  <si>
    <t>Faltas Legais (Art. 473 da CLT)</t>
  </si>
  <si>
    <t>B.6</t>
  </si>
  <si>
    <t>13º Salário (Lei nº 4090/62)</t>
  </si>
  <si>
    <t>B.7</t>
  </si>
  <si>
    <t>Aviso Prévio Trabalhado (Art. 7º, inciso XXI da CF/88)</t>
  </si>
  <si>
    <t>B.8</t>
  </si>
  <si>
    <t>Dias de Chuvas</t>
  </si>
  <si>
    <t>B.9</t>
  </si>
  <si>
    <t>Férias Gozadas</t>
  </si>
  <si>
    <t>B.10</t>
  </si>
  <si>
    <t>Salário Maternidade</t>
  </si>
  <si>
    <t>B.11</t>
  </si>
  <si>
    <t>Auxílio - Enfermidade</t>
  </si>
  <si>
    <t>TOTAL GRUPO B</t>
  </si>
  <si>
    <t>GRUPO C - Encargos Sociais que não recebem a incidência do grupo A</t>
  </si>
  <si>
    <t>C.1</t>
  </si>
  <si>
    <t>Dispensa sem justa causa (LC 110/01)</t>
  </si>
  <si>
    <t>C.2</t>
  </si>
  <si>
    <t>Férias indenizadas (Art. 129 a 148 da CLT)</t>
  </si>
  <si>
    <t>C.3</t>
  </si>
  <si>
    <t>Aviso prévio indenizado (Art. 7º, inciso XXI da CF/88)</t>
  </si>
  <si>
    <t>C.4</t>
  </si>
  <si>
    <t>FGTS sobre aviso prévio indenizado (Súmula 305 TST)</t>
  </si>
  <si>
    <t>C.5</t>
  </si>
  <si>
    <t>INSS sobre aviso prévio indenizado (Decreto 6.727/09)</t>
  </si>
  <si>
    <t>C.6</t>
  </si>
  <si>
    <t>Aviso prévio trabalhado</t>
  </si>
  <si>
    <t>C.7</t>
  </si>
  <si>
    <t>Indenização Adicional</t>
  </si>
  <si>
    <t>TOTAL GRUPO C</t>
  </si>
  <si>
    <t>GRUPO D - Reincidência dos encargos sociais básicos</t>
  </si>
  <si>
    <t>D.1</t>
  </si>
  <si>
    <t>Incidência do grupo A sobre o grupo B</t>
  </si>
  <si>
    <t>D.2</t>
  </si>
  <si>
    <r>
      <rPr>
        <sz val="10"/>
        <rFont val="Arial"/>
        <family val="2"/>
      </rPr>
      <t>Reincidência de Grupo A sobre Aviso Prévio Trabalho e Reincidência
do FGTS sobre Aviso Prévio Indenizado</t>
    </r>
  </si>
  <si>
    <t>TOTAL GRUPO D</t>
  </si>
  <si>
    <t>GRUPO E - Encargos complementares</t>
  </si>
  <si>
    <t>E.1</t>
  </si>
  <si>
    <t>Refeição/alimentação (Convenção Coletiva do Trabalho 2012/2013)</t>
  </si>
  <si>
    <t>E.2</t>
  </si>
  <si>
    <t>Vale Transporte (Lei nº 7418/85 e Decreto 95.247/87)</t>
  </si>
  <si>
    <t>E.3</t>
  </si>
  <si>
    <r>
      <rPr>
        <sz val="10"/>
        <rFont val="Arial"/>
        <family val="2"/>
      </rPr>
      <t>Uniforme/equipamento de segurança (Art. 166 da CLT e NR-18 da Lei nº 6.514/77 e
Convenção Coletiva do Trabalho 2012/2013)</t>
    </r>
  </si>
  <si>
    <t>E.4</t>
  </si>
  <si>
    <t>Plano de Saúde (Convenção Coletiva do Trabalho 2012/2013</t>
  </si>
  <si>
    <t>TOTAL GRUPO E</t>
  </si>
  <si>
    <t>TOTAL DOS GRUPO (A+B+C+D+E)</t>
  </si>
  <si>
    <t xml:space="preserve">SERVIÇO: BARRA DE APOIO EM "L", EM ACO INOX POLIDO 80 X 80 CM, FIXADA NA PAREDE - FORNECIMENTO E INSTALACAO. </t>
  </si>
  <si>
    <t>REFERÊNCIA: SINAPI 100864</t>
  </si>
  <si>
    <t>88267</t>
  </si>
  <si>
    <t xml:space="preserve">ENCANADOR OU BOMBEIRO HIDRÁULICO COM ENCARGOS COMPLEMENTARES </t>
  </si>
  <si>
    <t xml:space="preserve">88316 </t>
  </si>
  <si>
    <t xml:space="preserve">SERVENTE COM ENCARGOS COMPLEMENTARES  </t>
  </si>
  <si>
    <t xml:space="preserve">4351 </t>
  </si>
  <si>
    <t>PARAFUSO NIQUELADO 3 1/2" COM ACABAMENTO CROMADO PARA FIXAR PECA SANITARIA, INCLUI PORCA CEGA, ARRUELA E BUCHA DE NYLON TAMANHO S-8</t>
  </si>
  <si>
    <t>36209</t>
  </si>
  <si>
    <t>BARRA DE APOIO EM "L", EM ACO INOX POLIDO 80 X 80 CM, DIAMETRO MINIMO 3 CM</t>
  </si>
  <si>
    <t xml:space="preserve">TOTAL C </t>
  </si>
  <si>
    <r>
      <rPr>
        <b/>
        <sz val="11"/>
        <color indexed="8"/>
        <rFont val="Calibri"/>
        <family val="2"/>
        <scheme val="minor"/>
      </rPr>
      <t>PREÇO DE VENDA</t>
    </r>
    <r>
      <rPr>
        <sz val="11"/>
        <color indexed="8"/>
        <rFont val="Calibri"/>
        <family val="2"/>
        <scheme val="minor"/>
      </rPr>
      <t xml:space="preserve"> = TOTAL (A+B+C)</t>
    </r>
  </si>
  <si>
    <t>SERVIÇO: Saboneteira plástica tipo dispenser para sabonete líquido com reservatório 800 a 1500 ml, incluso fixação.</t>
  </si>
  <si>
    <t>REFERÊNCIA: SINAPI-ES 95547</t>
  </si>
  <si>
    <t>SINAPI-ES</t>
  </si>
  <si>
    <t>ENCANADOR OU BOMBEIRO HIDRÁULICO COM ENCARGOS COMPLEMENTARES</t>
  </si>
  <si>
    <t>88316</t>
  </si>
  <si>
    <t>SERVENTE COM ENCARGOS COMPLEMENTARES</t>
  </si>
  <si>
    <t>11758</t>
  </si>
  <si>
    <t>SABONETEIRA PLASTICA TIPO DISPENSER PARA SABONETE LIQUIDO COM RESERVATORIO 800 A 1500 ML</t>
  </si>
  <si>
    <t>SERVIÇO: Papeleira de parede em metal cromado sem tampa, incluso fixação.</t>
  </si>
  <si>
    <t xml:space="preserve">REFERÊNCIA: SINAPI-ES 95544 </t>
  </si>
  <si>
    <t>11703</t>
  </si>
  <si>
    <t>PAPELEIRA DE PAREDE EM METAL CROMADO SEM TAMPA</t>
  </si>
  <si>
    <t>Porta papel toalha plástica tipo dispenser, capacidade para aproximadamente 750 folhas</t>
  </si>
  <si>
    <t>SERVIÇO: Porta papel toalha plástica tipo dispenser, capacidade para aproximadamente 750 folhas, incluso fixação.</t>
  </si>
  <si>
    <t>Americanas</t>
  </si>
  <si>
    <t>Kalunga</t>
  </si>
  <si>
    <t>https://www.kalunga.com.br/prod/dispenser-papel-toalha-interfolhado-branco-c19533-premisse-cx-1-un/324175?pcID=39&amp;gclid=Cj0KCQjwqrb7BRDlARIsACwGad6HO2dT5IOnuzBk8d55FZvxHn7u8z-LvSHzV70iwJALgCLUeG6uVL4aAqcFEALw_wcB</t>
  </si>
  <si>
    <t>Submarino</t>
  </si>
  <si>
    <t>https://www.americanas.com.br/produto/1685126465?pfm_carac=dispenser-p%252Fpapel-toalha-velox-premisse-branco&amp;pfm_page=search&amp;pfm_pos=grid&amp;pfm_type=search_page&amp;offerId=6081d5000c070442667b066f&amp;buyboxToken=smartbuybox-acom-v2-f63a070c-8d02-4ec5-89d2-190227450a66-2021-12-22%2011%3A17%3A01-0300#info-section</t>
  </si>
  <si>
    <t>https://www.submarino.com.br/produto/4428848483?pfm_carac=dispenser-para-papel-toalha-premisse-velox-branco-premisse&amp;pfm_index=1&amp;pfm_page=search&amp;pfm_pos=grid&amp;pfm_type=search_page</t>
  </si>
  <si>
    <t>18.1.2</t>
  </si>
  <si>
    <t>18.1.3</t>
  </si>
  <si>
    <t>18.1.4</t>
  </si>
  <si>
    <t>COMP-04</t>
  </si>
  <si>
    <t>COMP-05</t>
  </si>
  <si>
    <t>COMP-06</t>
  </si>
  <si>
    <t>Saboneteira plástica tipo dispenser para sabonete líquido com reservatório 800 a 1500 ml, incluso fixação.</t>
  </si>
  <si>
    <t>Porta papel toalha plástica tipo dispenser, capacidade para aproximadamente 750 folhas, incluso fixação.</t>
  </si>
  <si>
    <t>COMP-07</t>
  </si>
  <si>
    <t>Papeleira de parede em metal cromado sem tampa, incluso fixação.</t>
  </si>
  <si>
    <t>Barra de apoio em "L", em aço inox polido 80 x 80 cm, fixada na parede - fornecimento e instalação.</t>
  </si>
  <si>
    <t>18.1.5</t>
  </si>
  <si>
    <t>COTAÇÃO 2</t>
  </si>
  <si>
    <t xml:space="preserve">Banheiro feminino P.N.E </t>
  </si>
  <si>
    <t xml:space="preserve">Banheiro masculino P.N.E </t>
  </si>
  <si>
    <t>071106</t>
  </si>
  <si>
    <t>NOV/21</t>
  </si>
</sst>
</file>

<file path=xl/styles.xml><?xml version="1.0" encoding="utf-8"?>
<styleSheet xmlns="http://schemas.openxmlformats.org/spreadsheetml/2006/main" xmlns:mc="http://schemas.openxmlformats.org/markup-compatibility/2006" xmlns:x14ac="http://schemas.microsoft.com/office/spreadsheetml/2009/9/ac" mc:Ignorable="x14ac">
  <numFmts count="12">
    <numFmt numFmtId="8" formatCode="&quot;R$&quot;\ #,##0.00;[Red]\-&quot;R$&quot;\ #,##0.00"/>
    <numFmt numFmtId="44" formatCode="_-&quot;R$&quot;\ * #,##0.00_-;\-&quot;R$&quot;\ * #,##0.00_-;_-&quot;R$&quot;\ * &quot;-&quot;??_-;_-@_-"/>
    <numFmt numFmtId="43" formatCode="_-* #,##0.00_-;\-* #,##0.00_-;_-* &quot;-&quot;??_-;_-@_-"/>
    <numFmt numFmtId="164" formatCode="_-[$R$-416]\ * #,##0.00_-;\-[$R$-416]\ * #,##0.00_-;_-[$R$-416]\ * &quot;-&quot;??_-;_-@_-"/>
    <numFmt numFmtId="165" formatCode="_(&quot;R$ &quot;* #,##0.00_);_(&quot;R$ &quot;* \(#,##0.00\);_(&quot;R$ &quot;* &quot;-&quot;??_);_(@_)"/>
    <numFmt numFmtId="166" formatCode="#,##0.000"/>
    <numFmt numFmtId="167" formatCode="&quot;R$&quot;\ #,##0.00"/>
    <numFmt numFmtId="168" formatCode="0.000"/>
    <numFmt numFmtId="169" formatCode="&quot;R$ &quot;#,##0.00"/>
    <numFmt numFmtId="170" formatCode="0.0000"/>
    <numFmt numFmtId="171" formatCode="&quot;R$ &quot;#,##0.000"/>
    <numFmt numFmtId="172" formatCode="_(* #,##0.00_);_(* \(#,##0.00\);_(* &quot;-&quot;??_);_(@_)"/>
  </numFmts>
  <fonts count="47" x14ac:knownFonts="1">
    <font>
      <sz val="11"/>
      <color theme="1"/>
      <name val="Calibri"/>
      <family val="2"/>
      <scheme val="minor"/>
    </font>
    <font>
      <sz val="11"/>
      <color theme="1"/>
      <name val="Calibri"/>
      <family val="2"/>
      <scheme val="minor"/>
    </font>
    <font>
      <sz val="10"/>
      <color theme="1"/>
      <name val="Arial"/>
      <family val="2"/>
    </font>
    <font>
      <b/>
      <sz val="10"/>
      <name val="Arial"/>
      <family val="2"/>
    </font>
    <font>
      <sz val="10"/>
      <name val="Arial"/>
      <family val="2"/>
    </font>
    <font>
      <sz val="11"/>
      <color indexed="8"/>
      <name val="Calibri"/>
      <family val="2"/>
    </font>
    <font>
      <sz val="10"/>
      <name val="Arial"/>
    </font>
    <font>
      <b/>
      <sz val="10"/>
      <name val="Arial"/>
    </font>
    <font>
      <b/>
      <sz val="11"/>
      <color theme="1"/>
      <name val="Calibri"/>
      <family val="2"/>
      <scheme val="minor"/>
    </font>
    <font>
      <sz val="10"/>
      <color rgb="FF000000"/>
      <name val="Arial"/>
      <charset val="1"/>
    </font>
    <font>
      <b/>
      <sz val="11"/>
      <name val="Arial"/>
    </font>
    <font>
      <sz val="10"/>
      <color rgb="FFFF0000"/>
      <name val="Arial"/>
      <family val="2"/>
    </font>
    <font>
      <b/>
      <sz val="11"/>
      <color theme="1"/>
      <name val="Arial"/>
    </font>
    <font>
      <sz val="11"/>
      <color theme="1"/>
      <name val="Arial"/>
    </font>
    <font>
      <sz val="11"/>
      <color indexed="10"/>
      <name val="Arial"/>
    </font>
    <font>
      <sz val="11"/>
      <color theme="2"/>
      <name val="Arial"/>
    </font>
    <font>
      <sz val="11"/>
      <color rgb="FF000000"/>
      <name val="Arial"/>
    </font>
    <font>
      <b/>
      <sz val="11"/>
      <color rgb="FF000000"/>
      <name val="Arial"/>
    </font>
    <font>
      <b/>
      <i/>
      <sz val="11"/>
      <color theme="1"/>
      <name val="Arial"/>
    </font>
    <font>
      <b/>
      <sz val="10"/>
      <color theme="1"/>
      <name val="Arial"/>
      <family val="2"/>
    </font>
    <font>
      <sz val="11"/>
      <name val="Arial"/>
    </font>
    <font>
      <i/>
      <sz val="11"/>
      <color theme="1"/>
      <name val="Arial"/>
    </font>
    <font>
      <b/>
      <i/>
      <sz val="11"/>
      <color rgb="FF000000"/>
      <name val="Arial"/>
    </font>
    <font>
      <b/>
      <i/>
      <u/>
      <sz val="11"/>
      <color theme="1"/>
      <name val="Arial"/>
    </font>
    <font>
      <b/>
      <sz val="11"/>
      <name val="Arial"/>
      <family val="2"/>
    </font>
    <font>
      <sz val="11"/>
      <color rgb="FF000000"/>
      <name val="Calibri"/>
    </font>
    <font>
      <sz val="10"/>
      <name val="Times New Roman"/>
      <family val="1"/>
    </font>
    <font>
      <u/>
      <sz val="11"/>
      <color indexed="12"/>
      <name val="Arial"/>
      <family val="2"/>
    </font>
    <font>
      <sz val="12"/>
      <name val="Arial"/>
    </font>
    <font>
      <b/>
      <sz val="18"/>
      <name val="Arial"/>
    </font>
    <font>
      <b/>
      <sz val="16"/>
      <color rgb="FF000000"/>
      <name val="Arial"/>
    </font>
    <font>
      <b/>
      <sz val="18"/>
      <color rgb="FF000000"/>
      <name val="Arial"/>
    </font>
    <font>
      <sz val="18"/>
      <color rgb="FF000000"/>
      <name val="Arial"/>
    </font>
    <font>
      <i/>
      <sz val="11"/>
      <name val="Arial"/>
    </font>
    <font>
      <sz val="18"/>
      <color rgb="FF000000"/>
      <name val="Arial"/>
      <family val="2"/>
    </font>
    <font>
      <sz val="16"/>
      <name val="Arial"/>
      <family val="2"/>
    </font>
    <font>
      <b/>
      <sz val="16"/>
      <name val="Arial"/>
      <family val="2"/>
    </font>
    <font>
      <sz val="16"/>
      <color theme="1"/>
      <name val="Calibri"/>
      <family val="2"/>
      <scheme val="minor"/>
    </font>
    <font>
      <u/>
      <sz val="16"/>
      <color theme="10"/>
      <name val="Arial"/>
      <family val="2"/>
    </font>
    <font>
      <b/>
      <u/>
      <sz val="10"/>
      <name val="Arial"/>
      <family val="2"/>
    </font>
    <font>
      <sz val="10"/>
      <color indexed="8"/>
      <name val="Arial"/>
      <family val="2"/>
    </font>
    <font>
      <b/>
      <sz val="16"/>
      <color indexed="8"/>
      <name val="Calibri"/>
      <family val="2"/>
      <scheme val="minor"/>
    </font>
    <font>
      <b/>
      <sz val="11"/>
      <color indexed="8"/>
      <name val="Calibri"/>
      <family val="2"/>
      <scheme val="minor"/>
    </font>
    <font>
      <sz val="11"/>
      <color indexed="8"/>
      <name val="Calibri"/>
      <family val="2"/>
      <scheme val="minor"/>
    </font>
    <font>
      <sz val="11"/>
      <name val="Calibri"/>
      <family val="2"/>
      <scheme val="minor"/>
    </font>
    <font>
      <sz val="11"/>
      <color theme="1"/>
      <name val="Calibri"/>
      <family val="2"/>
    </font>
    <font>
      <sz val="12"/>
      <name val="Arial"/>
      <family val="2"/>
    </font>
  </fonts>
  <fills count="14">
    <fill>
      <patternFill patternType="none"/>
    </fill>
    <fill>
      <patternFill patternType="gray125"/>
    </fill>
    <fill>
      <patternFill patternType="solid">
        <fgColor theme="0"/>
        <bgColor indexed="64"/>
      </patternFill>
    </fill>
    <fill>
      <patternFill patternType="solid">
        <fgColor rgb="FFFFFF99"/>
        <bgColor indexed="64"/>
      </patternFill>
    </fill>
    <fill>
      <patternFill patternType="solid">
        <fgColor theme="0" tint="-4.9989318521683403E-2"/>
        <bgColor indexed="64"/>
      </patternFill>
    </fill>
    <fill>
      <patternFill patternType="solid">
        <fgColor rgb="FFFFFFFF"/>
        <bgColor rgb="FF000000"/>
      </patternFill>
    </fill>
    <fill>
      <patternFill patternType="solid">
        <fgColor rgb="FFD9D9D9"/>
        <bgColor indexed="64"/>
      </patternFill>
    </fill>
    <fill>
      <patternFill patternType="solid">
        <fgColor rgb="FFFFFFFF"/>
        <bgColor indexed="64"/>
      </patternFill>
    </fill>
    <fill>
      <patternFill patternType="solid">
        <fgColor theme="8" tint="0.79998168889431442"/>
        <bgColor indexed="64"/>
      </patternFill>
    </fill>
    <fill>
      <patternFill patternType="solid">
        <fgColor theme="6" tint="0.39997558519241921"/>
        <bgColor indexed="64"/>
      </patternFill>
    </fill>
    <fill>
      <patternFill patternType="solid">
        <fgColor theme="4" tint="0.59999389629810485"/>
        <bgColor indexed="64"/>
      </patternFill>
    </fill>
    <fill>
      <patternFill patternType="solid">
        <fgColor rgb="FFFFFF99"/>
        <bgColor rgb="FF000000"/>
      </patternFill>
    </fill>
    <fill>
      <patternFill patternType="solid">
        <fgColor rgb="FFFFFFE6"/>
        <bgColor indexed="64"/>
      </patternFill>
    </fill>
    <fill>
      <patternFill patternType="solid">
        <fgColor indexed="9"/>
        <bgColor indexed="64"/>
      </patternFill>
    </fill>
  </fills>
  <borders count="96">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style="medium">
        <color rgb="FF000000"/>
      </left>
      <right/>
      <top style="medium">
        <color rgb="FF000000"/>
      </top>
      <bottom/>
      <diagonal/>
    </border>
    <border>
      <left style="medium">
        <color rgb="FF000000"/>
      </left>
      <right/>
      <top/>
      <bottom/>
      <diagonal/>
    </border>
    <border>
      <left style="medium">
        <color rgb="FF000000"/>
      </left>
      <right/>
      <top style="medium">
        <color indexed="64"/>
      </top>
      <bottom style="thin">
        <color indexed="64"/>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style="thin">
        <color rgb="FF000000"/>
      </right>
      <top/>
      <bottom/>
      <diagonal/>
    </border>
    <border>
      <left style="thin">
        <color rgb="FF000000"/>
      </left>
      <right/>
      <top style="thin">
        <color rgb="FF000000"/>
      </top>
      <bottom/>
      <diagonal/>
    </border>
    <border>
      <left/>
      <right style="thin">
        <color rgb="FF000000"/>
      </right>
      <top style="thin">
        <color rgb="FF000000"/>
      </top>
      <bottom style="thin">
        <color rgb="FF000000"/>
      </bottom>
      <diagonal/>
    </border>
    <border>
      <left style="medium">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style="medium">
        <color rgb="FF000000"/>
      </left>
      <right style="thin">
        <color rgb="FF000000"/>
      </right>
      <top style="thin">
        <color rgb="FF000000"/>
      </top>
      <bottom/>
      <diagonal/>
    </border>
    <border>
      <left style="thin">
        <color rgb="FF000000"/>
      </left>
      <right style="medium">
        <color rgb="FF000000"/>
      </right>
      <top style="thin">
        <color rgb="FF000000"/>
      </top>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style="thin">
        <color rgb="FF000000"/>
      </right>
      <top/>
      <bottom/>
      <diagonal/>
    </border>
    <border>
      <left style="thin">
        <color rgb="FF000000"/>
      </left>
      <right style="medium">
        <color rgb="FF000000"/>
      </right>
      <top/>
      <bottom/>
      <diagonal/>
    </border>
    <border>
      <left style="medium">
        <color rgb="FF000000"/>
      </left>
      <right style="thin">
        <color rgb="FF000000"/>
      </right>
      <top style="thin">
        <color rgb="FF000000"/>
      </top>
      <bottom style="thin">
        <color rgb="FF000000"/>
      </bottom>
      <diagonal/>
    </border>
    <border>
      <left/>
      <right/>
      <top style="medium">
        <color rgb="FF000000"/>
      </top>
      <bottom/>
      <diagonal/>
    </border>
    <border>
      <left/>
      <right style="medium">
        <color rgb="FF000000"/>
      </right>
      <top style="medium">
        <color rgb="FF000000"/>
      </top>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medium">
        <color rgb="FF000000"/>
      </right>
      <top style="medium">
        <color rgb="FF000000"/>
      </top>
      <bottom style="thin">
        <color rgb="FF000000"/>
      </bottom>
      <diagonal/>
    </border>
    <border>
      <left style="medium">
        <color rgb="FF000000"/>
      </left>
      <right/>
      <top style="thin">
        <color rgb="FF000000"/>
      </top>
      <bottom style="medium">
        <color rgb="FF000000"/>
      </bottom>
      <diagonal/>
    </border>
    <border>
      <left/>
      <right/>
      <top style="thin">
        <color rgb="FF000000"/>
      </top>
      <bottom style="medium">
        <color rgb="FF000000"/>
      </bottom>
      <diagonal/>
    </border>
    <border>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right style="medium">
        <color rgb="FF000000"/>
      </right>
      <top style="medium">
        <color rgb="FF000000"/>
      </top>
      <bottom style="thin">
        <color rgb="FF000000"/>
      </bottom>
      <diagonal/>
    </border>
    <border>
      <left/>
      <right style="medium">
        <color rgb="FF000000"/>
      </right>
      <top/>
      <bottom/>
      <diagonal/>
    </border>
    <border>
      <left/>
      <right style="medium">
        <color rgb="FF000000"/>
      </right>
      <top style="thin">
        <color rgb="FF000000"/>
      </top>
      <bottom style="thin">
        <color rgb="FF000000"/>
      </bottom>
      <diagonal/>
    </border>
    <border>
      <left style="medium">
        <color rgb="FF000000"/>
      </left>
      <right/>
      <top/>
      <bottom style="medium">
        <color rgb="FF000000"/>
      </bottom>
      <diagonal/>
    </border>
    <border>
      <left/>
      <right/>
      <top/>
      <bottom style="medium">
        <color rgb="FF000000"/>
      </bottom>
      <diagonal/>
    </border>
    <border>
      <left/>
      <right style="medium">
        <color rgb="FF000000"/>
      </right>
      <top/>
      <bottom style="medium">
        <color rgb="FF000000"/>
      </bottom>
      <diagonal/>
    </border>
    <border>
      <left/>
      <right style="medium">
        <color rgb="FF000000"/>
      </right>
      <top style="thin">
        <color rgb="FF000000"/>
      </top>
      <bottom/>
      <diagonal/>
    </border>
    <border>
      <left style="medium">
        <color rgb="FF000000"/>
      </left>
      <right style="thin">
        <color rgb="FF000000"/>
      </right>
      <top/>
      <bottom style="thin">
        <color rgb="FF000000"/>
      </bottom>
      <diagonal/>
    </border>
    <border>
      <left/>
      <right style="medium">
        <color rgb="FF000000"/>
      </right>
      <top style="thin">
        <color rgb="FF000000"/>
      </top>
      <bottom style="medium">
        <color rgb="FF000000"/>
      </bottom>
      <diagonal/>
    </border>
    <border>
      <left style="thin">
        <color rgb="FF000000"/>
      </left>
      <right style="medium">
        <color rgb="FF000000"/>
      </right>
      <top/>
      <bottom style="thin">
        <color rgb="FF000000"/>
      </bottom>
      <diagonal/>
    </border>
    <border>
      <left style="thin">
        <color rgb="FF000000"/>
      </left>
      <right/>
      <top style="thin">
        <color rgb="FF000000"/>
      </top>
      <bottom style="thin">
        <color rgb="FF000000"/>
      </bottom>
      <diagonal/>
    </border>
    <border>
      <left style="medium">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diagonal/>
    </border>
    <border>
      <left/>
      <right style="thin">
        <color rgb="FF000000"/>
      </right>
      <top style="thin">
        <color rgb="FF000000"/>
      </top>
      <bottom/>
      <diagonal/>
    </border>
    <border>
      <left style="thin">
        <color indexed="64"/>
      </left>
      <right style="thin">
        <color indexed="64"/>
      </right>
      <top/>
      <bottom/>
      <diagonal/>
    </border>
    <border>
      <left style="medium">
        <color rgb="FF000000"/>
      </left>
      <right/>
      <top style="thin">
        <color rgb="FF000000"/>
      </top>
      <bottom/>
      <diagonal/>
    </border>
    <border>
      <left style="thin">
        <color rgb="FF000000"/>
      </left>
      <right/>
      <top style="medium">
        <color indexed="64"/>
      </top>
      <bottom style="thin">
        <color indexed="64"/>
      </bottom>
      <diagonal/>
    </border>
    <border>
      <left style="medium">
        <color rgb="FF000000"/>
      </left>
      <right style="thin">
        <color rgb="FF000000"/>
      </right>
      <top style="medium">
        <color indexed="64"/>
      </top>
      <bottom style="thin">
        <color indexed="64"/>
      </bottom>
      <diagonal/>
    </border>
    <border>
      <left style="thin">
        <color rgb="FF000000"/>
      </left>
      <right style="thin">
        <color indexed="64"/>
      </right>
      <top style="thin">
        <color indexed="64"/>
      </top>
      <bottom/>
      <diagonal/>
    </border>
    <border>
      <left style="thin">
        <color indexed="64"/>
      </left>
      <right style="thin">
        <color rgb="FF000000"/>
      </right>
      <top style="thin">
        <color indexed="64"/>
      </top>
      <bottom style="thin">
        <color indexed="64"/>
      </bottom>
      <diagonal/>
    </border>
    <border>
      <left/>
      <right style="thin">
        <color rgb="FF000000"/>
      </right>
      <top style="thin">
        <color indexed="64"/>
      </top>
      <bottom style="thin">
        <color indexed="64"/>
      </bottom>
      <diagonal/>
    </border>
    <border>
      <left style="thin">
        <color rgb="FF000000"/>
      </left>
      <right style="thin">
        <color indexed="64"/>
      </right>
      <top/>
      <bottom/>
      <diagonal/>
    </border>
    <border>
      <left style="thin">
        <color indexed="64"/>
      </left>
      <right style="thin">
        <color rgb="FF000000"/>
      </right>
      <top style="thin">
        <color indexed="64"/>
      </top>
      <bottom/>
      <diagonal/>
    </border>
    <border>
      <left/>
      <right/>
      <top/>
      <bottom style="thin">
        <color indexed="64"/>
      </bottom>
      <diagonal/>
    </border>
    <border>
      <left style="thin">
        <color indexed="64"/>
      </left>
      <right style="thin">
        <color indexed="64"/>
      </right>
      <top/>
      <bottom style="thin">
        <color rgb="FF000000"/>
      </bottom>
      <diagonal/>
    </border>
    <border>
      <left style="thin">
        <color indexed="64"/>
      </left>
      <right/>
      <top/>
      <bottom style="thin">
        <color rgb="FF000000"/>
      </bottom>
      <diagonal/>
    </border>
    <border>
      <left/>
      <right style="thin">
        <color indexed="64"/>
      </right>
      <top/>
      <bottom style="thin">
        <color indexed="64"/>
      </bottom>
      <diagonal/>
    </border>
    <border>
      <left/>
      <right/>
      <top style="thin">
        <color rgb="FF000000"/>
      </top>
      <bottom/>
      <diagonal/>
    </border>
    <border>
      <left/>
      <right style="thin">
        <color rgb="FF000000"/>
      </right>
      <top/>
      <bottom/>
      <diagonal/>
    </border>
    <border>
      <left style="thin">
        <color rgb="FF000000"/>
      </left>
      <right/>
      <top/>
      <bottom style="thin">
        <color rgb="FF000000"/>
      </bottom>
      <diagonal/>
    </border>
    <border>
      <left style="thin">
        <color indexed="64"/>
      </left>
      <right/>
      <top/>
      <bottom style="thin">
        <color indexed="64"/>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s>
  <cellStyleXfs count="28">
    <xf numFmtId="0" fontId="0" fillId="0" borderId="0"/>
    <xf numFmtId="43" fontId="1" fillId="0" borderId="0" applyFont="0" applyFill="0" applyBorder="0" applyAlignment="0" applyProtection="0"/>
    <xf numFmtId="44" fontId="1" fillId="0" borderId="0" applyFont="0" applyFill="0" applyBorder="0" applyAlignment="0" applyProtection="0"/>
    <xf numFmtId="0" fontId="4" fillId="0" borderId="0"/>
    <xf numFmtId="0" fontId="4" fillId="0" borderId="0"/>
    <xf numFmtId="0" fontId="4" fillId="0" borderId="0"/>
    <xf numFmtId="0" fontId="1" fillId="0" borderId="0"/>
    <xf numFmtId="165" fontId="5" fillId="0" borderId="0" applyFont="0" applyFill="0" applyBorder="0" applyAlignment="0" applyProtection="0"/>
    <xf numFmtId="0" fontId="4" fillId="0" borderId="0"/>
    <xf numFmtId="43" fontId="4" fillId="0" borderId="0" applyFont="0" applyFill="0" applyBorder="0" applyAlignment="0" applyProtection="0"/>
    <xf numFmtId="44" fontId="4" fillId="0" borderId="0" applyFont="0" applyFill="0" applyBorder="0" applyAlignment="0" applyProtection="0"/>
    <xf numFmtId="0" fontId="6" fillId="0" borderId="0"/>
    <xf numFmtId="9" fontId="4"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4" fillId="0" borderId="0" applyFont="0" applyFill="0" applyBorder="0" applyAlignment="0" applyProtection="0"/>
    <xf numFmtId="0" fontId="4" fillId="0" borderId="0"/>
    <xf numFmtId="43" fontId="1" fillId="0" borderId="0" applyFont="0" applyFill="0" applyBorder="0" applyAlignment="0" applyProtection="0"/>
    <xf numFmtId="44" fontId="1" fillId="0" borderId="0" applyFont="0" applyFill="0" applyBorder="0" applyAlignment="0" applyProtection="0"/>
    <xf numFmtId="0" fontId="26" fillId="0" borderId="0"/>
    <xf numFmtId="0" fontId="27" fillId="0" borderId="0" applyNumberFormat="0" applyFill="0" applyBorder="0" applyAlignment="0" applyProtection="0">
      <alignment vertical="top"/>
      <protection locked="0"/>
    </xf>
    <xf numFmtId="9" fontId="1" fillId="0" borderId="0" applyFont="0" applyFill="0" applyBorder="0" applyAlignment="0" applyProtection="0"/>
    <xf numFmtId="0" fontId="4" fillId="0" borderId="0"/>
    <xf numFmtId="2" fontId="4" fillId="0" borderId="0">
      <alignment vertical="center"/>
    </xf>
  </cellStyleXfs>
  <cellXfs count="743">
    <xf numFmtId="0" fontId="0" fillId="0" borderId="0" xfId="0"/>
    <xf numFmtId="4" fontId="2" fillId="2" borderId="1" xfId="0" applyNumberFormat="1" applyFont="1" applyFill="1" applyBorder="1" applyAlignment="1">
      <alignment horizontal="center" vertical="center"/>
    </xf>
    <xf numFmtId="4" fontId="2" fillId="2" borderId="4" xfId="0" applyNumberFormat="1" applyFont="1" applyFill="1" applyBorder="1" applyAlignment="1">
      <alignment horizontal="center" vertical="center"/>
    </xf>
    <xf numFmtId="4" fontId="2" fillId="2" borderId="0" xfId="0" applyNumberFormat="1" applyFont="1" applyFill="1" applyAlignment="1">
      <alignment horizontal="center" vertical="center" wrapText="1"/>
    </xf>
    <xf numFmtId="0" fontId="3" fillId="2" borderId="0" xfId="0" applyFont="1" applyFill="1" applyAlignment="1">
      <alignment horizontal="center" vertical="center" wrapText="1"/>
    </xf>
    <xf numFmtId="43" fontId="3" fillId="3" borderId="6" xfId="1" applyFont="1" applyFill="1" applyBorder="1" applyAlignment="1">
      <alignment horizontal="center" vertical="center"/>
    </xf>
    <xf numFmtId="10" fontId="3" fillId="2" borderId="0" xfId="1" applyNumberFormat="1" applyFont="1" applyFill="1" applyBorder="1" applyAlignment="1">
      <alignment horizontal="center" vertical="center" wrapText="1"/>
    </xf>
    <xf numFmtId="0" fontId="3" fillId="2" borderId="5" xfId="0" applyFont="1" applyFill="1" applyBorder="1" applyAlignment="1">
      <alignment horizontal="center" vertical="center" wrapText="1"/>
    </xf>
    <xf numFmtId="0" fontId="3" fillId="2" borderId="0" xfId="1" applyNumberFormat="1" applyFont="1" applyFill="1" applyBorder="1" applyAlignment="1">
      <alignment horizontal="center" vertical="center" wrapText="1"/>
    </xf>
    <xf numFmtId="43" fontId="3" fillId="2" borderId="0" xfId="1" applyFont="1" applyFill="1" applyBorder="1" applyAlignment="1">
      <alignment horizontal="center" vertical="center" wrapText="1"/>
    </xf>
    <xf numFmtId="49" fontId="3" fillId="2" borderId="5" xfId="1" applyNumberFormat="1" applyFont="1" applyFill="1" applyBorder="1" applyAlignment="1">
      <alignment horizontal="left" vertical="center" wrapText="1"/>
    </xf>
    <xf numFmtId="0" fontId="4" fillId="0" borderId="6" xfId="0" applyFont="1" applyBorder="1" applyAlignment="1">
      <alignment vertical="center"/>
    </xf>
    <xf numFmtId="0" fontId="3" fillId="0" borderId="6" xfId="0" applyFont="1" applyBorder="1" applyAlignment="1">
      <alignment horizontal="left" vertical="center"/>
    </xf>
    <xf numFmtId="0" fontId="4" fillId="0" borderId="6" xfId="0" applyFont="1" applyBorder="1" applyAlignment="1">
      <alignment vertical="center" wrapText="1"/>
    </xf>
    <xf numFmtId="0" fontId="4" fillId="0" borderId="6" xfId="0" quotePrefix="1" applyFont="1" applyBorder="1" applyAlignment="1">
      <alignment horizontal="center" vertical="center"/>
    </xf>
    <xf numFmtId="0" fontId="4" fillId="0" borderId="6" xfId="0" applyFont="1" applyBorder="1" applyAlignment="1">
      <alignment horizontal="left" vertical="center" wrapText="1"/>
    </xf>
    <xf numFmtId="0" fontId="4" fillId="0" borderId="6" xfId="0" applyFont="1" applyBorder="1" applyAlignment="1">
      <alignment horizontal="left" vertical="center"/>
    </xf>
    <xf numFmtId="0" fontId="4" fillId="0" borderId="6" xfId="0" applyFont="1" applyBorder="1" applyAlignment="1">
      <alignment horizontal="center" vertical="center"/>
    </xf>
    <xf numFmtId="164" fontId="4" fillId="0" borderId="6" xfId="13" applyNumberFormat="1" applyFont="1" applyFill="1" applyBorder="1" applyAlignment="1">
      <alignment horizontal="right" vertical="center"/>
    </xf>
    <xf numFmtId="0" fontId="3" fillId="0" borderId="6" xfId="0" quotePrefix="1" applyFont="1" applyBorder="1" applyAlignment="1">
      <alignment horizontal="center" vertical="center"/>
    </xf>
    <xf numFmtId="0" fontId="3" fillId="0" borderId="6" xfId="0" applyFont="1" applyBorder="1" applyAlignment="1">
      <alignment horizontal="center" vertical="center"/>
    </xf>
    <xf numFmtId="0" fontId="3" fillId="0" borderId="6" xfId="0" applyFont="1" applyBorder="1" applyAlignment="1">
      <alignment horizontal="justify" vertical="center" wrapText="1"/>
    </xf>
    <xf numFmtId="2" fontId="2" fillId="0" borderId="6" xfId="0" applyNumberFormat="1" applyFont="1" applyBorder="1" applyAlignment="1">
      <alignment horizontal="center" vertical="center"/>
    </xf>
    <xf numFmtId="43" fontId="3" fillId="0" borderId="6" xfId="13" applyFont="1" applyFill="1" applyBorder="1" applyAlignment="1">
      <alignment horizontal="center" vertical="center"/>
    </xf>
    <xf numFmtId="0" fontId="4" fillId="0" borderId="6" xfId="0" applyFont="1" applyBorder="1" applyAlignment="1">
      <alignment horizontal="justify" vertical="center" wrapText="1"/>
    </xf>
    <xf numFmtId="0" fontId="3" fillId="0" borderId="6" xfId="0" applyFont="1" applyBorder="1" applyAlignment="1">
      <alignment horizontal="left" vertical="center" wrapText="1"/>
    </xf>
    <xf numFmtId="4" fontId="4" fillId="0" borderId="6" xfId="0" applyNumberFormat="1" applyFont="1" applyBorder="1" applyAlignment="1">
      <alignment horizontal="center" vertical="center"/>
    </xf>
    <xf numFmtId="0" fontId="7" fillId="0" borderId="6" xfId="0" applyFont="1" applyBorder="1" applyAlignment="1">
      <alignment horizontal="center" vertical="center"/>
    </xf>
    <xf numFmtId="0" fontId="7" fillId="0" borderId="6" xfId="0" applyFont="1" applyBorder="1" applyAlignment="1">
      <alignment horizontal="left" vertical="center" wrapText="1"/>
    </xf>
    <xf numFmtId="0" fontId="6" fillId="0" borderId="6" xfId="0" quotePrefix="1" applyFont="1" applyBorder="1" applyAlignment="1">
      <alignment horizontal="center" vertical="center"/>
    </xf>
    <xf numFmtId="0" fontId="7" fillId="0" borderId="6" xfId="0" quotePrefix="1" applyFont="1" applyBorder="1" applyAlignment="1">
      <alignment horizontal="center" vertical="center"/>
    </xf>
    <xf numFmtId="0" fontId="8" fillId="0" borderId="0" xfId="0" applyFont="1"/>
    <xf numFmtId="0" fontId="9" fillId="0" borderId="0" xfId="0" applyFont="1" applyAlignment="1">
      <alignment horizontal="center" vertical="center"/>
    </xf>
    <xf numFmtId="0" fontId="10" fillId="4" borderId="15" xfId="0" applyFont="1" applyFill="1" applyBorder="1" applyAlignment="1">
      <alignment horizontal="center" vertical="center"/>
    </xf>
    <xf numFmtId="0" fontId="13" fillId="0" borderId="0" xfId="0" applyFont="1"/>
    <xf numFmtId="0" fontId="12" fillId="0" borderId="6" xfId="0" applyFont="1" applyBorder="1" applyAlignment="1">
      <alignment horizontal="center" vertical="center"/>
    </xf>
    <xf numFmtId="4" fontId="12" fillId="2" borderId="6" xfId="0" applyNumberFormat="1" applyFont="1" applyFill="1" applyBorder="1" applyAlignment="1">
      <alignment horizontal="center" vertical="center" wrapText="1"/>
    </xf>
    <xf numFmtId="0" fontId="10" fillId="4" borderId="11" xfId="0" applyFont="1" applyFill="1" applyBorder="1" applyAlignment="1">
      <alignment horizontal="left" vertical="center"/>
    </xf>
    <xf numFmtId="0" fontId="15" fillId="4" borderId="11" xfId="0" applyFont="1" applyFill="1" applyBorder="1" applyAlignment="1">
      <alignment horizontal="center" vertical="center"/>
    </xf>
    <xf numFmtId="4" fontId="15" fillId="4" borderId="11" xfId="0" applyNumberFormat="1" applyFont="1" applyFill="1" applyBorder="1" applyAlignment="1">
      <alignment horizontal="center" vertical="center"/>
    </xf>
    <xf numFmtId="4" fontId="12" fillId="0" borderId="15" xfId="0" applyNumberFormat="1" applyFont="1" applyBorder="1" applyAlignment="1">
      <alignment horizontal="center" vertical="center" wrapText="1"/>
    </xf>
    <xf numFmtId="2" fontId="13" fillId="0" borderId="15" xfId="0" applyNumberFormat="1" applyFont="1" applyBorder="1" applyAlignment="1">
      <alignment horizontal="center"/>
    </xf>
    <xf numFmtId="49" fontId="10" fillId="4" borderId="15" xfId="0" applyNumberFormat="1" applyFont="1" applyFill="1" applyBorder="1" applyAlignment="1">
      <alignment horizontal="center" vertical="center"/>
    </xf>
    <xf numFmtId="2" fontId="13" fillId="0" borderId="0" xfId="0" applyNumberFormat="1" applyFont="1"/>
    <xf numFmtId="0" fontId="13" fillId="0" borderId="15" xfId="0" applyFont="1" applyBorder="1"/>
    <xf numFmtId="0" fontId="13" fillId="0" borderId="15" xfId="0" applyFont="1" applyBorder="1" applyAlignment="1">
      <alignment horizontal="right"/>
    </xf>
    <xf numFmtId="2" fontId="13" fillId="0" borderId="15" xfId="0" applyNumberFormat="1" applyFont="1" applyBorder="1" applyAlignment="1">
      <alignment horizontal="center" vertical="center"/>
    </xf>
    <xf numFmtId="0" fontId="13" fillId="0" borderId="15" xfId="0" applyFont="1" applyBorder="1" applyAlignment="1">
      <alignment horizontal="left" vertical="center" wrapText="1"/>
    </xf>
    <xf numFmtId="0" fontId="12" fillId="0" borderId="15" xfId="0" applyFont="1" applyBorder="1" applyAlignment="1">
      <alignment horizontal="center" vertical="center"/>
    </xf>
    <xf numFmtId="4" fontId="12" fillId="2" borderId="15" xfId="0" applyNumberFormat="1" applyFont="1" applyFill="1" applyBorder="1" applyAlignment="1">
      <alignment horizontal="center" vertical="center" wrapText="1"/>
    </xf>
    <xf numFmtId="0" fontId="16" fillId="0" borderId="15" xfId="0" applyFont="1" applyBorder="1"/>
    <xf numFmtId="0" fontId="10" fillId="4" borderId="15" xfId="0" applyFont="1" applyFill="1" applyBorder="1" applyAlignment="1">
      <alignment horizontal="left" vertical="center"/>
    </xf>
    <xf numFmtId="0" fontId="15" fillId="4" borderId="15" xfId="0" applyFont="1" applyFill="1" applyBorder="1" applyAlignment="1">
      <alignment horizontal="center" vertical="center"/>
    </xf>
    <xf numFmtId="4" fontId="15" fillId="4" borderId="15" xfId="0" applyNumberFormat="1" applyFont="1" applyFill="1" applyBorder="1" applyAlignment="1">
      <alignment horizontal="center" vertical="center"/>
    </xf>
    <xf numFmtId="2" fontId="12" fillId="0" borderId="15" xfId="0" applyNumberFormat="1" applyFont="1" applyBorder="1" applyAlignment="1">
      <alignment horizontal="center" vertical="center"/>
    </xf>
    <xf numFmtId="0" fontId="13" fillId="0" borderId="15" xfId="0" applyFont="1" applyBorder="1" applyAlignment="1">
      <alignment horizontal="center"/>
    </xf>
    <xf numFmtId="4" fontId="13" fillId="2" borderId="15" xfId="0" applyNumberFormat="1" applyFont="1" applyFill="1" applyBorder="1" applyAlignment="1">
      <alignment horizontal="center" vertical="center" wrapText="1"/>
    </xf>
    <xf numFmtId="0" fontId="18" fillId="0" borderId="15" xfId="0" applyFont="1" applyBorder="1" applyAlignment="1">
      <alignment horizontal="center"/>
    </xf>
    <xf numFmtId="2" fontId="18" fillId="0" borderId="15" xfId="0" applyNumberFormat="1" applyFont="1" applyBorder="1" applyAlignment="1">
      <alignment horizontal="center"/>
    </xf>
    <xf numFmtId="0" fontId="13" fillId="0" borderId="15" xfId="0" applyFont="1" applyBorder="1" applyAlignment="1">
      <alignment horizontal="center" vertical="center"/>
    </xf>
    <xf numFmtId="0" fontId="17" fillId="0" borderId="15" xfId="0" applyFont="1" applyBorder="1" applyAlignment="1">
      <alignment horizontal="center" vertical="center"/>
    </xf>
    <xf numFmtId="0" fontId="17" fillId="5" borderId="15" xfId="0" applyFont="1" applyFill="1" applyBorder="1" applyAlignment="1">
      <alignment horizontal="center" vertical="center" wrapText="1"/>
    </xf>
    <xf numFmtId="0" fontId="17" fillId="0" borderId="15" xfId="0" applyFont="1" applyBorder="1" applyAlignment="1">
      <alignment horizontal="center" vertical="center" wrapText="1"/>
    </xf>
    <xf numFmtId="0" fontId="13" fillId="0" borderId="15" xfId="0" applyFont="1" applyBorder="1" applyAlignment="1">
      <alignment horizontal="right" vertical="center" wrapText="1"/>
    </xf>
    <xf numFmtId="4" fontId="13" fillId="0" borderId="15" xfId="0" applyNumberFormat="1" applyFont="1" applyBorder="1" applyAlignment="1">
      <alignment horizontal="center" vertical="center" wrapText="1"/>
    </xf>
    <xf numFmtId="0" fontId="13" fillId="0" borderId="16" xfId="0" applyFont="1" applyBorder="1" applyAlignment="1">
      <alignment horizontal="left" vertical="center" wrapText="1"/>
    </xf>
    <xf numFmtId="0" fontId="18" fillId="0" borderId="15" xfId="0" applyFont="1" applyBorder="1" applyAlignment="1">
      <alignment horizontal="center" vertical="center"/>
    </xf>
    <xf numFmtId="4" fontId="18" fillId="0" borderId="15" xfId="0" applyNumberFormat="1" applyFont="1" applyBorder="1" applyAlignment="1">
      <alignment horizontal="center" vertical="center" wrapText="1"/>
    </xf>
    <xf numFmtId="2" fontId="18" fillId="0" borderId="15" xfId="0" applyNumberFormat="1" applyFont="1" applyBorder="1" applyAlignment="1">
      <alignment horizontal="center" vertical="center"/>
    </xf>
    <xf numFmtId="2" fontId="4" fillId="0" borderId="6" xfId="13" applyNumberFormat="1" applyFont="1" applyFill="1" applyBorder="1" applyAlignment="1">
      <alignment horizontal="center" vertical="center"/>
    </xf>
    <xf numFmtId="44" fontId="3" fillId="2" borderId="0" xfId="0" applyNumberFormat="1" applyFont="1" applyFill="1" applyAlignment="1">
      <alignment horizontal="center" vertical="center" wrapText="1"/>
    </xf>
    <xf numFmtId="44" fontId="3" fillId="2" borderId="0" xfId="1" applyNumberFormat="1" applyFont="1" applyFill="1" applyBorder="1" applyAlignment="1">
      <alignment horizontal="right" vertical="center" wrapText="1"/>
    </xf>
    <xf numFmtId="44" fontId="3" fillId="3" borderId="6" xfId="1" applyNumberFormat="1" applyFont="1" applyFill="1" applyBorder="1" applyAlignment="1">
      <alignment horizontal="center" vertical="center"/>
    </xf>
    <xf numFmtId="44" fontId="2" fillId="0" borderId="6" xfId="13" applyNumberFormat="1" applyFont="1" applyFill="1" applyBorder="1" applyAlignment="1">
      <alignment horizontal="center" vertical="center"/>
    </xf>
    <xf numFmtId="44" fontId="4" fillId="0" borderId="6" xfId="0" applyNumberFormat="1" applyFont="1" applyBorder="1" applyAlignment="1">
      <alignment horizontal="center" vertical="center"/>
    </xf>
    <xf numFmtId="44" fontId="3" fillId="0" borderId="6" xfId="0" applyNumberFormat="1" applyFont="1" applyBorder="1" applyAlignment="1">
      <alignment horizontal="center" vertical="center"/>
    </xf>
    <xf numFmtId="44" fontId="0" fillId="0" borderId="0" xfId="0" applyNumberFormat="1"/>
    <xf numFmtId="2" fontId="4" fillId="0" borderId="6" xfId="0" applyNumberFormat="1" applyFont="1" applyBorder="1" applyAlignment="1">
      <alignment horizontal="center" vertical="center"/>
    </xf>
    <xf numFmtId="0" fontId="4" fillId="6" borderId="6" xfId="0" quotePrefix="1" applyFont="1" applyFill="1" applyBorder="1" applyAlignment="1">
      <alignment horizontal="center" vertical="center"/>
    </xf>
    <xf numFmtId="0" fontId="4" fillId="6" borderId="6" xfId="0" applyFont="1" applyFill="1" applyBorder="1" applyAlignment="1">
      <alignment horizontal="center" vertical="center"/>
    </xf>
    <xf numFmtId="0" fontId="3" fillId="6" borderId="6" xfId="0" applyFont="1" applyFill="1" applyBorder="1" applyAlignment="1">
      <alignment horizontal="right" vertical="center" wrapText="1"/>
    </xf>
    <xf numFmtId="44" fontId="2" fillId="6" borderId="6" xfId="13" applyNumberFormat="1" applyFont="1" applyFill="1" applyBorder="1" applyAlignment="1">
      <alignment horizontal="center" vertical="center"/>
    </xf>
    <xf numFmtId="164" fontId="3" fillId="6" borderId="6" xfId="13" applyNumberFormat="1" applyFont="1" applyFill="1" applyBorder="1" applyAlignment="1">
      <alignment horizontal="right" vertical="center"/>
    </xf>
    <xf numFmtId="44" fontId="19" fillId="0" borderId="6" xfId="13" applyNumberFormat="1" applyFont="1" applyFill="1" applyBorder="1" applyAlignment="1">
      <alignment horizontal="center" vertical="center"/>
    </xf>
    <xf numFmtId="0" fontId="4" fillId="0" borderId="0" xfId="0" applyFont="1" applyAlignment="1">
      <alignment horizontal="center" vertical="center"/>
    </xf>
    <xf numFmtId="0" fontId="4" fillId="0" borderId="0" xfId="0" applyFont="1" applyAlignment="1">
      <alignment horizontal="left" vertical="center" wrapText="1"/>
    </xf>
    <xf numFmtId="44" fontId="4" fillId="0" borderId="0" xfId="0" applyNumberFormat="1" applyFont="1" applyAlignment="1">
      <alignment horizontal="center" vertical="center"/>
    </xf>
    <xf numFmtId="0" fontId="11" fillId="0" borderId="0" xfId="0" applyFont="1" applyAlignment="1">
      <alignment horizontal="left" vertical="center" wrapText="1"/>
    </xf>
    <xf numFmtId="0" fontId="4" fillId="0" borderId="9" xfId="0" applyFont="1" applyBorder="1" applyAlignment="1">
      <alignment horizontal="center" vertical="center"/>
    </xf>
    <xf numFmtId="0" fontId="4" fillId="0" borderId="9" xfId="0" applyFont="1" applyBorder="1" applyAlignment="1">
      <alignment horizontal="left" vertical="center" wrapText="1"/>
    </xf>
    <xf numFmtId="44" fontId="4" fillId="0" borderId="9" xfId="0" applyNumberFormat="1" applyFont="1" applyBorder="1" applyAlignment="1">
      <alignment horizontal="center" vertical="center"/>
    </xf>
    <xf numFmtId="0" fontId="4" fillId="0" borderId="15" xfId="0" applyFont="1" applyBorder="1" applyAlignment="1">
      <alignment horizontal="center" vertical="center"/>
    </xf>
    <xf numFmtId="44" fontId="4" fillId="0" borderId="15" xfId="0" applyNumberFormat="1" applyFont="1" applyBorder="1" applyAlignment="1">
      <alignment horizontal="center" vertical="center"/>
    </xf>
    <xf numFmtId="2" fontId="4" fillId="0" borderId="9" xfId="0" applyNumberFormat="1" applyFont="1" applyBorder="1" applyAlignment="1">
      <alignment horizontal="center" vertical="center"/>
    </xf>
    <xf numFmtId="44" fontId="2" fillId="0" borderId="9" xfId="13" applyNumberFormat="1" applyFont="1" applyFill="1" applyBorder="1" applyAlignment="1">
      <alignment horizontal="center" vertical="center"/>
    </xf>
    <xf numFmtId="0" fontId="3" fillId="0" borderId="15" xfId="0" applyFont="1" applyBorder="1" applyAlignment="1">
      <alignment horizontal="right" vertical="center" wrapText="1"/>
    </xf>
    <xf numFmtId="164" fontId="3" fillId="0" borderId="15" xfId="0" applyNumberFormat="1" applyFont="1" applyBorder="1" applyAlignment="1">
      <alignment horizontal="center" vertical="center"/>
    </xf>
    <xf numFmtId="44" fontId="2" fillId="0" borderId="0" xfId="0" applyNumberFormat="1" applyFont="1"/>
    <xf numFmtId="44" fontId="2" fillId="0" borderId="6" xfId="14" applyFont="1" applyBorder="1" applyAlignment="1">
      <alignment horizontal="center" vertical="center"/>
    </xf>
    <xf numFmtId="44" fontId="2" fillId="6" borderId="6" xfId="14" applyFont="1" applyFill="1" applyBorder="1" applyAlignment="1">
      <alignment horizontal="center" vertical="center"/>
    </xf>
    <xf numFmtId="2" fontId="3" fillId="0" borderId="6" xfId="0" applyNumberFormat="1" applyFont="1" applyBorder="1" applyAlignment="1">
      <alignment horizontal="center" vertical="center"/>
    </xf>
    <xf numFmtId="2" fontId="13" fillId="0" borderId="15" xfId="0" applyNumberFormat="1" applyFont="1" applyBorder="1"/>
    <xf numFmtId="0" fontId="13" fillId="0" borderId="16" xfId="0" applyFont="1" applyBorder="1" applyAlignment="1">
      <alignment horizontal="right" vertical="center"/>
    </xf>
    <xf numFmtId="0" fontId="13" fillId="0" borderId="17" xfId="0" applyFont="1" applyBorder="1" applyAlignment="1">
      <alignment horizontal="right" vertical="center"/>
    </xf>
    <xf numFmtId="0" fontId="13" fillId="0" borderId="15" xfId="0" applyFont="1" applyBorder="1" applyAlignment="1">
      <alignment horizontal="right" vertical="center"/>
    </xf>
    <xf numFmtId="0" fontId="13" fillId="0" borderId="20" xfId="0" applyFont="1" applyBorder="1"/>
    <xf numFmtId="0" fontId="13" fillId="0" borderId="17" xfId="0" applyFont="1" applyBorder="1"/>
    <xf numFmtId="0" fontId="13" fillId="0" borderId="20" xfId="0" applyFont="1" applyBorder="1" applyAlignment="1">
      <alignment horizontal="left" vertical="center" wrapText="1"/>
    </xf>
    <xf numFmtId="0" fontId="13" fillId="0" borderId="15" xfId="0" applyFont="1" applyBorder="1" applyAlignment="1">
      <alignment horizontal="center" wrapText="1"/>
    </xf>
    <xf numFmtId="0" fontId="10" fillId="0" borderId="15" xfId="0" applyFont="1" applyBorder="1" applyAlignment="1">
      <alignment horizontal="center" vertical="center"/>
    </xf>
    <xf numFmtId="0" fontId="10" fillId="0" borderId="15" xfId="0" applyFont="1" applyBorder="1" applyAlignment="1">
      <alignment horizontal="left" vertical="center"/>
    </xf>
    <xf numFmtId="0" fontId="15" fillId="0" borderId="15" xfId="0" applyFont="1" applyBorder="1" applyAlignment="1">
      <alignment horizontal="center" vertical="center"/>
    </xf>
    <xf numFmtId="4" fontId="15" fillId="0" borderId="15" xfId="0" applyNumberFormat="1" applyFont="1" applyBorder="1" applyAlignment="1">
      <alignment horizontal="center" vertical="center"/>
    </xf>
    <xf numFmtId="2" fontId="13" fillId="7" borderId="15" xfId="0" applyNumberFormat="1" applyFont="1" applyFill="1" applyBorder="1" applyAlignment="1">
      <alignment horizontal="center" vertical="center"/>
    </xf>
    <xf numFmtId="0" fontId="13" fillId="7" borderId="15" xfId="0" applyFont="1" applyFill="1" applyBorder="1" applyAlignment="1">
      <alignment horizontal="left" vertical="center" wrapText="1"/>
    </xf>
    <xf numFmtId="0" fontId="12" fillId="7" borderId="15" xfId="0" applyFont="1" applyFill="1" applyBorder="1" applyAlignment="1">
      <alignment horizontal="center" vertical="center"/>
    </xf>
    <xf numFmtId="4" fontId="12" fillId="7" borderId="15" xfId="0" applyNumberFormat="1" applyFont="1" applyFill="1" applyBorder="1" applyAlignment="1">
      <alignment horizontal="center" vertical="center" wrapText="1"/>
    </xf>
    <xf numFmtId="4" fontId="13" fillId="7" borderId="15" xfId="0" applyNumberFormat="1" applyFont="1" applyFill="1" applyBorder="1" applyAlignment="1">
      <alignment horizontal="center" vertical="center" wrapText="1"/>
    </xf>
    <xf numFmtId="0" fontId="18" fillId="7" borderId="15" xfId="0" applyFont="1" applyFill="1" applyBorder="1" applyAlignment="1">
      <alignment horizontal="right"/>
    </xf>
    <xf numFmtId="0" fontId="13" fillId="7" borderId="15" xfId="0" applyFont="1" applyFill="1" applyBorder="1" applyAlignment="1">
      <alignment horizontal="right"/>
    </xf>
    <xf numFmtId="0" fontId="13" fillId="7" borderId="15" xfId="0" applyFont="1" applyFill="1" applyBorder="1"/>
    <xf numFmtId="2" fontId="13" fillId="7" borderId="15" xfId="0" applyNumberFormat="1" applyFont="1" applyFill="1" applyBorder="1" applyAlignment="1">
      <alignment horizontal="center"/>
    </xf>
    <xf numFmtId="0" fontId="13" fillId="7" borderId="15" xfId="0" applyFont="1" applyFill="1" applyBorder="1" applyAlignment="1">
      <alignment horizontal="center"/>
    </xf>
    <xf numFmtId="0" fontId="18" fillId="7" borderId="15" xfId="0" applyFont="1" applyFill="1" applyBorder="1" applyAlignment="1">
      <alignment horizontal="center"/>
    </xf>
    <xf numFmtId="2" fontId="18" fillId="7" borderId="15" xfId="0" applyNumberFormat="1" applyFont="1" applyFill="1" applyBorder="1" applyAlignment="1">
      <alignment horizontal="center"/>
    </xf>
    <xf numFmtId="0" fontId="20" fillId="0" borderId="15" xfId="0" applyFont="1" applyBorder="1" applyAlignment="1">
      <alignment horizontal="right" vertical="center"/>
    </xf>
    <xf numFmtId="4" fontId="16" fillId="0" borderId="15" xfId="0" applyNumberFormat="1" applyFont="1" applyBorder="1" applyAlignment="1">
      <alignment horizontal="center" vertical="center"/>
    </xf>
    <xf numFmtId="4" fontId="22" fillId="0" borderId="15" xfId="0" applyNumberFormat="1" applyFont="1" applyBorder="1" applyAlignment="1">
      <alignment horizontal="center" vertical="center"/>
    </xf>
    <xf numFmtId="0" fontId="12" fillId="0" borderId="20" xfId="0" applyFont="1" applyBorder="1" applyAlignment="1">
      <alignment horizontal="center" vertical="center"/>
    </xf>
    <xf numFmtId="2" fontId="13" fillId="0" borderId="17" xfId="0" applyNumberFormat="1" applyFont="1" applyBorder="1" applyAlignment="1">
      <alignment horizontal="center"/>
    </xf>
    <xf numFmtId="43" fontId="13" fillId="0" borderId="15" xfId="0" applyNumberFormat="1" applyFont="1" applyBorder="1"/>
    <xf numFmtId="164" fontId="10" fillId="0" borderId="23" xfId="0" applyNumberFormat="1" applyFont="1" applyBorder="1" applyAlignment="1">
      <alignment horizontal="center" vertical="center"/>
    </xf>
    <xf numFmtId="0" fontId="0" fillId="0" borderId="24" xfId="0" applyBorder="1"/>
    <xf numFmtId="0" fontId="0" fillId="0" borderId="16" xfId="0" applyBorder="1"/>
    <xf numFmtId="0" fontId="0" fillId="0" borderId="25" xfId="0" applyBorder="1"/>
    <xf numFmtId="0" fontId="10" fillId="0" borderId="29" xfId="0" applyFont="1" applyBorder="1" applyAlignment="1">
      <alignment horizontal="center" vertical="center"/>
    </xf>
    <xf numFmtId="0" fontId="10" fillId="0" borderId="18" xfId="0" applyFont="1" applyBorder="1" applyAlignment="1">
      <alignment horizontal="center" vertical="center"/>
    </xf>
    <xf numFmtId="0" fontId="10" fillId="0" borderId="30" xfId="0" applyFont="1" applyBorder="1" applyAlignment="1">
      <alignment horizontal="center" vertical="center"/>
    </xf>
    <xf numFmtId="0" fontId="0" fillId="0" borderId="31" xfId="0" applyBorder="1" applyAlignment="1">
      <alignment horizontal="center" vertical="center"/>
    </xf>
    <xf numFmtId="0" fontId="0" fillId="0" borderId="15" xfId="0" applyBorder="1" applyAlignment="1">
      <alignment horizontal="center" vertical="center"/>
    </xf>
    <xf numFmtId="0" fontId="0" fillId="0" borderId="15" xfId="0" applyBorder="1" applyAlignment="1">
      <alignment horizontal="left" vertical="center" wrapText="1"/>
    </xf>
    <xf numFmtId="0" fontId="0" fillId="0" borderId="23" xfId="0" applyBorder="1" applyAlignment="1">
      <alignment horizontal="center" vertical="center"/>
    </xf>
    <xf numFmtId="0" fontId="10" fillId="0" borderId="34" xfId="0" applyFont="1" applyBorder="1" applyAlignment="1">
      <alignment horizontal="center" vertical="center"/>
    </xf>
    <xf numFmtId="0" fontId="10" fillId="0" borderId="35" xfId="0" applyFont="1" applyBorder="1" applyAlignment="1">
      <alignment horizontal="center" vertical="center"/>
    </xf>
    <xf numFmtId="0" fontId="10" fillId="0" borderId="36" xfId="0" applyFont="1" applyBorder="1" applyAlignment="1">
      <alignment horizontal="center" vertical="center"/>
    </xf>
    <xf numFmtId="0" fontId="0" fillId="0" borderId="31" xfId="0" applyBorder="1"/>
    <xf numFmtId="0" fontId="0" fillId="0" borderId="15" xfId="0" applyBorder="1"/>
    <xf numFmtId="0" fontId="0" fillId="0" borderId="23" xfId="0" applyBorder="1"/>
    <xf numFmtId="164" fontId="0" fillId="0" borderId="23" xfId="0" applyNumberFormat="1" applyBorder="1" applyAlignment="1">
      <alignment horizontal="center" vertical="center"/>
    </xf>
    <xf numFmtId="164" fontId="10" fillId="0" borderId="40" xfId="0" applyNumberFormat="1" applyFont="1" applyBorder="1" applyAlignment="1">
      <alignment horizontal="center" vertical="center"/>
    </xf>
    <xf numFmtId="0" fontId="0" fillId="0" borderId="41" xfId="0" applyBorder="1"/>
    <xf numFmtId="17" fontId="0" fillId="7" borderId="43" xfId="0" applyNumberFormat="1" applyFill="1" applyBorder="1" applyAlignment="1">
      <alignment horizontal="left"/>
    </xf>
    <xf numFmtId="0" fontId="0" fillId="0" borderId="43" xfId="0" applyBorder="1"/>
    <xf numFmtId="0" fontId="0" fillId="0" borderId="47" xfId="0" applyBorder="1"/>
    <xf numFmtId="0" fontId="10" fillId="0" borderId="48" xfId="0" applyFont="1" applyBorder="1" applyAlignment="1">
      <alignment horizontal="center" vertical="center"/>
    </xf>
    <xf numFmtId="0" fontId="10" fillId="0" borderId="17" xfId="0" applyFont="1" applyBorder="1" applyAlignment="1">
      <alignment horizontal="center" vertical="center"/>
    </xf>
    <xf numFmtId="0" fontId="10" fillId="0" borderId="50" xfId="0" applyFont="1" applyBorder="1" applyAlignment="1">
      <alignment horizontal="center" vertical="center"/>
    </xf>
    <xf numFmtId="0" fontId="0" fillId="0" borderId="51" xfId="0" applyBorder="1" applyAlignment="1">
      <alignment horizontal="center" vertical="center"/>
    </xf>
    <xf numFmtId="8" fontId="0" fillId="0" borderId="15" xfId="0" applyNumberFormat="1" applyBorder="1" applyAlignment="1">
      <alignment horizontal="center" vertical="center"/>
    </xf>
    <xf numFmtId="8" fontId="0" fillId="0" borderId="43" xfId="0" applyNumberFormat="1" applyBorder="1" applyAlignment="1">
      <alignment horizontal="center" vertical="center"/>
    </xf>
    <xf numFmtId="0" fontId="0" fillId="0" borderId="17" xfId="0" applyBorder="1"/>
    <xf numFmtId="164" fontId="10" fillId="0" borderId="50" xfId="0" applyNumberFormat="1" applyFont="1" applyBorder="1" applyAlignment="1">
      <alignment horizontal="center" vertical="center"/>
    </xf>
    <xf numFmtId="0" fontId="6" fillId="0" borderId="6" xfId="0" applyFont="1" applyBorder="1" applyAlignment="1">
      <alignment horizontal="left" vertical="center" wrapText="1"/>
    </xf>
    <xf numFmtId="2" fontId="13" fillId="0" borderId="51" xfId="0" applyNumberFormat="1" applyFont="1" applyBorder="1" applyAlignment="1">
      <alignment horizontal="center" vertical="center"/>
    </xf>
    <xf numFmtId="0" fontId="16" fillId="0" borderId="15" xfId="0" applyFont="1" applyBorder="1" applyAlignment="1">
      <alignment horizontal="center" vertical="center"/>
    </xf>
    <xf numFmtId="2" fontId="16" fillId="0" borderId="15" xfId="0" applyNumberFormat="1" applyFont="1" applyBorder="1" applyAlignment="1">
      <alignment horizontal="center" vertical="center"/>
    </xf>
    <xf numFmtId="4" fontId="12" fillId="0" borderId="20" xfId="0" applyNumberFormat="1" applyFont="1" applyBorder="1" applyAlignment="1">
      <alignment horizontal="center" vertical="center" wrapText="1"/>
    </xf>
    <xf numFmtId="4" fontId="12" fillId="2" borderId="16" xfId="0" applyNumberFormat="1" applyFont="1" applyFill="1" applyBorder="1" applyAlignment="1">
      <alignment horizontal="center" vertical="center" wrapText="1"/>
    </xf>
    <xf numFmtId="4" fontId="12" fillId="2" borderId="17" xfId="0" applyNumberFormat="1" applyFont="1" applyFill="1" applyBorder="1" applyAlignment="1">
      <alignment horizontal="center" vertical="center" wrapText="1"/>
    </xf>
    <xf numFmtId="0" fontId="13" fillId="0" borderId="51" xfId="0" applyFont="1" applyBorder="1" applyAlignment="1">
      <alignment horizontal="right"/>
    </xf>
    <xf numFmtId="4" fontId="12" fillId="2" borderId="20" xfId="0" applyNumberFormat="1" applyFont="1" applyFill="1" applyBorder="1" applyAlignment="1">
      <alignment horizontal="center" vertical="center" wrapText="1"/>
    </xf>
    <xf numFmtId="4" fontId="12" fillId="2" borderId="54" xfId="0" applyNumberFormat="1" applyFont="1" applyFill="1" applyBorder="1" applyAlignment="1">
      <alignment horizontal="center" vertical="center" wrapText="1"/>
    </xf>
    <xf numFmtId="4" fontId="16" fillId="0" borderId="20" xfId="0" applyNumberFormat="1" applyFont="1" applyBorder="1" applyAlignment="1">
      <alignment horizontal="center" vertical="center"/>
    </xf>
    <xf numFmtId="0" fontId="12" fillId="0" borderId="16" xfId="0" applyFont="1" applyBorder="1" applyAlignment="1">
      <alignment horizontal="center" vertical="center"/>
    </xf>
    <xf numFmtId="0" fontId="16" fillId="0" borderId="17" xfId="0" applyFont="1" applyBorder="1" applyAlignment="1">
      <alignment horizontal="center" vertical="center"/>
    </xf>
    <xf numFmtId="4" fontId="16" fillId="0" borderId="17" xfId="0" applyNumberFormat="1" applyFont="1" applyBorder="1" applyAlignment="1">
      <alignment horizontal="center" vertical="center"/>
    </xf>
    <xf numFmtId="166" fontId="16" fillId="0" borderId="15" xfId="0" applyNumberFormat="1" applyFont="1" applyBorder="1" applyAlignment="1">
      <alignment horizontal="center" vertical="center"/>
    </xf>
    <xf numFmtId="0" fontId="23" fillId="0" borderId="19" xfId="0" applyFont="1" applyBorder="1" applyAlignment="1">
      <alignment horizontal="right" vertical="center" wrapText="1"/>
    </xf>
    <xf numFmtId="0" fontId="20" fillId="0" borderId="55" xfId="0" applyFont="1" applyBorder="1" applyAlignment="1">
      <alignment horizontal="right" vertical="center"/>
    </xf>
    <xf numFmtId="0" fontId="13" fillId="0" borderId="16" xfId="0" applyFont="1" applyBorder="1"/>
    <xf numFmtId="2" fontId="16" fillId="0" borderId="16" xfId="0" applyNumberFormat="1" applyFont="1" applyBorder="1" applyAlignment="1">
      <alignment horizontal="center" vertical="center"/>
    </xf>
    <xf numFmtId="4" fontId="16" fillId="0" borderId="16" xfId="0" applyNumberFormat="1" applyFont="1" applyBorder="1" applyAlignment="1">
      <alignment horizontal="center" vertical="center"/>
    </xf>
    <xf numFmtId="4" fontId="16" fillId="0" borderId="56" xfId="0" applyNumberFormat="1" applyFont="1" applyBorder="1" applyAlignment="1">
      <alignment horizontal="center" vertical="center"/>
    </xf>
    <xf numFmtId="166" fontId="16" fillId="0" borderId="16" xfId="0" applyNumberFormat="1" applyFont="1" applyBorder="1" applyAlignment="1">
      <alignment horizontal="center" vertical="center"/>
    </xf>
    <xf numFmtId="0" fontId="23" fillId="0" borderId="15" xfId="0" applyFont="1" applyBorder="1" applyAlignment="1">
      <alignment horizontal="right" vertical="center" wrapText="1"/>
    </xf>
    <xf numFmtId="0" fontId="13" fillId="0" borderId="17" xfId="0" applyFont="1" applyBorder="1" applyAlignment="1">
      <alignment horizontal="right"/>
    </xf>
    <xf numFmtId="0" fontId="21" fillId="0" borderId="15" xfId="0" applyFont="1" applyBorder="1" applyAlignment="1">
      <alignment horizontal="right" vertical="center" wrapText="1"/>
    </xf>
    <xf numFmtId="4" fontId="18" fillId="2" borderId="15" xfId="0" applyNumberFormat="1" applyFont="1" applyFill="1" applyBorder="1" applyAlignment="1">
      <alignment horizontal="center" vertical="center" wrapText="1"/>
    </xf>
    <xf numFmtId="0" fontId="21" fillId="0" borderId="51" xfId="0" applyFont="1" applyBorder="1" applyAlignment="1">
      <alignment horizontal="right"/>
    </xf>
    <xf numFmtId="0" fontId="13" fillId="0" borderId="51" xfId="0" applyFont="1" applyBorder="1"/>
    <xf numFmtId="0" fontId="18" fillId="0" borderId="16" xfId="0" applyFont="1" applyBorder="1" applyAlignment="1">
      <alignment horizontal="center"/>
    </xf>
    <xf numFmtId="2" fontId="18" fillId="0" borderId="16" xfId="0" applyNumberFormat="1" applyFont="1" applyBorder="1" applyAlignment="1">
      <alignment horizontal="center"/>
    </xf>
    <xf numFmtId="0" fontId="13" fillId="0" borderId="15" xfId="0" applyFont="1" applyBorder="1" applyAlignment="1">
      <alignment horizontal="left" vertical="center"/>
    </xf>
    <xf numFmtId="0" fontId="24" fillId="0" borderId="48" xfId="0" applyFont="1" applyBorder="1" applyAlignment="1">
      <alignment horizontal="center" vertical="center"/>
    </xf>
    <xf numFmtId="0" fontId="24" fillId="0" borderId="17" xfId="0" applyFont="1" applyBorder="1" applyAlignment="1">
      <alignment horizontal="center" vertical="center"/>
    </xf>
    <xf numFmtId="0" fontId="24" fillId="0" borderId="18" xfId="0" applyFont="1" applyBorder="1" applyAlignment="1">
      <alignment horizontal="center" vertical="center"/>
    </xf>
    <xf numFmtId="0" fontId="24" fillId="0" borderId="50" xfId="0" applyFont="1" applyBorder="1" applyAlignment="1">
      <alignment horizontal="center" vertical="center"/>
    </xf>
    <xf numFmtId="0" fontId="0" fillId="0" borderId="16" xfId="0" applyBorder="1" applyAlignment="1">
      <alignment horizontal="center" vertical="center"/>
    </xf>
    <xf numFmtId="164" fontId="24" fillId="0" borderId="23" xfId="0" applyNumberFormat="1" applyFont="1" applyBorder="1" applyAlignment="1">
      <alignment horizontal="center" vertical="center"/>
    </xf>
    <xf numFmtId="0" fontId="24" fillId="0" borderId="29" xfId="0" applyFont="1" applyBorder="1" applyAlignment="1">
      <alignment horizontal="center" vertical="center"/>
    </xf>
    <xf numFmtId="0" fontId="24" fillId="0" borderId="30" xfId="0" applyFont="1" applyBorder="1" applyAlignment="1">
      <alignment horizontal="center" vertical="center"/>
    </xf>
    <xf numFmtId="0" fontId="0" fillId="0" borderId="21" xfId="0" applyBorder="1" applyAlignment="1">
      <alignment horizontal="center" vertical="center"/>
    </xf>
    <xf numFmtId="0" fontId="25" fillId="5" borderId="52" xfId="0" applyFont="1" applyFill="1" applyBorder="1" applyAlignment="1">
      <alignment horizontal="center" vertical="center" wrapText="1"/>
    </xf>
    <xf numFmtId="0" fontId="0" fillId="0" borderId="54" xfId="0" applyBorder="1" applyAlignment="1">
      <alignment horizontal="left" vertical="center" wrapText="1"/>
    </xf>
    <xf numFmtId="0" fontId="0" fillId="0" borderId="17" xfId="0" applyBorder="1" applyAlignment="1">
      <alignment horizontal="center" vertical="center"/>
    </xf>
    <xf numFmtId="164" fontId="24" fillId="0" borderId="50" xfId="0" applyNumberFormat="1" applyFont="1" applyBorder="1" applyAlignment="1">
      <alignment horizontal="center" vertical="center"/>
    </xf>
    <xf numFmtId="0" fontId="24" fillId="0" borderId="34" xfId="0" applyFont="1" applyBorder="1" applyAlignment="1">
      <alignment horizontal="center" vertical="center"/>
    </xf>
    <xf numFmtId="0" fontId="24" fillId="0" borderId="35" xfId="0" applyFont="1" applyBorder="1" applyAlignment="1">
      <alignment horizontal="center" vertical="center"/>
    </xf>
    <xf numFmtId="0" fontId="24" fillId="0" borderId="36" xfId="0" applyFont="1" applyBorder="1" applyAlignment="1">
      <alignment horizontal="center" vertical="center"/>
    </xf>
    <xf numFmtId="164" fontId="24" fillId="0" borderId="40" xfId="0" applyNumberFormat="1" applyFont="1" applyBorder="1" applyAlignment="1">
      <alignment horizontal="center" vertical="center"/>
    </xf>
    <xf numFmtId="4" fontId="16" fillId="2" borderId="15" xfId="0" applyNumberFormat="1" applyFont="1" applyFill="1" applyBorder="1" applyAlignment="1">
      <alignment horizontal="center" vertical="center" wrapText="1"/>
    </xf>
    <xf numFmtId="166" fontId="16" fillId="2" borderId="15" xfId="0" applyNumberFormat="1" applyFont="1" applyFill="1" applyBorder="1" applyAlignment="1">
      <alignment horizontal="center" vertical="center" wrapText="1"/>
    </xf>
    <xf numFmtId="4" fontId="16" fillId="0" borderId="15" xfId="0" applyNumberFormat="1" applyFont="1" applyBorder="1" applyAlignment="1">
      <alignment horizontal="center" vertical="center" wrapText="1"/>
    </xf>
    <xf numFmtId="0" fontId="21" fillId="0" borderId="19" xfId="0" applyFont="1" applyBorder="1" applyAlignment="1">
      <alignment horizontal="right" vertical="center" wrapText="1"/>
    </xf>
    <xf numFmtId="0" fontId="13" fillId="0" borderId="17" xfId="0" applyFont="1" applyBorder="1" applyAlignment="1">
      <alignment horizontal="right" vertical="center" wrapText="1"/>
    </xf>
    <xf numFmtId="4" fontId="13" fillId="2" borderId="20" xfId="0" applyNumberFormat="1" applyFont="1" applyFill="1" applyBorder="1" applyAlignment="1">
      <alignment horizontal="center" vertical="center" wrapText="1"/>
    </xf>
    <xf numFmtId="4" fontId="22" fillId="0" borderId="15" xfId="0" applyNumberFormat="1" applyFont="1" applyBorder="1" applyAlignment="1">
      <alignment horizontal="center" vertical="center" wrapText="1"/>
    </xf>
    <xf numFmtId="0" fontId="12" fillId="2" borderId="15" xfId="0" applyFont="1" applyFill="1" applyBorder="1" applyAlignment="1">
      <alignment horizontal="left" vertical="center" wrapText="1"/>
    </xf>
    <xf numFmtId="44" fontId="0" fillId="0" borderId="15" xfId="0" applyNumberFormat="1" applyBorder="1"/>
    <xf numFmtId="0" fontId="4" fillId="0" borderId="7" xfId="0" applyFont="1" applyBorder="1" applyAlignment="1">
      <alignment horizontal="center" vertical="center"/>
    </xf>
    <xf numFmtId="44" fontId="2" fillId="0" borderId="8" xfId="13" applyNumberFormat="1" applyFont="1" applyFill="1" applyBorder="1" applyAlignment="1">
      <alignment horizontal="center" vertical="center"/>
    </xf>
    <xf numFmtId="0" fontId="4" fillId="6" borderId="10" xfId="0" applyFont="1" applyFill="1" applyBorder="1" applyAlignment="1">
      <alignment horizontal="center" vertical="center"/>
    </xf>
    <xf numFmtId="44" fontId="2" fillId="6" borderId="10" xfId="14" applyFont="1" applyFill="1" applyBorder="1" applyAlignment="1">
      <alignment horizontal="center" vertical="center"/>
    </xf>
    <xf numFmtId="0" fontId="16" fillId="0" borderId="20" xfId="0" applyFont="1" applyBorder="1" applyAlignment="1">
      <alignment horizontal="left" vertical="center" wrapText="1"/>
    </xf>
    <xf numFmtId="0" fontId="6" fillId="0" borderId="6" xfId="0" applyFont="1" applyBorder="1" applyAlignment="1">
      <alignment horizontal="center" vertical="center"/>
    </xf>
    <xf numFmtId="44" fontId="6" fillId="0" borderId="6" xfId="0" applyNumberFormat="1" applyFont="1" applyBorder="1" applyAlignment="1">
      <alignment horizontal="center" vertical="center"/>
    </xf>
    <xf numFmtId="0" fontId="9" fillId="0" borderId="0" xfId="0" quotePrefix="1" applyFont="1" applyAlignment="1">
      <alignment horizontal="center" vertical="center"/>
    </xf>
    <xf numFmtId="2" fontId="12" fillId="0" borderId="61" xfId="0" applyNumberFormat="1" applyFont="1" applyBorder="1" applyAlignment="1">
      <alignment horizontal="center" vertical="center"/>
    </xf>
    <xf numFmtId="4" fontId="12" fillId="0" borderId="62" xfId="0" applyNumberFormat="1" applyFont="1" applyBorder="1" applyAlignment="1">
      <alignment horizontal="center" vertical="center" wrapText="1"/>
    </xf>
    <xf numFmtId="4" fontId="15" fillId="4" borderId="63" xfId="0" applyNumberFormat="1" applyFont="1" applyFill="1" applyBorder="1" applyAlignment="1">
      <alignment horizontal="center" vertical="center"/>
    </xf>
    <xf numFmtId="2" fontId="12" fillId="0" borderId="64" xfId="0" applyNumberFormat="1" applyFont="1" applyBorder="1" applyAlignment="1">
      <alignment horizontal="center" vertical="center"/>
    </xf>
    <xf numFmtId="164" fontId="0" fillId="0" borderId="0" xfId="0" applyNumberFormat="1"/>
    <xf numFmtId="0" fontId="0" fillId="0" borderId="0" xfId="0" applyAlignment="1">
      <alignment horizontal="center" vertical="center"/>
    </xf>
    <xf numFmtId="0" fontId="31" fillId="11" borderId="69" xfId="0" applyFont="1" applyFill="1" applyBorder="1" applyAlignment="1">
      <alignment horizontal="center" vertical="center"/>
    </xf>
    <xf numFmtId="0" fontId="32" fillId="0" borderId="69" xfId="0" applyFont="1" applyBorder="1" applyAlignment="1">
      <alignment horizontal="center" vertical="center"/>
    </xf>
    <xf numFmtId="10" fontId="32" fillId="0" borderId="69" xfId="0" applyNumberFormat="1" applyFont="1" applyBorder="1" applyAlignment="1">
      <alignment horizontal="center" vertical="center"/>
    </xf>
    <xf numFmtId="10" fontId="31" fillId="0" borderId="69" xfId="0" applyNumberFormat="1" applyFont="1" applyBorder="1" applyAlignment="1">
      <alignment horizontal="center" vertical="center"/>
    </xf>
    <xf numFmtId="0" fontId="31" fillId="0" borderId="69" xfId="0" applyFont="1" applyBorder="1" applyAlignment="1">
      <alignment horizontal="center" vertical="center"/>
    </xf>
    <xf numFmtId="0" fontId="30" fillId="11" borderId="57" xfId="0" applyFont="1" applyFill="1" applyBorder="1" applyAlignment="1">
      <alignment horizontal="center" vertical="center"/>
    </xf>
    <xf numFmtId="0" fontId="31" fillId="11" borderId="0" xfId="0" applyFont="1" applyFill="1" applyAlignment="1">
      <alignment horizontal="center" vertical="center"/>
    </xf>
    <xf numFmtId="0" fontId="31" fillId="11" borderId="3" xfId="0" applyFont="1" applyFill="1" applyBorder="1" applyAlignment="1">
      <alignment horizontal="center" vertical="center"/>
    </xf>
    <xf numFmtId="0" fontId="31" fillId="11" borderId="5" xfId="0" applyFont="1" applyFill="1" applyBorder="1" applyAlignment="1">
      <alignment horizontal="center" vertical="center"/>
    </xf>
    <xf numFmtId="10" fontId="31" fillId="11" borderId="69" xfId="0" applyNumberFormat="1" applyFont="1" applyFill="1" applyBorder="1" applyAlignment="1">
      <alignment horizontal="center" vertical="center"/>
    </xf>
    <xf numFmtId="0" fontId="31" fillId="11" borderId="8" xfId="0" applyFont="1" applyFill="1" applyBorder="1" applyAlignment="1">
      <alignment horizontal="center" vertical="center"/>
    </xf>
    <xf numFmtId="0" fontId="30" fillId="11" borderId="10" xfId="0" applyFont="1" applyFill="1" applyBorder="1" applyAlignment="1">
      <alignment horizontal="center" vertical="center"/>
    </xf>
    <xf numFmtId="0" fontId="31" fillId="11" borderId="66" xfId="0" applyFont="1" applyFill="1" applyBorder="1" applyAlignment="1">
      <alignment horizontal="center" vertical="center"/>
    </xf>
    <xf numFmtId="43" fontId="3" fillId="0" borderId="6" xfId="1" applyFont="1" applyFill="1" applyBorder="1" applyAlignment="1">
      <alignment horizontal="center" vertical="center"/>
    </xf>
    <xf numFmtId="44" fontId="2" fillId="0" borderId="6" xfId="1" applyNumberFormat="1" applyFont="1" applyFill="1" applyBorder="1" applyAlignment="1">
      <alignment horizontal="center" vertical="center"/>
    </xf>
    <xf numFmtId="43" fontId="3" fillId="0" borderId="6" xfId="1" applyFont="1" applyFill="1" applyBorder="1" applyAlignment="1">
      <alignment horizontal="right" vertical="center"/>
    </xf>
    <xf numFmtId="0" fontId="7" fillId="6" borderId="10" xfId="0" applyFont="1" applyFill="1" applyBorder="1" applyAlignment="1">
      <alignment horizontal="right" vertical="center" wrapText="1"/>
    </xf>
    <xf numFmtId="0" fontId="7" fillId="6" borderId="6" xfId="0" applyFont="1" applyFill="1" applyBorder="1" applyAlignment="1">
      <alignment horizontal="right" vertical="center" wrapText="1"/>
    </xf>
    <xf numFmtId="0" fontId="10" fillId="4" borderId="20" xfId="0" applyFont="1" applyFill="1" applyBorder="1" applyAlignment="1">
      <alignment horizontal="left" vertical="center"/>
    </xf>
    <xf numFmtId="2" fontId="12" fillId="0" borderId="17" xfId="0" applyNumberFormat="1" applyFont="1" applyBorder="1" applyAlignment="1">
      <alignment horizontal="center" vertical="center"/>
    </xf>
    <xf numFmtId="0" fontId="31" fillId="3" borderId="69" xfId="0" applyFont="1" applyFill="1" applyBorder="1" applyAlignment="1">
      <alignment horizontal="center" vertical="center"/>
    </xf>
    <xf numFmtId="0" fontId="32" fillId="12" borderId="69" xfId="0" applyFont="1" applyFill="1" applyBorder="1" applyAlignment="1">
      <alignment horizontal="center" vertical="center"/>
    </xf>
    <xf numFmtId="10" fontId="32" fillId="12" borderId="69" xfId="0" applyNumberFormat="1" applyFont="1" applyFill="1" applyBorder="1" applyAlignment="1">
      <alignment horizontal="center" vertical="center"/>
    </xf>
    <xf numFmtId="10" fontId="31" fillId="12" borderId="69" xfId="0" applyNumberFormat="1" applyFont="1" applyFill="1" applyBorder="1" applyAlignment="1">
      <alignment horizontal="center" vertical="center"/>
    </xf>
    <xf numFmtId="0" fontId="31" fillId="12" borderId="69" xfId="0" applyFont="1" applyFill="1" applyBorder="1" applyAlignment="1">
      <alignment horizontal="center" vertical="center"/>
    </xf>
    <xf numFmtId="44" fontId="32" fillId="12" borderId="69" xfId="0" applyNumberFormat="1" applyFont="1" applyFill="1" applyBorder="1" applyAlignment="1">
      <alignment horizontal="center" vertical="center"/>
    </xf>
    <xf numFmtId="8" fontId="32" fillId="0" borderId="69" xfId="0" applyNumberFormat="1" applyFont="1" applyBorder="1" applyAlignment="1">
      <alignment horizontal="center" vertical="center"/>
    </xf>
    <xf numFmtId="2" fontId="13" fillId="0" borderId="16" xfId="0" applyNumberFormat="1" applyFont="1" applyBorder="1" applyAlignment="1">
      <alignment horizontal="center" vertical="center"/>
    </xf>
    <xf numFmtId="2" fontId="13" fillId="0" borderId="17" xfId="0" applyNumberFormat="1" applyFont="1" applyBorder="1" applyAlignment="1">
      <alignment horizontal="center" vertical="center"/>
    </xf>
    <xf numFmtId="2" fontId="13" fillId="0" borderId="16" xfId="0" applyNumberFormat="1" applyFont="1" applyBorder="1" applyAlignment="1">
      <alignment horizontal="center"/>
    </xf>
    <xf numFmtId="0" fontId="20" fillId="0" borderId="15" xfId="0" applyFont="1" applyBorder="1" applyAlignment="1">
      <alignment horizontal="center" vertical="center"/>
    </xf>
    <xf numFmtId="0" fontId="20" fillId="0" borderId="15" xfId="0" applyFont="1" applyBorder="1" applyAlignment="1">
      <alignment horizontal="left" vertical="center" wrapText="1"/>
    </xf>
    <xf numFmtId="2" fontId="12" fillId="0" borderId="16" xfId="0" applyNumberFormat="1" applyFont="1" applyBorder="1" applyAlignment="1">
      <alignment horizontal="center" vertical="center"/>
    </xf>
    <xf numFmtId="0" fontId="13" fillId="0" borderId="20" xfId="0" applyFont="1" applyBorder="1" applyAlignment="1">
      <alignment horizontal="right"/>
    </xf>
    <xf numFmtId="0" fontId="13" fillId="0" borderId="20" xfId="0" applyFont="1" applyBorder="1" applyAlignment="1">
      <alignment horizontal="right" vertical="center" wrapText="1"/>
    </xf>
    <xf numFmtId="0" fontId="13" fillId="0" borderId="16" xfId="0" applyFont="1" applyBorder="1" applyAlignment="1">
      <alignment horizontal="right"/>
    </xf>
    <xf numFmtId="2" fontId="13" fillId="0" borderId="51" xfId="0" applyNumberFormat="1" applyFont="1" applyBorder="1" applyAlignment="1">
      <alignment horizontal="center"/>
    </xf>
    <xf numFmtId="0" fontId="18" fillId="0" borderId="15" xfId="0" applyFont="1" applyBorder="1" applyAlignment="1">
      <alignment horizontal="right"/>
    </xf>
    <xf numFmtId="0" fontId="18" fillId="0" borderId="17" xfId="0" applyFont="1" applyBorder="1" applyAlignment="1">
      <alignment horizontal="right" vertical="center"/>
    </xf>
    <xf numFmtId="4" fontId="13" fillId="0" borderId="17" xfId="0" applyNumberFormat="1" applyFont="1" applyBorder="1" applyAlignment="1">
      <alignment horizontal="center" vertical="center" wrapText="1"/>
    </xf>
    <xf numFmtId="4" fontId="13" fillId="0" borderId="51" xfId="0" applyNumberFormat="1" applyFont="1" applyBorder="1" applyAlignment="1">
      <alignment horizontal="center" vertical="center" wrapText="1"/>
    </xf>
    <xf numFmtId="2" fontId="13" fillId="0" borderId="20" xfId="0" applyNumberFormat="1" applyFont="1" applyBorder="1" applyAlignment="1">
      <alignment horizontal="center" vertical="center"/>
    </xf>
    <xf numFmtId="0" fontId="18" fillId="0" borderId="18" xfId="0" applyFont="1" applyBorder="1" applyAlignment="1">
      <alignment horizontal="center"/>
    </xf>
    <xf numFmtId="2" fontId="18" fillId="0" borderId="18" xfId="0" applyNumberFormat="1" applyFont="1" applyBorder="1" applyAlignment="1">
      <alignment horizontal="center"/>
    </xf>
    <xf numFmtId="0" fontId="18" fillId="0" borderId="15" xfId="0" applyFont="1" applyBorder="1" applyAlignment="1">
      <alignment horizontal="left" vertical="center" wrapText="1"/>
    </xf>
    <xf numFmtId="4" fontId="21" fillId="0" borderId="15" xfId="0" applyNumberFormat="1" applyFont="1" applyBorder="1" applyAlignment="1">
      <alignment horizontal="center" vertical="center" wrapText="1"/>
    </xf>
    <xf numFmtId="4" fontId="18" fillId="0" borderId="15" xfId="0" applyNumberFormat="1" applyFont="1" applyBorder="1" applyAlignment="1">
      <alignment horizontal="center"/>
    </xf>
    <xf numFmtId="0" fontId="12" fillId="2" borderId="20" xfId="0" applyFont="1" applyFill="1" applyBorder="1" applyAlignment="1">
      <alignment horizontal="left" vertical="center" wrapText="1"/>
    </xf>
    <xf numFmtId="2" fontId="12" fillId="0" borderId="15" xfId="0" applyNumberFormat="1" applyFont="1" applyFill="1" applyBorder="1" applyAlignment="1">
      <alignment horizontal="center" vertical="center"/>
    </xf>
    <xf numFmtId="2" fontId="0" fillId="0" borderId="15" xfId="0" applyNumberFormat="1" applyBorder="1" applyAlignment="1">
      <alignment horizontal="center" vertical="center"/>
    </xf>
    <xf numFmtId="2" fontId="13" fillId="0" borderId="15" xfId="0" applyNumberFormat="1" applyFont="1" applyFill="1" applyBorder="1" applyAlignment="1">
      <alignment horizontal="center" vertical="center"/>
    </xf>
    <xf numFmtId="0" fontId="13" fillId="0" borderId="15" xfId="0" applyFont="1" applyFill="1" applyBorder="1" applyAlignment="1">
      <alignment horizontal="left" vertical="center" wrapText="1"/>
    </xf>
    <xf numFmtId="0" fontId="12" fillId="0" borderId="15" xfId="0" applyFont="1" applyFill="1" applyBorder="1" applyAlignment="1">
      <alignment horizontal="center" vertical="center"/>
    </xf>
    <xf numFmtId="4" fontId="12" fillId="0" borderId="15" xfId="0" applyNumberFormat="1" applyFont="1" applyFill="1" applyBorder="1" applyAlignment="1">
      <alignment horizontal="center" vertical="center" wrapText="1"/>
    </xf>
    <xf numFmtId="0" fontId="13" fillId="0" borderId="15" xfId="0" applyFont="1" applyFill="1" applyBorder="1" applyAlignment="1">
      <alignment horizontal="right"/>
    </xf>
    <xf numFmtId="0" fontId="13" fillId="0" borderId="15" xfId="0" applyFont="1" applyFill="1" applyBorder="1"/>
    <xf numFmtId="2" fontId="13" fillId="0" borderId="15" xfId="0" applyNumberFormat="1" applyFont="1" applyFill="1" applyBorder="1" applyAlignment="1">
      <alignment horizontal="center"/>
    </xf>
    <xf numFmtId="0" fontId="18" fillId="0" borderId="15" xfId="0" applyFont="1" applyFill="1" applyBorder="1" applyAlignment="1">
      <alignment horizontal="center"/>
    </xf>
    <xf numFmtId="2" fontId="18" fillId="0" borderId="15" xfId="0" applyNumberFormat="1" applyFont="1" applyFill="1" applyBorder="1" applyAlignment="1">
      <alignment horizontal="center"/>
    </xf>
    <xf numFmtId="0" fontId="10" fillId="7" borderId="16" xfId="0" applyFont="1" applyFill="1" applyBorder="1" applyAlignment="1">
      <alignment horizontal="center" vertical="center"/>
    </xf>
    <xf numFmtId="0" fontId="20" fillId="7" borderId="16" xfId="0" applyFont="1" applyFill="1" applyBorder="1" applyAlignment="1">
      <alignment horizontal="center" vertical="center"/>
    </xf>
    <xf numFmtId="0" fontId="20" fillId="7" borderId="20" xfId="0" applyFont="1" applyFill="1" applyBorder="1" applyAlignment="1">
      <alignment horizontal="left" vertical="center"/>
    </xf>
    <xf numFmtId="4" fontId="16" fillId="7" borderId="15" xfId="0" applyNumberFormat="1" applyFont="1" applyFill="1" applyBorder="1" applyAlignment="1">
      <alignment horizontal="center" vertical="center"/>
    </xf>
    <xf numFmtId="0" fontId="16" fillId="7" borderId="20" xfId="0" applyFont="1" applyFill="1" applyBorder="1" applyAlignment="1">
      <alignment horizontal="right" vertical="center"/>
    </xf>
    <xf numFmtId="0" fontId="16" fillId="7" borderId="15" xfId="0" applyFont="1" applyFill="1" applyBorder="1" applyAlignment="1">
      <alignment horizontal="center" vertical="center"/>
    </xf>
    <xf numFmtId="0" fontId="17" fillId="7" borderId="20" xfId="0" applyFont="1" applyFill="1" applyBorder="1" applyAlignment="1">
      <alignment horizontal="left" vertical="center"/>
    </xf>
    <xf numFmtId="0" fontId="33" fillId="0" borderId="15" xfId="0" applyFont="1" applyBorder="1" applyAlignment="1">
      <alignment horizontal="right" vertical="center"/>
    </xf>
    <xf numFmtId="0" fontId="10" fillId="0" borderId="15" xfId="0" applyFont="1" applyBorder="1" applyAlignment="1">
      <alignment horizontal="right" vertical="center"/>
    </xf>
    <xf numFmtId="8" fontId="32" fillId="12" borderId="69" xfId="0" applyNumberFormat="1" applyFont="1" applyFill="1" applyBorder="1" applyAlignment="1">
      <alignment horizontal="center" vertical="center"/>
    </xf>
    <xf numFmtId="0" fontId="10" fillId="4" borderId="15" xfId="0" applyNumberFormat="1" applyFont="1" applyFill="1" applyBorder="1" applyAlignment="1">
      <alignment horizontal="center" vertical="center"/>
    </xf>
    <xf numFmtId="44" fontId="31" fillId="11" borderId="69" xfId="0" applyNumberFormat="1" applyFont="1" applyFill="1" applyBorder="1" applyAlignment="1">
      <alignment horizontal="center" vertical="center"/>
    </xf>
    <xf numFmtId="2" fontId="18" fillId="0" borderId="15" xfId="0" applyNumberFormat="1" applyFont="1" applyFill="1" applyBorder="1" applyAlignment="1">
      <alignment horizontal="center" vertical="center"/>
    </xf>
    <xf numFmtId="2" fontId="4" fillId="7" borderId="6" xfId="0" applyNumberFormat="1" applyFont="1" applyFill="1" applyBorder="1" applyAlignment="1">
      <alignment horizontal="center" vertical="center"/>
    </xf>
    <xf numFmtId="4" fontId="12" fillId="0" borderId="16" xfId="0" applyNumberFormat="1" applyFont="1" applyBorder="1" applyAlignment="1">
      <alignment horizontal="center" vertical="center" wrapText="1"/>
    </xf>
    <xf numFmtId="0" fontId="0" fillId="0" borderId="6" xfId="0" applyBorder="1" applyAlignment="1">
      <alignment horizontal="center" vertical="center"/>
    </xf>
    <xf numFmtId="8" fontId="34" fillId="12" borderId="69" xfId="0" applyNumberFormat="1" applyFont="1" applyFill="1" applyBorder="1" applyAlignment="1">
      <alignment horizontal="center" vertical="center"/>
    </xf>
    <xf numFmtId="8" fontId="34" fillId="0" borderId="69" xfId="0" applyNumberFormat="1" applyFont="1" applyBorder="1" applyAlignment="1">
      <alignment horizontal="center" vertical="center"/>
    </xf>
    <xf numFmtId="10" fontId="34" fillId="12" borderId="69" xfId="0" applyNumberFormat="1" applyFont="1" applyFill="1" applyBorder="1" applyAlignment="1">
      <alignment horizontal="center" vertical="center"/>
    </xf>
    <xf numFmtId="0" fontId="37" fillId="0" borderId="0" xfId="0" applyFont="1"/>
    <xf numFmtId="1" fontId="35" fillId="2" borderId="6" xfId="0" applyNumberFormat="1" applyFont="1" applyFill="1" applyBorder="1" applyAlignment="1">
      <alignment horizontal="center" vertical="center"/>
    </xf>
    <xf numFmtId="2" fontId="35" fillId="2" borderId="6" xfId="0" applyNumberFormat="1" applyFont="1" applyFill="1" applyBorder="1" applyAlignment="1">
      <alignment horizontal="center" vertical="center" wrapText="1"/>
    </xf>
    <xf numFmtId="44" fontId="35" fillId="2" borderId="6" xfId="22" applyFont="1" applyFill="1" applyBorder="1" applyAlignment="1">
      <alignment horizontal="center" vertical="center"/>
    </xf>
    <xf numFmtId="14" fontId="35" fillId="2" borderId="6" xfId="0" applyNumberFormat="1" applyFont="1" applyFill="1" applyBorder="1" applyAlignment="1">
      <alignment horizontal="center" vertical="center"/>
    </xf>
    <xf numFmtId="2" fontId="35" fillId="2" borderId="6" xfId="0" applyNumberFormat="1" applyFont="1" applyFill="1" applyBorder="1" applyAlignment="1">
      <alignment horizontal="center" vertical="center"/>
    </xf>
    <xf numFmtId="167" fontId="35" fillId="2" borderId="6" xfId="0" applyNumberFormat="1" applyFont="1" applyFill="1" applyBorder="1" applyAlignment="1">
      <alignment horizontal="center" vertical="center"/>
    </xf>
    <xf numFmtId="164" fontId="35" fillId="2" borderId="6" xfId="0" applyNumberFormat="1" applyFont="1" applyFill="1" applyBorder="1" applyAlignment="1">
      <alignment horizontal="center" vertical="center"/>
    </xf>
    <xf numFmtId="2" fontId="38" fillId="2" borderId="6" xfId="24" applyNumberFormat="1" applyFont="1" applyFill="1" applyBorder="1" applyAlignment="1" applyProtection="1">
      <alignment horizontal="center" vertical="center" wrapText="1"/>
    </xf>
    <xf numFmtId="2" fontId="13" fillId="0" borderId="15" xfId="0" applyNumberFormat="1" applyFont="1" applyBorder="1" applyAlignment="1">
      <alignment horizontal="center"/>
    </xf>
    <xf numFmtId="0" fontId="4" fillId="0" borderId="0" xfId="4" applyFont="1"/>
    <xf numFmtId="0" fontId="3" fillId="2" borderId="0" xfId="0" applyFont="1" applyFill="1" applyBorder="1" applyAlignment="1">
      <alignment horizontal="center" vertical="center" wrapText="1"/>
    </xf>
    <xf numFmtId="4" fontId="2" fillId="2" borderId="0" xfId="0" applyNumberFormat="1" applyFont="1" applyFill="1" applyBorder="1" applyAlignment="1">
      <alignment horizontal="center" vertical="center" wrapText="1"/>
    </xf>
    <xf numFmtId="0" fontId="3" fillId="2" borderId="0" xfId="21" applyNumberFormat="1" applyFont="1" applyFill="1" applyBorder="1" applyAlignment="1">
      <alignment horizontal="right" vertical="center" wrapText="1"/>
    </xf>
    <xf numFmtId="10" fontId="3" fillId="2" borderId="0" xfId="21" applyNumberFormat="1" applyFont="1" applyFill="1" applyBorder="1" applyAlignment="1">
      <alignment horizontal="left" vertical="center" wrapText="1"/>
    </xf>
    <xf numFmtId="0" fontId="3" fillId="2" borderId="0" xfId="21" applyNumberFormat="1" applyFont="1" applyFill="1" applyBorder="1" applyAlignment="1">
      <alignment horizontal="right" vertical="center" wrapText="1"/>
    </xf>
    <xf numFmtId="4" fontId="2" fillId="2" borderId="73" xfId="0" applyNumberFormat="1" applyFont="1" applyFill="1" applyBorder="1" applyAlignment="1">
      <alignment horizontal="center" vertical="center"/>
    </xf>
    <xf numFmtId="49" fontId="3" fillId="2" borderId="69" xfId="21" applyNumberFormat="1" applyFont="1" applyFill="1" applyBorder="1" applyAlignment="1">
      <alignment horizontal="left" vertical="center" wrapText="1"/>
    </xf>
    <xf numFmtId="0" fontId="3" fillId="2" borderId="0" xfId="0" applyFont="1" applyFill="1" applyBorder="1" applyAlignment="1">
      <alignment horizontal="left" vertical="center" wrapText="1"/>
    </xf>
    <xf numFmtId="43" fontId="3" fillId="2" borderId="0" xfId="21" applyFont="1" applyFill="1" applyBorder="1" applyAlignment="1">
      <alignment horizontal="center" vertical="center" wrapText="1"/>
    </xf>
    <xf numFmtId="10" fontId="3" fillId="2" borderId="0" xfId="21" applyNumberFormat="1" applyFont="1" applyFill="1" applyBorder="1" applyAlignment="1">
      <alignment horizontal="center" vertical="center" wrapText="1"/>
    </xf>
    <xf numFmtId="0" fontId="3" fillId="2" borderId="5" xfId="21" applyNumberFormat="1" applyFont="1" applyFill="1" applyBorder="1" applyAlignment="1">
      <alignment horizontal="right" vertical="center" wrapText="1"/>
    </xf>
    <xf numFmtId="0" fontId="4" fillId="13" borderId="4" xfId="26" applyFont="1" applyFill="1" applyBorder="1"/>
    <xf numFmtId="0" fontId="4" fillId="13" borderId="0" xfId="26" applyFont="1" applyFill="1" applyBorder="1"/>
    <xf numFmtId="0" fontId="3" fillId="13" borderId="6" xfId="26" applyFont="1" applyFill="1" applyBorder="1" applyAlignment="1">
      <alignment horizontal="center" vertical="center" wrapText="1"/>
    </xf>
    <xf numFmtId="0" fontId="4" fillId="13" borderId="5" xfId="26" applyFont="1" applyFill="1" applyBorder="1"/>
    <xf numFmtId="0" fontId="3" fillId="13" borderId="6" xfId="26" applyFont="1" applyFill="1" applyBorder="1"/>
    <xf numFmtId="0" fontId="4" fillId="13" borderId="6" xfId="26" applyFont="1" applyFill="1" applyBorder="1"/>
    <xf numFmtId="10" fontId="4" fillId="13" borderId="6" xfId="26" applyNumberFormat="1" applyFont="1" applyFill="1" applyBorder="1"/>
    <xf numFmtId="10" fontId="4" fillId="0" borderId="6" xfId="26" applyNumberFormat="1" applyFont="1" applyBorder="1" applyAlignment="1">
      <alignment horizontal="center"/>
    </xf>
    <xf numFmtId="10" fontId="4" fillId="0" borderId="0" xfId="4" applyNumberFormat="1" applyFont="1"/>
    <xf numFmtId="10" fontId="3" fillId="0" borderId="6" xfId="26" applyNumberFormat="1" applyFont="1" applyBorder="1" applyAlignment="1">
      <alignment horizontal="center"/>
    </xf>
    <xf numFmtId="2" fontId="4" fillId="13" borderId="0" xfId="26" applyNumberFormat="1" applyFont="1" applyFill="1" applyBorder="1"/>
    <xf numFmtId="0" fontId="4" fillId="13" borderId="8" xfId="26" applyFont="1" applyFill="1" applyBorder="1"/>
    <xf numFmtId="10" fontId="4" fillId="13" borderId="6" xfId="26" applyNumberFormat="1" applyFont="1" applyFill="1" applyBorder="1" applyAlignment="1">
      <alignment horizontal="center"/>
    </xf>
    <xf numFmtId="10" fontId="3" fillId="13" borderId="6" xfId="26" applyNumberFormat="1" applyFont="1" applyFill="1" applyBorder="1" applyAlignment="1">
      <alignment horizontal="center"/>
    </xf>
    <xf numFmtId="0" fontId="3" fillId="13" borderId="0" xfId="26" applyFont="1" applyFill="1" applyBorder="1" applyAlignment="1">
      <alignment horizontal="right"/>
    </xf>
    <xf numFmtId="10" fontId="3" fillId="13" borderId="0" xfId="26" applyNumberFormat="1" applyFont="1" applyFill="1" applyBorder="1" applyAlignment="1">
      <alignment horizontal="center"/>
    </xf>
    <xf numFmtId="10" fontId="4" fillId="13" borderId="0" xfId="25" applyNumberFormat="1" applyFont="1" applyFill="1" applyBorder="1"/>
    <xf numFmtId="49" fontId="3" fillId="13" borderId="4" xfId="27" applyNumberFormat="1" applyFont="1" applyFill="1" applyBorder="1" applyAlignment="1">
      <alignment horizontal="left" vertical="top"/>
    </xf>
    <xf numFmtId="49" fontId="3" fillId="13" borderId="0" xfId="27" applyNumberFormat="1" applyFont="1" applyFill="1" applyBorder="1" applyAlignment="1">
      <alignment horizontal="left" vertical="top" wrapText="1"/>
    </xf>
    <xf numFmtId="2" fontId="3" fillId="13" borderId="0" xfId="27" applyFont="1" applyFill="1" applyBorder="1" applyAlignment="1">
      <alignment horizontal="justify" vertical="top" wrapText="1"/>
    </xf>
    <xf numFmtId="4" fontId="3" fillId="13" borderId="0" xfId="27" applyNumberFormat="1" applyFont="1" applyFill="1" applyBorder="1" applyAlignment="1">
      <alignment vertical="top" wrapText="1"/>
    </xf>
    <xf numFmtId="2" fontId="3" fillId="13" borderId="0" xfId="27" applyFont="1" applyFill="1" applyBorder="1" applyAlignment="1">
      <alignment vertical="top" wrapText="1"/>
    </xf>
    <xf numFmtId="2" fontId="3" fillId="13" borderId="5" xfId="27" applyFont="1" applyFill="1" applyBorder="1" applyAlignment="1">
      <alignment vertical="top" wrapText="1"/>
    </xf>
    <xf numFmtId="49" fontId="3" fillId="13" borderId="4" xfId="27" applyNumberFormat="1" applyFont="1" applyFill="1" applyBorder="1" applyAlignment="1">
      <alignment horizontal="left" vertical="top" wrapText="1"/>
    </xf>
    <xf numFmtId="49" fontId="3" fillId="13" borderId="4" xfId="27" applyNumberFormat="1" applyFont="1" applyFill="1" applyBorder="1" applyAlignment="1">
      <alignment horizontal="right" vertical="top" wrapText="1"/>
    </xf>
    <xf numFmtId="49" fontId="3" fillId="13" borderId="0" xfId="27" applyNumberFormat="1" applyFont="1" applyFill="1" applyBorder="1" applyAlignment="1">
      <alignment horizontal="left" vertical="top"/>
    </xf>
    <xf numFmtId="49" fontId="3" fillId="13" borderId="0" xfId="27" applyNumberFormat="1" applyFont="1" applyFill="1" applyAlignment="1">
      <alignment horizontal="left" vertical="top"/>
    </xf>
    <xf numFmtId="49" fontId="3" fillId="13" borderId="0" xfId="27" applyNumberFormat="1" applyFont="1" applyFill="1" applyAlignment="1">
      <alignment horizontal="left" vertical="top" wrapText="1"/>
    </xf>
    <xf numFmtId="2" fontId="3" fillId="13" borderId="0" xfId="27" applyFont="1" applyFill="1" applyAlignment="1">
      <alignment horizontal="justify" vertical="top" wrapText="1"/>
    </xf>
    <xf numFmtId="49" fontId="3" fillId="13" borderId="0" xfId="27" applyNumberFormat="1" applyFont="1" applyFill="1" applyBorder="1" applyAlignment="1">
      <alignment horizontal="left"/>
    </xf>
    <xf numFmtId="2" fontId="40" fillId="13" borderId="0" xfId="27" applyFont="1" applyFill="1" applyBorder="1">
      <alignment vertical="center"/>
    </xf>
    <xf numFmtId="49" fontId="3" fillId="13" borderId="74" xfId="27" applyNumberFormat="1" applyFont="1" applyFill="1" applyBorder="1" applyAlignment="1">
      <alignment horizontal="right" wrapText="1"/>
    </xf>
    <xf numFmtId="4" fontId="3" fillId="13" borderId="0" xfId="27" applyNumberFormat="1" applyFont="1" applyFill="1" applyAlignment="1">
      <alignment wrapText="1"/>
    </xf>
    <xf numFmtId="2" fontId="3" fillId="13" borderId="75" xfId="27" applyFont="1" applyFill="1" applyBorder="1" applyAlignment="1">
      <alignment wrapText="1"/>
    </xf>
    <xf numFmtId="49" fontId="3" fillId="13" borderId="74" xfId="27" applyNumberFormat="1" applyFont="1" applyFill="1" applyBorder="1" applyAlignment="1">
      <alignment horizontal="right" vertical="top" wrapText="1"/>
    </xf>
    <xf numFmtId="2" fontId="40" fillId="13" borderId="0" xfId="27" applyFont="1" applyFill="1">
      <alignment vertical="center"/>
    </xf>
    <xf numFmtId="4" fontId="3" fillId="13" borderId="0" xfId="27" applyNumberFormat="1" applyFont="1" applyFill="1" applyAlignment="1">
      <alignment vertical="top" wrapText="1"/>
    </xf>
    <xf numFmtId="2" fontId="3" fillId="13" borderId="75" xfId="27" applyFont="1" applyFill="1" applyBorder="1" applyAlignment="1">
      <alignment vertical="top" wrapText="1"/>
    </xf>
    <xf numFmtId="49" fontId="3" fillId="13" borderId="74" xfId="27" applyNumberFormat="1" applyFont="1" applyFill="1" applyBorder="1" applyAlignment="1">
      <alignment horizontal="left" vertical="top" wrapText="1"/>
    </xf>
    <xf numFmtId="4" fontId="3" fillId="13" borderId="0" xfId="5" applyNumberFormat="1" applyFont="1" applyFill="1" applyAlignment="1">
      <alignment vertical="top" wrapText="1"/>
    </xf>
    <xf numFmtId="0" fontId="3" fillId="13" borderId="75" xfId="5" applyFont="1" applyFill="1" applyBorder="1" applyAlignment="1">
      <alignment vertical="top" wrapText="1"/>
    </xf>
    <xf numFmtId="0" fontId="4" fillId="13" borderId="0" xfId="5" applyFont="1" applyFill="1" applyAlignment="1">
      <alignment horizontal="left" vertical="top" wrapText="1"/>
    </xf>
    <xf numFmtId="0" fontId="4" fillId="13" borderId="75" xfId="5" applyFont="1" applyFill="1" applyBorder="1" applyAlignment="1">
      <alignment horizontal="left" vertical="top" wrapText="1"/>
    </xf>
    <xf numFmtId="49" fontId="3" fillId="13" borderId="76" xfId="27" applyNumberFormat="1" applyFont="1" applyFill="1" applyBorder="1" applyAlignment="1">
      <alignment horizontal="left" vertical="top" wrapText="1"/>
    </xf>
    <xf numFmtId="0" fontId="4" fillId="13" borderId="77" xfId="5" applyFont="1" applyFill="1" applyBorder="1" applyAlignment="1">
      <alignment horizontal="left" vertical="top" wrapText="1"/>
    </xf>
    <xf numFmtId="0" fontId="4" fillId="13" borderId="78" xfId="5" applyFont="1" applyFill="1" applyBorder="1" applyAlignment="1">
      <alignment horizontal="left" vertical="top" wrapText="1"/>
    </xf>
    <xf numFmtId="49" fontId="3" fillId="13" borderId="74" xfId="27" applyNumberFormat="1" applyFont="1" applyFill="1" applyBorder="1" applyAlignment="1">
      <alignment vertical="top" wrapText="1"/>
    </xf>
    <xf numFmtId="0" fontId="4" fillId="13" borderId="76" xfId="4" applyFont="1" applyFill="1" applyBorder="1"/>
    <xf numFmtId="0" fontId="2" fillId="0" borderId="0" xfId="0" applyFont="1" applyAlignment="1">
      <alignment horizontal="center" vertical="center"/>
    </xf>
    <xf numFmtId="0" fontId="2" fillId="0" borderId="0" xfId="0" applyFont="1" applyAlignment="1">
      <alignment horizontal="left" vertical="center"/>
    </xf>
    <xf numFmtId="0" fontId="2" fillId="0" borderId="0" xfId="0" applyFont="1"/>
    <xf numFmtId="0" fontId="3" fillId="0" borderId="6" xfId="0" applyFont="1" applyBorder="1" applyAlignment="1">
      <alignment horizontal="center" vertical="top" wrapText="1"/>
    </xf>
    <xf numFmtId="0" fontId="4" fillId="0" borderId="6" xfId="0" applyFont="1" applyBorder="1" applyAlignment="1">
      <alignment horizontal="left" vertical="top" wrapText="1"/>
    </xf>
    <xf numFmtId="10" fontId="4" fillId="0" borderId="6" xfId="25" applyNumberFormat="1" applyFont="1" applyFill="1" applyBorder="1" applyAlignment="1">
      <alignment horizontal="center" vertical="top" wrapText="1"/>
    </xf>
    <xf numFmtId="10" fontId="3" fillId="0" borderId="6" xfId="25" applyNumberFormat="1" applyFont="1" applyFill="1" applyBorder="1" applyAlignment="1">
      <alignment horizontal="center" vertical="top" wrapText="1"/>
    </xf>
    <xf numFmtId="0" fontId="3" fillId="0" borderId="6" xfId="0" applyFont="1" applyBorder="1" applyAlignment="1">
      <alignment horizontal="left" vertical="top" wrapText="1" indent="5"/>
    </xf>
    <xf numFmtId="9" fontId="3" fillId="0" borderId="6" xfId="25" applyFont="1" applyFill="1" applyBorder="1" applyAlignment="1">
      <alignment horizontal="left" vertical="top" wrapText="1" indent="1"/>
    </xf>
    <xf numFmtId="9" fontId="4" fillId="0" borderId="6" xfId="25" applyFont="1" applyFill="1" applyBorder="1" applyAlignment="1">
      <alignment horizontal="center" vertical="top" wrapText="1"/>
    </xf>
    <xf numFmtId="10" fontId="3" fillId="0" borderId="6" xfId="25" applyNumberFormat="1" applyFont="1" applyFill="1" applyBorder="1" applyAlignment="1">
      <alignment horizontal="left" vertical="top" wrapText="1" indent="1"/>
    </xf>
    <xf numFmtId="0" fontId="3" fillId="0" borderId="6" xfId="0" applyFont="1" applyBorder="1" applyAlignment="1">
      <alignment horizontal="left" vertical="top" wrapText="1" indent="4"/>
    </xf>
    <xf numFmtId="10" fontId="4" fillId="0" borderId="6" xfId="25" applyNumberFormat="1" applyFont="1" applyFill="1" applyBorder="1" applyAlignment="1">
      <alignment horizontal="center" vertical="center" wrapText="1"/>
    </xf>
    <xf numFmtId="9" fontId="4" fillId="0" borderId="6" xfId="25" applyFont="1" applyFill="1" applyBorder="1" applyAlignment="1">
      <alignment horizontal="center" vertical="center" wrapText="1"/>
    </xf>
    <xf numFmtId="0" fontId="3" fillId="0" borderId="6" xfId="0" applyFont="1" applyBorder="1" applyAlignment="1">
      <alignment horizontal="left" vertical="top" wrapText="1" indent="8"/>
    </xf>
    <xf numFmtId="9" fontId="3" fillId="0" borderId="6" xfId="25" applyFont="1" applyFill="1" applyBorder="1" applyAlignment="1">
      <alignment horizontal="center" vertical="top" wrapText="1"/>
    </xf>
    <xf numFmtId="0" fontId="2" fillId="0" borderId="6" xfId="0" applyFont="1" applyBorder="1" applyAlignment="1">
      <alignment horizontal="left" vertical="top" wrapText="1"/>
    </xf>
    <xf numFmtId="0" fontId="3" fillId="0" borderId="6" xfId="0" applyFont="1" applyBorder="1" applyAlignment="1">
      <alignment horizontal="left" vertical="top" wrapText="1" indent="11"/>
    </xf>
    <xf numFmtId="0" fontId="43" fillId="2" borderId="6" xfId="6" applyFont="1" applyFill="1" applyBorder="1" applyAlignment="1">
      <alignment horizontal="center" vertical="center"/>
    </xf>
    <xf numFmtId="0" fontId="43" fillId="2" borderId="6" xfId="6" applyFont="1" applyFill="1" applyBorder="1" applyAlignment="1">
      <alignment horizontal="center" vertical="center"/>
    </xf>
    <xf numFmtId="168" fontId="43" fillId="2" borderId="6" xfId="6" applyNumberFormat="1" applyFont="1" applyFill="1" applyBorder="1" applyAlignment="1">
      <alignment horizontal="center" vertical="center"/>
    </xf>
    <xf numFmtId="49" fontId="0" fillId="2" borderId="6" xfId="6" applyNumberFormat="1" applyFont="1" applyFill="1" applyBorder="1" applyAlignment="1">
      <alignment horizontal="center" vertical="center" wrapText="1"/>
    </xf>
    <xf numFmtId="49" fontId="1" fillId="2" borderId="6" xfId="6" applyNumberFormat="1" applyFont="1" applyFill="1" applyBorder="1" applyAlignment="1">
      <alignment vertical="center"/>
    </xf>
    <xf numFmtId="49" fontId="1" fillId="2" borderId="6" xfId="6" applyNumberFormat="1" applyFont="1" applyFill="1" applyBorder="1" applyAlignment="1">
      <alignment horizontal="center" vertical="center" wrapText="1"/>
    </xf>
    <xf numFmtId="170" fontId="45" fillId="2" borderId="6" xfId="6" applyNumberFormat="1" applyFont="1" applyFill="1" applyBorder="1" applyAlignment="1">
      <alignment horizontal="center" vertical="center" wrapText="1"/>
    </xf>
    <xf numFmtId="4" fontId="1" fillId="2" borderId="6" xfId="6" applyNumberFormat="1" applyFont="1" applyFill="1" applyBorder="1" applyAlignment="1">
      <alignment horizontal="right" vertical="center" wrapText="1"/>
    </xf>
    <xf numFmtId="171" fontId="1" fillId="2" borderId="6" xfId="6" applyNumberFormat="1" applyFont="1" applyFill="1" applyBorder="1" applyAlignment="1">
      <alignment horizontal="right" vertical="center" wrapText="1"/>
    </xf>
    <xf numFmtId="172" fontId="42" fillId="2" borderId="6" xfId="6" applyNumberFormat="1" applyFont="1" applyFill="1" applyBorder="1" applyAlignment="1">
      <alignment horizontal="right" vertical="center"/>
    </xf>
    <xf numFmtId="0" fontId="42" fillId="2" borderId="6" xfId="6" applyFont="1" applyFill="1" applyBorder="1" applyAlignment="1">
      <alignment horizontal="right" vertical="center"/>
    </xf>
    <xf numFmtId="49" fontId="45" fillId="2" borderId="6" xfId="6" applyNumberFormat="1" applyFont="1" applyFill="1" applyBorder="1" applyAlignment="1">
      <alignment horizontal="center" vertical="center" wrapText="1"/>
    </xf>
    <xf numFmtId="1" fontId="5" fillId="2" borderId="6" xfId="6" applyNumberFormat="1" applyFont="1" applyFill="1" applyBorder="1" applyAlignment="1">
      <alignment horizontal="center" vertical="center" wrapText="1"/>
    </xf>
    <xf numFmtId="4" fontId="45" fillId="2" borderId="6" xfId="6" applyNumberFormat="1" applyFont="1" applyFill="1" applyBorder="1" applyAlignment="1">
      <alignment horizontal="right" vertical="center" wrapText="1"/>
    </xf>
    <xf numFmtId="2" fontId="45" fillId="2" borderId="6" xfId="6" applyNumberFormat="1" applyFont="1" applyFill="1" applyBorder="1" applyAlignment="1">
      <alignment horizontal="right" vertical="center" wrapText="1"/>
    </xf>
    <xf numFmtId="169" fontId="42" fillId="2" borderId="6" xfId="6" applyNumberFormat="1" applyFont="1" applyFill="1" applyBorder="1" applyAlignment="1">
      <alignment vertical="center" wrapText="1"/>
    </xf>
    <xf numFmtId="49" fontId="1" fillId="2" borderId="6" xfId="6" applyNumberFormat="1" applyFont="1" applyFill="1" applyBorder="1" applyAlignment="1">
      <alignment horizontal="center" vertical="center" wrapText="1"/>
    </xf>
    <xf numFmtId="0" fontId="1" fillId="0" borderId="6" xfId="6" applyBorder="1" applyAlignment="1">
      <alignment horizontal="center" vertical="center"/>
    </xf>
    <xf numFmtId="0" fontId="1" fillId="0" borderId="6" xfId="6" applyBorder="1" applyAlignment="1">
      <alignment vertical="center"/>
    </xf>
    <xf numFmtId="172" fontId="1" fillId="0" borderId="6" xfId="6" applyNumberFormat="1" applyBorder="1" applyAlignment="1">
      <alignment vertical="center"/>
    </xf>
    <xf numFmtId="43" fontId="1" fillId="0" borderId="6" xfId="6" applyNumberFormat="1" applyBorder="1" applyAlignment="1">
      <alignment vertical="center"/>
    </xf>
    <xf numFmtId="43" fontId="42" fillId="2" borderId="6" xfId="6" applyNumberFormat="1" applyFont="1" applyFill="1" applyBorder="1" applyAlignment="1">
      <alignment horizontal="right" vertical="center"/>
    </xf>
    <xf numFmtId="172" fontId="43" fillId="2" borderId="6" xfId="6" applyNumberFormat="1" applyFont="1" applyFill="1" applyBorder="1" applyAlignment="1">
      <alignment vertical="center"/>
    </xf>
    <xf numFmtId="172" fontId="42" fillId="2" borderId="6" xfId="6" applyNumberFormat="1" applyFont="1" applyFill="1" applyBorder="1" applyAlignment="1">
      <alignment vertical="center"/>
    </xf>
    <xf numFmtId="0" fontId="1" fillId="0" borderId="0" xfId="6" applyAlignment="1">
      <alignment horizontal="center" vertical="center"/>
    </xf>
    <xf numFmtId="0" fontId="1" fillId="0" borderId="0" xfId="6" applyAlignment="1">
      <alignment vertical="center"/>
    </xf>
    <xf numFmtId="49" fontId="43" fillId="2" borderId="6" xfId="6" applyNumberFormat="1" applyFont="1" applyFill="1" applyBorder="1" applyAlignment="1">
      <alignment horizontal="center" vertical="center"/>
    </xf>
    <xf numFmtId="170" fontId="43" fillId="2" borderId="6" xfId="6" applyNumberFormat="1" applyFont="1" applyFill="1" applyBorder="1" applyAlignment="1">
      <alignment horizontal="center" vertical="center"/>
    </xf>
    <xf numFmtId="168" fontId="45" fillId="2" borderId="6" xfId="6" applyNumberFormat="1" applyFont="1" applyFill="1" applyBorder="1" applyAlignment="1">
      <alignment horizontal="center" vertical="center" wrapText="1"/>
    </xf>
    <xf numFmtId="4" fontId="1" fillId="2" borderId="6" xfId="6" applyNumberFormat="1" applyFont="1" applyFill="1" applyBorder="1" applyAlignment="1">
      <alignment horizontal="center" vertical="center" wrapText="1"/>
    </xf>
    <xf numFmtId="4" fontId="45" fillId="2" borderId="6" xfId="6" applyNumberFormat="1" applyFont="1" applyFill="1" applyBorder="1" applyAlignment="1">
      <alignment horizontal="center" vertical="center" wrapText="1"/>
    </xf>
    <xf numFmtId="168" fontId="45" fillId="0" borderId="6" xfId="6" applyNumberFormat="1" applyFont="1" applyFill="1" applyBorder="1" applyAlignment="1">
      <alignment horizontal="right" vertical="center" wrapText="1"/>
    </xf>
    <xf numFmtId="2" fontId="45" fillId="2" borderId="6" xfId="6" applyNumberFormat="1" applyFont="1" applyFill="1" applyBorder="1" applyAlignment="1">
      <alignment horizontal="center" vertical="center" wrapText="1"/>
    </xf>
    <xf numFmtId="1" fontId="44" fillId="2" borderId="6" xfId="6" applyNumberFormat="1" applyFont="1" applyFill="1" applyBorder="1" applyAlignment="1">
      <alignment horizontal="center" vertical="center" wrapText="1"/>
    </xf>
    <xf numFmtId="4" fontId="44" fillId="2" borderId="6" xfId="6" applyNumberFormat="1" applyFont="1" applyFill="1" applyBorder="1" applyAlignment="1">
      <alignment horizontal="center" vertical="center" wrapText="1"/>
    </xf>
    <xf numFmtId="49" fontId="44" fillId="2" borderId="6" xfId="6" applyNumberFormat="1" applyFont="1" applyFill="1" applyBorder="1" applyAlignment="1">
      <alignment horizontal="center" vertical="center" wrapText="1"/>
    </xf>
    <xf numFmtId="1" fontId="5" fillId="0" borderId="6" xfId="6" applyNumberFormat="1" applyFont="1" applyFill="1" applyBorder="1" applyAlignment="1">
      <alignment horizontal="center" vertical="center" wrapText="1"/>
    </xf>
    <xf numFmtId="170" fontId="44" fillId="2" borderId="6" xfId="6" applyNumberFormat="1" applyFont="1" applyFill="1" applyBorder="1" applyAlignment="1">
      <alignment horizontal="center" vertical="center" wrapText="1"/>
    </xf>
    <xf numFmtId="168" fontId="45" fillId="2" borderId="6" xfId="6" applyNumberFormat="1" applyFont="1" applyFill="1" applyBorder="1" applyAlignment="1">
      <alignment horizontal="right" vertical="center" wrapText="1"/>
    </xf>
    <xf numFmtId="172" fontId="1" fillId="0" borderId="6" xfId="6" applyNumberFormat="1" applyBorder="1" applyAlignment="1">
      <alignment horizontal="center" vertical="center"/>
    </xf>
    <xf numFmtId="2" fontId="46" fillId="2" borderId="6" xfId="0" applyNumberFormat="1" applyFont="1" applyFill="1" applyBorder="1" applyAlignment="1">
      <alignment horizontal="center" vertical="center" wrapText="1"/>
    </xf>
    <xf numFmtId="2" fontId="27" fillId="2" borderId="6" xfId="24" applyNumberFormat="1" applyFill="1" applyBorder="1" applyAlignment="1" applyProtection="1">
      <alignment horizontal="center" vertical="center" wrapText="1"/>
    </xf>
    <xf numFmtId="44" fontId="46" fillId="2" borderId="6" xfId="22" applyFont="1" applyFill="1" applyBorder="1" applyAlignment="1">
      <alignment horizontal="center" vertical="center"/>
    </xf>
    <xf numFmtId="14" fontId="46" fillId="2" borderId="6" xfId="0" applyNumberFormat="1" applyFont="1" applyFill="1" applyBorder="1" applyAlignment="1">
      <alignment horizontal="center" vertical="center"/>
    </xf>
    <xf numFmtId="2" fontId="46" fillId="2" borderId="6" xfId="0" applyNumberFormat="1" applyFont="1" applyFill="1" applyBorder="1" applyAlignment="1">
      <alignment horizontal="center" vertical="center"/>
    </xf>
    <xf numFmtId="167" fontId="46" fillId="2" borderId="6" xfId="0" applyNumberFormat="1" applyFont="1" applyFill="1" applyBorder="1" applyAlignment="1">
      <alignment horizontal="center" vertical="center"/>
    </xf>
    <xf numFmtId="164" fontId="46" fillId="2" borderId="6" xfId="0" applyNumberFormat="1" applyFont="1" applyFill="1" applyBorder="1" applyAlignment="1">
      <alignment horizontal="center" vertical="center"/>
    </xf>
    <xf numFmtId="1" fontId="43" fillId="2" borderId="10" xfId="6" applyNumberFormat="1" applyFont="1" applyFill="1" applyBorder="1" applyAlignment="1">
      <alignment horizontal="center" vertical="center"/>
    </xf>
    <xf numFmtId="0" fontId="43" fillId="2" borderId="10" xfId="6" applyFont="1" applyFill="1" applyBorder="1" applyAlignment="1">
      <alignment horizontal="center" vertical="center"/>
    </xf>
    <xf numFmtId="168" fontId="43" fillId="2" borderId="10" xfId="6" applyNumberFormat="1" applyFont="1" applyFill="1" applyBorder="1" applyAlignment="1">
      <alignment horizontal="center" vertical="center"/>
    </xf>
    <xf numFmtId="169" fontId="43" fillId="2" borderId="10" xfId="6" applyNumberFormat="1" applyFont="1" applyFill="1" applyBorder="1" applyAlignment="1">
      <alignment vertical="center"/>
    </xf>
    <xf numFmtId="0" fontId="43" fillId="2" borderId="10" xfId="6" applyFont="1" applyFill="1" applyBorder="1" applyAlignment="1">
      <alignment vertical="center"/>
    </xf>
    <xf numFmtId="0" fontId="42" fillId="2" borderId="9" xfId="6" applyFont="1" applyFill="1" applyBorder="1" applyAlignment="1">
      <alignment horizontal="right" vertical="center"/>
    </xf>
    <xf numFmtId="172" fontId="42" fillId="2" borderId="9" xfId="6" applyNumberFormat="1" applyFont="1" applyFill="1" applyBorder="1" applyAlignment="1">
      <alignment horizontal="right" vertical="center"/>
    </xf>
    <xf numFmtId="1" fontId="1" fillId="2" borderId="10" xfId="6" applyNumberFormat="1" applyFont="1" applyFill="1" applyBorder="1" applyAlignment="1">
      <alignment horizontal="center" vertical="center" wrapText="1"/>
    </xf>
    <xf numFmtId="49" fontId="1" fillId="2" borderId="10" xfId="6" applyNumberFormat="1" applyFont="1" applyFill="1" applyBorder="1" applyAlignment="1">
      <alignment horizontal="center" vertical="center" wrapText="1"/>
    </xf>
    <xf numFmtId="168" fontId="1" fillId="2" borderId="10" xfId="6" applyNumberFormat="1" applyFont="1" applyFill="1" applyBorder="1" applyAlignment="1">
      <alignment horizontal="center" vertical="center" wrapText="1"/>
    </xf>
    <xf numFmtId="4" fontId="1" fillId="2" borderId="10" xfId="6" applyNumberFormat="1" applyFont="1" applyFill="1" applyBorder="1" applyAlignment="1">
      <alignment horizontal="right" vertical="center" wrapText="1"/>
    </xf>
    <xf numFmtId="169" fontId="1" fillId="2" borderId="10" xfId="6" applyNumberFormat="1" applyFont="1" applyFill="1" applyBorder="1" applyAlignment="1">
      <alignment horizontal="right" vertical="center" wrapText="1"/>
    </xf>
    <xf numFmtId="0" fontId="42" fillId="2" borderId="9" xfId="6" applyFont="1" applyFill="1" applyBorder="1" applyAlignment="1">
      <alignment horizontal="center" vertical="center"/>
    </xf>
    <xf numFmtId="169" fontId="43" fillId="2" borderId="10" xfId="6" applyNumberFormat="1" applyFont="1" applyFill="1" applyBorder="1" applyAlignment="1">
      <alignment horizontal="center" vertical="center"/>
    </xf>
    <xf numFmtId="4" fontId="1" fillId="2" borderId="10" xfId="6" applyNumberFormat="1" applyFont="1" applyFill="1" applyBorder="1" applyAlignment="1">
      <alignment horizontal="center" vertical="center" wrapText="1"/>
    </xf>
    <xf numFmtId="0" fontId="13" fillId="0" borderId="6" xfId="0" applyFont="1" applyBorder="1" applyAlignment="1">
      <alignment horizontal="right" vertical="center"/>
    </xf>
    <xf numFmtId="4" fontId="12" fillId="2" borderId="51" xfId="0" applyNumberFormat="1" applyFont="1" applyFill="1" applyBorder="1" applyAlignment="1">
      <alignment horizontal="center" vertical="center" wrapText="1"/>
    </xf>
    <xf numFmtId="0" fontId="13" fillId="0" borderId="6" xfId="0" applyFont="1" applyBorder="1"/>
    <xf numFmtId="4" fontId="12" fillId="0" borderId="6" xfId="0" applyNumberFormat="1" applyFont="1" applyBorder="1" applyAlignment="1">
      <alignment horizontal="center" vertical="center" wrapText="1"/>
    </xf>
    <xf numFmtId="43" fontId="3" fillId="2" borderId="66" xfId="21" applyFont="1" applyFill="1" applyBorder="1" applyAlignment="1">
      <alignment horizontal="right" vertical="center" wrapText="1"/>
    </xf>
    <xf numFmtId="10" fontId="3" fillId="2" borderId="66" xfId="21" applyNumberFormat="1" applyFont="1" applyFill="1" applyBorder="1" applyAlignment="1">
      <alignment horizontal="left" vertical="center" wrapText="1"/>
    </xf>
    <xf numFmtId="17" fontId="5" fillId="2" borderId="91" xfId="6" applyNumberFormat="1" applyFont="1" applyFill="1" applyBorder="1" applyAlignment="1">
      <alignment horizontal="center" vertical="center" wrapText="1"/>
    </xf>
    <xf numFmtId="0" fontId="43" fillId="2" borderId="92" xfId="6" applyFont="1" applyFill="1" applyBorder="1" applyAlignment="1">
      <alignment horizontal="center" vertical="center" wrapText="1"/>
    </xf>
    <xf numFmtId="17" fontId="5" fillId="2" borderId="94" xfId="6" applyNumberFormat="1" applyFont="1" applyFill="1" applyBorder="1" applyAlignment="1">
      <alignment horizontal="center" vertical="center" wrapText="1"/>
    </xf>
    <xf numFmtId="0" fontId="43" fillId="2" borderId="95" xfId="6" applyFont="1" applyFill="1" applyBorder="1" applyAlignment="1">
      <alignment horizontal="center" vertical="center" wrapText="1"/>
    </xf>
    <xf numFmtId="0" fontId="3" fillId="2" borderId="0" xfId="1" applyNumberFormat="1" applyFont="1" applyFill="1" applyBorder="1" applyAlignment="1">
      <alignment horizontal="center" vertical="center" wrapText="1"/>
    </xf>
    <xf numFmtId="0" fontId="3" fillId="2" borderId="5" xfId="1" applyNumberFormat="1"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3" borderId="9" xfId="0" applyFont="1" applyFill="1" applyBorder="1" applyAlignment="1">
      <alignment horizontal="center" vertical="center"/>
    </xf>
    <xf numFmtId="0" fontId="3" fillId="3" borderId="10" xfId="0" applyFont="1" applyFill="1" applyBorder="1" applyAlignment="1">
      <alignment horizontal="center" vertical="center"/>
    </xf>
    <xf numFmtId="0" fontId="3" fillId="3" borderId="7" xfId="0" applyFont="1" applyFill="1" applyBorder="1" applyAlignment="1">
      <alignment horizontal="center" vertical="center"/>
    </xf>
    <xf numFmtId="0" fontId="3" fillId="3" borderId="11" xfId="0" applyFont="1" applyFill="1" applyBorder="1" applyAlignment="1">
      <alignment horizontal="center" vertical="center"/>
    </xf>
    <xf numFmtId="0" fontId="3" fillId="3" borderId="8" xfId="0" applyFont="1" applyFill="1" applyBorder="1" applyAlignment="1">
      <alignment horizontal="center" vertical="center"/>
    </xf>
    <xf numFmtId="0" fontId="3" fillId="2" borderId="4" xfId="0" applyFont="1" applyFill="1" applyBorder="1" applyAlignment="1">
      <alignment horizontal="left" vertical="center" wrapText="1"/>
    </xf>
    <xf numFmtId="0" fontId="3" fillId="2" borderId="0" xfId="0" applyFont="1" applyFill="1" applyAlignment="1">
      <alignment horizontal="left" vertical="center" wrapText="1"/>
    </xf>
    <xf numFmtId="2" fontId="18" fillId="0" borderId="16" xfId="0" applyNumberFormat="1" applyFont="1" applyBorder="1" applyAlignment="1">
      <alignment horizontal="center" vertical="center"/>
    </xf>
    <xf numFmtId="2" fontId="18" fillId="0" borderId="18" xfId="0" applyNumberFormat="1" applyFont="1" applyBorder="1" applyAlignment="1">
      <alignment horizontal="center" vertical="center"/>
    </xf>
    <xf numFmtId="2" fontId="18" fillId="0" borderId="17" xfId="0" applyNumberFormat="1" applyFont="1" applyBorder="1" applyAlignment="1">
      <alignment horizontal="center" vertical="center"/>
    </xf>
    <xf numFmtId="2" fontId="12" fillId="0" borderId="15" xfId="0" applyNumberFormat="1" applyFont="1" applyBorder="1" applyAlignment="1">
      <alignment horizontal="center" vertical="center"/>
    </xf>
    <xf numFmtId="2" fontId="13" fillId="0" borderId="16" xfId="0" applyNumberFormat="1" applyFont="1" applyBorder="1" applyAlignment="1">
      <alignment horizontal="center"/>
    </xf>
    <xf numFmtId="2" fontId="13" fillId="0" borderId="18" xfId="0" applyNumberFormat="1" applyFont="1" applyBorder="1" applyAlignment="1">
      <alignment horizontal="center"/>
    </xf>
    <xf numFmtId="2" fontId="13" fillId="0" borderId="17" xfId="0" applyNumberFormat="1" applyFont="1" applyBorder="1" applyAlignment="1">
      <alignment horizontal="center"/>
    </xf>
    <xf numFmtId="0" fontId="10" fillId="7" borderId="51" xfId="0" applyFont="1" applyFill="1" applyBorder="1" applyAlignment="1">
      <alignment horizontal="left" vertical="center"/>
    </xf>
    <xf numFmtId="0" fontId="10" fillId="7" borderId="22" xfId="0" applyFont="1" applyFill="1" applyBorder="1" applyAlignment="1">
      <alignment horizontal="left" vertical="center"/>
    </xf>
    <xf numFmtId="0" fontId="10" fillId="7" borderId="20" xfId="0" applyFont="1" applyFill="1" applyBorder="1" applyAlignment="1">
      <alignment horizontal="left" vertical="center"/>
    </xf>
    <xf numFmtId="0" fontId="12" fillId="2" borderId="15" xfId="0" applyFont="1" applyFill="1" applyBorder="1" applyAlignment="1">
      <alignment horizontal="left" vertical="center" wrapText="1"/>
    </xf>
    <xf numFmtId="2" fontId="13" fillId="0" borderId="16" xfId="0" applyNumberFormat="1" applyFont="1" applyBorder="1" applyAlignment="1">
      <alignment horizontal="center" vertical="center"/>
    </xf>
    <xf numFmtId="2" fontId="13" fillId="0" borderId="18" xfId="0" applyNumberFormat="1" applyFont="1" applyBorder="1" applyAlignment="1">
      <alignment horizontal="center" vertical="center"/>
    </xf>
    <xf numFmtId="4" fontId="13" fillId="0" borderId="16" xfId="0" applyNumberFormat="1" applyFont="1" applyBorder="1" applyAlignment="1">
      <alignment horizontal="center" vertical="center" wrapText="1"/>
    </xf>
    <xf numFmtId="4" fontId="13" fillId="0" borderId="18" xfId="0" applyNumberFormat="1" applyFont="1" applyBorder="1" applyAlignment="1">
      <alignment horizontal="center" vertical="center" wrapText="1"/>
    </xf>
    <xf numFmtId="4" fontId="13" fillId="0" borderId="17" xfId="0" applyNumberFormat="1" applyFont="1" applyBorder="1" applyAlignment="1">
      <alignment horizontal="center" vertical="center" wrapText="1"/>
    </xf>
    <xf numFmtId="2" fontId="13" fillId="0" borderId="17" xfId="0" applyNumberFormat="1" applyFont="1" applyBorder="1" applyAlignment="1">
      <alignment horizontal="center" vertical="center"/>
    </xf>
    <xf numFmtId="0" fontId="13" fillId="0" borderId="16" xfId="0" applyFont="1" applyBorder="1" applyAlignment="1">
      <alignment horizontal="right" vertical="center" wrapText="1"/>
    </xf>
    <xf numFmtId="0" fontId="13" fillId="0" borderId="17" xfId="0" applyFont="1" applyBorder="1" applyAlignment="1">
      <alignment horizontal="right" vertical="center" wrapText="1"/>
    </xf>
    <xf numFmtId="2" fontId="13" fillId="0" borderId="15" xfId="0" applyNumberFormat="1" applyFont="1" applyBorder="1" applyAlignment="1">
      <alignment horizontal="center"/>
    </xf>
    <xf numFmtId="0" fontId="13" fillId="0" borderId="16" xfId="0" applyFont="1" applyBorder="1" applyAlignment="1">
      <alignment horizontal="right" vertical="center"/>
    </xf>
    <xf numFmtId="0" fontId="13" fillId="0" borderId="17" xfId="0" applyFont="1" applyBorder="1" applyAlignment="1">
      <alignment horizontal="right" vertical="center"/>
    </xf>
    <xf numFmtId="2" fontId="13" fillId="0" borderId="16" xfId="0" applyNumberFormat="1" applyFont="1" applyFill="1" applyBorder="1" applyAlignment="1">
      <alignment horizontal="center" vertical="center"/>
    </xf>
    <xf numFmtId="2" fontId="13" fillId="0" borderId="18" xfId="0" applyNumberFormat="1" applyFont="1" applyFill="1" applyBorder="1" applyAlignment="1">
      <alignment horizontal="center" vertical="center"/>
    </xf>
    <xf numFmtId="0" fontId="10" fillId="0" borderId="16" xfId="0" applyFont="1" applyBorder="1" applyAlignment="1">
      <alignment horizontal="center" vertical="center"/>
    </xf>
    <xf numFmtId="0" fontId="10" fillId="0" borderId="18" xfId="0" applyFont="1" applyBorder="1" applyAlignment="1">
      <alignment horizontal="center" vertical="center"/>
    </xf>
    <xf numFmtId="0" fontId="10" fillId="0" borderId="17" xfId="0" applyFont="1" applyBorder="1" applyAlignment="1">
      <alignment horizontal="center" vertical="center"/>
    </xf>
    <xf numFmtId="2" fontId="16" fillId="0" borderId="16" xfId="0" applyNumberFormat="1" applyFont="1" applyBorder="1" applyAlignment="1">
      <alignment horizontal="center"/>
    </xf>
    <xf numFmtId="2" fontId="16" fillId="0" borderId="18" xfId="0" applyNumberFormat="1" applyFont="1" applyBorder="1" applyAlignment="1">
      <alignment horizontal="center"/>
    </xf>
    <xf numFmtId="0" fontId="12" fillId="2" borderId="17" xfId="0" applyFont="1" applyFill="1" applyBorder="1" applyAlignment="1">
      <alignment horizontal="left" vertical="center" wrapText="1"/>
    </xf>
    <xf numFmtId="2" fontId="16" fillId="0" borderId="17" xfId="0" applyNumberFormat="1" applyFont="1" applyBorder="1" applyAlignment="1">
      <alignment horizontal="center"/>
    </xf>
    <xf numFmtId="0" fontId="13" fillId="0" borderId="15" xfId="0" applyFont="1" applyBorder="1" applyAlignment="1">
      <alignment horizontal="right" vertical="center"/>
    </xf>
    <xf numFmtId="0" fontId="12" fillId="2" borderId="20" xfId="0" applyFont="1" applyFill="1" applyBorder="1" applyAlignment="1">
      <alignment horizontal="left" vertical="center" wrapText="1"/>
    </xf>
    <xf numFmtId="2" fontId="13" fillId="0" borderId="51" xfId="0" applyNumberFormat="1" applyFont="1" applyBorder="1" applyAlignment="1">
      <alignment horizontal="center"/>
    </xf>
    <xf numFmtId="0" fontId="12" fillId="0" borderId="15" xfId="0" applyFont="1" applyBorder="1" applyAlignment="1">
      <alignment horizontal="left" vertical="center" wrapText="1"/>
    </xf>
    <xf numFmtId="0" fontId="13" fillId="0" borderId="15" xfId="0" applyFont="1" applyBorder="1" applyAlignment="1">
      <alignment horizontal="right" vertical="center" wrapText="1"/>
    </xf>
    <xf numFmtId="0" fontId="12" fillId="0" borderId="15" xfId="0" applyFont="1" applyFill="1" applyBorder="1" applyAlignment="1">
      <alignment horizontal="left" vertical="center" wrapText="1"/>
    </xf>
    <xf numFmtId="0" fontId="10" fillId="0" borderId="55" xfId="0" applyFont="1" applyBorder="1" applyAlignment="1">
      <alignment horizontal="center" vertical="center"/>
    </xf>
    <xf numFmtId="2" fontId="13" fillId="0" borderId="15" xfId="0" applyNumberFormat="1" applyFont="1" applyFill="1" applyBorder="1" applyAlignment="1">
      <alignment horizontal="center"/>
    </xf>
    <xf numFmtId="2" fontId="13" fillId="0" borderId="19" xfId="0" applyNumberFormat="1" applyFont="1" applyBorder="1" applyAlignment="1">
      <alignment horizontal="center" vertical="center"/>
    </xf>
    <xf numFmtId="2" fontId="13" fillId="7" borderId="15" xfId="0" applyNumberFormat="1" applyFont="1" applyFill="1" applyBorder="1" applyAlignment="1">
      <alignment horizontal="center"/>
    </xf>
    <xf numFmtId="0" fontId="13" fillId="0" borderId="18" xfId="0" applyFont="1" applyBorder="1" applyAlignment="1">
      <alignment horizontal="right" vertical="center"/>
    </xf>
    <xf numFmtId="0" fontId="12" fillId="2" borderId="19" xfId="0" applyFont="1" applyFill="1" applyBorder="1" applyAlignment="1">
      <alignment horizontal="center" vertical="center" wrapText="1"/>
    </xf>
    <xf numFmtId="0" fontId="12" fillId="2" borderId="58" xfId="0" applyFont="1" applyFill="1" applyBorder="1" applyAlignment="1">
      <alignment horizontal="center" vertical="center" wrapText="1"/>
    </xf>
    <xf numFmtId="0" fontId="12" fillId="2" borderId="24" xfId="0" applyFont="1" applyFill="1" applyBorder="1" applyAlignment="1">
      <alignment horizontal="center" vertical="center" wrapText="1"/>
    </xf>
    <xf numFmtId="0" fontId="13" fillId="2" borderId="55" xfId="0" applyFont="1" applyFill="1" applyBorder="1" applyAlignment="1">
      <alignment horizontal="center" vertical="center"/>
    </xf>
    <xf numFmtId="0" fontId="13" fillId="2" borderId="13" xfId="0" applyFont="1" applyFill="1" applyBorder="1" applyAlignment="1">
      <alignment horizontal="center" vertical="center"/>
    </xf>
    <xf numFmtId="0" fontId="13" fillId="2" borderId="29" xfId="0" applyFont="1" applyFill="1" applyBorder="1" applyAlignment="1">
      <alignment horizontal="center" vertical="center"/>
    </xf>
    <xf numFmtId="0" fontId="10" fillId="2" borderId="59" xfId="0" applyFont="1" applyFill="1" applyBorder="1" applyAlignment="1">
      <alignment horizontal="center" vertical="center"/>
    </xf>
    <xf numFmtId="0" fontId="10" fillId="2" borderId="14" xfId="0" applyFont="1" applyFill="1" applyBorder="1" applyAlignment="1">
      <alignment horizontal="center" vertical="center"/>
    </xf>
    <xf numFmtId="0" fontId="10" fillId="2" borderId="60" xfId="0" applyFont="1" applyFill="1" applyBorder="1" applyAlignment="1">
      <alignment horizontal="center" vertical="center"/>
    </xf>
    <xf numFmtId="0" fontId="12" fillId="2" borderId="1" xfId="0" applyFont="1" applyFill="1" applyBorder="1" applyAlignment="1">
      <alignment horizontal="left" vertical="center" wrapText="1"/>
    </xf>
    <xf numFmtId="0" fontId="12" fillId="2" borderId="65" xfId="0" applyFont="1" applyFill="1" applyBorder="1" applyAlignment="1">
      <alignment horizontal="left" vertical="center" wrapText="1"/>
    </xf>
    <xf numFmtId="2" fontId="13" fillId="7" borderId="16" xfId="0" applyNumberFormat="1" applyFont="1" applyFill="1" applyBorder="1" applyAlignment="1">
      <alignment horizontal="center" vertical="center"/>
    </xf>
    <xf numFmtId="2" fontId="13" fillId="7" borderId="18" xfId="0" applyNumberFormat="1" applyFont="1" applyFill="1" applyBorder="1" applyAlignment="1">
      <alignment horizontal="center" vertical="center"/>
    </xf>
    <xf numFmtId="2" fontId="13" fillId="7" borderId="17" xfId="0" applyNumberFormat="1" applyFont="1" applyFill="1" applyBorder="1" applyAlignment="1">
      <alignment horizontal="center" vertical="center"/>
    </xf>
    <xf numFmtId="0" fontId="3" fillId="0" borderId="6" xfId="0" applyFont="1" applyBorder="1" applyAlignment="1">
      <alignment horizontal="left" vertical="top" wrapText="1" indent="8"/>
    </xf>
    <xf numFmtId="0" fontId="3" fillId="0" borderId="6" xfId="0" applyFont="1" applyBorder="1" applyAlignment="1">
      <alignment horizontal="center" vertical="top" wrapText="1"/>
    </xf>
    <xf numFmtId="0" fontId="3" fillId="0" borderId="6" xfId="0" applyFont="1" applyBorder="1" applyAlignment="1">
      <alignment horizontal="left" vertical="top" wrapText="1" indent="11"/>
    </xf>
    <xf numFmtId="4" fontId="2" fillId="2" borderId="9" xfId="0" applyNumberFormat="1" applyFont="1" applyFill="1" applyBorder="1" applyAlignment="1">
      <alignment horizontal="center" vertical="center"/>
    </xf>
    <xf numFmtId="4" fontId="2" fillId="2" borderId="57" xfId="0" applyNumberFormat="1" applyFont="1" applyFill="1" applyBorder="1" applyAlignment="1">
      <alignment horizontal="center" vertical="center"/>
    </xf>
    <xf numFmtId="4" fontId="2" fillId="2" borderId="10" xfId="0" applyNumberFormat="1" applyFont="1" applyFill="1" applyBorder="1" applyAlignment="1">
      <alignment horizontal="center" vertical="center"/>
    </xf>
    <xf numFmtId="0" fontId="3" fillId="2" borderId="7" xfId="0" applyFont="1" applyFill="1" applyBorder="1" applyAlignment="1">
      <alignment horizontal="left" vertical="center" wrapText="1"/>
    </xf>
    <xf numFmtId="0" fontId="3" fillId="2" borderId="11" xfId="0" applyFont="1" applyFill="1" applyBorder="1" applyAlignment="1">
      <alignment horizontal="left" vertical="center" wrapText="1"/>
    </xf>
    <xf numFmtId="0" fontId="3" fillId="2" borderId="8" xfId="0" applyFont="1" applyFill="1" applyBorder="1" applyAlignment="1">
      <alignment horizontal="left" vertical="center" wrapText="1"/>
    </xf>
    <xf numFmtId="0" fontId="19" fillId="0" borderId="6" xfId="0" applyFont="1" applyBorder="1" applyAlignment="1">
      <alignment horizontal="center" vertical="center"/>
    </xf>
    <xf numFmtId="0" fontId="3" fillId="0" borderId="6" xfId="0" applyFont="1" applyBorder="1" applyAlignment="1">
      <alignment horizontal="left" vertical="top" wrapText="1" indent="5"/>
    </xf>
    <xf numFmtId="0" fontId="3" fillId="0" borderId="6" xfId="0" applyFont="1" applyBorder="1" applyAlignment="1">
      <alignment horizontal="left" vertical="top" wrapText="1" indent="4"/>
    </xf>
    <xf numFmtId="0" fontId="3" fillId="13" borderId="77" xfId="5" applyFont="1" applyFill="1" applyBorder="1" applyAlignment="1">
      <alignment horizontal="left" vertical="top" wrapText="1"/>
    </xf>
    <xf numFmtId="0" fontId="3" fillId="13" borderId="78" xfId="5" applyFont="1" applyFill="1" applyBorder="1" applyAlignment="1">
      <alignment horizontal="left" vertical="top" wrapText="1"/>
    </xf>
    <xf numFmtId="0" fontId="4" fillId="13" borderId="0" xfId="5" applyFont="1" applyFill="1" applyAlignment="1">
      <alignment horizontal="left" vertical="top" wrapText="1"/>
    </xf>
    <xf numFmtId="0" fontId="4" fillId="13" borderId="75" xfId="5" applyFont="1" applyFill="1" applyBorder="1" applyAlignment="1">
      <alignment horizontal="left" vertical="top" wrapText="1"/>
    </xf>
    <xf numFmtId="0" fontId="3" fillId="13" borderId="0" xfId="5" applyFont="1" applyFill="1" applyAlignment="1">
      <alignment horizontal="center" vertical="top" wrapText="1"/>
    </xf>
    <xf numFmtId="0" fontId="3" fillId="13" borderId="0" xfId="5" applyFont="1" applyFill="1" applyAlignment="1">
      <alignment horizontal="left" vertical="top" wrapText="1"/>
    </xf>
    <xf numFmtId="0" fontId="3" fillId="13" borderId="75" xfId="5" applyFont="1" applyFill="1" applyBorder="1" applyAlignment="1">
      <alignment horizontal="left" vertical="top" wrapText="1"/>
    </xf>
    <xf numFmtId="49" fontId="3" fillId="13" borderId="0" xfId="27" applyNumberFormat="1" applyFont="1" applyFill="1" applyAlignment="1">
      <alignment horizontal="center" vertical="top" wrapText="1"/>
    </xf>
    <xf numFmtId="49" fontId="3" fillId="13" borderId="4" xfId="27" applyNumberFormat="1" applyFont="1" applyFill="1" applyBorder="1" applyAlignment="1">
      <alignment horizontal="center" vertical="center" wrapText="1"/>
    </xf>
    <xf numFmtId="49" fontId="3" fillId="13" borderId="0" xfId="27" applyNumberFormat="1" applyFont="1" applyFill="1" applyBorder="1" applyAlignment="1">
      <alignment horizontal="center" vertical="center" wrapText="1"/>
    </xf>
    <xf numFmtId="49" fontId="3" fillId="13" borderId="5" xfId="27" applyNumberFormat="1" applyFont="1" applyFill="1" applyBorder="1" applyAlignment="1">
      <alignment horizontal="center" vertical="center" wrapText="1"/>
    </xf>
    <xf numFmtId="49" fontId="3" fillId="13" borderId="4" xfId="27" applyNumberFormat="1" applyFont="1" applyFill="1" applyBorder="1" applyAlignment="1">
      <alignment horizontal="left" vertical="top" wrapText="1"/>
    </xf>
    <xf numFmtId="49" fontId="3" fillId="13" borderId="0" xfId="27" applyNumberFormat="1" applyFont="1" applyFill="1" applyBorder="1" applyAlignment="1">
      <alignment horizontal="left" vertical="top" wrapText="1"/>
    </xf>
    <xf numFmtId="49" fontId="3" fillId="13" borderId="5" xfId="27" applyNumberFormat="1" applyFont="1" applyFill="1" applyBorder="1" applyAlignment="1">
      <alignment horizontal="left" vertical="top" wrapText="1"/>
    </xf>
    <xf numFmtId="49" fontId="3" fillId="13" borderId="73" xfId="27" applyNumberFormat="1" applyFont="1" applyFill="1" applyBorder="1" applyAlignment="1">
      <alignment horizontal="left" vertical="top" wrapText="1"/>
    </xf>
    <xf numFmtId="49" fontId="3" fillId="13" borderId="66" xfId="27" applyNumberFormat="1" applyFont="1" applyFill="1" applyBorder="1" applyAlignment="1">
      <alignment horizontal="left" vertical="top" wrapText="1"/>
    </xf>
    <xf numFmtId="49" fontId="3" fillId="13" borderId="69" xfId="27" applyNumberFormat="1" applyFont="1" applyFill="1" applyBorder="1" applyAlignment="1">
      <alignment horizontal="left" vertical="top" wrapText="1"/>
    </xf>
    <xf numFmtId="49" fontId="3" fillId="13" borderId="0" xfId="27" applyNumberFormat="1" applyFont="1" applyFill="1" applyAlignment="1">
      <alignment horizontal="center" wrapText="1"/>
    </xf>
    <xf numFmtId="0" fontId="3" fillId="13" borderId="0" xfId="5" applyFont="1" applyFill="1" applyAlignment="1">
      <alignment horizontal="center" vertical="center" wrapText="1"/>
    </xf>
    <xf numFmtId="0" fontId="4" fillId="13" borderId="7" xfId="26" applyFont="1" applyFill="1" applyBorder="1" applyAlignment="1">
      <alignment horizontal="left"/>
    </xf>
    <xf numFmtId="0" fontId="4" fillId="13" borderId="8" xfId="26" applyFont="1" applyFill="1" applyBorder="1" applyAlignment="1">
      <alignment horizontal="left"/>
    </xf>
    <xf numFmtId="0" fontId="3" fillId="13" borderId="7" xfId="26" applyFont="1" applyFill="1" applyBorder="1" applyAlignment="1">
      <alignment horizontal="right"/>
    </xf>
    <xf numFmtId="0" fontId="3" fillId="13" borderId="8" xfId="26" applyFont="1" applyFill="1" applyBorder="1" applyAlignment="1">
      <alignment horizontal="right"/>
    </xf>
    <xf numFmtId="0" fontId="3" fillId="13" borderId="7" xfId="26" applyFont="1" applyFill="1" applyBorder="1" applyAlignment="1">
      <alignment horizontal="center"/>
    </xf>
    <xf numFmtId="0" fontId="3" fillId="13" borderId="8" xfId="26" applyFont="1" applyFill="1" applyBorder="1" applyAlignment="1">
      <alignment horizontal="center"/>
    </xf>
    <xf numFmtId="49" fontId="3" fillId="13" borderId="0" xfId="27" applyNumberFormat="1" applyFont="1" applyFill="1" applyBorder="1" applyAlignment="1">
      <alignment horizontal="center" vertical="top" wrapText="1"/>
    </xf>
    <xf numFmtId="0" fontId="3" fillId="2" borderId="0" xfId="0" applyFont="1" applyFill="1" applyBorder="1" applyAlignment="1">
      <alignment horizontal="left" vertical="center" wrapText="1"/>
    </xf>
    <xf numFmtId="0" fontId="3" fillId="2" borderId="0" xfId="21" applyNumberFormat="1" applyFont="1" applyFill="1" applyBorder="1" applyAlignment="1">
      <alignment horizontal="center" vertical="center" wrapText="1"/>
    </xf>
    <xf numFmtId="0" fontId="3" fillId="2" borderId="5" xfId="21" applyNumberFormat="1" applyFont="1" applyFill="1" applyBorder="1" applyAlignment="1">
      <alignment horizontal="center" vertical="center" wrapText="1"/>
    </xf>
    <xf numFmtId="0" fontId="3" fillId="2" borderId="73" xfId="0" applyFont="1" applyFill="1" applyBorder="1" applyAlignment="1">
      <alignment horizontal="left" vertical="center" wrapText="1"/>
    </xf>
    <xf numFmtId="0" fontId="3" fillId="2" borderId="66" xfId="0" applyFont="1" applyFill="1" applyBorder="1" applyAlignment="1">
      <alignment horizontal="left" vertical="center" wrapText="1"/>
    </xf>
    <xf numFmtId="0" fontId="3" fillId="2" borderId="66" xfId="21" applyNumberFormat="1" applyFont="1" applyFill="1" applyBorder="1" applyAlignment="1">
      <alignment horizontal="right" vertical="center" wrapText="1"/>
    </xf>
    <xf numFmtId="0" fontId="10" fillId="0" borderId="21" xfId="0" applyFont="1" applyBorder="1" applyAlignment="1">
      <alignment horizontal="right"/>
    </xf>
    <xf numFmtId="0" fontId="10" fillId="0" borderId="22" xfId="0" applyFont="1" applyBorder="1" applyAlignment="1">
      <alignment horizontal="right"/>
    </xf>
    <xf numFmtId="0" fontId="10" fillId="0" borderId="20" xfId="0" applyFont="1" applyBorder="1" applyAlignment="1">
      <alignment horizontal="right"/>
    </xf>
    <xf numFmtId="0" fontId="10" fillId="0" borderId="37" xfId="0" applyFont="1" applyBorder="1" applyAlignment="1">
      <alignment horizontal="right"/>
    </xf>
    <xf numFmtId="0" fontId="10" fillId="0" borderId="38" xfId="0" applyFont="1" applyBorder="1" applyAlignment="1">
      <alignment horizontal="right"/>
    </xf>
    <xf numFmtId="0" fontId="10" fillId="0" borderId="39" xfId="0" applyFont="1" applyBorder="1" applyAlignment="1">
      <alignment horizontal="right"/>
    </xf>
    <xf numFmtId="0" fontId="10" fillId="0" borderId="52" xfId="0" applyFont="1" applyBorder="1" applyAlignment="1">
      <alignment horizontal="right"/>
    </xf>
    <xf numFmtId="0" fontId="10" fillId="0" borderId="53" xfId="0" applyFont="1" applyBorder="1" applyAlignment="1">
      <alignment horizontal="right"/>
    </xf>
    <xf numFmtId="0" fontId="10" fillId="0" borderId="54" xfId="0" applyFont="1" applyBorder="1" applyAlignment="1">
      <alignment horizontal="right"/>
    </xf>
    <xf numFmtId="0" fontId="10" fillId="0" borderId="12" xfId="0" applyFont="1" applyBorder="1" applyAlignment="1">
      <alignment horizontal="center"/>
    </xf>
    <xf numFmtId="0" fontId="10" fillId="0" borderId="32" xfId="0" applyFont="1" applyBorder="1" applyAlignment="1">
      <alignment horizontal="center"/>
    </xf>
    <xf numFmtId="0" fontId="10" fillId="0" borderId="33" xfId="0" applyFont="1" applyBorder="1" applyAlignment="1">
      <alignment horizontal="center"/>
    </xf>
    <xf numFmtId="0" fontId="10" fillId="0" borderId="26" xfId="0" applyFont="1" applyBorder="1" applyAlignment="1">
      <alignment horizontal="center"/>
    </xf>
    <xf numFmtId="0" fontId="10" fillId="0" borderId="27" xfId="0" applyFont="1" applyBorder="1" applyAlignment="1">
      <alignment horizontal="center"/>
    </xf>
    <xf numFmtId="0" fontId="10" fillId="0" borderId="28" xfId="0" applyFont="1" applyBorder="1" applyAlignment="1">
      <alignment horizontal="center"/>
    </xf>
    <xf numFmtId="0" fontId="10" fillId="0" borderId="12" xfId="0" applyFont="1" applyBorder="1" applyAlignment="1">
      <alignment horizontal="center" vertical="center"/>
    </xf>
    <xf numFmtId="0" fontId="10" fillId="0" borderId="32" xfId="0" applyFont="1" applyBorder="1" applyAlignment="1">
      <alignment horizontal="center" vertical="center"/>
    </xf>
    <xf numFmtId="0" fontId="10" fillId="0" borderId="33" xfId="0" applyFont="1" applyBorder="1" applyAlignment="1">
      <alignment horizontal="center" vertical="center"/>
    </xf>
    <xf numFmtId="0" fontId="10" fillId="0" borderId="13" xfId="0" applyFont="1" applyBorder="1" applyAlignment="1">
      <alignment horizontal="center" vertical="center"/>
    </xf>
    <xf numFmtId="0" fontId="10" fillId="0" borderId="0" xfId="0" applyFont="1" applyAlignment="1">
      <alignment horizontal="center" vertical="center"/>
    </xf>
    <xf numFmtId="0" fontId="10" fillId="0" borderId="42" xfId="0" applyFont="1" applyBorder="1" applyAlignment="1">
      <alignment horizontal="center" vertical="center"/>
    </xf>
    <xf numFmtId="0" fontId="10" fillId="0" borderId="44" xfId="0" applyFont="1" applyBorder="1" applyAlignment="1">
      <alignment horizontal="center" vertical="center"/>
    </xf>
    <xf numFmtId="0" fontId="10" fillId="0" borderId="45" xfId="0" applyFont="1" applyBorder="1" applyAlignment="1">
      <alignment horizontal="center" vertical="center"/>
    </xf>
    <xf numFmtId="0" fontId="10" fillId="0" borderId="46" xfId="0" applyFont="1" applyBorder="1" applyAlignment="1">
      <alignment horizontal="center" vertical="center"/>
    </xf>
    <xf numFmtId="0" fontId="0" fillId="0" borderId="48" xfId="0" applyBorder="1" applyAlignment="1">
      <alignment horizontal="center"/>
    </xf>
    <xf numFmtId="0" fontId="0" fillId="0" borderId="17" xfId="0" applyBorder="1" applyAlignment="1">
      <alignment horizontal="center"/>
    </xf>
    <xf numFmtId="0" fontId="0" fillId="0" borderId="36" xfId="0" applyBorder="1" applyAlignment="1">
      <alignment horizontal="center"/>
    </xf>
    <xf numFmtId="0" fontId="0" fillId="0" borderId="37" xfId="0" applyBorder="1" applyAlignment="1">
      <alignment horizontal="center"/>
    </xf>
    <xf numFmtId="0" fontId="0" fillId="0" borderId="38" xfId="0" applyBorder="1" applyAlignment="1">
      <alignment horizontal="center"/>
    </xf>
    <xf numFmtId="0" fontId="0" fillId="0" borderId="49" xfId="0" applyBorder="1" applyAlignment="1">
      <alignment horizontal="center"/>
    </xf>
    <xf numFmtId="0" fontId="24" fillId="0" borderId="26" xfId="0" applyFont="1" applyBorder="1" applyAlignment="1">
      <alignment horizontal="center"/>
    </xf>
    <xf numFmtId="0" fontId="24" fillId="0" borderId="27" xfId="0" applyFont="1" applyBorder="1" applyAlignment="1">
      <alignment horizontal="center"/>
    </xf>
    <xf numFmtId="0" fontId="24" fillId="0" borderId="28" xfId="0" applyFont="1" applyBorder="1" applyAlignment="1">
      <alignment horizontal="center"/>
    </xf>
    <xf numFmtId="0" fontId="24" fillId="0" borderId="12" xfId="0" applyFont="1" applyBorder="1" applyAlignment="1">
      <alignment horizontal="center" vertical="center"/>
    </xf>
    <xf numFmtId="0" fontId="24" fillId="0" borderId="32" xfId="0" applyFont="1" applyBorder="1" applyAlignment="1">
      <alignment horizontal="center" vertical="center"/>
    </xf>
    <xf numFmtId="0" fontId="24" fillId="0" borderId="33" xfId="0" applyFont="1" applyBorder="1" applyAlignment="1">
      <alignment horizontal="center" vertical="center"/>
    </xf>
    <xf numFmtId="0" fontId="24" fillId="0" borderId="13" xfId="0" applyFont="1" applyBorder="1" applyAlignment="1">
      <alignment horizontal="center" vertical="center"/>
    </xf>
    <xf numFmtId="0" fontId="24" fillId="0" borderId="0" xfId="0" applyFont="1" applyAlignment="1">
      <alignment horizontal="center" vertical="center"/>
    </xf>
    <xf numFmtId="0" fontId="24" fillId="0" borderId="42" xfId="0" applyFont="1" applyBorder="1" applyAlignment="1">
      <alignment horizontal="center" vertical="center"/>
    </xf>
    <xf numFmtId="0" fontId="24" fillId="0" borderId="44" xfId="0" applyFont="1" applyBorder="1" applyAlignment="1">
      <alignment horizontal="center" vertical="center"/>
    </xf>
    <xf numFmtId="0" fontId="24" fillId="0" borderId="45" xfId="0" applyFont="1" applyBorder="1" applyAlignment="1">
      <alignment horizontal="center" vertical="center"/>
    </xf>
    <xf numFmtId="0" fontId="24" fillId="0" borderId="46" xfId="0" applyFont="1" applyBorder="1" applyAlignment="1">
      <alignment horizontal="center" vertical="center"/>
    </xf>
    <xf numFmtId="0" fontId="24" fillId="0" borderId="21" xfId="0" applyFont="1" applyBorder="1" applyAlignment="1">
      <alignment horizontal="right"/>
    </xf>
    <xf numFmtId="0" fontId="24" fillId="0" borderId="22" xfId="0" applyFont="1" applyBorder="1" applyAlignment="1">
      <alignment horizontal="right"/>
    </xf>
    <xf numFmtId="0" fontId="24" fillId="0" borderId="20" xfId="0" applyFont="1" applyBorder="1" applyAlignment="1">
      <alignment horizontal="right"/>
    </xf>
    <xf numFmtId="0" fontId="24" fillId="0" borderId="37" xfId="0" applyFont="1" applyBorder="1" applyAlignment="1">
      <alignment horizontal="right"/>
    </xf>
    <xf numFmtId="0" fontId="24" fillId="0" borderId="38" xfId="0" applyFont="1" applyBorder="1" applyAlignment="1">
      <alignment horizontal="right"/>
    </xf>
    <xf numFmtId="0" fontId="24" fillId="0" borderId="39" xfId="0" applyFont="1" applyBorder="1" applyAlignment="1">
      <alignment horizontal="right"/>
    </xf>
    <xf numFmtId="0" fontId="24" fillId="0" borderId="52" xfId="0" applyFont="1" applyBorder="1" applyAlignment="1">
      <alignment horizontal="right"/>
    </xf>
    <xf numFmtId="0" fontId="24" fillId="0" borderId="53" xfId="0" applyFont="1" applyBorder="1" applyAlignment="1">
      <alignment horizontal="right"/>
    </xf>
    <xf numFmtId="0" fontId="24" fillId="0" borderId="54" xfId="0" applyFont="1" applyBorder="1" applyAlignment="1">
      <alignment horizontal="right"/>
    </xf>
    <xf numFmtId="0" fontId="24" fillId="0" borderId="12" xfId="0" applyFont="1" applyBorder="1" applyAlignment="1">
      <alignment horizontal="center"/>
    </xf>
    <xf numFmtId="0" fontId="24" fillId="0" borderId="32" xfId="0" applyFont="1" applyBorder="1" applyAlignment="1">
      <alignment horizontal="center"/>
    </xf>
    <xf numFmtId="0" fontId="24" fillId="0" borderId="33" xfId="0" applyFont="1" applyBorder="1" applyAlignment="1">
      <alignment horizontal="center"/>
    </xf>
    <xf numFmtId="0" fontId="43" fillId="2" borderId="6" xfId="6" applyFont="1" applyFill="1" applyBorder="1" applyAlignment="1">
      <alignment horizontal="right" vertical="center"/>
    </xf>
    <xf numFmtId="0" fontId="42" fillId="2" borderId="6" xfId="6" applyFont="1" applyFill="1" applyBorder="1" applyAlignment="1">
      <alignment horizontal="right" vertical="center"/>
    </xf>
    <xf numFmtId="0" fontId="43" fillId="2" borderId="7" xfId="6" applyFont="1" applyFill="1" applyBorder="1" applyAlignment="1">
      <alignment horizontal="center" vertical="center"/>
    </xf>
    <xf numFmtId="0" fontId="43" fillId="2" borderId="11" xfId="6" applyFont="1" applyFill="1" applyBorder="1" applyAlignment="1">
      <alignment horizontal="center" vertical="center"/>
    </xf>
    <xf numFmtId="0" fontId="43" fillId="2" borderId="8" xfId="6" applyFont="1" applyFill="1" applyBorder="1" applyAlignment="1">
      <alignment horizontal="center" vertical="center"/>
    </xf>
    <xf numFmtId="0" fontId="42" fillId="2" borderId="6" xfId="6" applyFont="1" applyFill="1" applyBorder="1" applyAlignment="1">
      <alignment horizontal="center" vertical="center"/>
    </xf>
    <xf numFmtId="0" fontId="1" fillId="0" borderId="7" xfId="6" applyBorder="1" applyAlignment="1">
      <alignment horizontal="left" vertical="center"/>
    </xf>
    <xf numFmtId="0" fontId="1" fillId="0" borderId="11" xfId="6" applyBorder="1" applyAlignment="1">
      <alignment horizontal="left" vertical="center"/>
    </xf>
    <xf numFmtId="0" fontId="1" fillId="0" borderId="8" xfId="6" applyBorder="1" applyAlignment="1">
      <alignment horizontal="left" vertical="center"/>
    </xf>
    <xf numFmtId="0" fontId="43" fillId="2" borderId="10" xfId="6" applyFont="1" applyFill="1" applyBorder="1" applyAlignment="1">
      <alignment horizontal="center" vertical="center"/>
    </xf>
    <xf numFmtId="49" fontId="0" fillId="2" borderId="6" xfId="6" applyNumberFormat="1" applyFont="1" applyFill="1" applyBorder="1" applyAlignment="1">
      <alignment horizontal="left" vertical="center" wrapText="1"/>
    </xf>
    <xf numFmtId="49" fontId="1" fillId="2" borderId="6" xfId="6" applyNumberFormat="1" applyFont="1" applyFill="1" applyBorder="1" applyAlignment="1">
      <alignment horizontal="left" vertical="center" wrapText="1"/>
    </xf>
    <xf numFmtId="49" fontId="0" fillId="2" borderId="6" xfId="6" applyNumberFormat="1" applyFont="1" applyFill="1" applyBorder="1" applyAlignment="1">
      <alignment horizontal="left" vertical="center"/>
    </xf>
    <xf numFmtId="49" fontId="1" fillId="2" borderId="6" xfId="6" applyNumberFormat="1" applyFont="1" applyFill="1" applyBorder="1" applyAlignment="1">
      <alignment horizontal="left" vertical="center"/>
    </xf>
    <xf numFmtId="0" fontId="42" fillId="2" borderId="87" xfId="6" applyFont="1" applyFill="1" applyBorder="1" applyAlignment="1">
      <alignment horizontal="center" vertical="center"/>
    </xf>
    <xf numFmtId="0" fontId="42" fillId="2" borderId="88" xfId="6" applyFont="1" applyFill="1" applyBorder="1" applyAlignment="1">
      <alignment horizontal="center" vertical="center"/>
    </xf>
    <xf numFmtId="0" fontId="42" fillId="2" borderId="89" xfId="6" applyFont="1" applyFill="1" applyBorder="1" applyAlignment="1">
      <alignment horizontal="center" vertical="center"/>
    </xf>
    <xf numFmtId="49" fontId="45" fillId="2" borderId="6" xfId="6" applyNumberFormat="1" applyFont="1" applyFill="1" applyBorder="1" applyAlignment="1">
      <alignment horizontal="left" vertical="center" wrapText="1"/>
    </xf>
    <xf numFmtId="49" fontId="45" fillId="2" borderId="7" xfId="6" applyNumberFormat="1" applyFont="1" applyFill="1" applyBorder="1" applyAlignment="1">
      <alignment horizontal="left" vertical="center" wrapText="1"/>
    </xf>
    <xf numFmtId="49" fontId="45" fillId="2" borderId="11" xfId="6" applyNumberFormat="1" applyFont="1" applyFill="1" applyBorder="1" applyAlignment="1">
      <alignment horizontal="left" vertical="center" wrapText="1"/>
    </xf>
    <xf numFmtId="49" fontId="45" fillId="2" borderId="8" xfId="6" applyNumberFormat="1" applyFont="1" applyFill="1" applyBorder="1" applyAlignment="1">
      <alignment horizontal="left" vertical="center" wrapText="1"/>
    </xf>
    <xf numFmtId="1" fontId="8" fillId="2" borderId="87" xfId="6" applyNumberFormat="1" applyFont="1" applyFill="1" applyBorder="1" applyAlignment="1">
      <alignment horizontal="center" vertical="center"/>
    </xf>
    <xf numFmtId="1" fontId="8" fillId="2" borderId="88" xfId="6" applyNumberFormat="1" applyFont="1" applyFill="1" applyBorder="1" applyAlignment="1">
      <alignment horizontal="center" vertical="center"/>
    </xf>
    <xf numFmtId="1" fontId="8" fillId="2" borderId="89" xfId="6" applyNumberFormat="1" applyFont="1" applyFill="1" applyBorder="1" applyAlignment="1">
      <alignment horizontal="center" vertical="center"/>
    </xf>
    <xf numFmtId="49" fontId="1" fillId="2" borderId="10" xfId="6" applyNumberFormat="1" applyFont="1" applyFill="1" applyBorder="1" applyAlignment="1">
      <alignment horizontal="center" vertical="center" wrapText="1"/>
    </xf>
    <xf numFmtId="0" fontId="41" fillId="2" borderId="79" xfId="6" applyFont="1" applyFill="1" applyBorder="1" applyAlignment="1">
      <alignment horizontal="center" vertical="center" wrapText="1"/>
    </xf>
    <xf numFmtId="0" fontId="41" fillId="2" borderId="80" xfId="6" applyFont="1" applyFill="1" applyBorder="1" applyAlignment="1">
      <alignment horizontal="center" vertical="center" wrapText="1"/>
    </xf>
    <xf numFmtId="0" fontId="41" fillId="2" borderId="81" xfId="6" applyFont="1" applyFill="1" applyBorder="1" applyAlignment="1">
      <alignment horizontal="center" vertical="center" wrapText="1"/>
    </xf>
    <xf numFmtId="0" fontId="41" fillId="2" borderId="82" xfId="6" applyFont="1" applyFill="1" applyBorder="1" applyAlignment="1">
      <alignment horizontal="center" vertical="center" wrapText="1"/>
    </xf>
    <xf numFmtId="0" fontId="41" fillId="2" borderId="6" xfId="6" applyFont="1" applyFill="1" applyBorder="1" applyAlignment="1">
      <alignment horizontal="center" vertical="center" wrapText="1"/>
    </xf>
    <xf numFmtId="0" fontId="41" fillId="2" borderId="83" xfId="6" applyFont="1" applyFill="1" applyBorder="1" applyAlignment="1">
      <alignment horizontal="center" vertical="center" wrapText="1"/>
    </xf>
    <xf numFmtId="0" fontId="41" fillId="2" borderId="84" xfId="6" applyFont="1" applyFill="1" applyBorder="1" applyAlignment="1">
      <alignment horizontal="center" vertical="center" wrapText="1"/>
    </xf>
    <xf numFmtId="0" fontId="41" fillId="2" borderId="85" xfId="6" applyFont="1" applyFill="1" applyBorder="1" applyAlignment="1">
      <alignment horizontal="center" vertical="center" wrapText="1"/>
    </xf>
    <xf numFmtId="0" fontId="41" fillId="2" borderId="86" xfId="6" applyFont="1" applyFill="1" applyBorder="1" applyAlignment="1">
      <alignment horizontal="center" vertical="center" wrapText="1"/>
    </xf>
    <xf numFmtId="0" fontId="43" fillId="2" borderId="90" xfId="6" applyFont="1" applyFill="1" applyBorder="1" applyAlignment="1">
      <alignment horizontal="center" vertical="center" wrapText="1"/>
    </xf>
    <xf numFmtId="0" fontId="43" fillId="2" borderId="91" xfId="6" applyFont="1" applyFill="1" applyBorder="1" applyAlignment="1">
      <alignment horizontal="center" vertical="center" wrapText="1"/>
    </xf>
    <xf numFmtId="1" fontId="43" fillId="2" borderId="10" xfId="6" applyNumberFormat="1" applyFont="1" applyFill="1" applyBorder="1" applyAlignment="1">
      <alignment horizontal="center" vertical="center" wrapText="1"/>
    </xf>
    <xf numFmtId="1" fontId="43" fillId="2" borderId="6" xfId="6" applyNumberFormat="1" applyFont="1" applyFill="1" applyBorder="1" applyAlignment="1">
      <alignment horizontal="center" vertical="center" wrapText="1"/>
    </xf>
    <xf numFmtId="0" fontId="43" fillId="2" borderId="10" xfId="6" applyFont="1" applyFill="1" applyBorder="1" applyAlignment="1">
      <alignment horizontal="center" vertical="center" wrapText="1"/>
    </xf>
    <xf numFmtId="0" fontId="43" fillId="2" borderId="6" xfId="6" applyFont="1" applyFill="1" applyBorder="1" applyAlignment="1">
      <alignment horizontal="center" vertical="center" wrapText="1"/>
    </xf>
    <xf numFmtId="2" fontId="44" fillId="2" borderId="9" xfId="6" applyNumberFormat="1" applyFont="1" applyFill="1" applyBorder="1" applyAlignment="1">
      <alignment horizontal="center" vertical="center" wrapText="1"/>
    </xf>
    <xf numFmtId="169" fontId="44" fillId="2" borderId="7" xfId="6" applyNumberFormat="1" applyFont="1" applyFill="1" applyBorder="1" applyAlignment="1">
      <alignment horizontal="left" vertical="center" wrapText="1"/>
    </xf>
    <xf numFmtId="169" fontId="44" fillId="2" borderId="11" xfId="6" applyNumberFormat="1" applyFont="1" applyFill="1" applyBorder="1" applyAlignment="1">
      <alignment horizontal="left" vertical="center" wrapText="1"/>
    </xf>
    <xf numFmtId="169" fontId="44" fillId="2" borderId="8" xfId="6" applyNumberFormat="1" applyFont="1" applyFill="1" applyBorder="1" applyAlignment="1">
      <alignment horizontal="left" vertical="center" wrapText="1"/>
    </xf>
    <xf numFmtId="0" fontId="43" fillId="2" borderId="7" xfId="6" applyFont="1" applyFill="1" applyBorder="1" applyAlignment="1">
      <alignment horizontal="left" vertical="center" wrapText="1"/>
    </xf>
    <xf numFmtId="0" fontId="43" fillId="2" borderId="8" xfId="6" applyFont="1" applyFill="1" applyBorder="1" applyAlignment="1">
      <alignment horizontal="left" vertical="center" wrapText="1"/>
    </xf>
    <xf numFmtId="0" fontId="43" fillId="2" borderId="93" xfId="6" applyFont="1" applyFill="1" applyBorder="1" applyAlignment="1">
      <alignment horizontal="center" vertical="center" wrapText="1"/>
    </xf>
    <xf numFmtId="0" fontId="43" fillId="2" borderId="94" xfId="6" applyFont="1" applyFill="1" applyBorder="1" applyAlignment="1">
      <alignment horizontal="center" vertical="center" wrapText="1"/>
    </xf>
    <xf numFmtId="2" fontId="35" fillId="2" borderId="9" xfId="0" applyNumberFormat="1" applyFont="1" applyFill="1" applyBorder="1" applyAlignment="1">
      <alignment horizontal="center" vertical="center"/>
    </xf>
    <xf numFmtId="2" fontId="35" fillId="2" borderId="57" xfId="0" applyNumberFormat="1" applyFont="1" applyFill="1" applyBorder="1" applyAlignment="1">
      <alignment horizontal="center" vertical="center"/>
    </xf>
    <xf numFmtId="2" fontId="35" fillId="2" borderId="10" xfId="0" applyNumberFormat="1" applyFont="1" applyFill="1" applyBorder="1" applyAlignment="1">
      <alignment horizontal="center" vertical="center"/>
    </xf>
    <xf numFmtId="0" fontId="36" fillId="2" borderId="6" xfId="0" applyFont="1" applyFill="1" applyBorder="1" applyAlignment="1">
      <alignment horizontal="left" vertical="center" wrapText="1"/>
    </xf>
    <xf numFmtId="0" fontId="36" fillId="2" borderId="7" xfId="0" applyFont="1" applyFill="1" applyBorder="1" applyAlignment="1">
      <alignment horizontal="left" vertical="center" wrapText="1"/>
    </xf>
    <xf numFmtId="0" fontId="36" fillId="2" borderId="11" xfId="0" applyFont="1" applyFill="1" applyBorder="1" applyAlignment="1">
      <alignment horizontal="left" vertical="center" wrapText="1"/>
    </xf>
    <xf numFmtId="0" fontId="36" fillId="2" borderId="8" xfId="0" applyFont="1" applyFill="1" applyBorder="1" applyAlignment="1">
      <alignment horizontal="left" vertical="center" wrapText="1"/>
    </xf>
    <xf numFmtId="2" fontId="36" fillId="10" borderId="57" xfId="23" applyNumberFormat="1" applyFont="1" applyFill="1" applyBorder="1" applyAlignment="1">
      <alignment horizontal="center" vertical="center"/>
    </xf>
    <xf numFmtId="2" fontId="36" fillId="3" borderId="6" xfId="23" applyNumberFormat="1" applyFont="1" applyFill="1" applyBorder="1" applyAlignment="1">
      <alignment horizontal="center" vertical="center" wrapText="1"/>
    </xf>
    <xf numFmtId="2" fontId="36" fillId="3" borderId="57" xfId="23" applyNumberFormat="1" applyFont="1" applyFill="1" applyBorder="1" applyAlignment="1">
      <alignment horizontal="center" vertical="center" wrapText="1"/>
    </xf>
    <xf numFmtId="2" fontId="36" fillId="3" borderId="10" xfId="23" applyNumberFormat="1" applyFont="1" applyFill="1" applyBorder="1" applyAlignment="1">
      <alignment horizontal="center" vertical="center" wrapText="1"/>
    </xf>
    <xf numFmtId="2" fontId="36" fillId="8" borderId="57" xfId="23" applyNumberFormat="1" applyFont="1" applyFill="1" applyBorder="1" applyAlignment="1">
      <alignment horizontal="center" vertical="center"/>
    </xf>
    <xf numFmtId="2" fontId="36" fillId="8" borderId="10" xfId="23" applyNumberFormat="1" applyFont="1" applyFill="1" applyBorder="1" applyAlignment="1">
      <alignment horizontal="center" vertical="center"/>
    </xf>
    <xf numFmtId="2" fontId="36" fillId="8" borderId="57" xfId="21" applyNumberFormat="1" applyFont="1" applyFill="1" applyBorder="1" applyAlignment="1">
      <alignment horizontal="center" vertical="center" wrapText="1"/>
    </xf>
    <xf numFmtId="14" fontId="36" fillId="8" borderId="57" xfId="21" applyNumberFormat="1" applyFont="1" applyFill="1" applyBorder="1" applyAlignment="1">
      <alignment horizontal="center" vertical="center" wrapText="1"/>
    </xf>
    <xf numFmtId="2" fontId="36" fillId="9" borderId="10" xfId="23" applyNumberFormat="1" applyFont="1" applyFill="1" applyBorder="1" applyAlignment="1">
      <alignment horizontal="center" vertical="center"/>
    </xf>
    <xf numFmtId="2" fontId="36" fillId="9" borderId="6" xfId="23" applyNumberFormat="1" applyFont="1" applyFill="1" applyBorder="1" applyAlignment="1">
      <alignment horizontal="center" vertical="center"/>
    </xf>
    <xf numFmtId="2" fontId="36" fillId="9" borderId="57" xfId="23" applyNumberFormat="1" applyFont="1" applyFill="1" applyBorder="1" applyAlignment="1">
      <alignment horizontal="center" vertical="center"/>
    </xf>
    <xf numFmtId="2" fontId="36" fillId="9" borderId="10" xfId="21" applyNumberFormat="1" applyFont="1" applyFill="1" applyBorder="1" applyAlignment="1">
      <alignment horizontal="center" vertical="center" wrapText="1"/>
    </xf>
    <xf numFmtId="2" fontId="36" fillId="9" borderId="6" xfId="21" applyNumberFormat="1" applyFont="1" applyFill="1" applyBorder="1" applyAlignment="1">
      <alignment horizontal="center" vertical="center" wrapText="1"/>
    </xf>
    <xf numFmtId="2" fontId="36" fillId="9" borderId="57" xfId="21" applyNumberFormat="1" applyFont="1" applyFill="1" applyBorder="1" applyAlignment="1">
      <alignment horizontal="center" vertical="center" wrapText="1"/>
    </xf>
    <xf numFmtId="2" fontId="36" fillId="10" borderId="10" xfId="23" applyNumberFormat="1" applyFont="1" applyFill="1" applyBorder="1" applyAlignment="1">
      <alignment horizontal="center" vertical="center"/>
    </xf>
    <xf numFmtId="2" fontId="36" fillId="10" borderId="57" xfId="23" applyNumberFormat="1" applyFont="1" applyFill="1" applyBorder="1" applyAlignment="1">
      <alignment horizontal="center" vertical="center" wrapText="1"/>
    </xf>
    <xf numFmtId="14" fontId="36" fillId="10" borderId="10" xfId="21" applyNumberFormat="1" applyFont="1" applyFill="1" applyBorder="1" applyAlignment="1">
      <alignment horizontal="center" vertical="center" wrapText="1"/>
    </xf>
    <xf numFmtId="14" fontId="36" fillId="10" borderId="6" xfId="21" applyNumberFormat="1" applyFont="1" applyFill="1" applyBorder="1" applyAlignment="1">
      <alignment horizontal="center" vertical="center" wrapText="1"/>
    </xf>
    <xf numFmtId="2" fontId="36" fillId="3" borderId="10" xfId="23" applyNumberFormat="1" applyFont="1" applyFill="1" applyBorder="1" applyAlignment="1">
      <alignment horizontal="center" vertical="center"/>
    </xf>
    <xf numFmtId="2" fontId="36" fillId="3" borderId="6" xfId="23" applyNumberFormat="1" applyFont="1" applyFill="1" applyBorder="1" applyAlignment="1">
      <alignment horizontal="center" vertical="center"/>
    </xf>
    <xf numFmtId="0" fontId="29" fillId="5" borderId="72" xfId="0" applyFont="1" applyFill="1" applyBorder="1" applyAlignment="1">
      <alignment horizontal="left" vertical="center"/>
    </xf>
    <xf numFmtId="0" fontId="29" fillId="5" borderId="53" xfId="0" applyFont="1" applyFill="1" applyBorder="1" applyAlignment="1">
      <alignment horizontal="left" vertical="center"/>
    </xf>
    <xf numFmtId="0" fontId="29" fillId="5" borderId="54" xfId="0" applyFont="1" applyFill="1" applyBorder="1" applyAlignment="1">
      <alignment horizontal="left" vertical="center"/>
    </xf>
    <xf numFmtId="0" fontId="29" fillId="5" borderId="55" xfId="0" applyFont="1" applyFill="1" applyBorder="1" applyAlignment="1">
      <alignment horizontal="left" vertical="center"/>
    </xf>
    <xf numFmtId="0" fontId="29" fillId="5" borderId="0" xfId="0" applyFont="1" applyFill="1" applyAlignment="1">
      <alignment horizontal="left" vertical="center"/>
    </xf>
    <xf numFmtId="0" fontId="29" fillId="5" borderId="71" xfId="0" applyFont="1" applyFill="1" applyBorder="1" applyAlignment="1">
      <alignment horizontal="left" vertical="center"/>
    </xf>
    <xf numFmtId="0" fontId="29" fillId="5" borderId="55" xfId="0" applyFont="1" applyFill="1" applyBorder="1" applyAlignment="1">
      <alignment horizontal="center" vertical="center"/>
    </xf>
    <xf numFmtId="0" fontId="29" fillId="5" borderId="0" xfId="0" applyFont="1" applyFill="1" applyAlignment="1">
      <alignment horizontal="center" vertical="center"/>
    </xf>
    <xf numFmtId="0" fontId="29" fillId="5" borderId="71" xfId="0" applyFont="1" applyFill="1" applyBorder="1" applyAlignment="1">
      <alignment horizontal="center" vertical="center"/>
    </xf>
    <xf numFmtId="0" fontId="29" fillId="5" borderId="19" xfId="0" applyFont="1" applyFill="1" applyBorder="1" applyAlignment="1">
      <alignment horizontal="center" vertical="center"/>
    </xf>
    <xf numFmtId="0" fontId="29" fillId="5" borderId="70" xfId="0" applyFont="1" applyFill="1" applyBorder="1" applyAlignment="1">
      <alignment horizontal="center" vertical="center"/>
    </xf>
    <xf numFmtId="0" fontId="29" fillId="5" borderId="56" xfId="0" applyFont="1" applyFill="1" applyBorder="1" applyAlignment="1">
      <alignment horizontal="center" vertical="center"/>
    </xf>
    <xf numFmtId="0" fontId="28" fillId="5" borderId="0" xfId="0" applyFont="1" applyFill="1" applyAlignment="1">
      <alignment horizontal="center" vertical="center"/>
    </xf>
    <xf numFmtId="0" fontId="28" fillId="5" borderId="66" xfId="0" applyFont="1" applyFill="1" applyBorder="1" applyAlignment="1">
      <alignment horizontal="center" vertical="center"/>
    </xf>
    <xf numFmtId="0" fontId="30" fillId="0" borderId="57" xfId="0" applyFont="1" applyBorder="1" applyAlignment="1">
      <alignment horizontal="center" vertical="center"/>
    </xf>
    <xf numFmtId="0" fontId="30" fillId="0" borderId="67" xfId="0" applyFont="1" applyBorder="1" applyAlignment="1">
      <alignment horizontal="center" vertical="center"/>
    </xf>
    <xf numFmtId="0" fontId="31" fillId="0" borderId="57" xfId="0" applyFont="1" applyBorder="1" applyAlignment="1">
      <alignment horizontal="left" vertical="center" wrapText="1"/>
    </xf>
    <xf numFmtId="0" fontId="31" fillId="0" borderId="67" xfId="0" applyFont="1" applyBorder="1" applyAlignment="1">
      <alignment horizontal="left" vertical="center" wrapText="1"/>
    </xf>
    <xf numFmtId="0" fontId="30" fillId="12" borderId="57" xfId="0" applyFont="1" applyFill="1" applyBorder="1" applyAlignment="1">
      <alignment horizontal="center" vertical="center"/>
    </xf>
    <xf numFmtId="0" fontId="30" fillId="12" borderId="67" xfId="0" applyFont="1" applyFill="1" applyBorder="1" applyAlignment="1">
      <alignment horizontal="center" vertical="center"/>
    </xf>
    <xf numFmtId="0" fontId="31" fillId="12" borderId="57" xfId="0" applyFont="1" applyFill="1" applyBorder="1" applyAlignment="1">
      <alignment horizontal="left" vertical="center" wrapText="1"/>
    </xf>
    <xf numFmtId="0" fontId="31" fillId="12" borderId="67" xfId="0" applyFont="1" applyFill="1" applyBorder="1" applyAlignment="1">
      <alignment horizontal="left" vertical="center" wrapText="1"/>
    </xf>
    <xf numFmtId="0" fontId="30" fillId="3" borderId="9" xfId="0" applyFont="1" applyFill="1" applyBorder="1" applyAlignment="1">
      <alignment horizontal="center" vertical="center"/>
    </xf>
    <xf numFmtId="0" fontId="30" fillId="3" borderId="67" xfId="0" applyFont="1" applyFill="1" applyBorder="1" applyAlignment="1">
      <alignment horizontal="center" vertical="center"/>
    </xf>
    <xf numFmtId="0" fontId="31" fillId="3" borderId="4" xfId="0" applyFont="1" applyFill="1" applyBorder="1" applyAlignment="1">
      <alignment horizontal="center" vertical="center"/>
    </xf>
    <xf numFmtId="0" fontId="31" fillId="3" borderId="0" xfId="0" applyFont="1" applyFill="1" applyAlignment="1">
      <alignment horizontal="center" vertical="center"/>
    </xf>
    <xf numFmtId="0" fontId="31" fillId="3" borderId="68" xfId="0" applyFont="1" applyFill="1" applyBorder="1" applyAlignment="1">
      <alignment horizontal="center" vertical="center"/>
    </xf>
    <xf numFmtId="0" fontId="31" fillId="3" borderId="53" xfId="0" applyFont="1" applyFill="1" applyBorder="1" applyAlignment="1">
      <alignment horizontal="center" vertical="center"/>
    </xf>
    <xf numFmtId="0" fontId="31" fillId="3" borderId="18" xfId="0" applyFont="1" applyFill="1" applyBorder="1" applyAlignment="1">
      <alignment horizontal="center" vertical="center"/>
    </xf>
    <xf numFmtId="0" fontId="31" fillId="3" borderId="17" xfId="0" applyFont="1" applyFill="1" applyBorder="1" applyAlignment="1">
      <alignment horizontal="center" vertical="center"/>
    </xf>
    <xf numFmtId="0" fontId="31" fillId="3" borderId="54" xfId="0" applyFont="1" applyFill="1" applyBorder="1" applyAlignment="1">
      <alignment horizontal="center" vertical="center"/>
    </xf>
  </cellXfs>
  <cellStyles count="28">
    <cellStyle name="Hiperlink" xfId="24" builtinId="8"/>
    <cellStyle name="Moeda" xfId="22" builtinId="4"/>
    <cellStyle name="Moeda 2" xfId="7"/>
    <cellStyle name="Moeda 3" xfId="10"/>
    <cellStyle name="Moeda 3 2" xfId="16"/>
    <cellStyle name="Moeda 3 3" xfId="19"/>
    <cellStyle name="Moeda 4" xfId="14"/>
    <cellStyle name="Moeda 5" xfId="18"/>
    <cellStyle name="Moeda 6" xfId="2"/>
    <cellStyle name="Normal" xfId="0" builtinId="0"/>
    <cellStyle name="Normal 2" xfId="4"/>
    <cellStyle name="Normal 2 3" xfId="8"/>
    <cellStyle name="Normal 3" xfId="3"/>
    <cellStyle name="Normal 4" xfId="11"/>
    <cellStyle name="Normal 4 2" xfId="20"/>
    <cellStyle name="Normal 6" xfId="6"/>
    <cellStyle name="Normal 61 2" xfId="5"/>
    <cellStyle name="Normal_Composição BDI" xfId="27"/>
    <cellStyle name="Normal_Composição do BDI - final" xfId="26"/>
    <cellStyle name="Normal_Replanilhamento T-1 - 18-02-08" xfId="23"/>
    <cellStyle name="Porcentagem" xfId="25" builtinId="5"/>
    <cellStyle name="Porcentagem 2" xfId="12"/>
    <cellStyle name="Vírgula" xfId="21" builtinId="3"/>
    <cellStyle name="Vírgula 2" xfId="9"/>
    <cellStyle name="Vírgula 2 2" xfId="15"/>
    <cellStyle name="Vírgula 3" xfId="13"/>
    <cellStyle name="Vírgula 4" xfId="17"/>
    <cellStyle name="Vírgula 5"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0</xdr:col>
      <xdr:colOff>47625</xdr:colOff>
      <xdr:row>0</xdr:row>
      <xdr:rowOff>180975</xdr:rowOff>
    </xdr:from>
    <xdr:to>
      <xdr:col>0</xdr:col>
      <xdr:colOff>576664</xdr:colOff>
      <xdr:row>4</xdr:row>
      <xdr:rowOff>0</xdr:rowOff>
    </xdr:to>
    <xdr:pic>
      <xdr:nvPicPr>
        <xdr:cNvPr id="2" name="Imagem 1">
          <a:extLst>
            <a:ext uri="{FF2B5EF4-FFF2-40B4-BE49-F238E27FC236}">
              <a16:creationId xmlns:a16="http://schemas.microsoft.com/office/drawing/2014/main" xmlns=""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7625" y="180975"/>
          <a:ext cx="529039" cy="58102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209550</xdr:colOff>
      <xdr:row>0</xdr:row>
      <xdr:rowOff>9525</xdr:rowOff>
    </xdr:from>
    <xdr:to>
      <xdr:col>0</xdr:col>
      <xdr:colOff>866775</xdr:colOff>
      <xdr:row>2</xdr:row>
      <xdr:rowOff>161925</xdr:rowOff>
    </xdr:to>
    <xdr:pic>
      <xdr:nvPicPr>
        <xdr:cNvPr id="4" name="Imagem 5">
          <a:extLst>
            <a:ext uri="{FF2B5EF4-FFF2-40B4-BE49-F238E27FC236}">
              <a16:creationId xmlns:a16="http://schemas.microsoft.com/office/drawing/2014/main" xmlns="" id="{C5D0CBFB-0FB5-4524-9859-672FEED8FA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550" y="9525"/>
          <a:ext cx="657225" cy="723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114301</xdr:colOff>
      <xdr:row>2</xdr:row>
      <xdr:rowOff>0</xdr:rowOff>
    </xdr:from>
    <xdr:to>
      <xdr:col>1</xdr:col>
      <xdr:colOff>690965</xdr:colOff>
      <xdr:row>4</xdr:row>
      <xdr:rowOff>9525</xdr:rowOff>
    </xdr:to>
    <xdr:pic>
      <xdr:nvPicPr>
        <xdr:cNvPr id="2" name="Imagem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23901" y="438150"/>
          <a:ext cx="576664" cy="638175"/>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230980</xdr:colOff>
      <xdr:row>1</xdr:row>
      <xdr:rowOff>247650</xdr:rowOff>
    </xdr:from>
    <xdr:to>
      <xdr:col>1</xdr:col>
      <xdr:colOff>1012029</xdr:colOff>
      <xdr:row>4</xdr:row>
      <xdr:rowOff>28543</xdr:rowOff>
    </xdr:to>
    <xdr:pic>
      <xdr:nvPicPr>
        <xdr:cNvPr id="2" name="Imagem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40580" y="409575"/>
          <a:ext cx="781049" cy="869124"/>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142875</xdr:colOff>
      <xdr:row>0</xdr:row>
      <xdr:rowOff>66675</xdr:rowOff>
    </xdr:from>
    <xdr:to>
      <xdr:col>1</xdr:col>
      <xdr:colOff>62314</xdr:colOff>
      <xdr:row>3</xdr:row>
      <xdr:rowOff>76200</xdr:rowOff>
    </xdr:to>
    <xdr:pic>
      <xdr:nvPicPr>
        <xdr:cNvPr id="2" name="Imagem 1">
          <a:extLst>
            <a:ext uri="{FF2B5EF4-FFF2-40B4-BE49-F238E27FC236}">
              <a16:creationId xmlns:a16="http://schemas.microsoft.com/office/drawing/2014/main" xmlns=""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42875" y="66675"/>
          <a:ext cx="529039" cy="581025"/>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123825</xdr:colOff>
      <xdr:row>0</xdr:row>
      <xdr:rowOff>95250</xdr:rowOff>
    </xdr:from>
    <xdr:to>
      <xdr:col>1</xdr:col>
      <xdr:colOff>43264</xdr:colOff>
      <xdr:row>3</xdr:row>
      <xdr:rowOff>104775</xdr:rowOff>
    </xdr:to>
    <xdr:pic>
      <xdr:nvPicPr>
        <xdr:cNvPr id="2" name="Imagem 1">
          <a:extLst>
            <a:ext uri="{FF2B5EF4-FFF2-40B4-BE49-F238E27FC236}">
              <a16:creationId xmlns:a16="http://schemas.microsoft.com/office/drawing/2014/main" xmlns=""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3825" y="95250"/>
          <a:ext cx="529039" cy="581025"/>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85725</xdr:colOff>
      <xdr:row>0</xdr:row>
      <xdr:rowOff>66675</xdr:rowOff>
    </xdr:from>
    <xdr:to>
      <xdr:col>1</xdr:col>
      <xdr:colOff>5164</xdr:colOff>
      <xdr:row>3</xdr:row>
      <xdr:rowOff>76200</xdr:rowOff>
    </xdr:to>
    <xdr:pic>
      <xdr:nvPicPr>
        <xdr:cNvPr id="2" name="Imagem 1">
          <a:extLst>
            <a:ext uri="{FF2B5EF4-FFF2-40B4-BE49-F238E27FC236}">
              <a16:creationId xmlns:a16="http://schemas.microsoft.com/office/drawing/2014/main" xmlns=""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5725" y="66675"/>
          <a:ext cx="529039" cy="581025"/>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oneCellAnchor>
    <xdr:from>
      <xdr:col>0</xdr:col>
      <xdr:colOff>134471</xdr:colOff>
      <xdr:row>0</xdr:row>
      <xdr:rowOff>56029</xdr:rowOff>
    </xdr:from>
    <xdr:ext cx="576664" cy="638175"/>
    <xdr:pic>
      <xdr:nvPicPr>
        <xdr:cNvPr id="2" name="Imagem 1">
          <a:extLst>
            <a:ext uri="{FF2B5EF4-FFF2-40B4-BE49-F238E27FC236}">
              <a16:creationId xmlns="" xmlns:a16="http://schemas.microsoft.com/office/drawing/2014/main" id="{00000000-0008-0000-06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4471" y="56029"/>
          <a:ext cx="576664" cy="638175"/>
        </a:xfrm>
        <a:prstGeom prst="rect">
          <a:avLst/>
        </a:prstGeom>
      </xdr:spPr>
    </xdr:pic>
    <xdr:clientData/>
  </xdr:oneCellAnchor>
</xdr:wsDr>
</file>

<file path=xl/drawings/drawing9.xml><?xml version="1.0" encoding="utf-8"?>
<xdr:wsDr xmlns:xdr="http://schemas.openxmlformats.org/drawingml/2006/spreadsheetDrawing" xmlns:a="http://schemas.openxmlformats.org/drawingml/2006/main">
  <xdr:oneCellAnchor>
    <xdr:from>
      <xdr:col>0</xdr:col>
      <xdr:colOff>134471</xdr:colOff>
      <xdr:row>0</xdr:row>
      <xdr:rowOff>56029</xdr:rowOff>
    </xdr:from>
    <xdr:ext cx="576664" cy="638175"/>
    <xdr:pic>
      <xdr:nvPicPr>
        <xdr:cNvPr id="2" name="Imagem 1">
          <a:extLst>
            <a:ext uri="{FF2B5EF4-FFF2-40B4-BE49-F238E27FC236}">
              <a16:creationId xmlns="" xmlns:a16="http://schemas.microsoft.com/office/drawing/2014/main" id="{00000000-0008-0000-06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4471" y="56029"/>
          <a:ext cx="576664" cy="638175"/>
        </a:xfrm>
        <a:prstGeom prst="rect">
          <a:avLst/>
        </a:prstGeom>
      </xdr:spPr>
    </xdr:pic>
    <xdr:clientData/>
  </xdr:oneCellAnchor>
</xdr:wsDr>
</file>

<file path=xl/drawings/drawing10.xml><?xml version="1.0" encoding="utf-8"?>
<xdr:wsDr xmlns:xdr="http://schemas.openxmlformats.org/drawingml/2006/spreadsheetDrawing" xmlns:a="http://schemas.openxmlformats.org/drawingml/2006/main">
  <xdr:oneCellAnchor>
    <xdr:from>
      <xdr:col>0</xdr:col>
      <xdr:colOff>134471</xdr:colOff>
      <xdr:row>0</xdr:row>
      <xdr:rowOff>56029</xdr:rowOff>
    </xdr:from>
    <xdr:ext cx="576664" cy="638175"/>
    <xdr:pic>
      <xdr:nvPicPr>
        <xdr:cNvPr id="2" name="Imagem 1">
          <a:extLst>
            <a:ext uri="{FF2B5EF4-FFF2-40B4-BE49-F238E27FC236}">
              <a16:creationId xmlns:a16="http://schemas.microsoft.com/office/drawing/2014/main" xmlns="" id="{00000000-0008-0000-06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4471" y="56029"/>
          <a:ext cx="576664" cy="638175"/>
        </a:xfrm>
        <a:prstGeom prst="rect">
          <a:avLst/>
        </a:prstGeom>
      </xdr:spPr>
    </xdr:pic>
    <xdr:clientData/>
  </xdr:oneCellAnchor>
</xdr:wsDr>
</file>

<file path=xl/drawings/drawing11.xml><?xml version="1.0" encoding="utf-8"?>
<xdr:wsDr xmlns:xdr="http://schemas.openxmlformats.org/drawingml/2006/spreadsheetDrawing" xmlns:a="http://schemas.openxmlformats.org/drawingml/2006/main">
  <xdr:oneCellAnchor>
    <xdr:from>
      <xdr:col>0</xdr:col>
      <xdr:colOff>134471</xdr:colOff>
      <xdr:row>0</xdr:row>
      <xdr:rowOff>56029</xdr:rowOff>
    </xdr:from>
    <xdr:ext cx="576664" cy="638175"/>
    <xdr:pic>
      <xdr:nvPicPr>
        <xdr:cNvPr id="2" name="Imagem 1">
          <a:extLst>
            <a:ext uri="{FF2B5EF4-FFF2-40B4-BE49-F238E27FC236}">
              <a16:creationId xmlns:a16="http://schemas.microsoft.com/office/drawing/2014/main" xmlns="" id="{00000000-0008-0000-06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4471" y="56029"/>
          <a:ext cx="576664" cy="638175"/>
        </a:xfrm>
        <a:prstGeom prst="rect">
          <a:avLst/>
        </a:prstGeom>
      </xdr:spPr>
    </xdr:pic>
    <xdr:clientData/>
  </xdr:oneCellAnchor>
</xdr:wsDr>
</file>

<file path=xl/drawings/drawing12.xml><?xml version="1.0" encoding="utf-8"?>
<xdr:wsDr xmlns:xdr="http://schemas.openxmlformats.org/drawingml/2006/spreadsheetDrawing" xmlns:a="http://schemas.openxmlformats.org/drawingml/2006/main">
  <xdr:twoCellAnchor editAs="oneCell">
    <xdr:from>
      <xdr:col>0</xdr:col>
      <xdr:colOff>95251</xdr:colOff>
      <xdr:row>1</xdr:row>
      <xdr:rowOff>2111</xdr:rowOff>
    </xdr:from>
    <xdr:to>
      <xdr:col>0</xdr:col>
      <xdr:colOff>925915</xdr:colOff>
      <xdr:row>3</xdr:row>
      <xdr:rowOff>247650</xdr:rowOff>
    </xdr:to>
    <xdr:pic>
      <xdr:nvPicPr>
        <xdr:cNvPr id="2" name="Imagem 1">
          <a:extLst>
            <a:ext uri="{FF2B5EF4-FFF2-40B4-BE49-F238E27FC236}">
              <a16:creationId xmlns:a16="http://schemas.microsoft.com/office/drawing/2014/main" xmlns=""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5251" y="335486"/>
          <a:ext cx="830664" cy="912289"/>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0</xdr:col>
      <xdr:colOff>133350</xdr:colOff>
      <xdr:row>0</xdr:row>
      <xdr:rowOff>323850</xdr:rowOff>
    </xdr:from>
    <xdr:to>
      <xdr:col>0</xdr:col>
      <xdr:colOff>895350</xdr:colOff>
      <xdr:row>3</xdr:row>
      <xdr:rowOff>57150</xdr:rowOff>
    </xdr:to>
    <xdr:pic>
      <xdr:nvPicPr>
        <xdr:cNvPr id="3" name="Imagem 1">
          <a:extLst>
            <a:ext uri="{FF2B5EF4-FFF2-40B4-BE49-F238E27FC236}">
              <a16:creationId xmlns:a16="http://schemas.microsoft.com/office/drawing/2014/main" xmlns="" id="{E88F474F-22D6-42AD-9F22-8C31E55DDA07}"/>
            </a:ext>
          </a:extLst>
        </xdr:cNvPr>
        <xdr:cNvPicPr>
          <a:picLocks noChangeAspect="1"/>
        </xdr:cNvPicPr>
      </xdr:nvPicPr>
      <xdr:blipFill>
        <a:blip xmlns:r="http://schemas.openxmlformats.org/officeDocument/2006/relationships" r:embed="rId1"/>
        <a:stretch>
          <a:fillRect/>
        </a:stretch>
      </xdr:blipFill>
      <xdr:spPr>
        <a:xfrm>
          <a:off x="133350" y="323850"/>
          <a:ext cx="762000" cy="819150"/>
        </a:xfrm>
        <a:prstGeom prst="rect">
          <a:avLst/>
        </a:prstGeom>
      </xdr:spPr>
    </xdr:pic>
    <xdr:clientData/>
  </xdr:twoCellAnchor>
</xdr:wsDr>
</file>

<file path=xl/theme/theme1.xml><?xml version="1.0" encoding="utf-8"?>
<a:theme xmlns:a="http://schemas.openxmlformats.org/drawingml/2006/main" name="Tema do Office">
  <a:themeElements>
    <a:clrScheme name="Escritório">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Escritório">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Escritório">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3" Type="http://schemas.openxmlformats.org/officeDocument/2006/relationships/hyperlink" Target="https://www.compraled.com.br/refletor-holofote-led-100w-smd-ip66-a-prova-dagua-branco-frio-6000k?utm_source=Site&amp;utm_medium=GoogleMerchant&amp;utm_campaign=GoogleMerchant" TargetMode="External"/><Relationship Id="rId7" Type="http://schemas.openxmlformats.org/officeDocument/2006/relationships/drawing" Target="../drawings/drawing12.xml"/><Relationship Id="rId2" Type="http://schemas.openxmlformats.org/officeDocument/2006/relationships/hyperlink" Target="https://www.sustentaled.com.br/refletor-holofote-microled-100w-branco-frio?utm_source=Site&amp;utm_medium=GoogleMerchant&amp;utm_campaign=GoogleMerchant" TargetMode="External"/><Relationship Id="rId1" Type="http://schemas.openxmlformats.org/officeDocument/2006/relationships/hyperlink" Target="https://www.iluminim.com.br/refletor-holofote-microled-100w-branco-frio?utm_source=Site&amp;utm_medium=GoogleMerchant&amp;utm_campaign=GoogleMerchant&amp;gclid=EAIaIQobChMIrZ6DsPDg9AIVl4aRCh3VaQKOEAQYASABEgKnPfD_BwE" TargetMode="External"/><Relationship Id="rId6" Type="http://schemas.openxmlformats.org/officeDocument/2006/relationships/printerSettings" Target="../printerSettings/printerSettings12.bin"/><Relationship Id="rId5" Type="http://schemas.openxmlformats.org/officeDocument/2006/relationships/hyperlink" Target="https://www.submarino.com.br/produto/4428848483?pfm_carac=dispenser-para-papel-toalha-premisse-velox-branco-premisse&amp;pfm_index=1&amp;pfm_page=search&amp;pfm_pos=grid&amp;pfm_type=search_page" TargetMode="External"/><Relationship Id="rId4" Type="http://schemas.openxmlformats.org/officeDocument/2006/relationships/hyperlink" Target="https://www.kalunga.com.br/prod/dispenser-papel-toalha-interfolhado-branco-c19533-premisse-cx-1-un/324175?pcID=39&amp;gclid=Cj0KCQjwqrb7BRDlARIsACwGad6HO2dT5IOnuzBk8d55FZvxHn7u8z-LvSHzV70iwJALgCLUeG6uVL4aAqcFEALw_wcB" TargetMode="External"/></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98"/>
  <sheetViews>
    <sheetView view="pageBreakPreview" zoomScale="90" zoomScaleNormal="100" zoomScaleSheetLayoutView="90" workbookViewId="0">
      <selection activeCell="J19" sqref="J19"/>
    </sheetView>
  </sheetViews>
  <sheetFormatPr defaultRowHeight="15" x14ac:dyDescent="0.25"/>
  <cols>
    <col min="2" max="2" width="12.7109375" customWidth="1"/>
    <col min="3" max="3" width="11.28515625" customWidth="1"/>
    <col min="4" max="4" width="57" customWidth="1"/>
    <col min="5" max="5" width="15.140625" customWidth="1"/>
    <col min="6" max="6" width="14.28515625" customWidth="1"/>
    <col min="7" max="7" width="13" style="76" bestFit="1" customWidth="1"/>
    <col min="8" max="8" width="16.5703125" style="76" customWidth="1"/>
    <col min="9" max="9" width="14.28515625" bestFit="1" customWidth="1"/>
    <col min="10" max="10" width="12.140625" bestFit="1" customWidth="1"/>
    <col min="11" max="11" width="14.7109375" bestFit="1" customWidth="1"/>
  </cols>
  <sheetData>
    <row r="1" spans="1:9" x14ac:dyDescent="0.25">
      <c r="A1" s="1"/>
      <c r="B1" s="473" t="s">
        <v>0</v>
      </c>
      <c r="C1" s="474"/>
      <c r="D1" s="474"/>
      <c r="E1" s="474"/>
      <c r="F1" s="474"/>
      <c r="G1" s="474"/>
      <c r="H1" s="474"/>
      <c r="I1" s="475"/>
    </row>
    <row r="2" spans="1:9" x14ac:dyDescent="0.25">
      <c r="A2" s="2"/>
      <c r="B2" s="481" t="s">
        <v>1</v>
      </c>
      <c r="C2" s="482"/>
      <c r="D2" s="482"/>
      <c r="E2" s="4"/>
      <c r="F2" s="3"/>
      <c r="G2" s="70"/>
      <c r="H2" s="70"/>
      <c r="I2" s="7"/>
    </row>
    <row r="3" spans="1:9" x14ac:dyDescent="0.25">
      <c r="A3" s="2"/>
      <c r="B3" s="481" t="s">
        <v>2</v>
      </c>
      <c r="C3" s="482"/>
      <c r="D3" s="482"/>
      <c r="E3" s="8" t="s">
        <v>3</v>
      </c>
      <c r="F3" s="6">
        <v>1.5727</v>
      </c>
      <c r="G3" s="471" t="s">
        <v>4</v>
      </c>
      <c r="H3" s="471"/>
      <c r="I3" s="472"/>
    </row>
    <row r="4" spans="1:9" x14ac:dyDescent="0.25">
      <c r="A4" s="2"/>
      <c r="B4" s="481" t="s">
        <v>5</v>
      </c>
      <c r="C4" s="482"/>
      <c r="D4" s="482"/>
      <c r="E4" s="9" t="s">
        <v>6</v>
      </c>
      <c r="F4" s="6">
        <v>0.3196</v>
      </c>
      <c r="G4" s="97"/>
      <c r="H4" s="71" t="s">
        <v>7</v>
      </c>
      <c r="I4" s="10" t="s">
        <v>798</v>
      </c>
    </row>
    <row r="5" spans="1:9" x14ac:dyDescent="0.25">
      <c r="A5" s="2"/>
      <c r="B5" s="481" t="s">
        <v>9</v>
      </c>
      <c r="C5" s="482"/>
      <c r="D5" s="482"/>
      <c r="E5" s="9"/>
      <c r="F5" s="6"/>
      <c r="G5" s="71"/>
      <c r="H5" s="71"/>
      <c r="I5" s="10"/>
    </row>
    <row r="6" spans="1:9" x14ac:dyDescent="0.25">
      <c r="A6" s="476" t="s">
        <v>10</v>
      </c>
      <c r="B6" s="476" t="s">
        <v>11</v>
      </c>
      <c r="C6" s="476" t="s">
        <v>12</v>
      </c>
      <c r="D6" s="476" t="s">
        <v>13</v>
      </c>
      <c r="E6" s="476" t="s">
        <v>14</v>
      </c>
      <c r="F6" s="476" t="s">
        <v>15</v>
      </c>
      <c r="G6" s="478" t="s">
        <v>16</v>
      </c>
      <c r="H6" s="479"/>
      <c r="I6" s="480"/>
    </row>
    <row r="7" spans="1:9" x14ac:dyDescent="0.25">
      <c r="A7" s="477"/>
      <c r="B7" s="477"/>
      <c r="C7" s="477"/>
      <c r="D7" s="477"/>
      <c r="E7" s="477"/>
      <c r="F7" s="477"/>
      <c r="G7" s="72" t="s">
        <v>17</v>
      </c>
      <c r="H7" s="72" t="s">
        <v>18</v>
      </c>
      <c r="I7" s="5" t="s">
        <v>19</v>
      </c>
    </row>
    <row r="8" spans="1:9" x14ac:dyDescent="0.25">
      <c r="A8" s="19">
        <v>1</v>
      </c>
      <c r="B8" s="19" t="s">
        <v>20</v>
      </c>
      <c r="C8" s="20"/>
      <c r="D8" s="21" t="s">
        <v>21</v>
      </c>
      <c r="E8" s="20"/>
      <c r="F8" s="246"/>
      <c r="G8" s="247"/>
      <c r="H8" s="247"/>
      <c r="I8" s="248"/>
    </row>
    <row r="9" spans="1:9" x14ac:dyDescent="0.25">
      <c r="A9" s="19" t="s">
        <v>22</v>
      </c>
      <c r="B9" s="19" t="s">
        <v>23</v>
      </c>
      <c r="C9" s="20" t="s">
        <v>24</v>
      </c>
      <c r="D9" s="21" t="s">
        <v>25</v>
      </c>
      <c r="E9" s="20"/>
      <c r="F9" s="23"/>
      <c r="G9" s="73"/>
      <c r="H9" s="73"/>
      <c r="I9" s="18"/>
    </row>
    <row r="10" spans="1:9" x14ac:dyDescent="0.25">
      <c r="A10" s="14" t="s">
        <v>26</v>
      </c>
      <c r="B10" s="14" t="s">
        <v>27</v>
      </c>
      <c r="C10" s="17" t="s">
        <v>24</v>
      </c>
      <c r="D10" s="24" t="s">
        <v>28</v>
      </c>
      <c r="E10" s="17" t="s">
        <v>29</v>
      </c>
      <c r="F10" s="69">
        <f>'MEMÓRIA DE CÁLCULO'!J12</f>
        <v>14.4</v>
      </c>
      <c r="G10" s="98">
        <v>11.17</v>
      </c>
      <c r="H10" s="73">
        <f>G10*1.3196</f>
        <v>14.739932000000001</v>
      </c>
      <c r="I10" s="18">
        <f>TRUNC(ROUND(F10*H10,2),2)</f>
        <v>212.26</v>
      </c>
    </row>
    <row r="11" spans="1:9" x14ac:dyDescent="0.25">
      <c r="A11" s="14" t="s">
        <v>30</v>
      </c>
      <c r="B11" s="14" t="s">
        <v>31</v>
      </c>
      <c r="C11" s="17" t="s">
        <v>24</v>
      </c>
      <c r="D11" s="24" t="s">
        <v>32</v>
      </c>
      <c r="E11" s="17" t="s">
        <v>29</v>
      </c>
      <c r="F11" s="22">
        <f>'MEMÓRIA DE CÁLCULO'!J21</f>
        <v>47.899199999999993</v>
      </c>
      <c r="G11" s="98">
        <v>39.909999999999997</v>
      </c>
      <c r="H11" s="73">
        <f t="shared" ref="H11:H107" si="0">G11*1.3196</f>
        <v>52.665236</v>
      </c>
      <c r="I11" s="18">
        <f t="shared" ref="I11:I74" si="1">TRUNC(ROUND(F11*H11,2),2)</f>
        <v>2522.62</v>
      </c>
    </row>
    <row r="12" spans="1:9" x14ac:dyDescent="0.25">
      <c r="A12" s="14" t="s">
        <v>33</v>
      </c>
      <c r="B12" s="14" t="s">
        <v>34</v>
      </c>
      <c r="C12" s="17" t="s">
        <v>24</v>
      </c>
      <c r="D12" s="15" t="s">
        <v>35</v>
      </c>
      <c r="E12" s="17" t="s">
        <v>29</v>
      </c>
      <c r="F12" s="77">
        <f>'MEMÓRIA DE CÁLCULO'!J28</f>
        <v>57.441299999999998</v>
      </c>
      <c r="G12" s="98">
        <v>7.98</v>
      </c>
      <c r="H12" s="73">
        <f t="shared" si="0"/>
        <v>10.530408000000001</v>
      </c>
      <c r="I12" s="18">
        <f t="shared" si="1"/>
        <v>604.88</v>
      </c>
    </row>
    <row r="13" spans="1:9" x14ac:dyDescent="0.25">
      <c r="A13" s="14" t="s">
        <v>36</v>
      </c>
      <c r="B13" s="14" t="s">
        <v>37</v>
      </c>
      <c r="C13" s="17" t="s">
        <v>24</v>
      </c>
      <c r="D13" s="16" t="s">
        <v>38</v>
      </c>
      <c r="E13" s="17" t="s">
        <v>39</v>
      </c>
      <c r="F13" s="77">
        <f>'MEMÓRIA DE CÁLCULO'!J43</f>
        <v>5.4369119999999995</v>
      </c>
      <c r="G13" s="98">
        <v>47.89</v>
      </c>
      <c r="H13" s="73">
        <f t="shared" si="0"/>
        <v>63.195644000000009</v>
      </c>
      <c r="I13" s="18">
        <f t="shared" si="1"/>
        <v>343.59</v>
      </c>
    </row>
    <row r="14" spans="1:9" x14ac:dyDescent="0.25">
      <c r="A14" s="14" t="s">
        <v>40</v>
      </c>
      <c r="B14" s="14" t="s">
        <v>41</v>
      </c>
      <c r="C14" s="17" t="s">
        <v>24</v>
      </c>
      <c r="D14" s="16" t="s">
        <v>42</v>
      </c>
      <c r="E14" s="17" t="s">
        <v>43</v>
      </c>
      <c r="F14" s="77">
        <f>'MEMÓRIA DE CÁLCULO'!J48</f>
        <v>2.52</v>
      </c>
      <c r="G14" s="98">
        <v>12.77</v>
      </c>
      <c r="H14" s="73">
        <f t="shared" si="0"/>
        <v>16.851292000000001</v>
      </c>
      <c r="I14" s="18">
        <f t="shared" si="1"/>
        <v>42.47</v>
      </c>
    </row>
    <row r="15" spans="1:9" x14ac:dyDescent="0.25">
      <c r="A15" s="14" t="s">
        <v>44</v>
      </c>
      <c r="B15" s="14" t="s">
        <v>45</v>
      </c>
      <c r="C15" s="17" t="s">
        <v>24</v>
      </c>
      <c r="D15" s="16" t="s">
        <v>46</v>
      </c>
      <c r="E15" s="17" t="s">
        <v>29</v>
      </c>
      <c r="F15" s="77">
        <f>'MEMÓRIA DE CÁLCULO'!J55</f>
        <v>3.9359999999999995</v>
      </c>
      <c r="G15" s="98">
        <v>7.98</v>
      </c>
      <c r="H15" s="73">
        <f t="shared" si="0"/>
        <v>10.530408000000001</v>
      </c>
      <c r="I15" s="18">
        <f t="shared" si="1"/>
        <v>41.45</v>
      </c>
    </row>
    <row r="16" spans="1:9" x14ac:dyDescent="0.25">
      <c r="A16" s="14" t="s">
        <v>47</v>
      </c>
      <c r="B16" s="14" t="s">
        <v>48</v>
      </c>
      <c r="C16" s="17" t="s">
        <v>24</v>
      </c>
      <c r="D16" s="16" t="s">
        <v>49</v>
      </c>
      <c r="E16" s="17" t="s">
        <v>50</v>
      </c>
      <c r="F16" s="77">
        <f>'MEMÓRIA DE CÁLCULO'!J61</f>
        <v>2.0940500000000002</v>
      </c>
      <c r="G16" s="98">
        <v>264.43</v>
      </c>
      <c r="H16" s="73">
        <f t="shared" ref="H16" si="2">G16*1.3196</f>
        <v>348.94182800000004</v>
      </c>
      <c r="I16" s="18">
        <f t="shared" si="1"/>
        <v>730.7</v>
      </c>
    </row>
    <row r="17" spans="1:10" x14ac:dyDescent="0.25">
      <c r="A17" s="14" t="s">
        <v>51</v>
      </c>
      <c r="B17" s="14" t="s">
        <v>52</v>
      </c>
      <c r="C17" s="17" t="s">
        <v>24</v>
      </c>
      <c r="D17" s="16" t="s">
        <v>53</v>
      </c>
      <c r="E17" s="17" t="s">
        <v>29</v>
      </c>
      <c r="F17" s="77">
        <f>'MEMÓRIA DE CÁLCULO'!J66</f>
        <v>23.435000000000002</v>
      </c>
      <c r="G17" s="98">
        <v>9.84</v>
      </c>
      <c r="H17" s="73">
        <f t="shared" si="0"/>
        <v>12.984864000000002</v>
      </c>
      <c r="I17" s="18">
        <f t="shared" si="1"/>
        <v>304.3</v>
      </c>
    </row>
    <row r="18" spans="1:10" x14ac:dyDescent="0.25">
      <c r="A18" s="14" t="s">
        <v>54</v>
      </c>
      <c r="B18" s="14" t="s">
        <v>55</v>
      </c>
      <c r="C18" s="17" t="s">
        <v>24</v>
      </c>
      <c r="D18" s="15" t="s">
        <v>56</v>
      </c>
      <c r="E18" s="17" t="s">
        <v>57</v>
      </c>
      <c r="F18" s="77">
        <f>'MEMÓRIA DE CÁLCULO'!J71</f>
        <v>7</v>
      </c>
      <c r="G18" s="98">
        <v>16.59</v>
      </c>
      <c r="H18" s="73">
        <f t="shared" si="0"/>
        <v>21.892164000000001</v>
      </c>
      <c r="I18" s="18">
        <f t="shared" si="1"/>
        <v>153.25</v>
      </c>
    </row>
    <row r="19" spans="1:10" x14ac:dyDescent="0.25">
      <c r="A19" s="14" t="s">
        <v>58</v>
      </c>
      <c r="B19" s="14" t="s">
        <v>59</v>
      </c>
      <c r="C19" s="17" t="s">
        <v>24</v>
      </c>
      <c r="D19" s="16" t="s">
        <v>60</v>
      </c>
      <c r="E19" s="17" t="s">
        <v>29</v>
      </c>
      <c r="F19" s="77">
        <f>'MEMÓRIA DE CÁLCULO'!J77</f>
        <v>166.65100000000001</v>
      </c>
      <c r="G19" s="98">
        <v>14.05</v>
      </c>
      <c r="H19" s="73">
        <f t="shared" si="0"/>
        <v>18.540380000000003</v>
      </c>
      <c r="I19" s="18">
        <f t="shared" si="1"/>
        <v>3089.77</v>
      </c>
    </row>
    <row r="20" spans="1:10" x14ac:dyDescent="0.25">
      <c r="A20" s="14" t="s">
        <v>61</v>
      </c>
      <c r="B20" s="14" t="s">
        <v>62</v>
      </c>
      <c r="C20" s="17" t="s">
        <v>24</v>
      </c>
      <c r="D20" s="15" t="s">
        <v>63</v>
      </c>
      <c r="E20" s="17" t="s">
        <v>29</v>
      </c>
      <c r="F20" s="77">
        <f>'MEMÓRIA DE CÁLCULO'!J81</f>
        <v>2.67</v>
      </c>
      <c r="G20" s="98">
        <v>31.1</v>
      </c>
      <c r="H20" s="73">
        <f t="shared" si="0"/>
        <v>41.039560000000009</v>
      </c>
      <c r="I20" s="18">
        <f t="shared" si="1"/>
        <v>109.58</v>
      </c>
    </row>
    <row r="21" spans="1:10" x14ac:dyDescent="0.25">
      <c r="A21" s="14" t="s">
        <v>64</v>
      </c>
      <c r="B21" s="14" t="s">
        <v>65</v>
      </c>
      <c r="C21" s="17" t="s">
        <v>24</v>
      </c>
      <c r="D21" s="16" t="s">
        <v>66</v>
      </c>
      <c r="E21" s="17" t="s">
        <v>67</v>
      </c>
      <c r="F21" s="77">
        <f>'MEMÓRIA DE CÁLCULO'!J88</f>
        <v>35</v>
      </c>
      <c r="G21" s="98">
        <v>8.81</v>
      </c>
      <c r="H21" s="73">
        <f t="shared" si="0"/>
        <v>11.625676000000002</v>
      </c>
      <c r="I21" s="18">
        <f t="shared" si="1"/>
        <v>406.9</v>
      </c>
    </row>
    <row r="22" spans="1:10" ht="25.5" x14ac:dyDescent="0.25">
      <c r="A22" s="14" t="s">
        <v>68</v>
      </c>
      <c r="B22" s="14" t="s">
        <v>69</v>
      </c>
      <c r="C22" s="17" t="s">
        <v>24</v>
      </c>
      <c r="D22" s="15" t="s">
        <v>70</v>
      </c>
      <c r="E22" s="17" t="s">
        <v>71</v>
      </c>
      <c r="F22" s="77">
        <f>'MEMÓRIA DE CÁLCULO'!J106</f>
        <v>322.39019999999994</v>
      </c>
      <c r="G22" s="98">
        <v>3.02</v>
      </c>
      <c r="H22" s="73">
        <f t="shared" si="0"/>
        <v>3.9851920000000005</v>
      </c>
      <c r="I22" s="18">
        <f t="shared" si="1"/>
        <v>1284.79</v>
      </c>
    </row>
    <row r="23" spans="1:10" x14ac:dyDescent="0.25">
      <c r="A23" s="14" t="s">
        <v>72</v>
      </c>
      <c r="B23" s="14" t="s">
        <v>73</v>
      </c>
      <c r="C23" s="17" t="s">
        <v>24</v>
      </c>
      <c r="D23" s="15" t="s">
        <v>74</v>
      </c>
      <c r="E23" s="17" t="s">
        <v>29</v>
      </c>
      <c r="F23" s="77">
        <f>'MEMÓRIA DE CÁLCULO'!J110</f>
        <v>39.024999999999999</v>
      </c>
      <c r="G23" s="98">
        <v>6.11</v>
      </c>
      <c r="H23" s="73">
        <f t="shared" si="0"/>
        <v>8.0627560000000003</v>
      </c>
      <c r="I23" s="18">
        <f t="shared" si="1"/>
        <v>314.64999999999998</v>
      </c>
    </row>
    <row r="24" spans="1:10" x14ac:dyDescent="0.25">
      <c r="A24" s="14" t="s">
        <v>75</v>
      </c>
      <c r="B24" s="14" t="s">
        <v>76</v>
      </c>
      <c r="C24" s="17" t="s">
        <v>24</v>
      </c>
      <c r="D24" s="15" t="s">
        <v>77</v>
      </c>
      <c r="E24" s="17" t="s">
        <v>67</v>
      </c>
      <c r="F24" s="77">
        <f>'MEMÓRIA DE CÁLCULO'!J114</f>
        <v>1</v>
      </c>
      <c r="G24" s="98">
        <v>11.88</v>
      </c>
      <c r="H24" s="73">
        <f>G24*1.3196</f>
        <v>15.676848000000001</v>
      </c>
      <c r="I24" s="18">
        <f t="shared" si="1"/>
        <v>15.68</v>
      </c>
    </row>
    <row r="25" spans="1:10" x14ac:dyDescent="0.25">
      <c r="A25" s="14" t="s">
        <v>78</v>
      </c>
      <c r="B25" s="14" t="s">
        <v>79</v>
      </c>
      <c r="C25" s="17" t="s">
        <v>24</v>
      </c>
      <c r="D25" s="15" t="s">
        <v>80</v>
      </c>
      <c r="E25" s="17" t="s">
        <v>29</v>
      </c>
      <c r="F25" s="77">
        <f>'MEMÓRIA DE CÁLCULO'!J118</f>
        <v>39.024999999999999</v>
      </c>
      <c r="G25" s="98">
        <v>23.46</v>
      </c>
      <c r="H25" s="73">
        <f t="shared" si="0"/>
        <v>30.957816000000005</v>
      </c>
      <c r="I25" s="18">
        <f t="shared" si="1"/>
        <v>1208.1300000000001</v>
      </c>
    </row>
    <row r="26" spans="1:10" x14ac:dyDescent="0.25">
      <c r="A26" s="14" t="s">
        <v>81</v>
      </c>
      <c r="B26" s="14" t="s">
        <v>82</v>
      </c>
      <c r="C26" s="17" t="s">
        <v>24</v>
      </c>
      <c r="D26" s="15" t="s">
        <v>83</v>
      </c>
      <c r="E26" s="17" t="s">
        <v>43</v>
      </c>
      <c r="F26" s="77">
        <f>'MEMÓRIA DE CÁLCULO'!J123</f>
        <v>23.435000000000002</v>
      </c>
      <c r="G26" s="98">
        <v>6.69</v>
      </c>
      <c r="H26" s="73">
        <f>G26*1.3196</f>
        <v>8.8281240000000007</v>
      </c>
      <c r="I26" s="18">
        <f t="shared" si="1"/>
        <v>206.89</v>
      </c>
    </row>
    <row r="27" spans="1:10" x14ac:dyDescent="0.25">
      <c r="A27" s="78"/>
      <c r="B27" s="78"/>
      <c r="C27" s="79"/>
      <c r="D27" s="80" t="s">
        <v>84</v>
      </c>
      <c r="E27" s="79"/>
      <c r="F27" s="79"/>
      <c r="G27" s="99"/>
      <c r="H27" s="81"/>
      <c r="I27" s="82">
        <f>SUM(I9:I26)</f>
        <v>11591.91</v>
      </c>
    </row>
    <row r="28" spans="1:10" x14ac:dyDescent="0.25">
      <c r="A28" s="20">
        <v>2</v>
      </c>
      <c r="B28" s="19" t="s">
        <v>85</v>
      </c>
      <c r="C28" s="20" t="s">
        <v>24</v>
      </c>
      <c r="D28" s="12" t="s">
        <v>86</v>
      </c>
      <c r="E28" s="17"/>
      <c r="F28" s="17"/>
      <c r="G28" s="74"/>
      <c r="H28" s="73">
        <f t="shared" si="0"/>
        <v>0</v>
      </c>
      <c r="I28" s="18">
        <f t="shared" si="1"/>
        <v>0</v>
      </c>
    </row>
    <row r="29" spans="1:10" x14ac:dyDescent="0.25">
      <c r="A29" s="20" t="s">
        <v>87</v>
      </c>
      <c r="B29" s="19" t="s">
        <v>88</v>
      </c>
      <c r="C29" s="20" t="s">
        <v>24</v>
      </c>
      <c r="D29" s="12" t="s">
        <v>89</v>
      </c>
      <c r="E29" s="17"/>
      <c r="F29" s="17"/>
      <c r="G29" s="74"/>
      <c r="H29" s="73">
        <f t="shared" si="0"/>
        <v>0</v>
      </c>
      <c r="I29" s="18">
        <f t="shared" si="1"/>
        <v>0</v>
      </c>
    </row>
    <row r="30" spans="1:10" x14ac:dyDescent="0.25">
      <c r="A30" s="17" t="s">
        <v>90</v>
      </c>
      <c r="B30" s="14" t="s">
        <v>91</v>
      </c>
      <c r="C30" s="17" t="s">
        <v>24</v>
      </c>
      <c r="D30" s="11" t="s">
        <v>92</v>
      </c>
      <c r="E30" s="17" t="s">
        <v>43</v>
      </c>
      <c r="F30" s="77">
        <f>'MEMÓRIA DE CÁLCULO'!J129</f>
        <v>8</v>
      </c>
      <c r="G30" s="74">
        <v>269.31</v>
      </c>
      <c r="H30" s="73">
        <f t="shared" si="0"/>
        <v>355.38147600000002</v>
      </c>
      <c r="I30" s="18">
        <f t="shared" si="1"/>
        <v>2843.05</v>
      </c>
    </row>
    <row r="31" spans="1:10" ht="38.25" x14ac:dyDescent="0.25">
      <c r="A31" s="17" t="s">
        <v>93</v>
      </c>
      <c r="B31" s="29" t="s">
        <v>94</v>
      </c>
      <c r="C31" s="17" t="s">
        <v>24</v>
      </c>
      <c r="D31" s="13" t="s">
        <v>95</v>
      </c>
      <c r="E31" s="17" t="s">
        <v>29</v>
      </c>
      <c r="F31" s="77">
        <f>'MEMÓRIA DE CÁLCULO'!J134</f>
        <v>142.20000000000002</v>
      </c>
      <c r="G31" s="74">
        <v>14.88</v>
      </c>
      <c r="H31" s="73">
        <f t="shared" si="0"/>
        <v>19.635648000000003</v>
      </c>
      <c r="I31" s="18">
        <f>TRUNC(ROUND(F31*H31,2),2)</f>
        <v>2792.19</v>
      </c>
      <c r="J31" s="231"/>
    </row>
    <row r="32" spans="1:10" ht="51" x14ac:dyDescent="0.25">
      <c r="A32" s="17" t="s">
        <v>96</v>
      </c>
      <c r="B32" s="14" t="s">
        <v>97</v>
      </c>
      <c r="C32" s="17" t="s">
        <v>24</v>
      </c>
      <c r="D32" s="15" t="s">
        <v>98</v>
      </c>
      <c r="E32" s="17" t="s">
        <v>99</v>
      </c>
      <c r="F32" s="77">
        <f>'MEMÓRIA DE CÁLCULO'!J139</f>
        <v>13.200000000000001</v>
      </c>
      <c r="G32" s="74">
        <v>207.79</v>
      </c>
      <c r="H32" s="73">
        <f t="shared" si="0"/>
        <v>274.19968399999999</v>
      </c>
      <c r="I32" s="18">
        <f t="shared" si="1"/>
        <v>3619.44</v>
      </c>
    </row>
    <row r="33" spans="1:9" x14ac:dyDescent="0.25">
      <c r="A33" s="78"/>
      <c r="B33" s="78"/>
      <c r="C33" s="79"/>
      <c r="D33" s="80" t="s">
        <v>100</v>
      </c>
      <c r="E33" s="79"/>
      <c r="F33" s="79"/>
      <c r="G33" s="99"/>
      <c r="H33" s="81"/>
      <c r="I33" s="82">
        <f>SUM(I28:I32)</f>
        <v>9254.68</v>
      </c>
    </row>
    <row r="34" spans="1:9" x14ac:dyDescent="0.25">
      <c r="A34" s="20">
        <v>3</v>
      </c>
      <c r="B34" s="19" t="s">
        <v>101</v>
      </c>
      <c r="C34" s="20" t="s">
        <v>24</v>
      </c>
      <c r="D34" s="12" t="s">
        <v>102</v>
      </c>
      <c r="E34" s="17"/>
      <c r="F34" s="17"/>
      <c r="G34" s="74"/>
      <c r="H34" s="73"/>
      <c r="I34" s="18">
        <f t="shared" si="1"/>
        <v>0</v>
      </c>
    </row>
    <row r="35" spans="1:9" x14ac:dyDescent="0.25">
      <c r="A35" s="20" t="s">
        <v>103</v>
      </c>
      <c r="B35" s="19" t="s">
        <v>104</v>
      </c>
      <c r="C35" s="20" t="s">
        <v>24</v>
      </c>
      <c r="D35" s="12" t="s">
        <v>105</v>
      </c>
      <c r="E35" s="17"/>
      <c r="F35" s="17"/>
      <c r="G35" s="74"/>
      <c r="H35" s="73"/>
      <c r="I35" s="18">
        <f t="shared" si="1"/>
        <v>0</v>
      </c>
    </row>
    <row r="36" spans="1:9" ht="25.5" x14ac:dyDescent="0.25">
      <c r="A36" s="17" t="s">
        <v>106</v>
      </c>
      <c r="B36" s="14" t="s">
        <v>107</v>
      </c>
      <c r="C36" s="17" t="s">
        <v>24</v>
      </c>
      <c r="D36" s="15" t="s">
        <v>108</v>
      </c>
      <c r="E36" s="17" t="s">
        <v>50</v>
      </c>
      <c r="F36" s="77">
        <f>'MEMÓRIA DE CÁLCULO'!J146</f>
        <v>5.5852500000000003</v>
      </c>
      <c r="G36" s="74">
        <v>45.66</v>
      </c>
      <c r="H36" s="73">
        <f>G36*1.3196</f>
        <v>60.252935999999998</v>
      </c>
      <c r="I36" s="18">
        <f t="shared" si="1"/>
        <v>336.53</v>
      </c>
    </row>
    <row r="37" spans="1:9" x14ac:dyDescent="0.25">
      <c r="A37" s="20" t="s">
        <v>109</v>
      </c>
      <c r="B37" s="19" t="s">
        <v>110</v>
      </c>
      <c r="C37" s="20" t="s">
        <v>24</v>
      </c>
      <c r="D37" s="12" t="s">
        <v>111</v>
      </c>
      <c r="E37" s="17"/>
      <c r="F37" s="17"/>
      <c r="G37" s="74"/>
      <c r="H37" s="73"/>
      <c r="I37" s="18">
        <f t="shared" si="1"/>
        <v>0</v>
      </c>
    </row>
    <row r="38" spans="1:9" x14ac:dyDescent="0.25">
      <c r="A38" s="17" t="s">
        <v>112</v>
      </c>
      <c r="B38" s="14" t="s">
        <v>113</v>
      </c>
      <c r="C38" s="17" t="s">
        <v>24</v>
      </c>
      <c r="D38" s="15" t="s">
        <v>114</v>
      </c>
      <c r="E38" s="17" t="s">
        <v>50</v>
      </c>
      <c r="F38" s="77">
        <f>'MEMÓRIA DE CÁLCULO'!J154</f>
        <v>2.6196000000000006</v>
      </c>
      <c r="G38" s="74">
        <v>49.18</v>
      </c>
      <c r="H38" s="73">
        <f>G38*1.3196</f>
        <v>64.897928000000007</v>
      </c>
      <c r="I38" s="18">
        <f t="shared" si="1"/>
        <v>170.01</v>
      </c>
    </row>
    <row r="39" spans="1:9" x14ac:dyDescent="0.25">
      <c r="A39" s="20" t="s">
        <v>115</v>
      </c>
      <c r="B39" s="19" t="s">
        <v>116</v>
      </c>
      <c r="C39" s="20" t="s">
        <v>24</v>
      </c>
      <c r="D39" s="12" t="s">
        <v>117</v>
      </c>
      <c r="E39" s="17"/>
      <c r="F39" s="17"/>
      <c r="G39" s="74"/>
      <c r="H39" s="73"/>
      <c r="I39" s="18">
        <f t="shared" si="1"/>
        <v>0</v>
      </c>
    </row>
    <row r="40" spans="1:9" ht="51" x14ac:dyDescent="0.25">
      <c r="A40" s="17" t="s">
        <v>118</v>
      </c>
      <c r="B40" s="14" t="s">
        <v>119</v>
      </c>
      <c r="C40" s="17" t="s">
        <v>24</v>
      </c>
      <c r="D40" s="15" t="s">
        <v>120</v>
      </c>
      <c r="E40" s="17" t="s">
        <v>39</v>
      </c>
      <c r="F40" s="77">
        <f>'MEMÓRIA DE CÁLCULO'!J171</f>
        <v>21.285809500000003</v>
      </c>
      <c r="G40" s="74">
        <v>60.85</v>
      </c>
      <c r="H40" s="73">
        <f t="shared" si="0"/>
        <v>80.297660000000008</v>
      </c>
      <c r="I40" s="18">
        <f t="shared" si="1"/>
        <v>1709.2</v>
      </c>
    </row>
    <row r="41" spans="1:9" x14ac:dyDescent="0.25">
      <c r="A41" s="78"/>
      <c r="B41" s="78"/>
      <c r="C41" s="79"/>
      <c r="D41" s="80" t="s">
        <v>121</v>
      </c>
      <c r="E41" s="79"/>
      <c r="F41" s="79"/>
      <c r="G41" s="99"/>
      <c r="H41" s="81"/>
      <c r="I41" s="82">
        <f>SUM(I34:I40)</f>
        <v>2215.7399999999998</v>
      </c>
    </row>
    <row r="42" spans="1:9" x14ac:dyDescent="0.25">
      <c r="A42" s="20">
        <v>4</v>
      </c>
      <c r="B42" s="19" t="s">
        <v>122</v>
      </c>
      <c r="C42" s="20" t="s">
        <v>24</v>
      </c>
      <c r="D42" s="25" t="s">
        <v>123</v>
      </c>
      <c r="E42" s="17"/>
      <c r="F42" s="17"/>
      <c r="G42" s="74"/>
      <c r="H42" s="73"/>
      <c r="I42" s="18">
        <f t="shared" si="1"/>
        <v>0</v>
      </c>
    </row>
    <row r="43" spans="1:9" x14ac:dyDescent="0.25">
      <c r="A43" s="20" t="s">
        <v>124</v>
      </c>
      <c r="B43" s="19" t="s">
        <v>125</v>
      </c>
      <c r="C43" s="20" t="s">
        <v>24</v>
      </c>
      <c r="D43" s="25" t="s">
        <v>126</v>
      </c>
      <c r="E43" s="17"/>
      <c r="F43" s="17"/>
      <c r="G43" s="74"/>
      <c r="H43" s="73"/>
      <c r="I43" s="18">
        <f t="shared" si="1"/>
        <v>0</v>
      </c>
    </row>
    <row r="44" spans="1:9" ht="38.25" x14ac:dyDescent="0.25">
      <c r="A44" s="17" t="s">
        <v>127</v>
      </c>
      <c r="B44" s="14" t="s">
        <v>128</v>
      </c>
      <c r="C44" s="17" t="s">
        <v>24</v>
      </c>
      <c r="D44" s="15" t="s">
        <v>129</v>
      </c>
      <c r="E44" s="17" t="s">
        <v>50</v>
      </c>
      <c r="F44" s="26">
        <f>'MEMÓRIA DE CÁLCULO'!J178</f>
        <v>0.75765000000000005</v>
      </c>
      <c r="G44" s="74">
        <v>527.91</v>
      </c>
      <c r="H44" s="73">
        <f t="shared" si="0"/>
        <v>696.63003600000002</v>
      </c>
      <c r="I44" s="18">
        <f t="shared" si="1"/>
        <v>527.79999999999995</v>
      </c>
    </row>
    <row r="45" spans="1:9" ht="38.25" x14ac:dyDescent="0.25">
      <c r="A45" s="17" t="s">
        <v>130</v>
      </c>
      <c r="B45" s="14" t="s">
        <v>131</v>
      </c>
      <c r="C45" s="17" t="s">
        <v>24</v>
      </c>
      <c r="D45" s="15" t="s">
        <v>132</v>
      </c>
      <c r="E45" s="17" t="s">
        <v>43</v>
      </c>
      <c r="F45" s="26">
        <f>'MEMÓRIA DE CÁLCULO'!J184</f>
        <v>19.303999999999998</v>
      </c>
      <c r="G45" s="74">
        <v>88.63</v>
      </c>
      <c r="H45" s="73">
        <f t="shared" si="0"/>
        <v>116.956148</v>
      </c>
      <c r="I45" s="18">
        <f t="shared" si="1"/>
        <v>2257.7199999999998</v>
      </c>
    </row>
    <row r="46" spans="1:9" ht="25.5" x14ac:dyDescent="0.25">
      <c r="A46" s="17" t="s">
        <v>133</v>
      </c>
      <c r="B46" s="14" t="s">
        <v>134</v>
      </c>
      <c r="C46" s="17" t="s">
        <v>24</v>
      </c>
      <c r="D46" s="15" t="s">
        <v>135</v>
      </c>
      <c r="E46" s="17" t="s">
        <v>136</v>
      </c>
      <c r="F46" s="26">
        <f>'MEMÓRIA DE CÁLCULO'!J202</f>
        <v>98.244699999999995</v>
      </c>
      <c r="G46" s="74">
        <v>12.94</v>
      </c>
      <c r="H46" s="73">
        <f t="shared" si="0"/>
        <v>17.075624000000001</v>
      </c>
      <c r="I46" s="18">
        <f t="shared" si="1"/>
        <v>1677.59</v>
      </c>
    </row>
    <row r="47" spans="1:9" ht="25.5" x14ac:dyDescent="0.25">
      <c r="A47" s="17" t="s">
        <v>137</v>
      </c>
      <c r="B47" s="14" t="s">
        <v>138</v>
      </c>
      <c r="C47" s="17" t="s">
        <v>24</v>
      </c>
      <c r="D47" s="15" t="s">
        <v>139</v>
      </c>
      <c r="E47" s="17" t="s">
        <v>140</v>
      </c>
      <c r="F47" s="26">
        <f>'MEMÓRIA DE CÁLCULO'!J210</f>
        <v>26.497240000000001</v>
      </c>
      <c r="G47" s="74">
        <v>15.75</v>
      </c>
      <c r="H47" s="73">
        <f t="shared" si="0"/>
        <v>20.783700000000003</v>
      </c>
      <c r="I47" s="18">
        <f t="shared" si="1"/>
        <v>550.71</v>
      </c>
    </row>
    <row r="48" spans="1:9" ht="38.25" x14ac:dyDescent="0.25">
      <c r="A48" s="17" t="s">
        <v>141</v>
      </c>
      <c r="B48" s="14" t="s">
        <v>142</v>
      </c>
      <c r="C48" s="17" t="s">
        <v>24</v>
      </c>
      <c r="D48" s="15" t="s">
        <v>143</v>
      </c>
      <c r="E48" s="17" t="s">
        <v>50</v>
      </c>
      <c r="F48" s="26">
        <f>'MEMÓRIA DE CÁLCULO'!J216</f>
        <v>2.2079999999999997</v>
      </c>
      <c r="G48" s="74">
        <v>539.04</v>
      </c>
      <c r="H48" s="73">
        <f t="shared" si="0"/>
        <v>711.317184</v>
      </c>
      <c r="I48" s="18">
        <f t="shared" si="1"/>
        <v>1570.59</v>
      </c>
    </row>
    <row r="49" spans="1:9" x14ac:dyDescent="0.25">
      <c r="A49" s="20" t="s">
        <v>144</v>
      </c>
      <c r="B49" s="19" t="s">
        <v>145</v>
      </c>
      <c r="C49" s="20" t="s">
        <v>24</v>
      </c>
      <c r="D49" s="25" t="s">
        <v>146</v>
      </c>
      <c r="E49" s="17"/>
      <c r="F49" s="17"/>
      <c r="G49" s="74"/>
      <c r="H49" s="73"/>
      <c r="I49" s="18">
        <f t="shared" si="1"/>
        <v>0</v>
      </c>
    </row>
    <row r="50" spans="1:9" ht="25.5" x14ac:dyDescent="0.25">
      <c r="A50" s="17" t="s">
        <v>147</v>
      </c>
      <c r="B50" s="14" t="s">
        <v>148</v>
      </c>
      <c r="C50" s="17" t="s">
        <v>24</v>
      </c>
      <c r="D50" s="15" t="s">
        <v>135</v>
      </c>
      <c r="E50" s="17" t="s">
        <v>136</v>
      </c>
      <c r="F50" s="26">
        <f>'MEMÓRIA DE CÁLCULO'!J231</f>
        <v>74.761480000000006</v>
      </c>
      <c r="G50" s="74">
        <v>12.94</v>
      </c>
      <c r="H50" s="73">
        <f t="shared" si="0"/>
        <v>17.075624000000001</v>
      </c>
      <c r="I50" s="18">
        <f t="shared" si="1"/>
        <v>1276.5999999999999</v>
      </c>
    </row>
    <row r="51" spans="1:9" ht="38.25" x14ac:dyDescent="0.25">
      <c r="A51" s="17" t="s">
        <v>149</v>
      </c>
      <c r="B51" s="14" t="s">
        <v>150</v>
      </c>
      <c r="C51" s="17" t="s">
        <v>24</v>
      </c>
      <c r="D51" s="15" t="s">
        <v>151</v>
      </c>
      <c r="E51" s="17" t="s">
        <v>50</v>
      </c>
      <c r="F51" s="26">
        <f>'MEMÓRIA DE CÁLCULO'!J237</f>
        <v>3.4100999999999999</v>
      </c>
      <c r="G51" s="74">
        <v>479.51</v>
      </c>
      <c r="H51" s="73">
        <f t="shared" si="0"/>
        <v>632.76139599999999</v>
      </c>
      <c r="I51" s="18">
        <f t="shared" si="1"/>
        <v>2157.7800000000002</v>
      </c>
    </row>
    <row r="52" spans="1:9" ht="25.5" x14ac:dyDescent="0.25">
      <c r="A52" s="17" t="s">
        <v>152</v>
      </c>
      <c r="B52" s="14" t="s">
        <v>153</v>
      </c>
      <c r="C52" s="17" t="s">
        <v>24</v>
      </c>
      <c r="D52" s="15" t="s">
        <v>139</v>
      </c>
      <c r="E52" s="17" t="s">
        <v>140</v>
      </c>
      <c r="F52" s="26">
        <f>'MEMÓRIA DE CÁLCULO'!J246</f>
        <v>31.733240000000002</v>
      </c>
      <c r="G52" s="74">
        <v>15.75</v>
      </c>
      <c r="H52" s="73">
        <f t="shared" si="0"/>
        <v>20.783700000000003</v>
      </c>
      <c r="I52" s="18">
        <f t="shared" si="1"/>
        <v>659.53</v>
      </c>
    </row>
    <row r="53" spans="1:9" ht="51" x14ac:dyDescent="0.25">
      <c r="A53" s="17" t="s">
        <v>154</v>
      </c>
      <c r="B53" s="14" t="s">
        <v>155</v>
      </c>
      <c r="C53" s="17" t="s">
        <v>24</v>
      </c>
      <c r="D53" s="15" t="s">
        <v>156</v>
      </c>
      <c r="E53" s="17" t="s">
        <v>43</v>
      </c>
      <c r="F53" s="26">
        <f>'MEMÓRIA DE CÁLCULO'!J255</f>
        <v>49.823999999999998</v>
      </c>
      <c r="G53" s="74">
        <v>104.2</v>
      </c>
      <c r="H53" s="73">
        <f t="shared" si="0"/>
        <v>137.50232000000003</v>
      </c>
      <c r="I53" s="18">
        <f t="shared" si="1"/>
        <v>6850.92</v>
      </c>
    </row>
    <row r="54" spans="1:9" x14ac:dyDescent="0.25">
      <c r="A54" s="20" t="s">
        <v>157</v>
      </c>
      <c r="B54" s="19" t="s">
        <v>158</v>
      </c>
      <c r="C54" s="20" t="s">
        <v>24</v>
      </c>
      <c r="D54" s="12" t="s">
        <v>159</v>
      </c>
      <c r="E54" s="17"/>
      <c r="F54" s="17"/>
      <c r="G54" s="74"/>
      <c r="H54" s="73">
        <f t="shared" si="0"/>
        <v>0</v>
      </c>
      <c r="I54" s="18">
        <f t="shared" si="1"/>
        <v>0</v>
      </c>
    </row>
    <row r="55" spans="1:9" ht="38.25" x14ac:dyDescent="0.25">
      <c r="A55" s="17" t="s">
        <v>160</v>
      </c>
      <c r="B55" s="14" t="s">
        <v>161</v>
      </c>
      <c r="C55" s="17" t="s">
        <v>24</v>
      </c>
      <c r="D55" s="15" t="s">
        <v>162</v>
      </c>
      <c r="E55" s="17" t="s">
        <v>43</v>
      </c>
      <c r="F55" s="77">
        <f>'MEMÓRIA DE CÁLCULO'!J260</f>
        <v>18</v>
      </c>
      <c r="G55" s="74">
        <v>21.08</v>
      </c>
      <c r="H55" s="73">
        <f t="shared" si="0"/>
        <v>27.817167999999999</v>
      </c>
      <c r="I55" s="18">
        <f t="shared" si="1"/>
        <v>500.71</v>
      </c>
    </row>
    <row r="56" spans="1:9" ht="25.5" x14ac:dyDescent="0.25">
      <c r="A56" s="17" t="s">
        <v>163</v>
      </c>
      <c r="B56" s="14" t="s">
        <v>164</v>
      </c>
      <c r="C56" s="17" t="s">
        <v>24</v>
      </c>
      <c r="D56" s="15" t="s">
        <v>165</v>
      </c>
      <c r="E56" s="17" t="s">
        <v>43</v>
      </c>
      <c r="F56" s="77">
        <f>'MEMÓRIA DE CÁLCULO'!J264</f>
        <v>2.4000000000000004</v>
      </c>
      <c r="G56" s="74">
        <v>64.33</v>
      </c>
      <c r="H56" s="73">
        <f t="shared" si="0"/>
        <v>84.889868000000007</v>
      </c>
      <c r="I56" s="18">
        <f t="shared" si="1"/>
        <v>203.74</v>
      </c>
    </row>
    <row r="57" spans="1:9" x14ac:dyDescent="0.25">
      <c r="A57" s="78"/>
      <c r="B57" s="78"/>
      <c r="C57" s="79"/>
      <c r="D57" s="80" t="s">
        <v>166</v>
      </c>
      <c r="E57" s="79"/>
      <c r="F57" s="79"/>
      <c r="G57" s="99"/>
      <c r="H57" s="81"/>
      <c r="I57" s="82">
        <f>SUM(I42:I56)</f>
        <v>18233.690000000002</v>
      </c>
    </row>
    <row r="58" spans="1:9" x14ac:dyDescent="0.25">
      <c r="A58" s="20">
        <v>5</v>
      </c>
      <c r="B58" s="19" t="s">
        <v>167</v>
      </c>
      <c r="C58" s="20" t="s">
        <v>24</v>
      </c>
      <c r="D58" s="12" t="s">
        <v>168</v>
      </c>
      <c r="E58" s="17"/>
      <c r="F58" s="17"/>
      <c r="G58" s="74"/>
      <c r="H58" s="73"/>
      <c r="I58" s="18">
        <f t="shared" si="1"/>
        <v>0</v>
      </c>
    </row>
    <row r="59" spans="1:9" ht="25.5" x14ac:dyDescent="0.25">
      <c r="A59" s="20" t="s">
        <v>169</v>
      </c>
      <c r="B59" s="19" t="s">
        <v>170</v>
      </c>
      <c r="C59" s="20" t="s">
        <v>24</v>
      </c>
      <c r="D59" s="25" t="s">
        <v>171</v>
      </c>
      <c r="E59" s="17"/>
      <c r="F59" s="17"/>
      <c r="G59" s="74"/>
      <c r="H59" s="73"/>
      <c r="I59" s="18">
        <f t="shared" si="1"/>
        <v>0</v>
      </c>
    </row>
    <row r="60" spans="1:9" ht="51" x14ac:dyDescent="0.25">
      <c r="A60" s="17" t="s">
        <v>172</v>
      </c>
      <c r="B60" s="14" t="s">
        <v>173</v>
      </c>
      <c r="C60" s="17" t="s">
        <v>24</v>
      </c>
      <c r="D60" s="15" t="s">
        <v>174</v>
      </c>
      <c r="E60" s="17" t="s">
        <v>29</v>
      </c>
      <c r="F60" s="77">
        <f>'MEMÓRIA DE CÁLCULO'!J271</f>
        <v>83.012</v>
      </c>
      <c r="G60" s="74">
        <v>70.73</v>
      </c>
      <c r="H60" s="73">
        <f t="shared" si="0"/>
        <v>93.335308000000012</v>
      </c>
      <c r="I60" s="18">
        <f t="shared" si="1"/>
        <v>7747.95</v>
      </c>
    </row>
    <row r="61" spans="1:9" x14ac:dyDescent="0.25">
      <c r="A61" s="78"/>
      <c r="B61" s="78"/>
      <c r="C61" s="79"/>
      <c r="D61" s="80" t="s">
        <v>175</v>
      </c>
      <c r="E61" s="79"/>
      <c r="F61" s="79"/>
      <c r="G61" s="99"/>
      <c r="H61" s="81"/>
      <c r="I61" s="82">
        <f>SUM(I58:I60)</f>
        <v>7747.95</v>
      </c>
    </row>
    <row r="62" spans="1:9" x14ac:dyDescent="0.25">
      <c r="A62" s="20">
        <v>6</v>
      </c>
      <c r="B62" s="19" t="s">
        <v>176</v>
      </c>
      <c r="C62" s="20" t="s">
        <v>24</v>
      </c>
      <c r="D62" s="25" t="s">
        <v>177</v>
      </c>
      <c r="E62" s="17"/>
      <c r="F62" s="17"/>
      <c r="G62" s="74"/>
      <c r="H62" s="73"/>
      <c r="I62" s="18">
        <f t="shared" si="1"/>
        <v>0</v>
      </c>
    </row>
    <row r="63" spans="1:9" x14ac:dyDescent="0.25">
      <c r="A63" s="20" t="s">
        <v>178</v>
      </c>
      <c r="B63" s="19" t="s">
        <v>179</v>
      </c>
      <c r="C63" s="20" t="s">
        <v>24</v>
      </c>
      <c r="D63" s="25" t="s">
        <v>180</v>
      </c>
      <c r="E63" s="17"/>
      <c r="F63" s="17"/>
      <c r="G63" s="74"/>
      <c r="H63" s="73"/>
      <c r="I63" s="18">
        <f t="shared" si="1"/>
        <v>0</v>
      </c>
    </row>
    <row r="64" spans="1:9" x14ac:dyDescent="0.25">
      <c r="A64" s="17" t="s">
        <v>181</v>
      </c>
      <c r="B64" s="14" t="s">
        <v>797</v>
      </c>
      <c r="C64" s="17" t="s">
        <v>24</v>
      </c>
      <c r="D64" s="15" t="s">
        <v>182</v>
      </c>
      <c r="E64" s="17" t="s">
        <v>43</v>
      </c>
      <c r="F64" s="26">
        <f>'MEMÓRIA DE CÁLCULO'!J278</f>
        <v>8.4920000000000009</v>
      </c>
      <c r="G64" s="74">
        <v>859.08</v>
      </c>
      <c r="H64" s="73">
        <f t="shared" si="0"/>
        <v>1133.6419680000001</v>
      </c>
      <c r="I64" s="18">
        <f t="shared" si="1"/>
        <v>9626.89</v>
      </c>
    </row>
    <row r="65" spans="1:9" x14ac:dyDescent="0.25">
      <c r="A65" s="20" t="s">
        <v>183</v>
      </c>
      <c r="B65" s="19" t="s">
        <v>184</v>
      </c>
      <c r="C65" s="27" t="s">
        <v>24</v>
      </c>
      <c r="D65" s="25" t="s">
        <v>185</v>
      </c>
      <c r="E65" s="17"/>
      <c r="F65" s="17"/>
      <c r="G65" s="74"/>
      <c r="H65" s="73"/>
      <c r="I65" s="18">
        <f t="shared" si="1"/>
        <v>0</v>
      </c>
    </row>
    <row r="66" spans="1:9" ht="38.25" customHeight="1" x14ac:dyDescent="0.25">
      <c r="A66" s="224" t="s">
        <v>186</v>
      </c>
      <c r="B66" s="226" t="s">
        <v>187</v>
      </c>
      <c r="C66" s="224" t="s">
        <v>24</v>
      </c>
      <c r="D66" s="162" t="s">
        <v>188</v>
      </c>
      <c r="E66" s="224" t="s">
        <v>29</v>
      </c>
      <c r="F66" s="17">
        <f>'MEMÓRIA DE CÁLCULO'!J284</f>
        <v>1.44</v>
      </c>
      <c r="G66" s="225">
        <v>672.56</v>
      </c>
      <c r="H66" s="73">
        <f>G66*1.3196</f>
        <v>887.510176</v>
      </c>
      <c r="I66" s="18">
        <f t="shared" si="1"/>
        <v>1278.01</v>
      </c>
    </row>
    <row r="67" spans="1:9" ht="38.25" x14ac:dyDescent="0.25">
      <c r="A67" s="224" t="s">
        <v>189</v>
      </c>
      <c r="B67" s="14" t="s">
        <v>190</v>
      </c>
      <c r="C67" s="17" t="s">
        <v>24</v>
      </c>
      <c r="D67" s="15" t="s">
        <v>191</v>
      </c>
      <c r="E67" s="17" t="s">
        <v>29</v>
      </c>
      <c r="F67" s="17">
        <f>'MEMÓRIA DE CÁLCULO'!J289</f>
        <v>3.3600000000000003</v>
      </c>
      <c r="G67" s="74">
        <v>1047.1300000000001</v>
      </c>
      <c r="H67" s="73">
        <f t="shared" si="0"/>
        <v>1381.7927480000003</v>
      </c>
      <c r="I67" s="18">
        <f t="shared" si="1"/>
        <v>4642.82</v>
      </c>
    </row>
    <row r="68" spans="1:9" x14ac:dyDescent="0.25">
      <c r="A68" s="78"/>
      <c r="B68" s="78"/>
      <c r="C68" s="79"/>
      <c r="D68" s="80" t="s">
        <v>192</v>
      </c>
      <c r="E68" s="79"/>
      <c r="F68" s="79"/>
      <c r="G68" s="99"/>
      <c r="H68" s="81"/>
      <c r="I68" s="82">
        <f>SUM(I62:I67)</f>
        <v>15547.72</v>
      </c>
    </row>
    <row r="69" spans="1:9" x14ac:dyDescent="0.25">
      <c r="A69" s="20">
        <v>7</v>
      </c>
      <c r="B69" s="19" t="s">
        <v>193</v>
      </c>
      <c r="C69" s="20" t="s">
        <v>24</v>
      </c>
      <c r="D69" s="25" t="s">
        <v>194</v>
      </c>
      <c r="E69" s="17"/>
      <c r="F69" s="17"/>
      <c r="G69" s="74"/>
      <c r="H69" s="73"/>
      <c r="I69" s="18">
        <f t="shared" si="1"/>
        <v>0</v>
      </c>
    </row>
    <row r="70" spans="1:9" s="31" customFormat="1" x14ac:dyDescent="0.25">
      <c r="A70" s="20" t="s">
        <v>195</v>
      </c>
      <c r="B70" s="19" t="s">
        <v>196</v>
      </c>
      <c r="C70" s="20" t="s">
        <v>24</v>
      </c>
      <c r="D70" s="25" t="s">
        <v>197</v>
      </c>
      <c r="E70" s="20"/>
      <c r="F70" s="20"/>
      <c r="G70" s="75"/>
      <c r="H70" s="73"/>
      <c r="I70" s="18">
        <f t="shared" si="1"/>
        <v>0</v>
      </c>
    </row>
    <row r="71" spans="1:9" ht="38.25" x14ac:dyDescent="0.25">
      <c r="A71" s="17" t="s">
        <v>198</v>
      </c>
      <c r="B71" s="14" t="s">
        <v>199</v>
      </c>
      <c r="C71" s="17" t="s">
        <v>24</v>
      </c>
      <c r="D71" s="15" t="s">
        <v>200</v>
      </c>
      <c r="E71" s="17" t="s">
        <v>43</v>
      </c>
      <c r="F71" s="77">
        <f>'MEMÓRIA DE CÁLCULO'!J296</f>
        <v>0.72</v>
      </c>
      <c r="G71" s="74">
        <v>667.41</v>
      </c>
      <c r="H71" s="73">
        <f t="shared" si="0"/>
        <v>880.71423600000003</v>
      </c>
      <c r="I71" s="18">
        <f t="shared" si="1"/>
        <v>634.11</v>
      </c>
    </row>
    <row r="72" spans="1:9" x14ac:dyDescent="0.25">
      <c r="A72" s="78"/>
      <c r="B72" s="78"/>
      <c r="C72" s="79"/>
      <c r="D72" s="80" t="s">
        <v>201</v>
      </c>
      <c r="E72" s="79"/>
      <c r="F72" s="79"/>
      <c r="G72" s="99"/>
      <c r="H72" s="81"/>
      <c r="I72" s="82">
        <f>SUM(I69:I71)</f>
        <v>634.11</v>
      </c>
    </row>
    <row r="73" spans="1:9" x14ac:dyDescent="0.25">
      <c r="A73" s="27">
        <v>8</v>
      </c>
      <c r="B73" s="30" t="s">
        <v>202</v>
      </c>
      <c r="C73" s="27" t="s">
        <v>24</v>
      </c>
      <c r="D73" s="28" t="s">
        <v>203</v>
      </c>
      <c r="E73" s="17"/>
      <c r="F73" s="17"/>
      <c r="G73" s="74"/>
      <c r="H73" s="73"/>
      <c r="I73" s="18">
        <f t="shared" si="1"/>
        <v>0</v>
      </c>
    </row>
    <row r="74" spans="1:9" x14ac:dyDescent="0.25">
      <c r="A74" s="27" t="s">
        <v>204</v>
      </c>
      <c r="B74" s="30" t="s">
        <v>205</v>
      </c>
      <c r="C74" s="27" t="s">
        <v>24</v>
      </c>
      <c r="D74" s="28" t="s">
        <v>206</v>
      </c>
      <c r="E74" s="17"/>
      <c r="F74" s="17"/>
      <c r="G74" s="74"/>
      <c r="H74" s="73"/>
      <c r="I74" s="18">
        <f t="shared" si="1"/>
        <v>0</v>
      </c>
    </row>
    <row r="75" spans="1:9" ht="51" x14ac:dyDescent="0.25">
      <c r="A75" s="17" t="s">
        <v>207</v>
      </c>
      <c r="B75" s="14" t="s">
        <v>208</v>
      </c>
      <c r="C75" s="17" t="s">
        <v>24</v>
      </c>
      <c r="D75" s="15" t="s">
        <v>209</v>
      </c>
      <c r="E75" s="17" t="s">
        <v>43</v>
      </c>
      <c r="F75" s="77">
        <f>'MEMÓRIA DE CÁLCULO'!J302</f>
        <v>39.024999999999999</v>
      </c>
      <c r="G75" s="74">
        <v>113.68</v>
      </c>
      <c r="H75" s="73">
        <f t="shared" si="0"/>
        <v>150.01212800000002</v>
      </c>
      <c r="I75" s="18">
        <f t="shared" ref="I75:I138" si="3">TRUNC(ROUND(F75*H75,2),2)</f>
        <v>5854.22</v>
      </c>
    </row>
    <row r="76" spans="1:9" x14ac:dyDescent="0.25">
      <c r="A76" s="27" t="s">
        <v>210</v>
      </c>
      <c r="B76" s="30" t="s">
        <v>211</v>
      </c>
      <c r="C76" s="27" t="s">
        <v>24</v>
      </c>
      <c r="D76" s="28" t="s">
        <v>212</v>
      </c>
      <c r="E76" s="17"/>
      <c r="F76" s="17"/>
      <c r="G76" s="74"/>
      <c r="H76" s="73">
        <f t="shared" si="0"/>
        <v>0</v>
      </c>
      <c r="I76" s="18">
        <f t="shared" si="3"/>
        <v>0</v>
      </c>
    </row>
    <row r="77" spans="1:9" ht="25.5" x14ac:dyDescent="0.25">
      <c r="A77" s="17" t="s">
        <v>213</v>
      </c>
      <c r="B77" s="14" t="s">
        <v>214</v>
      </c>
      <c r="C77" s="17" t="s">
        <v>24</v>
      </c>
      <c r="D77" s="15" t="s">
        <v>215</v>
      </c>
      <c r="E77" s="17" t="s">
        <v>43</v>
      </c>
      <c r="F77" s="77">
        <f>'MEMÓRIA DE CÁLCULO'!J307</f>
        <v>39.024999999999999</v>
      </c>
      <c r="G77" s="74">
        <v>56.61</v>
      </c>
      <c r="H77" s="73">
        <f t="shared" si="0"/>
        <v>74.702556000000001</v>
      </c>
      <c r="I77" s="18">
        <f t="shared" si="3"/>
        <v>2915.27</v>
      </c>
    </row>
    <row r="78" spans="1:9" x14ac:dyDescent="0.25">
      <c r="A78" s="27" t="s">
        <v>216</v>
      </c>
      <c r="B78" s="30" t="s">
        <v>217</v>
      </c>
      <c r="C78" s="27" t="s">
        <v>24</v>
      </c>
      <c r="D78" s="28" t="s">
        <v>218</v>
      </c>
      <c r="E78" s="17"/>
      <c r="F78" s="17"/>
      <c r="G78" s="74"/>
      <c r="H78" s="73">
        <f t="shared" si="0"/>
        <v>0</v>
      </c>
      <c r="I78" s="18">
        <f t="shared" si="3"/>
        <v>0</v>
      </c>
    </row>
    <row r="79" spans="1:9" x14ac:dyDescent="0.25">
      <c r="A79" s="17" t="s">
        <v>219</v>
      </c>
      <c r="B79" s="29" t="s">
        <v>220</v>
      </c>
      <c r="C79" s="17" t="s">
        <v>24</v>
      </c>
      <c r="D79" s="15" t="s">
        <v>221</v>
      </c>
      <c r="E79" s="17" t="s">
        <v>99</v>
      </c>
      <c r="F79" s="77">
        <f>'MEMÓRIA DE CÁLCULO'!J313</f>
        <v>59.46</v>
      </c>
      <c r="G79" s="74">
        <v>129.46</v>
      </c>
      <c r="H79" s="73">
        <f t="shared" si="0"/>
        <v>170.83541600000004</v>
      </c>
      <c r="I79" s="18">
        <f t="shared" si="3"/>
        <v>10157.870000000001</v>
      </c>
    </row>
    <row r="80" spans="1:9" x14ac:dyDescent="0.25">
      <c r="A80" s="78"/>
      <c r="B80" s="78"/>
      <c r="C80" s="79"/>
      <c r="D80" s="80" t="s">
        <v>222</v>
      </c>
      <c r="E80" s="79"/>
      <c r="F80" s="79"/>
      <c r="G80" s="99"/>
      <c r="H80" s="81"/>
      <c r="I80" s="82">
        <f>SUM(I73:I79)</f>
        <v>18927.36</v>
      </c>
    </row>
    <row r="81" spans="1:9" x14ac:dyDescent="0.25">
      <c r="A81" s="27">
        <v>9</v>
      </c>
      <c r="B81" s="27">
        <v>10</v>
      </c>
      <c r="C81" s="27" t="s">
        <v>24</v>
      </c>
      <c r="D81" s="28" t="s">
        <v>223</v>
      </c>
      <c r="E81" s="17"/>
      <c r="F81" s="17"/>
      <c r="G81" s="74"/>
      <c r="H81" s="73"/>
      <c r="I81" s="18">
        <f t="shared" si="3"/>
        <v>0</v>
      </c>
    </row>
    <row r="82" spans="1:9" ht="25.5" x14ac:dyDescent="0.25">
      <c r="A82" s="20" t="s">
        <v>224</v>
      </c>
      <c r="B82" s="20">
        <v>1002</v>
      </c>
      <c r="C82" s="20" t="s">
        <v>24</v>
      </c>
      <c r="D82" s="25" t="s">
        <v>225</v>
      </c>
      <c r="E82" s="17"/>
      <c r="F82" s="17"/>
      <c r="G82" s="74"/>
      <c r="H82" s="73"/>
      <c r="I82" s="18">
        <f t="shared" si="3"/>
        <v>0</v>
      </c>
    </row>
    <row r="83" spans="1:9" x14ac:dyDescent="0.25">
      <c r="A83" s="17" t="s">
        <v>226</v>
      </c>
      <c r="B83" s="17">
        <v>100203</v>
      </c>
      <c r="C83" s="17" t="s">
        <v>24</v>
      </c>
      <c r="D83" s="15" t="s">
        <v>227</v>
      </c>
      <c r="E83" s="17" t="s">
        <v>43</v>
      </c>
      <c r="F83" s="77">
        <f>'MEMÓRIA DE CÁLCULO'!J320</f>
        <v>20.765999999999998</v>
      </c>
      <c r="G83" s="74">
        <v>41.96</v>
      </c>
      <c r="H83" s="73">
        <f t="shared" si="0"/>
        <v>55.370416000000006</v>
      </c>
      <c r="I83" s="18">
        <f t="shared" si="3"/>
        <v>1149.82</v>
      </c>
    </row>
    <row r="84" spans="1:9" x14ac:dyDescent="0.25">
      <c r="A84" s="78"/>
      <c r="B84" s="78"/>
      <c r="C84" s="79"/>
      <c r="D84" s="80" t="s">
        <v>228</v>
      </c>
      <c r="E84" s="79"/>
      <c r="F84" s="79"/>
      <c r="G84" s="99"/>
      <c r="H84" s="81"/>
      <c r="I84" s="82">
        <f>SUM(I81:I83)</f>
        <v>1149.82</v>
      </c>
    </row>
    <row r="85" spans="1:9" x14ac:dyDescent="0.25">
      <c r="A85" s="20">
        <v>10</v>
      </c>
      <c r="B85" s="20">
        <v>12</v>
      </c>
      <c r="C85" s="20" t="s">
        <v>24</v>
      </c>
      <c r="D85" s="25" t="s">
        <v>229</v>
      </c>
      <c r="E85" s="17"/>
      <c r="F85" s="17"/>
      <c r="G85" s="74"/>
      <c r="H85" s="73"/>
      <c r="I85" s="18">
        <f t="shared" si="3"/>
        <v>0</v>
      </c>
    </row>
    <row r="86" spans="1:9" x14ac:dyDescent="0.25">
      <c r="A86" s="20" t="s">
        <v>230</v>
      </c>
      <c r="B86" s="20">
        <v>1201</v>
      </c>
      <c r="C86" s="20" t="s">
        <v>24</v>
      </c>
      <c r="D86" s="25" t="s">
        <v>231</v>
      </c>
      <c r="E86" s="17"/>
      <c r="F86" s="17"/>
      <c r="G86" s="74"/>
      <c r="H86" s="73"/>
      <c r="I86" s="18">
        <f t="shared" si="3"/>
        <v>0</v>
      </c>
    </row>
    <row r="87" spans="1:9" ht="25.5" x14ac:dyDescent="0.25">
      <c r="A87" s="17" t="s">
        <v>232</v>
      </c>
      <c r="B87" s="17">
        <v>120101</v>
      </c>
      <c r="C87" s="17" t="s">
        <v>24</v>
      </c>
      <c r="D87" s="15" t="s">
        <v>233</v>
      </c>
      <c r="E87" s="17" t="s">
        <v>71</v>
      </c>
      <c r="F87" s="77">
        <f>'MEMÓRIA DE CÁLCULO'!J333</f>
        <v>257.68029999999999</v>
      </c>
      <c r="G87" s="74">
        <v>5.69</v>
      </c>
      <c r="H87" s="73">
        <f t="shared" si="0"/>
        <v>7.5085240000000013</v>
      </c>
      <c r="I87" s="18">
        <f t="shared" si="3"/>
        <v>1934.8</v>
      </c>
    </row>
    <row r="88" spans="1:9" ht="25.5" x14ac:dyDescent="0.25">
      <c r="A88" s="20" t="s">
        <v>234</v>
      </c>
      <c r="B88" s="20">
        <v>1203</v>
      </c>
      <c r="C88" s="20" t="s">
        <v>24</v>
      </c>
      <c r="D88" s="25" t="s">
        <v>235</v>
      </c>
      <c r="E88" s="17"/>
      <c r="F88" s="17"/>
      <c r="G88" s="74"/>
      <c r="H88" s="73">
        <f t="shared" si="0"/>
        <v>0</v>
      </c>
      <c r="I88" s="18">
        <f t="shared" si="3"/>
        <v>0</v>
      </c>
    </row>
    <row r="89" spans="1:9" ht="38.25" x14ac:dyDescent="0.25">
      <c r="A89" s="17" t="s">
        <v>236</v>
      </c>
      <c r="B89" s="17">
        <v>120303</v>
      </c>
      <c r="C89" s="17" t="s">
        <v>24</v>
      </c>
      <c r="D89" s="15" t="s">
        <v>237</v>
      </c>
      <c r="E89" s="17" t="s">
        <v>43</v>
      </c>
      <c r="F89" s="305">
        <f>'MEMÓRIA DE CÁLCULO'!J338</f>
        <v>257.68029999999999</v>
      </c>
      <c r="G89" s="74">
        <v>47.53</v>
      </c>
      <c r="H89" s="73">
        <f t="shared" si="0"/>
        <v>62.720588000000006</v>
      </c>
      <c r="I89" s="18">
        <f t="shared" si="3"/>
        <v>16161.86</v>
      </c>
    </row>
    <row r="90" spans="1:9" x14ac:dyDescent="0.25">
      <c r="A90" s="78"/>
      <c r="B90" s="78"/>
      <c r="C90" s="79"/>
      <c r="D90" s="80" t="s">
        <v>238</v>
      </c>
      <c r="E90" s="79"/>
      <c r="F90" s="79"/>
      <c r="G90" s="99"/>
      <c r="H90" s="81"/>
      <c r="I90" s="82">
        <f>SUM(I85:I89)</f>
        <v>18096.66</v>
      </c>
    </row>
    <row r="91" spans="1:9" x14ac:dyDescent="0.25">
      <c r="A91" s="20">
        <v>11</v>
      </c>
      <c r="B91" s="20">
        <v>13</v>
      </c>
      <c r="C91" s="20" t="s">
        <v>24</v>
      </c>
      <c r="D91" s="25" t="s">
        <v>239</v>
      </c>
      <c r="E91" s="17"/>
      <c r="F91" s="17"/>
      <c r="G91" s="74"/>
      <c r="H91" s="73"/>
      <c r="I91" s="18">
        <f t="shared" si="3"/>
        <v>0</v>
      </c>
    </row>
    <row r="92" spans="1:9" x14ac:dyDescent="0.25">
      <c r="A92" s="20" t="s">
        <v>240</v>
      </c>
      <c r="B92" s="20">
        <v>1302</v>
      </c>
      <c r="C92" s="20" t="s">
        <v>24</v>
      </c>
      <c r="D92" s="25" t="s">
        <v>241</v>
      </c>
      <c r="E92" s="17"/>
      <c r="F92" s="17"/>
      <c r="G92" s="74"/>
      <c r="H92" s="73"/>
      <c r="I92" s="18">
        <f t="shared" si="3"/>
        <v>0</v>
      </c>
    </row>
    <row r="93" spans="1:9" ht="25.5" x14ac:dyDescent="0.25">
      <c r="A93" s="17" t="s">
        <v>242</v>
      </c>
      <c r="B93" s="17">
        <v>130209</v>
      </c>
      <c r="C93" s="17" t="s">
        <v>24</v>
      </c>
      <c r="D93" s="15" t="s">
        <v>243</v>
      </c>
      <c r="E93" s="17" t="s">
        <v>29</v>
      </c>
      <c r="F93" s="77">
        <f>'MEMÓRIA DE CÁLCULO'!J345</f>
        <v>23.435000000000002</v>
      </c>
      <c r="G93" s="74">
        <v>85.42</v>
      </c>
      <c r="H93" s="73">
        <f t="shared" si="0"/>
        <v>112.72023200000001</v>
      </c>
      <c r="I93" s="18">
        <f t="shared" si="3"/>
        <v>2641.6</v>
      </c>
    </row>
    <row r="94" spans="1:9" ht="51" x14ac:dyDescent="0.25">
      <c r="A94" s="17" t="s">
        <v>244</v>
      </c>
      <c r="B94" s="17">
        <v>130233</v>
      </c>
      <c r="C94" s="17" t="s">
        <v>24</v>
      </c>
      <c r="D94" s="15" t="s">
        <v>245</v>
      </c>
      <c r="E94" s="17" t="s">
        <v>43</v>
      </c>
      <c r="F94" s="26">
        <f>'MEMÓRIA DE CÁLCULO'!J355</f>
        <v>43.8</v>
      </c>
      <c r="G94" s="74">
        <v>101.08</v>
      </c>
      <c r="H94" s="73">
        <f t="shared" si="0"/>
        <v>133.38516800000002</v>
      </c>
      <c r="I94" s="18">
        <f>TRUNC(ROUND(F94*H94,2),2)</f>
        <v>5842.27</v>
      </c>
    </row>
    <row r="95" spans="1:9" x14ac:dyDescent="0.25">
      <c r="A95" s="78"/>
      <c r="B95" s="78"/>
      <c r="C95" s="79"/>
      <c r="D95" s="80" t="s">
        <v>246</v>
      </c>
      <c r="E95" s="79"/>
      <c r="F95" s="79"/>
      <c r="G95" s="99"/>
      <c r="H95" s="81"/>
      <c r="I95" s="82">
        <f>SUM(I91:I94)</f>
        <v>8483.8700000000008</v>
      </c>
    </row>
    <row r="96" spans="1:9" x14ac:dyDescent="0.25">
      <c r="A96" s="27">
        <v>12</v>
      </c>
      <c r="B96" s="20">
        <v>14</v>
      </c>
      <c r="C96" s="20" t="s">
        <v>24</v>
      </c>
      <c r="D96" s="25" t="s">
        <v>247</v>
      </c>
      <c r="E96" s="17"/>
      <c r="F96" s="17"/>
      <c r="G96" s="74"/>
      <c r="H96" s="73"/>
      <c r="I96" s="18">
        <f t="shared" si="3"/>
        <v>0</v>
      </c>
    </row>
    <row r="97" spans="1:9" x14ac:dyDescent="0.25">
      <c r="A97" s="20" t="s">
        <v>248</v>
      </c>
      <c r="B97" s="20">
        <v>1407</v>
      </c>
      <c r="C97" s="20" t="s">
        <v>24</v>
      </c>
      <c r="D97" s="25" t="s">
        <v>249</v>
      </c>
      <c r="E97" s="17"/>
      <c r="F97" s="17"/>
      <c r="G97" s="74"/>
      <c r="H97" s="73"/>
      <c r="I97" s="18">
        <f t="shared" si="3"/>
        <v>0</v>
      </c>
    </row>
    <row r="98" spans="1:9" x14ac:dyDescent="0.25">
      <c r="A98" s="17" t="s">
        <v>250</v>
      </c>
      <c r="B98" s="17">
        <v>140701</v>
      </c>
      <c r="C98" s="17" t="s">
        <v>24</v>
      </c>
      <c r="D98" s="15" t="s">
        <v>251</v>
      </c>
      <c r="E98" s="17" t="s">
        <v>252</v>
      </c>
      <c r="F98" s="77">
        <f>'MEMÓRIA DE CÁLCULO'!J361</f>
        <v>2</v>
      </c>
      <c r="G98" s="74">
        <v>94.74</v>
      </c>
      <c r="H98" s="73">
        <f t="shared" si="0"/>
        <v>125.01890400000001</v>
      </c>
      <c r="I98" s="18">
        <f t="shared" si="3"/>
        <v>250.04</v>
      </c>
    </row>
    <row r="99" spans="1:9" x14ac:dyDescent="0.25">
      <c r="A99" s="17" t="s">
        <v>253</v>
      </c>
      <c r="B99" s="17">
        <v>140705</v>
      </c>
      <c r="C99" s="17" t="s">
        <v>24</v>
      </c>
      <c r="D99" s="15" t="s">
        <v>254</v>
      </c>
      <c r="E99" s="17" t="s">
        <v>252</v>
      </c>
      <c r="F99" s="77">
        <f>'MEMÓRIA DE CÁLCULO'!J366</f>
        <v>1</v>
      </c>
      <c r="G99" s="74">
        <v>111.23</v>
      </c>
      <c r="H99" s="73">
        <f t="shared" si="0"/>
        <v>146.77910800000001</v>
      </c>
      <c r="I99" s="18">
        <f t="shared" si="3"/>
        <v>146.78</v>
      </c>
    </row>
    <row r="100" spans="1:9" ht="25.5" x14ac:dyDescent="0.25">
      <c r="A100" s="17" t="s">
        <v>255</v>
      </c>
      <c r="B100" s="17">
        <v>140706</v>
      </c>
      <c r="C100" s="17" t="s">
        <v>24</v>
      </c>
      <c r="D100" s="15" t="s">
        <v>256</v>
      </c>
      <c r="E100" s="17" t="s">
        <v>252</v>
      </c>
      <c r="F100" s="77">
        <f>'MEMÓRIA DE CÁLCULO'!J371</f>
        <v>1</v>
      </c>
      <c r="G100" s="74">
        <v>86.3</v>
      </c>
      <c r="H100" s="73">
        <f t="shared" si="0"/>
        <v>113.88148000000001</v>
      </c>
      <c r="I100" s="18">
        <f t="shared" si="3"/>
        <v>113.88</v>
      </c>
    </row>
    <row r="101" spans="1:9" ht="25.5" x14ac:dyDescent="0.25">
      <c r="A101" s="17" t="s">
        <v>257</v>
      </c>
      <c r="B101" s="17">
        <v>140707</v>
      </c>
      <c r="C101" s="17" t="s">
        <v>24</v>
      </c>
      <c r="D101" s="15" t="s">
        <v>258</v>
      </c>
      <c r="E101" s="17" t="s">
        <v>259</v>
      </c>
      <c r="F101" s="77">
        <f>'MEMÓRIA DE CÁLCULO'!J376</f>
        <v>1</v>
      </c>
      <c r="G101" s="74">
        <v>159.07</v>
      </c>
      <c r="H101" s="73">
        <f t="shared" si="0"/>
        <v>209.908772</v>
      </c>
      <c r="I101" s="18">
        <f t="shared" si="3"/>
        <v>209.91</v>
      </c>
    </row>
    <row r="102" spans="1:9" s="31" customFormat="1" x14ac:dyDescent="0.25">
      <c r="A102" s="20" t="s">
        <v>260</v>
      </c>
      <c r="B102" s="20">
        <v>1421</v>
      </c>
      <c r="C102" s="20" t="s">
        <v>24</v>
      </c>
      <c r="D102" s="25" t="s">
        <v>261</v>
      </c>
      <c r="E102" s="20"/>
      <c r="F102" s="20"/>
      <c r="G102" s="75"/>
      <c r="H102" s="73">
        <f t="shared" si="0"/>
        <v>0</v>
      </c>
      <c r="I102" s="18">
        <f t="shared" si="3"/>
        <v>0</v>
      </c>
    </row>
    <row r="103" spans="1:9" x14ac:dyDescent="0.25">
      <c r="A103" s="17" t="s">
        <v>262</v>
      </c>
      <c r="B103" s="17">
        <v>142104</v>
      </c>
      <c r="C103" s="17" t="s">
        <v>24</v>
      </c>
      <c r="D103" s="15" t="s">
        <v>263</v>
      </c>
      <c r="E103" s="17" t="s">
        <v>264</v>
      </c>
      <c r="F103" s="77">
        <f>'MEMÓRIA DE CÁLCULO'!J382</f>
        <v>1</v>
      </c>
      <c r="G103" s="74">
        <v>33.159999999999997</v>
      </c>
      <c r="H103" s="73">
        <f t="shared" si="0"/>
        <v>43.757936000000001</v>
      </c>
      <c r="I103" s="18">
        <f t="shared" si="3"/>
        <v>43.76</v>
      </c>
    </row>
    <row r="104" spans="1:9" x14ac:dyDescent="0.25">
      <c r="A104" s="78"/>
      <c r="B104" s="78"/>
      <c r="C104" s="79"/>
      <c r="D104" s="80" t="s">
        <v>265</v>
      </c>
      <c r="E104" s="79"/>
      <c r="F104" s="79"/>
      <c r="G104" s="99"/>
      <c r="H104" s="81"/>
      <c r="I104" s="82">
        <f>SUM(I96:I103)</f>
        <v>764.37</v>
      </c>
    </row>
    <row r="105" spans="1:9" x14ac:dyDescent="0.25">
      <c r="A105" s="20">
        <v>13</v>
      </c>
      <c r="B105" s="20">
        <v>15</v>
      </c>
      <c r="C105" s="20" t="s">
        <v>24</v>
      </c>
      <c r="D105" s="25" t="s">
        <v>266</v>
      </c>
      <c r="E105" s="17"/>
      <c r="F105" s="17"/>
      <c r="G105" s="74"/>
      <c r="H105" s="73"/>
      <c r="I105" s="18">
        <f t="shared" si="3"/>
        <v>0</v>
      </c>
    </row>
    <row r="106" spans="1:9" x14ac:dyDescent="0.25">
      <c r="A106" s="20" t="s">
        <v>267</v>
      </c>
      <c r="B106" s="20">
        <v>1503</v>
      </c>
      <c r="C106" s="20" t="s">
        <v>24</v>
      </c>
      <c r="D106" s="25" t="s">
        <v>268</v>
      </c>
      <c r="E106" s="17"/>
      <c r="F106" s="17"/>
      <c r="G106" s="74"/>
      <c r="H106" s="73"/>
      <c r="I106" s="18">
        <f t="shared" si="3"/>
        <v>0</v>
      </c>
    </row>
    <row r="107" spans="1:9" ht="25.5" x14ac:dyDescent="0.25">
      <c r="A107" s="17" t="s">
        <v>269</v>
      </c>
      <c r="B107" s="17">
        <v>150307</v>
      </c>
      <c r="C107" s="17" t="s">
        <v>24</v>
      </c>
      <c r="D107" s="15" t="s">
        <v>270</v>
      </c>
      <c r="E107" s="17" t="s">
        <v>57</v>
      </c>
      <c r="F107" s="77">
        <f>'MEMÓRIA DE CÁLCULO'!J382</f>
        <v>1</v>
      </c>
      <c r="G107" s="74">
        <v>627.26</v>
      </c>
      <c r="H107" s="73">
        <f t="shared" si="0"/>
        <v>827.73229600000002</v>
      </c>
      <c r="I107" s="18">
        <f t="shared" si="3"/>
        <v>827.73</v>
      </c>
    </row>
    <row r="108" spans="1:9" x14ac:dyDescent="0.25">
      <c r="A108" s="20" t="s">
        <v>271</v>
      </c>
      <c r="B108" s="20">
        <v>1507</v>
      </c>
      <c r="C108" s="20" t="s">
        <v>24</v>
      </c>
      <c r="D108" s="25" t="s">
        <v>272</v>
      </c>
      <c r="E108" s="17"/>
      <c r="F108" s="17"/>
      <c r="G108" s="74"/>
      <c r="H108" s="73">
        <f t="shared" ref="H108:H134" si="4">G108*1.3196</f>
        <v>0</v>
      </c>
      <c r="I108" s="18">
        <f t="shared" si="3"/>
        <v>0</v>
      </c>
    </row>
    <row r="109" spans="1:9" ht="51" x14ac:dyDescent="0.25">
      <c r="A109" s="17" t="s">
        <v>273</v>
      </c>
      <c r="B109" s="17">
        <v>150701</v>
      </c>
      <c r="C109" s="17" t="s">
        <v>24</v>
      </c>
      <c r="D109" s="15" t="s">
        <v>274</v>
      </c>
      <c r="E109" s="17" t="s">
        <v>275</v>
      </c>
      <c r="F109" s="77">
        <f>'MEMÓRIA DE CÁLCULO'!J393</f>
        <v>30</v>
      </c>
      <c r="G109" s="74">
        <v>46.42</v>
      </c>
      <c r="H109" s="73">
        <f t="shared" si="4"/>
        <v>61.255832000000005</v>
      </c>
      <c r="I109" s="18">
        <f t="shared" si="3"/>
        <v>1837.67</v>
      </c>
    </row>
    <row r="110" spans="1:9" x14ac:dyDescent="0.25">
      <c r="A110" s="20" t="s">
        <v>276</v>
      </c>
      <c r="B110" s="20">
        <v>1508</v>
      </c>
      <c r="C110" s="20" t="s">
        <v>24</v>
      </c>
      <c r="D110" s="25" t="s">
        <v>277</v>
      </c>
      <c r="E110" s="17"/>
      <c r="F110" s="17"/>
      <c r="G110" s="74"/>
      <c r="H110" s="73">
        <f t="shared" si="4"/>
        <v>0</v>
      </c>
      <c r="I110" s="18">
        <f t="shared" si="3"/>
        <v>0</v>
      </c>
    </row>
    <row r="111" spans="1:9" ht="25.5" x14ac:dyDescent="0.25">
      <c r="A111" s="17" t="s">
        <v>278</v>
      </c>
      <c r="B111" s="17">
        <v>150806</v>
      </c>
      <c r="C111" s="17" t="s">
        <v>24</v>
      </c>
      <c r="D111" s="15" t="s">
        <v>279</v>
      </c>
      <c r="E111" s="17" t="s">
        <v>99</v>
      </c>
      <c r="F111" s="77">
        <f>'MEMÓRIA DE CÁLCULO'!J398</f>
        <v>15</v>
      </c>
      <c r="G111" s="74">
        <v>26.27</v>
      </c>
      <c r="H111" s="73">
        <f t="shared" si="4"/>
        <v>34.665891999999999</v>
      </c>
      <c r="I111" s="18">
        <f t="shared" si="3"/>
        <v>519.99</v>
      </c>
    </row>
    <row r="112" spans="1:9" x14ac:dyDescent="0.25">
      <c r="A112" s="20" t="s">
        <v>280</v>
      </c>
      <c r="B112" s="20">
        <v>1509</v>
      </c>
      <c r="C112" s="20" t="s">
        <v>24</v>
      </c>
      <c r="D112" s="25" t="s">
        <v>281</v>
      </c>
      <c r="E112" s="17"/>
      <c r="F112" s="17"/>
      <c r="G112" s="74"/>
      <c r="H112" s="73">
        <f t="shared" si="4"/>
        <v>0</v>
      </c>
      <c r="I112" s="18">
        <f t="shared" si="3"/>
        <v>0</v>
      </c>
    </row>
    <row r="113" spans="1:9" ht="25.5" x14ac:dyDescent="0.25">
      <c r="A113" s="17" t="s">
        <v>282</v>
      </c>
      <c r="B113" s="17">
        <v>150918</v>
      </c>
      <c r="C113" s="17" t="s">
        <v>24</v>
      </c>
      <c r="D113" s="15" t="s">
        <v>283</v>
      </c>
      <c r="E113" s="17" t="s">
        <v>57</v>
      </c>
      <c r="F113" s="77">
        <f>'MEMÓRIA DE CÁLCULO'!J403</f>
        <v>2</v>
      </c>
      <c r="G113" s="74">
        <v>28.43</v>
      </c>
      <c r="H113" s="73">
        <f t="shared" si="4"/>
        <v>37.516228000000005</v>
      </c>
      <c r="I113" s="18">
        <f t="shared" si="3"/>
        <v>75.03</v>
      </c>
    </row>
    <row r="114" spans="1:9" x14ac:dyDescent="0.25">
      <c r="A114" s="20" t="s">
        <v>284</v>
      </c>
      <c r="B114" s="20">
        <v>1511</v>
      </c>
      <c r="C114" s="20" t="s">
        <v>24</v>
      </c>
      <c r="D114" s="25" t="s">
        <v>285</v>
      </c>
      <c r="E114" s="17"/>
      <c r="F114" s="17"/>
      <c r="G114" s="74"/>
      <c r="H114" s="73">
        <f t="shared" si="4"/>
        <v>0</v>
      </c>
      <c r="I114" s="18">
        <f t="shared" si="3"/>
        <v>0</v>
      </c>
    </row>
    <row r="115" spans="1:9" x14ac:dyDescent="0.25">
      <c r="A115" s="17" t="s">
        <v>286</v>
      </c>
      <c r="B115" s="17">
        <v>151132</v>
      </c>
      <c r="C115" s="17" t="s">
        <v>24</v>
      </c>
      <c r="D115" s="15" t="s">
        <v>287</v>
      </c>
      <c r="E115" s="17" t="s">
        <v>275</v>
      </c>
      <c r="F115" s="77">
        <f>'MEMÓRIA DE CÁLCULO'!J408</f>
        <v>30</v>
      </c>
      <c r="G115" s="74">
        <v>8.23</v>
      </c>
      <c r="H115" s="73">
        <f t="shared" si="4"/>
        <v>10.860308000000002</v>
      </c>
      <c r="I115" s="18">
        <f t="shared" si="3"/>
        <v>325.81</v>
      </c>
    </row>
    <row r="116" spans="1:9" x14ac:dyDescent="0.25">
      <c r="A116" s="20" t="s">
        <v>288</v>
      </c>
      <c r="B116" s="20">
        <v>1513</v>
      </c>
      <c r="C116" s="20" t="s">
        <v>24</v>
      </c>
      <c r="D116" s="25" t="s">
        <v>289</v>
      </c>
      <c r="E116" s="17"/>
      <c r="F116" s="17"/>
      <c r="G116" s="74"/>
      <c r="H116" s="73">
        <f t="shared" si="4"/>
        <v>0</v>
      </c>
      <c r="I116" s="18">
        <f t="shared" si="3"/>
        <v>0</v>
      </c>
    </row>
    <row r="117" spans="1:9" ht="25.5" x14ac:dyDescent="0.25">
      <c r="A117" s="17" t="s">
        <v>290</v>
      </c>
      <c r="B117" s="17" t="s">
        <v>291</v>
      </c>
      <c r="C117" s="20"/>
      <c r="D117" s="162" t="s">
        <v>292</v>
      </c>
      <c r="E117" s="17" t="s">
        <v>57</v>
      </c>
      <c r="F117" s="77">
        <f>'MEMÓRIA DE CÁLCULO'!J413</f>
        <v>4</v>
      </c>
      <c r="G117" s="74">
        <f>'COMP - 01'!I30</f>
        <v>55.569755241726469</v>
      </c>
      <c r="H117" s="73">
        <f t="shared" si="4"/>
        <v>73.329849016982251</v>
      </c>
      <c r="I117" s="18">
        <f t="shared" si="3"/>
        <v>293.32</v>
      </c>
    </row>
    <row r="118" spans="1:9" ht="25.5" x14ac:dyDescent="0.25">
      <c r="A118" s="17" t="s">
        <v>293</v>
      </c>
      <c r="B118" s="17" t="s">
        <v>294</v>
      </c>
      <c r="C118" s="20"/>
      <c r="D118" s="162" t="s">
        <v>295</v>
      </c>
      <c r="E118" s="17" t="s">
        <v>57</v>
      </c>
      <c r="F118" s="77">
        <f>'MEMÓRIA DE CÁLCULO'!J417</f>
        <v>4</v>
      </c>
      <c r="G118" s="74">
        <f>'COMP - 02'!I30</f>
        <v>11.607814857877262</v>
      </c>
      <c r="H118" s="73">
        <f t="shared" si="4"/>
        <v>15.317672486454835</v>
      </c>
      <c r="I118" s="18">
        <f t="shared" si="3"/>
        <v>61.27</v>
      </c>
    </row>
    <row r="119" spans="1:9" ht="25.5" x14ac:dyDescent="0.25">
      <c r="A119" s="17" t="s">
        <v>296</v>
      </c>
      <c r="B119" s="17">
        <v>151302</v>
      </c>
      <c r="C119" s="17" t="s">
        <v>24</v>
      </c>
      <c r="D119" s="162" t="s">
        <v>297</v>
      </c>
      <c r="E119" s="17" t="s">
        <v>57</v>
      </c>
      <c r="F119" s="77">
        <f>'MEMÓRIA DE CÁLCULO'!J421</f>
        <v>1</v>
      </c>
      <c r="G119" s="74">
        <v>21.2</v>
      </c>
      <c r="H119" s="73">
        <f t="shared" si="4"/>
        <v>27.975520000000003</v>
      </c>
      <c r="I119" s="18">
        <f t="shared" si="3"/>
        <v>27.98</v>
      </c>
    </row>
    <row r="120" spans="1:9" ht="38.25" x14ac:dyDescent="0.25">
      <c r="A120" s="17" t="s">
        <v>298</v>
      </c>
      <c r="B120" s="17">
        <v>151324</v>
      </c>
      <c r="C120" s="17" t="s">
        <v>24</v>
      </c>
      <c r="D120" s="162" t="s">
        <v>299</v>
      </c>
      <c r="E120" s="17" t="s">
        <v>67</v>
      </c>
      <c r="F120" s="77">
        <f>'MEMÓRIA DE CÁLCULO'!J425</f>
        <v>1</v>
      </c>
      <c r="G120" s="74">
        <v>90.57</v>
      </c>
      <c r="H120" s="73">
        <f t="shared" si="4"/>
        <v>119.516172</v>
      </c>
      <c r="I120" s="18">
        <f t="shared" si="3"/>
        <v>119.52</v>
      </c>
    </row>
    <row r="121" spans="1:9" x14ac:dyDescent="0.25">
      <c r="A121" s="17" t="s">
        <v>300</v>
      </c>
      <c r="B121" s="17">
        <v>151350</v>
      </c>
      <c r="C121" s="17" t="s">
        <v>24</v>
      </c>
      <c r="D121" s="162" t="s">
        <v>301</v>
      </c>
      <c r="E121" s="17" t="s">
        <v>264</v>
      </c>
      <c r="F121" s="77">
        <f>'MEMÓRIA DE CÁLCULO'!J430</f>
        <v>2</v>
      </c>
      <c r="G121" s="74">
        <v>131.13999999999999</v>
      </c>
      <c r="H121" s="73">
        <f>G121*1.3196</f>
        <v>173.05234400000001</v>
      </c>
      <c r="I121" s="18">
        <f t="shared" si="3"/>
        <v>346.1</v>
      </c>
    </row>
    <row r="122" spans="1:9" x14ac:dyDescent="0.25">
      <c r="A122" s="20" t="s">
        <v>302</v>
      </c>
      <c r="B122" s="20">
        <v>1514</v>
      </c>
      <c r="C122" s="20" t="s">
        <v>24</v>
      </c>
      <c r="D122" s="25" t="s">
        <v>303</v>
      </c>
      <c r="E122" s="17"/>
      <c r="F122" s="17"/>
      <c r="G122" s="74"/>
      <c r="H122" s="73"/>
      <c r="I122" s="18">
        <f t="shared" si="3"/>
        <v>0</v>
      </c>
    </row>
    <row r="123" spans="1:9" ht="25.5" x14ac:dyDescent="0.25">
      <c r="A123" s="17" t="s">
        <v>304</v>
      </c>
      <c r="B123" s="17">
        <v>151401</v>
      </c>
      <c r="C123" s="17" t="s">
        <v>24</v>
      </c>
      <c r="D123" s="162" t="s">
        <v>305</v>
      </c>
      <c r="E123" s="17" t="s">
        <v>275</v>
      </c>
      <c r="F123" s="77">
        <f>'MEMÓRIA DE CÁLCULO'!J439</f>
        <v>347</v>
      </c>
      <c r="G123" s="74">
        <v>5.34</v>
      </c>
      <c r="H123" s="73">
        <f t="shared" si="4"/>
        <v>7.0466640000000007</v>
      </c>
      <c r="I123" s="18">
        <f t="shared" si="3"/>
        <v>2445.19</v>
      </c>
    </row>
    <row r="124" spans="1:9" ht="25.5" x14ac:dyDescent="0.25">
      <c r="A124" s="17" t="s">
        <v>306</v>
      </c>
      <c r="B124" s="17">
        <v>151402</v>
      </c>
      <c r="C124" s="17" t="s">
        <v>24</v>
      </c>
      <c r="D124" s="162" t="s">
        <v>307</v>
      </c>
      <c r="E124" s="17" t="s">
        <v>275</v>
      </c>
      <c r="F124" s="77">
        <f>'MEMÓRIA DE CÁLCULO'!J444</f>
        <v>125</v>
      </c>
      <c r="G124" s="74">
        <v>6.65</v>
      </c>
      <c r="H124" s="73">
        <f t="shared" si="4"/>
        <v>8.7753400000000017</v>
      </c>
      <c r="I124" s="18">
        <f t="shared" si="3"/>
        <v>1096.92</v>
      </c>
    </row>
    <row r="125" spans="1:9" ht="25.5" x14ac:dyDescent="0.25">
      <c r="A125" s="17" t="s">
        <v>308</v>
      </c>
      <c r="B125" s="17">
        <v>151403</v>
      </c>
      <c r="C125" s="17" t="s">
        <v>24</v>
      </c>
      <c r="D125" s="162" t="s">
        <v>309</v>
      </c>
      <c r="E125" s="17" t="s">
        <v>275</v>
      </c>
      <c r="F125" s="77">
        <f>'MEMÓRIA DE CÁLCULO'!J448</f>
        <v>151</v>
      </c>
      <c r="G125" s="74">
        <v>9.17</v>
      </c>
      <c r="H125" s="73">
        <f t="shared" si="4"/>
        <v>12.100732000000001</v>
      </c>
      <c r="I125" s="18">
        <f t="shared" si="3"/>
        <v>1827.21</v>
      </c>
    </row>
    <row r="126" spans="1:9" ht="25.5" x14ac:dyDescent="0.25">
      <c r="A126" s="17" t="s">
        <v>310</v>
      </c>
      <c r="B126" s="17">
        <v>151405</v>
      </c>
      <c r="C126" s="17" t="s">
        <v>24</v>
      </c>
      <c r="D126" s="162" t="s">
        <v>311</v>
      </c>
      <c r="E126" s="17" t="s">
        <v>275</v>
      </c>
      <c r="F126" s="77">
        <f>'MEMÓRIA DE CÁLCULO'!J454</f>
        <v>10</v>
      </c>
      <c r="G126" s="74">
        <v>16.7</v>
      </c>
      <c r="H126" s="73">
        <f t="shared" si="4"/>
        <v>22.037320000000001</v>
      </c>
      <c r="I126" s="18">
        <f t="shared" si="3"/>
        <v>220.37</v>
      </c>
    </row>
    <row r="127" spans="1:9" ht="25.5" x14ac:dyDescent="0.25">
      <c r="A127" s="17" t="s">
        <v>312</v>
      </c>
      <c r="B127" s="17">
        <v>151406</v>
      </c>
      <c r="C127" s="17" t="s">
        <v>24</v>
      </c>
      <c r="D127" s="162" t="s">
        <v>313</v>
      </c>
      <c r="E127" s="17" t="s">
        <v>275</v>
      </c>
      <c r="F127" s="77">
        <f>'MEMÓRIA DE CÁLCULO'!J458</f>
        <v>30</v>
      </c>
      <c r="G127" s="74">
        <v>25.61</v>
      </c>
      <c r="H127" s="73">
        <f t="shared" si="4"/>
        <v>33.794955999999999</v>
      </c>
      <c r="I127" s="18">
        <f t="shared" si="3"/>
        <v>1013.85</v>
      </c>
    </row>
    <row r="128" spans="1:9" s="31" customFormat="1" x14ac:dyDescent="0.25">
      <c r="A128" s="20" t="s">
        <v>314</v>
      </c>
      <c r="B128" s="20">
        <v>1517</v>
      </c>
      <c r="C128" s="20" t="s">
        <v>24</v>
      </c>
      <c r="D128" s="25" t="s">
        <v>315</v>
      </c>
      <c r="E128" s="20"/>
      <c r="F128" s="20"/>
      <c r="G128" s="75"/>
      <c r="H128" s="73"/>
      <c r="I128" s="18">
        <f t="shared" si="3"/>
        <v>0</v>
      </c>
    </row>
    <row r="129" spans="1:9" ht="38.25" x14ac:dyDescent="0.25">
      <c r="A129" s="17" t="s">
        <v>316</v>
      </c>
      <c r="B129" s="17">
        <v>151701</v>
      </c>
      <c r="C129" s="17" t="s">
        <v>24</v>
      </c>
      <c r="D129" s="15" t="s">
        <v>317</v>
      </c>
      <c r="E129" s="17" t="s">
        <v>57</v>
      </c>
      <c r="F129" s="77">
        <f>'MEMÓRIA DE CÁLCULO'!J463</f>
        <v>1</v>
      </c>
      <c r="G129" s="74">
        <v>2175.67</v>
      </c>
      <c r="H129" s="73">
        <f t="shared" si="4"/>
        <v>2871.0141320000002</v>
      </c>
      <c r="I129" s="18">
        <f t="shared" si="3"/>
        <v>2871.01</v>
      </c>
    </row>
    <row r="130" spans="1:9" s="31" customFormat="1" x14ac:dyDescent="0.25">
      <c r="A130" s="20" t="s">
        <v>318</v>
      </c>
      <c r="B130" s="20">
        <v>1518</v>
      </c>
      <c r="C130" s="20" t="s">
        <v>24</v>
      </c>
      <c r="D130" s="25" t="s">
        <v>319</v>
      </c>
      <c r="E130" s="20"/>
      <c r="F130" s="20"/>
      <c r="G130" s="75"/>
      <c r="H130" s="73"/>
      <c r="I130" s="18">
        <f t="shared" si="3"/>
        <v>0</v>
      </c>
    </row>
    <row r="131" spans="1:9" ht="38.25" x14ac:dyDescent="0.25">
      <c r="A131" s="17" t="s">
        <v>320</v>
      </c>
      <c r="B131" s="17">
        <v>151801</v>
      </c>
      <c r="C131" s="17" t="s">
        <v>24</v>
      </c>
      <c r="D131" s="15" t="s">
        <v>321</v>
      </c>
      <c r="E131" s="17" t="s">
        <v>57</v>
      </c>
      <c r="F131" s="77">
        <f>'MEMÓRIA DE CÁLCULO'!J463</f>
        <v>1</v>
      </c>
      <c r="G131" s="74">
        <v>199.48</v>
      </c>
      <c r="H131" s="73">
        <f t="shared" si="4"/>
        <v>263.23380800000001</v>
      </c>
      <c r="I131" s="18">
        <f t="shared" si="3"/>
        <v>263.23</v>
      </c>
    </row>
    <row r="132" spans="1:9" ht="51" x14ac:dyDescent="0.25">
      <c r="A132" s="17" t="s">
        <v>322</v>
      </c>
      <c r="B132" s="17">
        <v>151803</v>
      </c>
      <c r="C132" s="17" t="s">
        <v>24</v>
      </c>
      <c r="D132" s="15" t="s">
        <v>323</v>
      </c>
      <c r="E132" s="17" t="s">
        <v>57</v>
      </c>
      <c r="F132" s="77">
        <f>'MEMÓRIA DE CÁLCULO'!J472</f>
        <v>2</v>
      </c>
      <c r="G132" s="74">
        <v>203.28</v>
      </c>
      <c r="H132" s="73">
        <f t="shared" si="4"/>
        <v>268.248288</v>
      </c>
      <c r="I132" s="18">
        <f t="shared" si="3"/>
        <v>536.5</v>
      </c>
    </row>
    <row r="133" spans="1:9" ht="63.75" x14ac:dyDescent="0.25">
      <c r="A133" s="17" t="s">
        <v>324</v>
      </c>
      <c r="B133" s="17">
        <v>151811</v>
      </c>
      <c r="C133" s="17" t="s">
        <v>24</v>
      </c>
      <c r="D133" s="15" t="s">
        <v>325</v>
      </c>
      <c r="E133" s="17" t="s">
        <v>57</v>
      </c>
      <c r="F133" s="77">
        <f>'MEMÓRIA DE CÁLCULO'!J478</f>
        <v>2</v>
      </c>
      <c r="G133" s="74">
        <v>214.16</v>
      </c>
      <c r="H133" s="73">
        <f t="shared" si="4"/>
        <v>282.60553600000003</v>
      </c>
      <c r="I133" s="18">
        <f t="shared" si="3"/>
        <v>565.21</v>
      </c>
    </row>
    <row r="134" spans="1:9" ht="51" x14ac:dyDescent="0.25">
      <c r="A134" s="17" t="s">
        <v>326</v>
      </c>
      <c r="B134" s="17">
        <v>151820</v>
      </c>
      <c r="C134" s="17" t="s">
        <v>24</v>
      </c>
      <c r="D134" s="15" t="s">
        <v>327</v>
      </c>
      <c r="E134" s="17" t="s">
        <v>57</v>
      </c>
      <c r="F134" s="77">
        <f>'MEMÓRIA DE CÁLCULO'!J482</f>
        <v>1</v>
      </c>
      <c r="G134" s="74">
        <v>171.18</v>
      </c>
      <c r="H134" s="73">
        <f t="shared" si="4"/>
        <v>225.88912800000003</v>
      </c>
      <c r="I134" s="18">
        <f t="shared" si="3"/>
        <v>225.89</v>
      </c>
    </row>
    <row r="135" spans="1:9" x14ac:dyDescent="0.25">
      <c r="A135" s="78"/>
      <c r="B135" s="78"/>
      <c r="C135" s="79"/>
      <c r="D135" s="80" t="s">
        <v>328</v>
      </c>
      <c r="E135" s="79"/>
      <c r="F135" s="79"/>
      <c r="G135" s="99"/>
      <c r="H135" s="81"/>
      <c r="I135" s="82">
        <f>SUM(I105:I134)</f>
        <v>15499.800000000003</v>
      </c>
    </row>
    <row r="136" spans="1:9" s="31" customFormat="1" x14ac:dyDescent="0.25">
      <c r="A136" s="20">
        <v>14</v>
      </c>
      <c r="B136" s="20">
        <v>17</v>
      </c>
      <c r="C136" s="20" t="s">
        <v>24</v>
      </c>
      <c r="D136" s="25" t="s">
        <v>329</v>
      </c>
      <c r="E136" s="20"/>
      <c r="F136" s="20"/>
      <c r="G136" s="75"/>
      <c r="H136" s="73"/>
      <c r="I136" s="18">
        <f t="shared" si="3"/>
        <v>0</v>
      </c>
    </row>
    <row r="137" spans="1:9" s="31" customFormat="1" x14ac:dyDescent="0.25">
      <c r="A137" s="20" t="s">
        <v>330</v>
      </c>
      <c r="B137" s="20">
        <v>1701</v>
      </c>
      <c r="C137" s="20" t="s">
        <v>24</v>
      </c>
      <c r="D137" s="25" t="s">
        <v>331</v>
      </c>
      <c r="E137" s="20"/>
      <c r="F137" s="20"/>
      <c r="G137" s="75"/>
      <c r="H137" s="73"/>
      <c r="I137" s="18">
        <f t="shared" si="3"/>
        <v>0</v>
      </c>
    </row>
    <row r="138" spans="1:9" ht="51" x14ac:dyDescent="0.25">
      <c r="A138" s="17" t="s">
        <v>332</v>
      </c>
      <c r="B138" s="17">
        <v>170126</v>
      </c>
      <c r="C138" s="17" t="s">
        <v>24</v>
      </c>
      <c r="D138" s="15" t="s">
        <v>333</v>
      </c>
      <c r="E138" s="17" t="s">
        <v>67</v>
      </c>
      <c r="F138" s="77">
        <f>'MEMÓRIA DE CÁLCULO'!J489</f>
        <v>2</v>
      </c>
      <c r="G138" s="74">
        <v>2126.41</v>
      </c>
      <c r="H138" s="73">
        <f t="shared" ref="H138:H173" si="5">G138*1.3196</f>
        <v>2806.010636</v>
      </c>
      <c r="I138" s="18">
        <f t="shared" si="3"/>
        <v>5612.02</v>
      </c>
    </row>
    <row r="139" spans="1:9" ht="38.25" x14ac:dyDescent="0.25">
      <c r="A139" s="17" t="s">
        <v>334</v>
      </c>
      <c r="B139" s="17">
        <v>170132</v>
      </c>
      <c r="C139" s="17" t="s">
        <v>24</v>
      </c>
      <c r="D139" s="15" t="s">
        <v>335</v>
      </c>
      <c r="E139" s="17" t="s">
        <v>57</v>
      </c>
      <c r="F139" s="77">
        <f>'MEMÓRIA DE CÁLCULO'!J494</f>
        <v>2</v>
      </c>
      <c r="G139" s="74">
        <v>1646.85</v>
      </c>
      <c r="H139" s="73">
        <f t="shared" si="5"/>
        <v>2173.1832600000002</v>
      </c>
      <c r="I139" s="18">
        <f t="shared" ref="I139:I173" si="6">TRUNC(ROUND(F139*H139,2),2)</f>
        <v>4346.37</v>
      </c>
    </row>
    <row r="140" spans="1:9" s="31" customFormat="1" x14ac:dyDescent="0.25">
      <c r="A140" s="20" t="s">
        <v>336</v>
      </c>
      <c r="B140" s="20">
        <v>1703</v>
      </c>
      <c r="C140" s="20" t="s">
        <v>24</v>
      </c>
      <c r="D140" s="25" t="s">
        <v>337</v>
      </c>
      <c r="E140" s="20"/>
      <c r="F140" s="20"/>
      <c r="G140" s="75"/>
      <c r="H140" s="73"/>
      <c r="I140" s="18">
        <f t="shared" si="6"/>
        <v>0</v>
      </c>
    </row>
    <row r="141" spans="1:9" ht="25.5" x14ac:dyDescent="0.25">
      <c r="A141" s="17" t="s">
        <v>338</v>
      </c>
      <c r="B141" s="17">
        <v>170304</v>
      </c>
      <c r="C141" s="17" t="s">
        <v>24</v>
      </c>
      <c r="D141" s="15" t="s">
        <v>339</v>
      </c>
      <c r="E141" s="17" t="s">
        <v>264</v>
      </c>
      <c r="F141" s="77">
        <f>'MEMÓRIA DE CÁLCULO'!J500</f>
        <v>2</v>
      </c>
      <c r="G141" s="74">
        <v>190.89</v>
      </c>
      <c r="H141" s="73">
        <f t="shared" si="5"/>
        <v>251.89844400000001</v>
      </c>
      <c r="I141" s="18">
        <f t="shared" si="6"/>
        <v>503.8</v>
      </c>
    </row>
    <row r="142" spans="1:9" x14ac:dyDescent="0.25">
      <c r="A142" s="78"/>
      <c r="B142" s="78"/>
      <c r="C142" s="79"/>
      <c r="D142" s="249" t="s">
        <v>340</v>
      </c>
      <c r="E142" s="79"/>
      <c r="F142" s="79"/>
      <c r="G142" s="99"/>
      <c r="H142" s="81"/>
      <c r="I142" s="82">
        <f>SUM(I136:I141)</f>
        <v>10462.189999999999</v>
      </c>
    </row>
    <row r="143" spans="1:9" s="31" customFormat="1" x14ac:dyDescent="0.25">
      <c r="A143" s="20">
        <v>15</v>
      </c>
      <c r="B143" s="20">
        <v>18</v>
      </c>
      <c r="C143" s="20" t="s">
        <v>24</v>
      </c>
      <c r="D143" s="25" t="s">
        <v>341</v>
      </c>
      <c r="E143" s="20"/>
      <c r="F143" s="20"/>
      <c r="G143" s="75"/>
      <c r="H143" s="73"/>
      <c r="I143" s="18">
        <f t="shared" si="6"/>
        <v>0</v>
      </c>
    </row>
    <row r="144" spans="1:9" s="31" customFormat="1" x14ac:dyDescent="0.25">
      <c r="A144" s="20" t="s">
        <v>342</v>
      </c>
      <c r="B144" s="20">
        <v>1802</v>
      </c>
      <c r="C144" s="20" t="s">
        <v>24</v>
      </c>
      <c r="D144" s="25" t="s">
        <v>343</v>
      </c>
      <c r="E144" s="20"/>
      <c r="F144" s="20"/>
      <c r="G144" s="75"/>
      <c r="H144" s="73"/>
      <c r="I144" s="18">
        <f t="shared" si="6"/>
        <v>0</v>
      </c>
    </row>
    <row r="145" spans="1:9" ht="25.5" x14ac:dyDescent="0.25">
      <c r="A145" s="17" t="s">
        <v>344</v>
      </c>
      <c r="B145" s="32">
        <v>180201</v>
      </c>
      <c r="C145" s="17" t="s">
        <v>24</v>
      </c>
      <c r="D145" s="15" t="s">
        <v>345</v>
      </c>
      <c r="E145" s="17" t="s">
        <v>57</v>
      </c>
      <c r="F145" s="77">
        <f>'MEMÓRIA DE CÁLCULO'!J509</f>
        <v>11</v>
      </c>
      <c r="G145" s="74">
        <v>38.229999999999997</v>
      </c>
      <c r="H145" s="73">
        <f t="shared" si="5"/>
        <v>50.448307999999997</v>
      </c>
      <c r="I145" s="18">
        <f t="shared" si="6"/>
        <v>554.92999999999995</v>
      </c>
    </row>
    <row r="146" spans="1:9" x14ac:dyDescent="0.25">
      <c r="A146" s="17" t="s">
        <v>346</v>
      </c>
      <c r="B146" s="17">
        <v>180204</v>
      </c>
      <c r="C146" s="17" t="s">
        <v>24</v>
      </c>
      <c r="D146" s="15" t="s">
        <v>347</v>
      </c>
      <c r="E146" s="17" t="s">
        <v>67</v>
      </c>
      <c r="F146" s="77">
        <f>'MEMÓRIA DE CÁLCULO'!J515</f>
        <v>3</v>
      </c>
      <c r="G146" s="74">
        <v>33.869999999999997</v>
      </c>
      <c r="H146" s="73">
        <f t="shared" si="5"/>
        <v>44.694851999999997</v>
      </c>
      <c r="I146" s="18">
        <f t="shared" si="6"/>
        <v>134.08000000000001</v>
      </c>
    </row>
    <row r="147" spans="1:9" ht="38.25" x14ac:dyDescent="0.25">
      <c r="A147" s="17" t="s">
        <v>348</v>
      </c>
      <c r="B147" s="17">
        <v>180207</v>
      </c>
      <c r="C147" s="17" t="s">
        <v>24</v>
      </c>
      <c r="D147" s="15" t="s">
        <v>349</v>
      </c>
      <c r="E147" s="17" t="s">
        <v>57</v>
      </c>
      <c r="F147" s="77">
        <f>'MEMÓRIA DE CÁLCULO'!J520</f>
        <v>2</v>
      </c>
      <c r="G147" s="74">
        <v>62.12</v>
      </c>
      <c r="H147" s="73">
        <f t="shared" ref="H147" si="7">G147*1.3196</f>
        <v>81.973551999999998</v>
      </c>
      <c r="I147" s="18">
        <f t="shared" si="6"/>
        <v>163.95</v>
      </c>
    </row>
    <row r="148" spans="1:9" s="31" customFormat="1" x14ac:dyDescent="0.25">
      <c r="A148" s="20" t="s">
        <v>350</v>
      </c>
      <c r="B148" s="20">
        <v>1810</v>
      </c>
      <c r="C148" s="20" t="s">
        <v>24</v>
      </c>
      <c r="D148" s="25" t="s">
        <v>351</v>
      </c>
      <c r="E148" s="20"/>
      <c r="F148" s="100"/>
      <c r="G148" s="75"/>
      <c r="H148" s="83"/>
      <c r="I148" s="18">
        <f t="shared" si="6"/>
        <v>0</v>
      </c>
    </row>
    <row r="149" spans="1:9" ht="51" x14ac:dyDescent="0.25">
      <c r="A149" s="17" t="s">
        <v>352</v>
      </c>
      <c r="B149" s="17">
        <v>181001</v>
      </c>
      <c r="C149" s="17" t="s">
        <v>24</v>
      </c>
      <c r="D149" s="15" t="s">
        <v>353</v>
      </c>
      <c r="E149" s="17" t="s">
        <v>57</v>
      </c>
      <c r="F149" s="77">
        <f>'MEMÓRIA DE CÁLCULO'!J529</f>
        <v>6</v>
      </c>
      <c r="G149" s="73">
        <v>149.33000000000001</v>
      </c>
      <c r="H149" s="73">
        <f t="shared" si="5"/>
        <v>197.05586800000003</v>
      </c>
      <c r="I149" s="18">
        <f t="shared" si="6"/>
        <v>1182.3399999999999</v>
      </c>
    </row>
    <row r="150" spans="1:9" x14ac:dyDescent="0.25">
      <c r="A150" s="17" t="s">
        <v>354</v>
      </c>
      <c r="B150" s="88" t="s">
        <v>355</v>
      </c>
      <c r="D150" s="15" t="s">
        <v>356</v>
      </c>
      <c r="E150" s="88" t="s">
        <v>57</v>
      </c>
      <c r="F150" s="93">
        <f>'MEMÓRIA DE CÁLCULO'!J532</f>
        <v>15</v>
      </c>
      <c r="G150" s="94">
        <f>'COMP - 03'!I29</f>
        <v>88.356833531291272</v>
      </c>
      <c r="H150" s="73">
        <f t="shared" ref="H150" si="8">G150*1.3196</f>
        <v>116.59567752789198</v>
      </c>
      <c r="I150" s="18">
        <f t="shared" si="6"/>
        <v>1748.94</v>
      </c>
    </row>
    <row r="151" spans="1:9" x14ac:dyDescent="0.25">
      <c r="A151" s="17"/>
      <c r="B151" s="219"/>
      <c r="C151" s="146"/>
      <c r="D151" s="146"/>
      <c r="E151" s="146"/>
      <c r="F151" s="146"/>
      <c r="G151" s="218"/>
      <c r="H151" s="220"/>
      <c r="I151" s="18">
        <f t="shared" si="6"/>
        <v>0</v>
      </c>
    </row>
    <row r="152" spans="1:9" x14ac:dyDescent="0.25">
      <c r="A152" s="78"/>
      <c r="B152" s="78"/>
      <c r="C152" s="221"/>
      <c r="D152" s="250" t="s">
        <v>357</v>
      </c>
      <c r="E152" s="221"/>
      <c r="F152" s="221"/>
      <c r="G152" s="222"/>
      <c r="H152" s="81"/>
      <c r="I152" s="82">
        <f>SUM(I143:I151)</f>
        <v>3784.24</v>
      </c>
    </row>
    <row r="153" spans="1:9" s="31" customFormat="1" x14ac:dyDescent="0.25">
      <c r="A153" s="20">
        <v>16</v>
      </c>
      <c r="B153" s="20">
        <v>19</v>
      </c>
      <c r="C153" s="20" t="s">
        <v>24</v>
      </c>
      <c r="D153" s="25" t="s">
        <v>358</v>
      </c>
      <c r="E153" s="20"/>
      <c r="F153" s="20"/>
      <c r="G153" s="75"/>
      <c r="H153" s="73"/>
      <c r="I153" s="18">
        <f t="shared" si="6"/>
        <v>0</v>
      </c>
    </row>
    <row r="154" spans="1:9" s="31" customFormat="1" x14ac:dyDescent="0.25">
      <c r="A154" s="20" t="s">
        <v>359</v>
      </c>
      <c r="B154" s="20">
        <v>1901</v>
      </c>
      <c r="C154" s="20" t="s">
        <v>24</v>
      </c>
      <c r="D154" s="25" t="s">
        <v>360</v>
      </c>
      <c r="E154" s="20"/>
      <c r="F154" s="20"/>
      <c r="G154" s="75"/>
      <c r="H154" s="73"/>
      <c r="I154" s="18">
        <f t="shared" si="6"/>
        <v>0</v>
      </c>
    </row>
    <row r="155" spans="1:9" ht="38.25" x14ac:dyDescent="0.25">
      <c r="A155" s="17" t="s">
        <v>361</v>
      </c>
      <c r="B155" s="17">
        <v>190117</v>
      </c>
      <c r="C155" s="17" t="s">
        <v>24</v>
      </c>
      <c r="D155" s="15" t="s">
        <v>362</v>
      </c>
      <c r="E155" s="32" t="s">
        <v>29</v>
      </c>
      <c r="F155" s="77">
        <f>'MEMÓRIA DE CÁLCULO'!J561</f>
        <v>601.16089999999986</v>
      </c>
      <c r="G155" s="74">
        <v>17.13</v>
      </c>
      <c r="H155" s="73">
        <f t="shared" si="5"/>
        <v>22.604748000000001</v>
      </c>
      <c r="I155" s="18">
        <f t="shared" si="6"/>
        <v>13589.09</v>
      </c>
    </row>
    <row r="156" spans="1:9" s="31" customFormat="1" x14ac:dyDescent="0.25">
      <c r="A156" s="20" t="s">
        <v>363</v>
      </c>
      <c r="B156" s="20">
        <v>1903</v>
      </c>
      <c r="C156" s="20" t="s">
        <v>24</v>
      </c>
      <c r="D156" s="25" t="s">
        <v>364</v>
      </c>
      <c r="E156" s="20"/>
      <c r="F156" s="20"/>
      <c r="G156" s="75"/>
      <c r="H156" s="73">
        <f t="shared" si="5"/>
        <v>0</v>
      </c>
      <c r="I156" s="18">
        <f t="shared" si="6"/>
        <v>0</v>
      </c>
    </row>
    <row r="157" spans="1:9" ht="25.5" x14ac:dyDescent="0.25">
      <c r="A157" s="17" t="s">
        <v>365</v>
      </c>
      <c r="B157" s="17">
        <v>190303</v>
      </c>
      <c r="C157" s="17" t="s">
        <v>24</v>
      </c>
      <c r="D157" s="15" t="s">
        <v>366</v>
      </c>
      <c r="E157" s="17" t="s">
        <v>43</v>
      </c>
      <c r="F157" s="77">
        <f>'MEMÓRIA DE CÁLCULO'!J567</f>
        <v>4.41</v>
      </c>
      <c r="G157" s="74">
        <v>29.6</v>
      </c>
      <c r="H157" s="73">
        <f t="shared" si="5"/>
        <v>39.060160000000003</v>
      </c>
      <c r="I157" s="18">
        <f t="shared" si="6"/>
        <v>172.26</v>
      </c>
    </row>
    <row r="158" spans="1:9" s="31" customFormat="1" x14ac:dyDescent="0.25">
      <c r="A158" s="20" t="s">
        <v>367</v>
      </c>
      <c r="B158" s="20">
        <v>1904</v>
      </c>
      <c r="C158" s="20" t="s">
        <v>24</v>
      </c>
      <c r="D158" s="25" t="s">
        <v>368</v>
      </c>
      <c r="E158" s="20"/>
      <c r="F158" s="20"/>
      <c r="G158" s="75"/>
      <c r="H158" s="73">
        <f t="shared" si="5"/>
        <v>0</v>
      </c>
      <c r="I158" s="18">
        <f t="shared" si="6"/>
        <v>0</v>
      </c>
    </row>
    <row r="159" spans="1:9" ht="38.25" x14ac:dyDescent="0.25">
      <c r="A159" s="17" t="s">
        <v>369</v>
      </c>
      <c r="B159" s="17">
        <v>190417</v>
      </c>
      <c r="C159" s="17" t="s">
        <v>24</v>
      </c>
      <c r="D159" s="15" t="s">
        <v>370</v>
      </c>
      <c r="E159" s="17" t="s">
        <v>43</v>
      </c>
      <c r="F159" s="77">
        <f>'MEMÓRIA DE CÁLCULO'!J586</f>
        <v>1458.3999999999999</v>
      </c>
      <c r="G159" s="74">
        <v>20.010000000000002</v>
      </c>
      <c r="H159" s="73">
        <f t="shared" si="5"/>
        <v>26.405196000000004</v>
      </c>
      <c r="I159" s="18">
        <f t="shared" si="6"/>
        <v>38509.339999999997</v>
      </c>
    </row>
    <row r="160" spans="1:9" s="31" customFormat="1" x14ac:dyDescent="0.25">
      <c r="A160" s="20" t="s">
        <v>371</v>
      </c>
      <c r="B160" s="20">
        <v>1906</v>
      </c>
      <c r="C160" s="20" t="s">
        <v>24</v>
      </c>
      <c r="D160" s="25" t="s">
        <v>372</v>
      </c>
      <c r="E160" s="20"/>
      <c r="F160" s="20"/>
      <c r="G160" s="75"/>
      <c r="H160" s="73">
        <f t="shared" si="5"/>
        <v>0</v>
      </c>
      <c r="I160" s="18">
        <f t="shared" si="6"/>
        <v>0</v>
      </c>
    </row>
    <row r="161" spans="1:9" ht="38.25" x14ac:dyDescent="0.25">
      <c r="A161" s="17" t="s">
        <v>373</v>
      </c>
      <c r="B161" s="17">
        <v>190601</v>
      </c>
      <c r="C161" s="17" t="s">
        <v>24</v>
      </c>
      <c r="D161" s="15" t="s">
        <v>374</v>
      </c>
      <c r="E161" s="17" t="s">
        <v>99</v>
      </c>
      <c r="F161" s="77">
        <f>'MEMÓRIA DE CÁLCULO'!J591</f>
        <v>207.01</v>
      </c>
      <c r="G161" s="74">
        <v>30.04</v>
      </c>
      <c r="H161" s="73">
        <f t="shared" si="5"/>
        <v>39.640784000000004</v>
      </c>
      <c r="I161" s="18">
        <f t="shared" si="6"/>
        <v>8206.0400000000009</v>
      </c>
    </row>
    <row r="162" spans="1:9" ht="38.25" x14ac:dyDescent="0.25">
      <c r="A162" s="17" t="s">
        <v>375</v>
      </c>
      <c r="B162" s="17">
        <v>190605</v>
      </c>
      <c r="C162" s="17" t="s">
        <v>24</v>
      </c>
      <c r="D162" s="15" t="s">
        <v>376</v>
      </c>
      <c r="E162" s="17" t="s">
        <v>43</v>
      </c>
      <c r="F162" s="77">
        <f>'MEMÓRIA DE CÁLCULO'!J595</f>
        <v>512.57000000000005</v>
      </c>
      <c r="G162" s="74">
        <v>49.16</v>
      </c>
      <c r="H162" s="73">
        <f t="shared" si="5"/>
        <v>64.871536000000006</v>
      </c>
      <c r="I162" s="18">
        <f t="shared" si="6"/>
        <v>33251.199999999997</v>
      </c>
    </row>
    <row r="163" spans="1:9" x14ac:dyDescent="0.25">
      <c r="A163" s="78"/>
      <c r="B163" s="78"/>
      <c r="C163" s="79"/>
      <c r="D163" s="80" t="s">
        <v>377</v>
      </c>
      <c r="E163" s="79"/>
      <c r="F163" s="79"/>
      <c r="G163" s="99"/>
      <c r="H163" s="81"/>
      <c r="I163" s="82">
        <f>SUM(I153:I162)</f>
        <v>93727.93</v>
      </c>
    </row>
    <row r="164" spans="1:9" s="31" customFormat="1" x14ac:dyDescent="0.25">
      <c r="A164" s="20">
        <v>17</v>
      </c>
      <c r="B164" s="20">
        <v>20</v>
      </c>
      <c r="C164" s="20" t="s">
        <v>24</v>
      </c>
      <c r="D164" s="25" t="s">
        <v>378</v>
      </c>
      <c r="E164" s="20"/>
      <c r="F164" s="20"/>
      <c r="G164" s="75"/>
      <c r="H164" s="73">
        <f t="shared" si="5"/>
        <v>0</v>
      </c>
      <c r="I164" s="18">
        <f t="shared" si="6"/>
        <v>0</v>
      </c>
    </row>
    <row r="165" spans="1:9" s="31" customFormat="1" x14ac:dyDescent="0.25">
      <c r="A165" s="20" t="s">
        <v>379</v>
      </c>
      <c r="B165" s="20">
        <v>2004</v>
      </c>
      <c r="C165" s="20" t="s">
        <v>24</v>
      </c>
      <c r="D165" s="25" t="s">
        <v>380</v>
      </c>
      <c r="E165" s="20"/>
      <c r="F165" s="20"/>
      <c r="G165" s="75"/>
      <c r="H165" s="73">
        <f t="shared" si="5"/>
        <v>0</v>
      </c>
      <c r="I165" s="18">
        <f t="shared" si="6"/>
        <v>0</v>
      </c>
    </row>
    <row r="166" spans="1:9" x14ac:dyDescent="0.25">
      <c r="A166" s="17" t="s">
        <v>381</v>
      </c>
      <c r="B166" s="17">
        <v>200402</v>
      </c>
      <c r="C166" s="17" t="s">
        <v>24</v>
      </c>
      <c r="D166" s="15" t="s">
        <v>382</v>
      </c>
      <c r="E166" s="17" t="s">
        <v>43</v>
      </c>
      <c r="F166" s="77">
        <f>'MEMÓRIA DE CÁLCULO'!J601</f>
        <v>586.87</v>
      </c>
      <c r="G166" s="74">
        <v>0.98</v>
      </c>
      <c r="H166" s="73">
        <f t="shared" si="5"/>
        <v>1.2932080000000001</v>
      </c>
      <c r="I166" s="18">
        <f t="shared" si="6"/>
        <v>758.94</v>
      </c>
    </row>
    <row r="167" spans="1:9" s="31" customFormat="1" x14ac:dyDescent="0.25">
      <c r="A167" s="20" t="s">
        <v>383</v>
      </c>
      <c r="B167" s="20">
        <v>2007</v>
      </c>
      <c r="C167" s="20" t="s">
        <v>24</v>
      </c>
      <c r="D167" s="25" t="s">
        <v>384</v>
      </c>
      <c r="E167" s="20"/>
      <c r="F167" s="20"/>
      <c r="G167" s="75"/>
      <c r="H167" s="73">
        <f t="shared" si="5"/>
        <v>0</v>
      </c>
      <c r="I167" s="18">
        <f t="shared" si="6"/>
        <v>0</v>
      </c>
    </row>
    <row r="168" spans="1:9" ht="38.25" x14ac:dyDescent="0.25">
      <c r="A168" s="17" t="s">
        <v>385</v>
      </c>
      <c r="B168" s="17">
        <v>200708</v>
      </c>
      <c r="C168" s="17" t="s">
        <v>24</v>
      </c>
      <c r="D168" s="15" t="s">
        <v>386</v>
      </c>
      <c r="E168" s="17" t="s">
        <v>57</v>
      </c>
      <c r="F168" s="77">
        <f>'MEMÓRIA DE CÁLCULO'!J606</f>
        <v>1</v>
      </c>
      <c r="G168" s="74">
        <v>1768.42</v>
      </c>
      <c r="H168" s="73">
        <f t="shared" si="5"/>
        <v>2333.6070320000003</v>
      </c>
      <c r="I168" s="18">
        <f t="shared" si="6"/>
        <v>2333.61</v>
      </c>
    </row>
    <row r="169" spans="1:9" ht="51" x14ac:dyDescent="0.25">
      <c r="A169" s="17" t="s">
        <v>387</v>
      </c>
      <c r="B169" s="17">
        <v>200720</v>
      </c>
      <c r="C169" s="17" t="s">
        <v>24</v>
      </c>
      <c r="D169" s="15" t="s">
        <v>388</v>
      </c>
      <c r="E169" s="17" t="s">
        <v>43</v>
      </c>
      <c r="F169" s="77">
        <f>'MEMÓRIA DE CÁLCULO'!J610</f>
        <v>118.84</v>
      </c>
      <c r="G169" s="74">
        <v>70.040000000000006</v>
      </c>
      <c r="H169" s="73">
        <f t="shared" si="5"/>
        <v>92.424784000000017</v>
      </c>
      <c r="I169" s="18">
        <f t="shared" si="6"/>
        <v>10983.76</v>
      </c>
    </row>
    <row r="170" spans="1:9" x14ac:dyDescent="0.25">
      <c r="A170" s="78"/>
      <c r="B170" s="78"/>
      <c r="C170" s="79"/>
      <c r="D170" s="80" t="s">
        <v>389</v>
      </c>
      <c r="E170" s="79"/>
      <c r="F170" s="79"/>
      <c r="G170" s="99"/>
      <c r="H170" s="81"/>
      <c r="I170" s="82">
        <f>SUM(I164:I169)</f>
        <v>14076.310000000001</v>
      </c>
    </row>
    <row r="171" spans="1:9" s="31" customFormat="1" x14ac:dyDescent="0.25">
      <c r="A171" s="20">
        <v>18</v>
      </c>
      <c r="B171" s="20">
        <v>21</v>
      </c>
      <c r="C171" s="20" t="s">
        <v>24</v>
      </c>
      <c r="D171" s="25" t="s">
        <v>390</v>
      </c>
      <c r="E171" s="20"/>
      <c r="F171" s="20"/>
      <c r="G171" s="75"/>
      <c r="H171" s="73">
        <f t="shared" si="5"/>
        <v>0</v>
      </c>
      <c r="I171" s="18">
        <f t="shared" si="6"/>
        <v>0</v>
      </c>
    </row>
    <row r="172" spans="1:9" s="31" customFormat="1" x14ac:dyDescent="0.25">
      <c r="A172" s="20" t="s">
        <v>391</v>
      </c>
      <c r="B172" s="20">
        <v>2103</v>
      </c>
      <c r="C172" s="20" t="s">
        <v>24</v>
      </c>
      <c r="D172" s="25" t="s">
        <v>392</v>
      </c>
      <c r="E172" s="20"/>
      <c r="F172" s="20"/>
      <c r="G172" s="75"/>
      <c r="H172" s="73">
        <f t="shared" si="5"/>
        <v>0</v>
      </c>
      <c r="I172" s="18">
        <f t="shared" si="6"/>
        <v>0</v>
      </c>
    </row>
    <row r="173" spans="1:9" ht="25.5" x14ac:dyDescent="0.25">
      <c r="A173" s="88" t="s">
        <v>393</v>
      </c>
      <c r="B173" s="88">
        <v>210302</v>
      </c>
      <c r="C173" s="88" t="s">
        <v>24</v>
      </c>
      <c r="D173" s="89" t="s">
        <v>394</v>
      </c>
      <c r="E173" s="88" t="s">
        <v>99</v>
      </c>
      <c r="F173" s="93">
        <f>'MEMÓRIA DE CÁLCULO'!J618</f>
        <v>10.29</v>
      </c>
      <c r="G173" s="90">
        <v>326.61</v>
      </c>
      <c r="H173" s="94">
        <f t="shared" si="5"/>
        <v>430.99455600000005</v>
      </c>
      <c r="I173" s="18">
        <f t="shared" si="6"/>
        <v>4434.93</v>
      </c>
    </row>
    <row r="174" spans="1:9" ht="25.5" x14ac:dyDescent="0.25">
      <c r="A174" s="88" t="s">
        <v>782</v>
      </c>
      <c r="B174" s="88" t="s">
        <v>785</v>
      </c>
      <c r="C174" s="88"/>
      <c r="D174" s="89" t="s">
        <v>792</v>
      </c>
      <c r="E174" s="88" t="s">
        <v>67</v>
      </c>
      <c r="F174" s="93">
        <f>'MEMÓRIA DE CÁLCULO'!J623</f>
        <v>2</v>
      </c>
      <c r="G174" s="90">
        <f>'COMP-04'!I30</f>
        <v>558.06268260447689</v>
      </c>
      <c r="H174" s="94">
        <f t="shared" ref="H174:H177" si="9">G174*1.3196</f>
        <v>736.41951596486774</v>
      </c>
      <c r="I174" s="18">
        <f t="shared" ref="I174:I177" si="10">TRUNC(ROUND(F174*H174,2),2)</f>
        <v>1472.84</v>
      </c>
    </row>
    <row r="175" spans="1:9" ht="25.5" x14ac:dyDescent="0.25">
      <c r="A175" s="88" t="s">
        <v>783</v>
      </c>
      <c r="B175" s="88" t="s">
        <v>786</v>
      </c>
      <c r="C175" s="88"/>
      <c r="D175" s="89" t="s">
        <v>788</v>
      </c>
      <c r="E175" s="88" t="s">
        <v>67</v>
      </c>
      <c r="F175" s="93">
        <f>'MEMÓRIA DE CÁLCULO'!J628</f>
        <v>2</v>
      </c>
      <c r="G175" s="90">
        <f>'COMP-05'!I31</f>
        <v>76.256251189782589</v>
      </c>
      <c r="H175" s="94">
        <f t="shared" si="9"/>
        <v>100.62774907003711</v>
      </c>
      <c r="I175" s="18">
        <f t="shared" si="10"/>
        <v>201.26</v>
      </c>
    </row>
    <row r="176" spans="1:9" ht="25.5" x14ac:dyDescent="0.25">
      <c r="A176" s="88" t="s">
        <v>784</v>
      </c>
      <c r="B176" s="88" t="s">
        <v>787</v>
      </c>
      <c r="C176" s="88"/>
      <c r="D176" s="89" t="s">
        <v>789</v>
      </c>
      <c r="E176" s="88" t="s">
        <v>67</v>
      </c>
      <c r="F176" s="93">
        <f>'MEMÓRIA DE CÁLCULO'!J633</f>
        <v>2</v>
      </c>
      <c r="G176" s="90">
        <f>'COMP-06'!I31</f>
        <v>61.222917856449257</v>
      </c>
      <c r="H176" s="94">
        <f t="shared" si="9"/>
        <v>80.789762403370446</v>
      </c>
      <c r="I176" s="18">
        <f t="shared" si="10"/>
        <v>161.58000000000001</v>
      </c>
    </row>
    <row r="177" spans="1:11" ht="25.5" x14ac:dyDescent="0.25">
      <c r="A177" s="88" t="s">
        <v>793</v>
      </c>
      <c r="B177" s="88" t="s">
        <v>790</v>
      </c>
      <c r="C177" s="88"/>
      <c r="D177" s="89" t="s">
        <v>791</v>
      </c>
      <c r="E177" s="88" t="s">
        <v>67</v>
      </c>
      <c r="F177" s="93">
        <f>'MEMÓRIA DE CÁLCULO'!J638</f>
        <v>2</v>
      </c>
      <c r="G177" s="90">
        <f>'COMP-07'!I31</f>
        <v>35.67625118978259</v>
      </c>
      <c r="H177" s="94">
        <f t="shared" si="9"/>
        <v>47.078381070037111</v>
      </c>
      <c r="I177" s="18">
        <f t="shared" si="10"/>
        <v>94.16</v>
      </c>
    </row>
    <row r="178" spans="1:11" x14ac:dyDescent="0.25">
      <c r="A178" s="78"/>
      <c r="B178" s="78"/>
      <c r="C178" s="79"/>
      <c r="D178" s="80" t="s">
        <v>395</v>
      </c>
      <c r="E178" s="79"/>
      <c r="F178" s="79"/>
      <c r="G178" s="99"/>
      <c r="H178" s="81"/>
      <c r="I178" s="82">
        <f>SUM(I171:I177)</f>
        <v>6364.77</v>
      </c>
      <c r="K178" s="231"/>
    </row>
    <row r="179" spans="1:11" x14ac:dyDescent="0.25">
      <c r="A179" s="91"/>
      <c r="B179" s="91"/>
      <c r="C179" s="91"/>
      <c r="D179" s="95" t="s">
        <v>19</v>
      </c>
      <c r="E179" s="91"/>
      <c r="F179" s="91"/>
      <c r="G179" s="92"/>
      <c r="H179" s="92"/>
      <c r="I179" s="96">
        <f>SUM(I10:I178)/2</f>
        <v>256563.12000000002</v>
      </c>
    </row>
    <row r="180" spans="1:11" x14ac:dyDescent="0.25">
      <c r="A180" s="84"/>
      <c r="B180" s="84"/>
      <c r="C180" s="84"/>
      <c r="D180" s="85"/>
      <c r="E180" s="84"/>
      <c r="F180" s="84"/>
      <c r="G180" s="86"/>
      <c r="H180" s="86"/>
      <c r="I180" s="84"/>
    </row>
    <row r="181" spans="1:11" x14ac:dyDescent="0.25">
      <c r="A181" s="84"/>
      <c r="B181" s="84"/>
      <c r="C181" s="84"/>
      <c r="D181" s="85"/>
      <c r="E181" s="84"/>
      <c r="F181" s="84"/>
      <c r="G181" s="86"/>
      <c r="H181" s="86"/>
      <c r="I181" s="84"/>
    </row>
    <row r="182" spans="1:11" x14ac:dyDescent="0.25">
      <c r="A182" s="84"/>
      <c r="B182" s="84"/>
      <c r="C182" s="84"/>
      <c r="D182" s="85"/>
      <c r="E182" s="84"/>
      <c r="F182" s="84"/>
      <c r="G182" s="86"/>
      <c r="H182" s="86"/>
      <c r="I182" s="84"/>
    </row>
    <row r="183" spans="1:11" x14ac:dyDescent="0.25">
      <c r="A183" s="84"/>
      <c r="B183" s="84"/>
      <c r="C183" s="84"/>
      <c r="D183" s="87"/>
      <c r="E183" s="84"/>
      <c r="F183" s="84"/>
      <c r="G183" s="86"/>
      <c r="H183" s="86"/>
      <c r="I183" s="84"/>
    </row>
    <row r="184" spans="1:11" x14ac:dyDescent="0.25">
      <c r="A184" s="84"/>
      <c r="B184" s="84"/>
      <c r="C184" s="84"/>
      <c r="D184" s="85"/>
      <c r="E184" s="84"/>
      <c r="F184" s="84"/>
      <c r="G184" s="86"/>
      <c r="H184" s="86"/>
      <c r="I184" s="84"/>
    </row>
    <row r="185" spans="1:11" x14ac:dyDescent="0.25">
      <c r="A185" s="84"/>
      <c r="B185" s="84"/>
      <c r="C185" s="84"/>
      <c r="D185" s="85"/>
      <c r="E185" s="84"/>
      <c r="F185" s="84"/>
      <c r="G185" s="86"/>
      <c r="H185" s="86"/>
      <c r="I185" s="84"/>
    </row>
    <row r="186" spans="1:11" x14ac:dyDescent="0.25">
      <c r="A186" s="84"/>
      <c r="B186" s="84"/>
      <c r="C186" s="84"/>
      <c r="D186" s="85"/>
      <c r="E186" s="84"/>
      <c r="F186" s="84"/>
      <c r="G186" s="86"/>
      <c r="H186" s="86"/>
      <c r="I186" s="84"/>
    </row>
    <row r="187" spans="1:11" x14ac:dyDescent="0.25">
      <c r="A187" s="84"/>
      <c r="B187" s="84"/>
      <c r="C187" s="84"/>
      <c r="D187" s="85"/>
      <c r="E187" s="84"/>
      <c r="F187" s="84"/>
      <c r="G187" s="86"/>
      <c r="H187" s="86"/>
      <c r="I187" s="84"/>
    </row>
    <row r="188" spans="1:11" x14ac:dyDescent="0.25">
      <c r="A188" s="84"/>
      <c r="B188" s="84"/>
      <c r="C188" s="84"/>
      <c r="D188" s="85"/>
      <c r="E188" s="84"/>
      <c r="F188" s="84"/>
      <c r="G188" s="86"/>
      <c r="H188" s="86"/>
      <c r="I188" s="84"/>
    </row>
    <row r="189" spans="1:11" x14ac:dyDescent="0.25">
      <c r="A189" s="84"/>
      <c r="B189" s="84"/>
      <c r="C189" s="84"/>
      <c r="D189" s="85"/>
      <c r="E189" s="84"/>
      <c r="F189" s="84"/>
      <c r="G189" s="86"/>
      <c r="H189" s="86"/>
      <c r="I189" s="84"/>
    </row>
    <row r="190" spans="1:11" x14ac:dyDescent="0.25">
      <c r="A190" s="84"/>
      <c r="B190" s="84"/>
      <c r="C190" s="84"/>
      <c r="D190" s="85"/>
      <c r="E190" s="84"/>
      <c r="F190" s="84"/>
      <c r="G190" s="86"/>
      <c r="H190" s="86"/>
      <c r="I190" s="84"/>
    </row>
    <row r="191" spans="1:11" x14ac:dyDescent="0.25">
      <c r="A191" s="84"/>
      <c r="B191" s="84"/>
      <c r="C191" s="84"/>
      <c r="D191" s="85"/>
      <c r="E191" s="84"/>
      <c r="F191" s="84"/>
      <c r="G191" s="86"/>
      <c r="H191" s="86"/>
      <c r="I191" s="84"/>
    </row>
    <row r="192" spans="1:11" x14ac:dyDescent="0.25">
      <c r="A192" s="84"/>
      <c r="B192" s="84"/>
      <c r="C192" s="84"/>
      <c r="D192" s="85"/>
      <c r="E192" s="84"/>
      <c r="F192" s="84"/>
      <c r="G192" s="86"/>
      <c r="H192" s="86"/>
      <c r="I192" s="84"/>
    </row>
    <row r="193" spans="1:9" x14ac:dyDescent="0.25">
      <c r="A193" s="84"/>
      <c r="B193" s="84"/>
      <c r="C193" s="84"/>
      <c r="D193" s="85"/>
      <c r="E193" s="84"/>
      <c r="F193" s="84"/>
      <c r="G193" s="86"/>
      <c r="H193" s="86"/>
      <c r="I193" s="84"/>
    </row>
    <row r="194" spans="1:9" x14ac:dyDescent="0.25">
      <c r="A194" s="84"/>
      <c r="B194" s="84"/>
      <c r="C194" s="84"/>
      <c r="D194" s="85"/>
      <c r="E194" s="84"/>
      <c r="F194" s="84"/>
      <c r="G194" s="86"/>
      <c r="H194" s="86"/>
      <c r="I194" s="84"/>
    </row>
    <row r="195" spans="1:9" x14ac:dyDescent="0.25">
      <c r="A195" s="84"/>
      <c r="B195" s="84"/>
      <c r="C195" s="84"/>
      <c r="D195" s="85"/>
      <c r="E195" s="84"/>
      <c r="F195" s="84"/>
      <c r="G195" s="86"/>
      <c r="H195" s="86"/>
      <c r="I195" s="84"/>
    </row>
    <row r="196" spans="1:9" x14ac:dyDescent="0.25">
      <c r="A196" s="84"/>
      <c r="B196" s="84"/>
      <c r="C196" s="84"/>
      <c r="D196" s="85"/>
      <c r="E196" s="84"/>
      <c r="F196" s="84"/>
      <c r="G196" s="86"/>
      <c r="H196" s="86"/>
      <c r="I196" s="84"/>
    </row>
    <row r="197" spans="1:9" x14ac:dyDescent="0.25">
      <c r="A197" s="84"/>
      <c r="B197" s="84"/>
      <c r="C197" s="84"/>
      <c r="D197" s="85"/>
      <c r="E197" s="84"/>
      <c r="F197" s="84"/>
      <c r="G197" s="86"/>
      <c r="H197" s="86"/>
      <c r="I197" s="84"/>
    </row>
    <row r="198" spans="1:9" x14ac:dyDescent="0.25">
      <c r="A198" s="84"/>
      <c r="B198" s="84"/>
      <c r="C198" s="84"/>
      <c r="D198" s="85"/>
      <c r="E198" s="84"/>
      <c r="F198" s="84"/>
      <c r="G198" s="86"/>
      <c r="H198" s="86"/>
      <c r="I198" s="84"/>
    </row>
  </sheetData>
  <mergeCells count="13">
    <mergeCell ref="G3:I3"/>
    <mergeCell ref="B1:I1"/>
    <mergeCell ref="A6:A7"/>
    <mergeCell ref="G6:I6"/>
    <mergeCell ref="F6:F7"/>
    <mergeCell ref="E6:E7"/>
    <mergeCell ref="D6:D7"/>
    <mergeCell ref="C6:C7"/>
    <mergeCell ref="B6:B7"/>
    <mergeCell ref="B2:D2"/>
    <mergeCell ref="B3:D3"/>
    <mergeCell ref="B4:D4"/>
    <mergeCell ref="B5:D5"/>
  </mergeCells>
  <pageMargins left="0.51181102362204722" right="0.51181102362204722" top="0.78740157480314965" bottom="0.78740157480314965" header="0.31496062992125984" footer="0.31496062992125984"/>
  <pageSetup paperSize="9" scale="56" orientation="portrait" r:id="rId1"/>
  <ignoredErrors>
    <ignoredError sqref="B13" numberStoredAsText="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639"/>
  <sheetViews>
    <sheetView view="pageBreakPreview" topLeftCell="B46" zoomScale="90" zoomScaleNormal="100" zoomScaleSheetLayoutView="90" workbookViewId="0">
      <selection activeCell="B630" sqref="B630"/>
    </sheetView>
  </sheetViews>
  <sheetFormatPr defaultRowHeight="14.25" x14ac:dyDescent="0.2"/>
  <cols>
    <col min="1" max="1" width="15.7109375" style="43" customWidth="1"/>
    <col min="2" max="2" width="64.5703125" style="34" customWidth="1"/>
    <col min="3" max="3" width="10.85546875" style="34" bestFit="1" customWidth="1"/>
    <col min="4" max="4" width="9.140625" style="34"/>
    <col min="5" max="5" width="17.5703125" style="34" customWidth="1"/>
    <col min="6" max="7" width="9.140625" style="34"/>
    <col min="8" max="8" width="12" style="34" customWidth="1"/>
    <col min="9" max="9" width="15.7109375" style="34" customWidth="1"/>
    <col min="10" max="10" width="15.140625" style="34" customWidth="1"/>
    <col min="11" max="16384" width="9.140625" style="34"/>
  </cols>
  <sheetData>
    <row r="1" spans="1:12" ht="30.75" customHeight="1" x14ac:dyDescent="0.2">
      <c r="A1" s="525" t="s">
        <v>396</v>
      </c>
      <c r="B1" s="526"/>
      <c r="C1" s="526"/>
      <c r="D1" s="526"/>
      <c r="E1" s="526"/>
      <c r="F1" s="526"/>
      <c r="G1" s="526"/>
      <c r="H1" s="526"/>
      <c r="I1" s="526"/>
      <c r="J1" s="527"/>
    </row>
    <row r="2" spans="1:12" x14ac:dyDescent="0.2">
      <c r="A2" s="528" t="s">
        <v>2</v>
      </c>
      <c r="B2" s="529"/>
      <c r="C2" s="529"/>
      <c r="D2" s="529"/>
      <c r="E2" s="529"/>
      <c r="F2" s="529"/>
      <c r="G2" s="529"/>
      <c r="H2" s="529"/>
      <c r="I2" s="529"/>
      <c r="J2" s="530"/>
    </row>
    <row r="3" spans="1:12" x14ac:dyDescent="0.2">
      <c r="A3" s="528" t="s">
        <v>397</v>
      </c>
      <c r="B3" s="529"/>
      <c r="C3" s="529"/>
      <c r="D3" s="529"/>
      <c r="E3" s="529"/>
      <c r="F3" s="529"/>
      <c r="G3" s="529"/>
      <c r="H3" s="529"/>
      <c r="I3" s="529"/>
      <c r="J3" s="530"/>
    </row>
    <row r="4" spans="1:12" ht="2.25" customHeight="1" x14ac:dyDescent="0.2">
      <c r="A4" s="528"/>
      <c r="B4" s="529"/>
      <c r="C4" s="529"/>
      <c r="D4" s="529"/>
      <c r="E4" s="529"/>
      <c r="F4" s="529"/>
      <c r="G4" s="529"/>
      <c r="H4" s="529"/>
      <c r="I4" s="529"/>
      <c r="J4" s="530"/>
    </row>
    <row r="5" spans="1:12" ht="15" x14ac:dyDescent="0.2">
      <c r="A5" s="531" t="s">
        <v>398</v>
      </c>
      <c r="B5" s="532"/>
      <c r="C5" s="532"/>
      <c r="D5" s="532"/>
      <c r="E5" s="532"/>
      <c r="F5" s="532"/>
      <c r="G5" s="532"/>
      <c r="H5" s="532"/>
      <c r="I5" s="532"/>
      <c r="J5" s="533"/>
    </row>
    <row r="6" spans="1:12" ht="30" x14ac:dyDescent="0.2">
      <c r="A6" s="227" t="s">
        <v>11</v>
      </c>
      <c r="B6" s="35" t="s">
        <v>13</v>
      </c>
      <c r="C6" s="35" t="s">
        <v>14</v>
      </c>
      <c r="D6" s="36" t="s">
        <v>399</v>
      </c>
      <c r="E6" s="36" t="s">
        <v>400</v>
      </c>
      <c r="F6" s="36" t="s">
        <v>401</v>
      </c>
      <c r="G6" s="36" t="s">
        <v>402</v>
      </c>
      <c r="H6" s="36" t="s">
        <v>403</v>
      </c>
      <c r="I6" s="36" t="s">
        <v>404</v>
      </c>
      <c r="J6" s="228" t="s">
        <v>405</v>
      </c>
    </row>
    <row r="7" spans="1:12" ht="15" x14ac:dyDescent="0.2">
      <c r="A7" s="42">
        <v>1</v>
      </c>
      <c r="B7" s="37" t="str">
        <f>'PLANILHA ORÇAMENTÁRIA'!D8</f>
        <v>SERVIÇOS PRELIMINARES</v>
      </c>
      <c r="C7" s="38"/>
      <c r="D7" s="39"/>
      <c r="E7" s="39"/>
      <c r="F7" s="39"/>
      <c r="G7" s="39"/>
      <c r="H7" s="39"/>
      <c r="I7" s="39"/>
      <c r="J7" s="229"/>
    </row>
    <row r="8" spans="1:12" ht="15" x14ac:dyDescent="0.2">
      <c r="A8" s="230" t="s">
        <v>22</v>
      </c>
      <c r="B8" s="534" t="str">
        <f>'PLANILHA ORÇAMENTÁRIA'!D9</f>
        <v>DEMOLIÇÕES E RETIRADAS</v>
      </c>
      <c r="C8" s="534"/>
      <c r="D8" s="534"/>
      <c r="E8" s="534"/>
      <c r="F8" s="534"/>
      <c r="G8" s="534"/>
      <c r="H8" s="534"/>
      <c r="I8" s="534"/>
      <c r="J8" s="535"/>
    </row>
    <row r="9" spans="1:12" ht="30" x14ac:dyDescent="0.2">
      <c r="A9" s="46" t="str">
        <f>'PLANILHA ORÇAMENTÁRIA'!A10</f>
        <v>1.1.1</v>
      </c>
      <c r="B9" s="47" t="str">
        <f>'PLANILHA ORÇAMENTÁRIA'!D10</f>
        <v xml:space="preserve">Demolição de piso revestido com cerâmica </v>
      </c>
      <c r="C9" s="48" t="str">
        <f>'PLANILHA ORÇAMENTÁRIA'!E10</f>
        <v>m2</v>
      </c>
      <c r="D9" s="49" t="s">
        <v>399</v>
      </c>
      <c r="E9" s="49" t="s">
        <v>400</v>
      </c>
      <c r="F9" s="49" t="s">
        <v>401</v>
      </c>
      <c r="G9" s="49" t="s">
        <v>402</v>
      </c>
      <c r="H9" s="49" t="s">
        <v>403</v>
      </c>
      <c r="I9" s="49" t="s">
        <v>404</v>
      </c>
      <c r="J9" s="40" t="s">
        <v>405</v>
      </c>
    </row>
    <row r="10" spans="1:12" x14ac:dyDescent="0.2">
      <c r="A10" s="502"/>
      <c r="B10" s="45" t="s">
        <v>406</v>
      </c>
      <c r="C10" s="44"/>
      <c r="D10" s="44"/>
      <c r="E10" s="41">
        <v>2</v>
      </c>
      <c r="F10" s="41">
        <v>2.88</v>
      </c>
      <c r="G10" s="41"/>
      <c r="H10" s="41">
        <f>E10*F10</f>
        <v>5.76</v>
      </c>
      <c r="I10" s="55"/>
      <c r="J10" s="41">
        <f>H10</f>
        <v>5.76</v>
      </c>
    </row>
    <row r="11" spans="1:12" x14ac:dyDescent="0.2">
      <c r="A11" s="502"/>
      <c r="B11" s="45" t="s">
        <v>407</v>
      </c>
      <c r="C11" s="44"/>
      <c r="D11" s="44"/>
      <c r="E11" s="41">
        <v>3</v>
      </c>
      <c r="F11" s="41">
        <v>2.88</v>
      </c>
      <c r="G11" s="41"/>
      <c r="H11" s="41">
        <f>E11*F11</f>
        <v>8.64</v>
      </c>
      <c r="I11" s="55"/>
      <c r="J11" s="41">
        <f>H11</f>
        <v>8.64</v>
      </c>
    </row>
    <row r="12" spans="1:12" x14ac:dyDescent="0.2">
      <c r="A12" s="502"/>
      <c r="B12" s="44"/>
      <c r="C12" s="44"/>
      <c r="D12" s="44"/>
      <c r="E12" s="55"/>
      <c r="F12" s="55"/>
      <c r="G12" s="55"/>
      <c r="H12" s="55"/>
      <c r="I12" s="57" t="s">
        <v>408</v>
      </c>
      <c r="J12" s="58">
        <f>SUM(J10:J11)</f>
        <v>14.4</v>
      </c>
      <c r="L12" s="43"/>
    </row>
    <row r="13" spans="1:12" x14ac:dyDescent="0.2">
      <c r="A13" s="502"/>
      <c r="B13" s="44"/>
      <c r="C13" s="44"/>
      <c r="D13" s="44"/>
      <c r="E13" s="44"/>
      <c r="F13" s="44"/>
      <c r="G13" s="44"/>
      <c r="H13" s="44"/>
      <c r="I13" s="44"/>
      <c r="J13" s="44"/>
    </row>
    <row r="14" spans="1:12" ht="30" x14ac:dyDescent="0.2">
      <c r="A14" s="46" t="str">
        <f>'PLANILHA ORÇAMENTÁRIA'!A11</f>
        <v>1.1.2</v>
      </c>
      <c r="B14" s="47" t="str">
        <f>'PLANILHA ORÇAMENTÁRIA'!D11</f>
        <v>Demolição de revestimento com azulejos</v>
      </c>
      <c r="C14" s="48" t="str">
        <f>'PLANILHA ORÇAMENTÁRIA'!E11</f>
        <v>m2</v>
      </c>
      <c r="D14" s="49" t="s">
        <v>399</v>
      </c>
      <c r="E14" s="49" t="s">
        <v>400</v>
      </c>
      <c r="F14" s="49" t="s">
        <v>401</v>
      </c>
      <c r="G14" s="49" t="s">
        <v>402</v>
      </c>
      <c r="H14" s="49" t="s">
        <v>403</v>
      </c>
      <c r="I14" s="49" t="s">
        <v>404</v>
      </c>
      <c r="J14" s="40" t="s">
        <v>405</v>
      </c>
    </row>
    <row r="15" spans="1:12" ht="28.5" x14ac:dyDescent="0.2">
      <c r="A15" s="494"/>
      <c r="B15" s="47"/>
      <c r="C15" s="48"/>
      <c r="D15" s="49"/>
      <c r="E15" s="49"/>
      <c r="F15" s="49"/>
      <c r="G15" s="49"/>
      <c r="I15" s="56" t="s">
        <v>409</v>
      </c>
      <c r="J15" s="40"/>
    </row>
    <row r="16" spans="1:12" x14ac:dyDescent="0.2">
      <c r="A16" s="494"/>
      <c r="B16" s="503" t="s">
        <v>410</v>
      </c>
      <c r="C16" s="44"/>
      <c r="D16" s="41">
        <v>2</v>
      </c>
      <c r="E16" s="41">
        <v>2</v>
      </c>
      <c r="F16" s="55"/>
      <c r="G16" s="55">
        <v>2.23</v>
      </c>
      <c r="H16" s="41">
        <f>D16*E16*G16</f>
        <v>8.92</v>
      </c>
      <c r="I16" s="59">
        <f>0.6*0.6+0.6*2.1</f>
        <v>1.62</v>
      </c>
      <c r="J16" s="41">
        <f>H16-I16</f>
        <v>7.3</v>
      </c>
    </row>
    <row r="17" spans="1:10" x14ac:dyDescent="0.2">
      <c r="A17" s="494"/>
      <c r="B17" s="503"/>
      <c r="C17" s="44"/>
      <c r="D17" s="41">
        <v>2</v>
      </c>
      <c r="E17" s="55">
        <v>2.88</v>
      </c>
      <c r="F17" s="55"/>
      <c r="G17" s="55">
        <v>2.23</v>
      </c>
      <c r="H17" s="41">
        <f>D17*E17*G17</f>
        <v>12.844799999999999</v>
      </c>
      <c r="I17" s="44"/>
      <c r="J17" s="41">
        <f>H17-I17</f>
        <v>12.844799999999999</v>
      </c>
    </row>
    <row r="18" spans="1:10" x14ac:dyDescent="0.2">
      <c r="A18" s="494"/>
      <c r="B18" s="503" t="s">
        <v>411</v>
      </c>
      <c r="C18" s="44"/>
      <c r="D18" s="46">
        <v>2</v>
      </c>
      <c r="E18" s="46">
        <v>2.88</v>
      </c>
      <c r="F18" s="46"/>
      <c r="G18" s="46">
        <v>2.23</v>
      </c>
      <c r="H18" s="41">
        <f>D18*E18*G18</f>
        <v>12.844799999999999</v>
      </c>
      <c r="I18" s="46"/>
      <c r="J18" s="41">
        <f t="shared" ref="J18:J20" si="0">H18-I18</f>
        <v>12.844799999999999</v>
      </c>
    </row>
    <row r="19" spans="1:10" x14ac:dyDescent="0.2">
      <c r="A19" s="494"/>
      <c r="B19" s="503"/>
      <c r="C19" s="44"/>
      <c r="D19" s="46">
        <v>2</v>
      </c>
      <c r="E19" s="46">
        <v>3</v>
      </c>
      <c r="F19" s="46"/>
      <c r="G19" s="46">
        <v>2.23</v>
      </c>
      <c r="H19" s="41">
        <f>D19*E19*G19</f>
        <v>13.379999999999999</v>
      </c>
      <c r="I19" s="59">
        <f>0.6*0.6+0.6*2.1</f>
        <v>1.62</v>
      </c>
      <c r="J19" s="41">
        <f t="shared" si="0"/>
        <v>11.759999999999998</v>
      </c>
    </row>
    <row r="20" spans="1:10" x14ac:dyDescent="0.2">
      <c r="A20" s="522"/>
      <c r="B20" s="102" t="s">
        <v>412</v>
      </c>
      <c r="C20" s="105"/>
      <c r="D20" s="46">
        <v>1</v>
      </c>
      <c r="E20" s="46">
        <v>1.24</v>
      </c>
      <c r="F20" s="46"/>
      <c r="G20" s="46">
        <v>2.54</v>
      </c>
      <c r="H20" s="41">
        <f>D20*E20*G20</f>
        <v>3.1496</v>
      </c>
      <c r="I20" s="59"/>
      <c r="J20" s="41">
        <f t="shared" si="0"/>
        <v>3.1496</v>
      </c>
    </row>
    <row r="21" spans="1:10" x14ac:dyDescent="0.2">
      <c r="A21" s="522"/>
      <c r="B21" s="104"/>
      <c r="C21" s="105"/>
      <c r="D21" s="46"/>
      <c r="E21" s="46"/>
      <c r="F21" s="46"/>
      <c r="G21" s="46"/>
      <c r="H21" s="41"/>
      <c r="I21" s="57" t="s">
        <v>408</v>
      </c>
      <c r="J21" s="58">
        <f>SUM(J16:J20)</f>
        <v>47.899199999999993</v>
      </c>
    </row>
    <row r="22" spans="1:10" x14ac:dyDescent="0.2">
      <c r="A22" s="494"/>
      <c r="B22" s="106"/>
      <c r="C22" s="44"/>
      <c r="D22" s="44"/>
      <c r="E22" s="44"/>
      <c r="F22" s="44"/>
      <c r="G22" s="44"/>
      <c r="H22" s="44"/>
      <c r="I22" s="44"/>
      <c r="J22" s="44"/>
    </row>
    <row r="23" spans="1:10" ht="30" x14ac:dyDescent="0.2">
      <c r="A23" s="46" t="str">
        <f>'PLANILHA ORÇAMENTÁRIA'!A12</f>
        <v>1.1.3</v>
      </c>
      <c r="B23" s="107" t="str">
        <f>'PLANILHA ORÇAMENTÁRIA'!D12</f>
        <v xml:space="preserve">Retirada de revestimento antigo em reboco </v>
      </c>
      <c r="C23" s="48" t="str">
        <f>'PLANILHA ORÇAMENTÁRIA'!E12</f>
        <v>m2</v>
      </c>
      <c r="D23" s="49" t="s">
        <v>399</v>
      </c>
      <c r="E23" s="49" t="s">
        <v>400</v>
      </c>
      <c r="F23" s="49" t="s">
        <v>401</v>
      </c>
      <c r="G23" s="49" t="s">
        <v>402</v>
      </c>
      <c r="H23" s="49" t="s">
        <v>403</v>
      </c>
      <c r="I23" s="49" t="s">
        <v>404</v>
      </c>
      <c r="J23" s="40" t="s">
        <v>405</v>
      </c>
    </row>
    <row r="24" spans="1:10" x14ac:dyDescent="0.2">
      <c r="A24" s="502"/>
      <c r="B24" s="45" t="s">
        <v>413</v>
      </c>
      <c r="C24" s="44"/>
      <c r="D24" s="44"/>
      <c r="E24" s="59">
        <v>15.57</v>
      </c>
      <c r="F24" s="59"/>
      <c r="G24" s="59">
        <v>1.38</v>
      </c>
      <c r="H24" s="46">
        <f>E24*G24</f>
        <v>21.486599999999999</v>
      </c>
      <c r="I24" s="44"/>
      <c r="J24" s="41">
        <f>H24</f>
        <v>21.486599999999999</v>
      </c>
    </row>
    <row r="25" spans="1:10" x14ac:dyDescent="0.2">
      <c r="A25" s="502"/>
      <c r="B25" s="45" t="s">
        <v>414</v>
      </c>
      <c r="C25" s="44"/>
      <c r="D25" s="44"/>
      <c r="E25" s="59">
        <v>7.94</v>
      </c>
      <c r="F25" s="59"/>
      <c r="G25" s="59">
        <v>1.38</v>
      </c>
      <c r="H25" s="46">
        <f>E25*G25</f>
        <v>10.9572</v>
      </c>
      <c r="I25" s="44"/>
      <c r="J25" s="41">
        <f>H25</f>
        <v>10.9572</v>
      </c>
    </row>
    <row r="26" spans="1:10" x14ac:dyDescent="0.2">
      <c r="A26" s="502"/>
      <c r="B26" s="45" t="s">
        <v>415</v>
      </c>
      <c r="C26" s="44"/>
      <c r="D26" s="44"/>
      <c r="E26" s="46">
        <v>4.5</v>
      </c>
      <c r="F26" s="59"/>
      <c r="G26" s="46">
        <f>(2.23+1.6)/2</f>
        <v>1.915</v>
      </c>
      <c r="H26" s="46">
        <f>E26*G26</f>
        <v>8.6174999999999997</v>
      </c>
      <c r="I26" s="44"/>
      <c r="J26" s="41">
        <f>H26</f>
        <v>8.6174999999999997</v>
      </c>
    </row>
    <row r="27" spans="1:10" x14ac:dyDescent="0.2">
      <c r="A27" s="502"/>
      <c r="B27" s="45" t="s">
        <v>416</v>
      </c>
      <c r="C27" s="44"/>
      <c r="D27" s="44"/>
      <c r="E27" s="46">
        <v>10</v>
      </c>
      <c r="F27" s="59"/>
      <c r="G27" s="46">
        <v>2.1</v>
      </c>
      <c r="H27" s="46">
        <f>E27*G27</f>
        <v>21</v>
      </c>
      <c r="I27" s="46">
        <f>2*0.8*2.1+0.6*2.1</f>
        <v>4.62</v>
      </c>
      <c r="J27" s="41">
        <f>H27-I27</f>
        <v>16.38</v>
      </c>
    </row>
    <row r="28" spans="1:10" x14ac:dyDescent="0.2">
      <c r="A28" s="502"/>
      <c r="B28" s="44"/>
      <c r="C28" s="44"/>
      <c r="D28" s="44"/>
      <c r="E28" s="44"/>
      <c r="F28" s="44"/>
      <c r="G28" s="44"/>
      <c r="H28" s="44"/>
      <c r="I28" s="57" t="s">
        <v>408</v>
      </c>
      <c r="J28" s="58">
        <f>SUM(J24:J27)</f>
        <v>57.441299999999998</v>
      </c>
    </row>
    <row r="29" spans="1:10" x14ac:dyDescent="0.2">
      <c r="A29" s="502"/>
      <c r="B29" s="44"/>
      <c r="C29" s="44"/>
      <c r="D29" s="44"/>
      <c r="E29" s="44"/>
      <c r="F29" s="44"/>
      <c r="G29" s="44"/>
      <c r="H29" s="44"/>
      <c r="I29" s="44"/>
      <c r="J29" s="44"/>
    </row>
    <row r="30" spans="1:10" ht="30" x14ac:dyDescent="0.2">
      <c r="A30" s="46" t="s">
        <v>36</v>
      </c>
      <c r="B30" s="47" t="str">
        <f>'PLANILHA ORÇAMENTÁRIA'!D13</f>
        <v xml:space="preserve">Demolição de alvenaria </v>
      </c>
      <c r="C30" s="48" t="str">
        <f>'PLANILHA ORÇAMENTÁRIA'!E13</f>
        <v>m3</v>
      </c>
      <c r="D30" s="40" t="s">
        <v>399</v>
      </c>
      <c r="E30" s="40" t="s">
        <v>400</v>
      </c>
      <c r="F30" s="40" t="s">
        <v>401</v>
      </c>
      <c r="G30" s="40" t="s">
        <v>402</v>
      </c>
      <c r="H30" s="40" t="s">
        <v>403</v>
      </c>
      <c r="I30" s="40" t="s">
        <v>404</v>
      </c>
      <c r="J30" s="40" t="s">
        <v>405</v>
      </c>
    </row>
    <row r="31" spans="1:10" ht="38.25" customHeight="1" x14ac:dyDescent="0.2">
      <c r="A31" s="536"/>
      <c r="B31" s="114"/>
      <c r="C31" s="115"/>
      <c r="D31" s="116"/>
      <c r="E31" s="116"/>
      <c r="F31" s="116"/>
      <c r="G31" s="116"/>
      <c r="H31" s="117" t="s">
        <v>417</v>
      </c>
      <c r="I31" s="117"/>
      <c r="J31" s="116"/>
    </row>
    <row r="32" spans="1:10" ht="15" x14ac:dyDescent="0.2">
      <c r="A32" s="536"/>
      <c r="B32" s="118" t="s">
        <v>418</v>
      </c>
      <c r="C32" s="115"/>
      <c r="D32" s="116"/>
      <c r="E32" s="116"/>
      <c r="F32" s="116"/>
      <c r="G32" s="116"/>
      <c r="H32" s="117"/>
      <c r="I32" s="117"/>
      <c r="J32" s="116"/>
    </row>
    <row r="33" spans="1:10" x14ac:dyDescent="0.2">
      <c r="A33" s="536"/>
      <c r="B33" s="119" t="s">
        <v>419</v>
      </c>
      <c r="C33" s="120"/>
      <c r="D33" s="120"/>
      <c r="E33" s="121">
        <v>2.88</v>
      </c>
      <c r="F33" s="121">
        <v>0.13</v>
      </c>
      <c r="G33" s="121">
        <v>1.63</v>
      </c>
      <c r="H33" s="121">
        <f>2*0.6*1.63*0.13</f>
        <v>0.25427999999999995</v>
      </c>
      <c r="I33" s="121">
        <f>E33*F33*G33</f>
        <v>0.61027199999999993</v>
      </c>
      <c r="J33" s="121">
        <f>I33-H33</f>
        <v>0.35599199999999998</v>
      </c>
    </row>
    <row r="34" spans="1:10" x14ac:dyDescent="0.2">
      <c r="A34" s="536"/>
      <c r="B34" s="119" t="s">
        <v>419</v>
      </c>
      <c r="C34" s="120"/>
      <c r="D34" s="120"/>
      <c r="E34" s="121">
        <v>1</v>
      </c>
      <c r="F34" s="121">
        <v>0.13</v>
      </c>
      <c r="G34" s="121">
        <v>1.63</v>
      </c>
      <c r="H34" s="121"/>
      <c r="I34" s="121">
        <f t="shared" ref="I34:I42" si="1">E34*F34*G34</f>
        <v>0.21190000000000001</v>
      </c>
      <c r="J34" s="121">
        <f t="shared" ref="J34:J42" si="2">I34-H34</f>
        <v>0.21190000000000001</v>
      </c>
    </row>
    <row r="35" spans="1:10" x14ac:dyDescent="0.2">
      <c r="A35" s="536"/>
      <c r="B35" s="119" t="s">
        <v>420</v>
      </c>
      <c r="C35" s="120"/>
      <c r="D35" s="120"/>
      <c r="E35" s="121">
        <v>0.2</v>
      </c>
      <c r="F35" s="121">
        <v>0.13</v>
      </c>
      <c r="G35" s="121">
        <v>2.1</v>
      </c>
      <c r="H35" s="121"/>
      <c r="I35" s="121">
        <f t="shared" si="1"/>
        <v>5.460000000000001E-2</v>
      </c>
      <c r="J35" s="121">
        <f t="shared" si="2"/>
        <v>5.460000000000001E-2</v>
      </c>
    </row>
    <row r="36" spans="1:10" x14ac:dyDescent="0.2">
      <c r="A36" s="536"/>
      <c r="B36" s="119" t="s">
        <v>421</v>
      </c>
      <c r="C36" s="120"/>
      <c r="D36" s="120"/>
      <c r="E36" s="121">
        <v>0.6</v>
      </c>
      <c r="F36" s="121">
        <v>0.13</v>
      </c>
      <c r="G36" s="121">
        <v>0.6</v>
      </c>
      <c r="H36" s="121"/>
      <c r="I36" s="121">
        <f t="shared" si="1"/>
        <v>4.6800000000000001E-2</v>
      </c>
      <c r="J36" s="121">
        <f t="shared" si="2"/>
        <v>4.6800000000000001E-2</v>
      </c>
    </row>
    <row r="37" spans="1:10" x14ac:dyDescent="0.2">
      <c r="A37" s="536"/>
      <c r="B37" s="118" t="s">
        <v>422</v>
      </c>
      <c r="C37" s="120"/>
      <c r="D37" s="120"/>
      <c r="E37" s="121"/>
      <c r="F37" s="121"/>
      <c r="G37" s="121"/>
      <c r="H37" s="121"/>
      <c r="I37" s="121">
        <f t="shared" si="1"/>
        <v>0</v>
      </c>
      <c r="J37" s="121">
        <f t="shared" si="2"/>
        <v>0</v>
      </c>
    </row>
    <row r="38" spans="1:10" x14ac:dyDescent="0.2">
      <c r="A38" s="536"/>
      <c r="B38" s="119" t="s">
        <v>419</v>
      </c>
      <c r="C38" s="120"/>
      <c r="D38" s="120"/>
      <c r="E38" s="121">
        <v>1</v>
      </c>
      <c r="F38" s="121">
        <v>0.13</v>
      </c>
      <c r="G38" s="121">
        <v>2.5</v>
      </c>
      <c r="H38" s="121">
        <f>0.6*2.1*0.13</f>
        <v>0.1638</v>
      </c>
      <c r="I38" s="121">
        <f t="shared" si="1"/>
        <v>0.32500000000000001</v>
      </c>
      <c r="J38" s="121">
        <f t="shared" si="2"/>
        <v>0.16120000000000001</v>
      </c>
    </row>
    <row r="39" spans="1:10" x14ac:dyDescent="0.2">
      <c r="A39" s="536"/>
      <c r="B39" s="119" t="s">
        <v>420</v>
      </c>
      <c r="C39" s="120"/>
      <c r="D39" s="120"/>
      <c r="E39" s="121">
        <v>0.2</v>
      </c>
      <c r="F39" s="121">
        <v>0.13</v>
      </c>
      <c r="G39" s="121">
        <v>2.1</v>
      </c>
      <c r="H39" s="121"/>
      <c r="I39" s="121">
        <f t="shared" si="1"/>
        <v>5.460000000000001E-2</v>
      </c>
      <c r="J39" s="121">
        <f t="shared" si="2"/>
        <v>5.460000000000001E-2</v>
      </c>
    </row>
    <row r="40" spans="1:10" x14ac:dyDescent="0.2">
      <c r="A40" s="536"/>
      <c r="B40" s="119" t="s">
        <v>421</v>
      </c>
      <c r="C40" s="120"/>
      <c r="D40" s="120"/>
      <c r="E40" s="121">
        <v>0.6</v>
      </c>
      <c r="F40" s="121">
        <v>0.13</v>
      </c>
      <c r="G40" s="121">
        <v>0.6</v>
      </c>
      <c r="H40" s="121"/>
      <c r="I40" s="121">
        <f t="shared" ref="I40" si="3">E40*F40*G40</f>
        <v>4.6800000000000001E-2</v>
      </c>
      <c r="J40" s="121">
        <f t="shared" ref="J40" si="4">I40-H40</f>
        <v>4.6800000000000001E-2</v>
      </c>
    </row>
    <row r="41" spans="1:10" x14ac:dyDescent="0.2">
      <c r="A41" s="536"/>
      <c r="B41" s="118" t="s">
        <v>423</v>
      </c>
      <c r="C41" s="120"/>
      <c r="D41" s="120"/>
      <c r="E41" s="121">
        <v>0.6</v>
      </c>
      <c r="F41" s="121">
        <v>0.13</v>
      </c>
      <c r="G41" s="121">
        <v>2.1</v>
      </c>
      <c r="H41" s="121"/>
      <c r="I41" s="121">
        <f t="shared" si="1"/>
        <v>0.1638</v>
      </c>
      <c r="J41" s="121">
        <f t="shared" si="2"/>
        <v>0.1638</v>
      </c>
    </row>
    <row r="42" spans="1:10" x14ac:dyDescent="0.2">
      <c r="A42" s="536"/>
      <c r="B42" s="118" t="s">
        <v>424</v>
      </c>
      <c r="C42" s="120"/>
      <c r="D42" s="120"/>
      <c r="E42" s="121">
        <v>28.3</v>
      </c>
      <c r="F42" s="121">
        <v>0.13</v>
      </c>
      <c r="G42" s="121">
        <v>1.18</v>
      </c>
      <c r="H42" s="121"/>
      <c r="I42" s="121">
        <f t="shared" si="1"/>
        <v>4.3412199999999999</v>
      </c>
      <c r="J42" s="121">
        <f t="shared" si="2"/>
        <v>4.3412199999999999</v>
      </c>
    </row>
    <row r="43" spans="1:10" x14ac:dyDescent="0.2">
      <c r="A43" s="536"/>
      <c r="B43" s="120"/>
      <c r="C43" s="120"/>
      <c r="D43" s="120"/>
      <c r="E43" s="122"/>
      <c r="F43" s="122"/>
      <c r="G43" s="122"/>
      <c r="H43" s="122"/>
      <c r="I43" s="123" t="s">
        <v>408</v>
      </c>
      <c r="J43" s="124">
        <f>SUM(J32:J42)</f>
        <v>5.4369119999999995</v>
      </c>
    </row>
    <row r="44" spans="1:10" x14ac:dyDescent="0.2">
      <c r="A44" s="536"/>
      <c r="B44" s="120"/>
      <c r="C44" s="120"/>
      <c r="D44" s="120"/>
      <c r="E44" s="120"/>
      <c r="F44" s="120"/>
      <c r="G44" s="120"/>
      <c r="H44" s="120"/>
      <c r="I44" s="120"/>
      <c r="J44" s="120"/>
    </row>
    <row r="45" spans="1:10" ht="30" x14ac:dyDescent="0.2">
      <c r="A45" s="46" t="s">
        <v>40</v>
      </c>
      <c r="B45" s="47" t="str">
        <f>'PLANILHA ORÇAMENTÁRIA'!D14</f>
        <v xml:space="preserve">Retirada de portas e janelas de madeira, inclusive batentes </v>
      </c>
      <c r="C45" s="48" t="str">
        <f>'PLANILHA ORÇAMENTÁRIA'!E14</f>
        <v xml:space="preserve">m2 </v>
      </c>
      <c r="D45" s="49" t="s">
        <v>399</v>
      </c>
      <c r="E45" s="49" t="s">
        <v>400</v>
      </c>
      <c r="F45" s="49" t="s">
        <v>401</v>
      </c>
      <c r="G45" s="49" t="s">
        <v>402</v>
      </c>
      <c r="H45" s="49" t="s">
        <v>403</v>
      </c>
      <c r="I45" s="49" t="s">
        <v>404</v>
      </c>
      <c r="J45" s="40" t="s">
        <v>405</v>
      </c>
    </row>
    <row r="46" spans="1:10" x14ac:dyDescent="0.2">
      <c r="A46" s="502"/>
      <c r="B46" s="45" t="s">
        <v>410</v>
      </c>
      <c r="C46" s="41"/>
      <c r="D46" s="41">
        <v>1</v>
      </c>
      <c r="E46" s="41"/>
      <c r="F46" s="41">
        <v>0.6</v>
      </c>
      <c r="G46" s="41">
        <v>2.1</v>
      </c>
      <c r="H46" s="41">
        <f>F46*G46</f>
        <v>1.26</v>
      </c>
      <c r="I46" s="41"/>
      <c r="J46" s="41">
        <f>D46*H46</f>
        <v>1.26</v>
      </c>
    </row>
    <row r="47" spans="1:10" x14ac:dyDescent="0.2">
      <c r="A47" s="502"/>
      <c r="B47" s="45" t="s">
        <v>411</v>
      </c>
      <c r="C47" s="41"/>
      <c r="D47" s="41">
        <v>1</v>
      </c>
      <c r="E47" s="41"/>
      <c r="F47" s="41">
        <v>0.6</v>
      </c>
      <c r="G47" s="41">
        <v>2.1</v>
      </c>
      <c r="H47" s="41">
        <f>F47*G47</f>
        <v>1.26</v>
      </c>
      <c r="I47" s="41"/>
      <c r="J47" s="41">
        <f>D47*H47</f>
        <v>1.26</v>
      </c>
    </row>
    <row r="48" spans="1:10" x14ac:dyDescent="0.2">
      <c r="A48" s="502"/>
      <c r="B48" s="44"/>
      <c r="C48" s="41"/>
      <c r="D48" s="41"/>
      <c r="E48" s="41"/>
      <c r="F48" s="41"/>
      <c r="G48" s="41"/>
      <c r="H48" s="41"/>
      <c r="I48" s="57" t="s">
        <v>408</v>
      </c>
      <c r="J48" s="58">
        <f>SUM(J46:J47)</f>
        <v>2.52</v>
      </c>
    </row>
    <row r="49" spans="1:10" x14ac:dyDescent="0.2">
      <c r="A49" s="502"/>
      <c r="B49" s="44"/>
      <c r="C49" s="44"/>
      <c r="D49" s="44"/>
      <c r="E49" s="44"/>
      <c r="F49" s="44"/>
      <c r="G49" s="44"/>
      <c r="H49" s="44"/>
      <c r="I49" s="44"/>
      <c r="J49" s="44"/>
    </row>
    <row r="50" spans="1:10" ht="30" x14ac:dyDescent="0.2">
      <c r="A50" s="46" t="s">
        <v>44</v>
      </c>
      <c r="B50" s="47" t="str">
        <f>'PLANILHA ORÇAMENTÁRIA'!D15</f>
        <v xml:space="preserve">Retirada de esquadrias metálicas </v>
      </c>
      <c r="C50" s="48" t="str">
        <f>'PLANILHA ORÇAMENTÁRIA'!E15</f>
        <v>m2</v>
      </c>
      <c r="D50" s="49" t="s">
        <v>399</v>
      </c>
      <c r="E50" s="49" t="s">
        <v>400</v>
      </c>
      <c r="F50" s="49" t="s">
        <v>401</v>
      </c>
      <c r="G50" s="49" t="s">
        <v>402</v>
      </c>
      <c r="H50" s="49" t="s">
        <v>403</v>
      </c>
      <c r="I50" s="49" t="s">
        <v>404</v>
      </c>
      <c r="J50" s="40" t="s">
        <v>405</v>
      </c>
    </row>
    <row r="51" spans="1:10" x14ac:dyDescent="0.2">
      <c r="A51" s="487"/>
      <c r="B51" s="503" t="s">
        <v>410</v>
      </c>
      <c r="C51" s="41"/>
      <c r="D51" s="41">
        <v>2</v>
      </c>
      <c r="E51" s="41"/>
      <c r="F51" s="41">
        <v>0.6</v>
      </c>
      <c r="G51" s="41">
        <v>1.63</v>
      </c>
      <c r="H51" s="41">
        <f>F51*G51</f>
        <v>0.97799999999999987</v>
      </c>
      <c r="I51" s="41"/>
      <c r="J51" s="41">
        <f>D51*H51</f>
        <v>1.9559999999999997</v>
      </c>
    </row>
    <row r="52" spans="1:10" x14ac:dyDescent="0.2">
      <c r="A52" s="488"/>
      <c r="B52" s="504"/>
      <c r="C52" s="41"/>
      <c r="D52" s="41">
        <v>1</v>
      </c>
      <c r="E52" s="41"/>
      <c r="F52" s="41">
        <v>0.6</v>
      </c>
      <c r="G52" s="41">
        <v>0.6</v>
      </c>
      <c r="H52" s="41">
        <f>F52*G52</f>
        <v>0.36</v>
      </c>
      <c r="I52" s="41"/>
      <c r="J52" s="41">
        <f>D52*H52</f>
        <v>0.36</v>
      </c>
    </row>
    <row r="53" spans="1:10" x14ac:dyDescent="0.2">
      <c r="A53" s="488"/>
      <c r="B53" s="503" t="s">
        <v>411</v>
      </c>
      <c r="C53" s="41"/>
      <c r="D53" s="41">
        <v>1</v>
      </c>
      <c r="E53" s="41"/>
      <c r="F53" s="41">
        <v>0.6</v>
      </c>
      <c r="G53" s="41">
        <v>2.1</v>
      </c>
      <c r="H53" s="41">
        <f>F53*G53</f>
        <v>1.26</v>
      </c>
      <c r="I53" s="41"/>
      <c r="J53" s="41">
        <f>D53*H53</f>
        <v>1.26</v>
      </c>
    </row>
    <row r="54" spans="1:10" x14ac:dyDescent="0.2">
      <c r="A54" s="488"/>
      <c r="B54" s="504"/>
      <c r="C54" s="41"/>
      <c r="D54" s="41">
        <v>1</v>
      </c>
      <c r="E54" s="41"/>
      <c r="F54" s="41">
        <v>0.6</v>
      </c>
      <c r="G54" s="41">
        <v>0.6</v>
      </c>
      <c r="H54" s="41">
        <f>F54*G54</f>
        <v>0.36</v>
      </c>
      <c r="I54" s="41"/>
      <c r="J54" s="41">
        <f>D54*H54</f>
        <v>0.36</v>
      </c>
    </row>
    <row r="55" spans="1:10" x14ac:dyDescent="0.2">
      <c r="A55" s="488"/>
      <c r="B55" s="44"/>
      <c r="C55" s="41"/>
      <c r="D55" s="41"/>
      <c r="E55" s="41"/>
      <c r="F55" s="41"/>
      <c r="G55" s="41"/>
      <c r="H55" s="41"/>
      <c r="I55" s="57" t="s">
        <v>408</v>
      </c>
      <c r="J55" s="58">
        <f>SUM(J51:J54)</f>
        <v>3.9359999999999995</v>
      </c>
    </row>
    <row r="56" spans="1:10" x14ac:dyDescent="0.2">
      <c r="A56" s="489"/>
      <c r="B56" s="44"/>
      <c r="C56" s="41"/>
      <c r="D56" s="41"/>
      <c r="E56" s="41"/>
      <c r="F56" s="41"/>
      <c r="G56" s="41"/>
      <c r="H56" s="41"/>
      <c r="I56" s="57"/>
      <c r="J56" s="58"/>
    </row>
    <row r="57" spans="1:10" ht="30" x14ac:dyDescent="0.2">
      <c r="A57" s="113" t="s">
        <v>47</v>
      </c>
      <c r="B57" s="114" t="str">
        <f>'PLANILHA ORÇAMENTÁRIA'!D16</f>
        <v xml:space="preserve">Demolição manual de concreto armado (EMOP 05.001.033) </v>
      </c>
      <c r="C57" s="115" t="str">
        <f>'PLANILHA ORÇAMENTÁRIA'!E16</f>
        <v xml:space="preserve">m3 </v>
      </c>
      <c r="D57" s="116" t="s">
        <v>399</v>
      </c>
      <c r="E57" s="116" t="s">
        <v>400</v>
      </c>
      <c r="F57" s="116" t="s">
        <v>401</v>
      </c>
      <c r="G57" s="116" t="s">
        <v>402</v>
      </c>
      <c r="H57" s="116" t="s">
        <v>403</v>
      </c>
      <c r="I57" s="116" t="s">
        <v>404</v>
      </c>
      <c r="J57" s="116" t="s">
        <v>405</v>
      </c>
    </row>
    <row r="58" spans="1:10" x14ac:dyDescent="0.2">
      <c r="A58" s="536"/>
      <c r="B58" s="119" t="s">
        <v>425</v>
      </c>
      <c r="C58" s="120"/>
      <c r="D58" s="41">
        <v>1</v>
      </c>
      <c r="E58" s="41">
        <v>28.3</v>
      </c>
      <c r="F58" s="41">
        <v>0.13</v>
      </c>
      <c r="G58" s="41">
        <v>0.2</v>
      </c>
      <c r="H58" s="41"/>
      <c r="I58" s="41">
        <f t="shared" ref="I58" si="5">E58*F58*G58</f>
        <v>0.73580000000000012</v>
      </c>
      <c r="J58" s="41">
        <f t="shared" ref="J58" si="6">I58-H58</f>
        <v>0.73580000000000012</v>
      </c>
    </row>
    <row r="59" spans="1:10" x14ac:dyDescent="0.2">
      <c r="A59" s="537"/>
      <c r="B59" s="45" t="s">
        <v>426</v>
      </c>
      <c r="C59" s="41"/>
      <c r="D59" s="41">
        <v>5</v>
      </c>
      <c r="E59" s="41">
        <v>0.85</v>
      </c>
      <c r="F59" s="41">
        <v>0.75</v>
      </c>
      <c r="G59" s="41">
        <v>0.1</v>
      </c>
      <c r="H59" s="41"/>
      <c r="I59" s="41">
        <f>E59*F59*G59</f>
        <v>6.3750000000000001E-2</v>
      </c>
      <c r="J59" s="41">
        <f>D59*I59</f>
        <v>0.31874999999999998</v>
      </c>
    </row>
    <row r="60" spans="1:10" x14ac:dyDescent="0.2">
      <c r="A60" s="537"/>
      <c r="B60" s="45" t="s">
        <v>427</v>
      </c>
      <c r="C60" s="41"/>
      <c r="D60" s="41">
        <v>1</v>
      </c>
      <c r="E60" s="41">
        <v>23.1</v>
      </c>
      <c r="F60" s="41">
        <v>0.45</v>
      </c>
      <c r="G60" s="41">
        <v>0.1</v>
      </c>
      <c r="H60" s="41"/>
      <c r="I60" s="41">
        <f>E60*F60*G60</f>
        <v>1.0395000000000001</v>
      </c>
      <c r="J60" s="41">
        <f>D60*I60</f>
        <v>1.0395000000000001</v>
      </c>
    </row>
    <row r="61" spans="1:10" x14ac:dyDescent="0.2">
      <c r="A61" s="537"/>
      <c r="B61" s="44"/>
      <c r="C61" s="41"/>
      <c r="D61" s="41"/>
      <c r="E61" s="41"/>
      <c r="F61" s="41"/>
      <c r="G61" s="41"/>
      <c r="H61" s="41"/>
      <c r="I61" s="57" t="s">
        <v>408</v>
      </c>
      <c r="J61" s="58">
        <f>SUM(J58:J60)</f>
        <v>2.0940500000000002</v>
      </c>
    </row>
    <row r="62" spans="1:10" x14ac:dyDescent="0.2">
      <c r="A62" s="538"/>
      <c r="B62" s="44"/>
      <c r="C62" s="41"/>
      <c r="D62" s="41"/>
      <c r="E62" s="41"/>
      <c r="F62" s="41"/>
      <c r="G62" s="41"/>
      <c r="H62" s="41"/>
      <c r="I62" s="41"/>
      <c r="J62" s="41"/>
    </row>
    <row r="63" spans="1:10" ht="30" x14ac:dyDescent="0.2">
      <c r="A63" s="46" t="s">
        <v>51</v>
      </c>
      <c r="B63" s="47" t="str">
        <f>'PLANILHA ORÇAMENTÁRIA'!D17</f>
        <v xml:space="preserve">Demolição de piso cimentado, exclusive lastro de concreto </v>
      </c>
      <c r="C63" s="48" t="str">
        <f>'PLANILHA ORÇAMENTÁRIA'!E17</f>
        <v>m2</v>
      </c>
      <c r="D63" s="40" t="s">
        <v>399</v>
      </c>
      <c r="E63" s="40" t="s">
        <v>400</v>
      </c>
      <c r="F63" s="40" t="s">
        <v>401</v>
      </c>
      <c r="G63" s="40" t="s">
        <v>402</v>
      </c>
      <c r="H63" s="40" t="s">
        <v>403</v>
      </c>
      <c r="I63" s="40" t="s">
        <v>404</v>
      </c>
      <c r="J63" s="40" t="s">
        <v>405</v>
      </c>
    </row>
    <row r="64" spans="1:10" x14ac:dyDescent="0.2">
      <c r="A64" s="502"/>
      <c r="B64" s="45" t="s">
        <v>428</v>
      </c>
      <c r="C64" s="44"/>
      <c r="D64" s="44"/>
      <c r="E64" s="46">
        <v>6.3</v>
      </c>
      <c r="F64" s="46">
        <v>1.65</v>
      </c>
      <c r="G64" s="44"/>
      <c r="H64" s="46">
        <f>E64*F64</f>
        <v>10.395</v>
      </c>
      <c r="I64" s="44"/>
      <c r="J64" s="41">
        <f>H64</f>
        <v>10.395</v>
      </c>
    </row>
    <row r="65" spans="1:10" x14ac:dyDescent="0.2">
      <c r="A65" s="502"/>
      <c r="B65" s="45" t="s">
        <v>429</v>
      </c>
      <c r="C65" s="44"/>
      <c r="D65" s="44"/>
      <c r="E65" s="46">
        <v>8.15</v>
      </c>
      <c r="F65" s="46">
        <v>1.6</v>
      </c>
      <c r="G65" s="44"/>
      <c r="H65" s="46">
        <f>E65*F65</f>
        <v>13.040000000000001</v>
      </c>
      <c r="I65" s="44"/>
      <c r="J65" s="41">
        <f>H65</f>
        <v>13.040000000000001</v>
      </c>
    </row>
    <row r="66" spans="1:10" x14ac:dyDescent="0.2">
      <c r="A66" s="502"/>
      <c r="B66" s="44"/>
      <c r="C66" s="44"/>
      <c r="D66" s="44"/>
      <c r="E66" s="44"/>
      <c r="F66" s="44"/>
      <c r="G66" s="44"/>
      <c r="H66" s="44"/>
      <c r="I66" s="57" t="s">
        <v>408</v>
      </c>
      <c r="J66" s="58">
        <f>SUM(J64:J65)</f>
        <v>23.435000000000002</v>
      </c>
    </row>
    <row r="67" spans="1:10" x14ac:dyDescent="0.2">
      <c r="A67" s="502"/>
      <c r="B67" s="44"/>
      <c r="C67" s="44"/>
      <c r="D67" s="44"/>
      <c r="E67" s="44"/>
      <c r="F67" s="44"/>
      <c r="G67" s="44"/>
      <c r="H67" s="44"/>
      <c r="I67" s="44"/>
      <c r="J67" s="44"/>
    </row>
    <row r="68" spans="1:10" ht="30" x14ac:dyDescent="0.2">
      <c r="A68" s="46" t="s">
        <v>54</v>
      </c>
      <c r="B68" s="47" t="str">
        <f>'PLANILHA ORÇAMENTÁRIA'!D18</f>
        <v xml:space="preserve">Retirada de aparelhos sanitários </v>
      </c>
      <c r="C68" s="48" t="str">
        <f>'PLANILHA ORÇAMENTÁRIA'!E18</f>
        <v xml:space="preserve">und </v>
      </c>
      <c r="D68" s="49" t="s">
        <v>399</v>
      </c>
      <c r="E68" s="49" t="s">
        <v>400</v>
      </c>
      <c r="F68" s="49" t="s">
        <v>401</v>
      </c>
      <c r="G68" s="49" t="s">
        <v>402</v>
      </c>
      <c r="H68" s="49" t="s">
        <v>403</v>
      </c>
      <c r="I68" s="49" t="s">
        <v>404</v>
      </c>
      <c r="J68" s="40" t="s">
        <v>405</v>
      </c>
    </row>
    <row r="69" spans="1:10" x14ac:dyDescent="0.2">
      <c r="A69" s="502"/>
      <c r="B69" s="45" t="s">
        <v>430</v>
      </c>
      <c r="C69" s="41"/>
      <c r="D69" s="41">
        <v>3</v>
      </c>
      <c r="E69" s="41"/>
      <c r="F69" s="41"/>
      <c r="G69" s="41"/>
      <c r="H69" s="41"/>
      <c r="I69" s="41"/>
      <c r="J69" s="41">
        <f>D69</f>
        <v>3</v>
      </c>
    </row>
    <row r="70" spans="1:10" x14ac:dyDescent="0.2">
      <c r="A70" s="502"/>
      <c r="B70" s="45" t="s">
        <v>431</v>
      </c>
      <c r="C70" s="41"/>
      <c r="D70" s="41">
        <v>4</v>
      </c>
      <c r="E70" s="41"/>
      <c r="F70" s="41"/>
      <c r="G70" s="41"/>
      <c r="H70" s="41"/>
      <c r="I70" s="41"/>
      <c r="J70" s="41">
        <f>D70</f>
        <v>4</v>
      </c>
    </row>
    <row r="71" spans="1:10" x14ac:dyDescent="0.2">
      <c r="A71" s="502"/>
      <c r="B71" s="44"/>
      <c r="C71" s="41"/>
      <c r="D71" s="41"/>
      <c r="E71" s="41"/>
      <c r="F71" s="41"/>
      <c r="G71" s="41"/>
      <c r="H71" s="41"/>
      <c r="I71" s="57" t="s">
        <v>408</v>
      </c>
      <c r="J71" s="58">
        <f>SUM(J69:J70)</f>
        <v>7</v>
      </c>
    </row>
    <row r="72" spans="1:10" x14ac:dyDescent="0.2">
      <c r="A72" s="502"/>
      <c r="B72" s="44"/>
      <c r="C72" s="41"/>
      <c r="D72" s="41"/>
      <c r="E72" s="41"/>
      <c r="F72" s="41"/>
      <c r="G72" s="41"/>
      <c r="H72" s="41"/>
      <c r="I72" s="41"/>
      <c r="J72" s="41"/>
    </row>
    <row r="73" spans="1:10" ht="30" x14ac:dyDescent="0.2">
      <c r="A73" s="46" t="s">
        <v>58</v>
      </c>
      <c r="B73" s="47" t="str">
        <f>'PLANILHA ORÇAMENTÁRIA'!D19</f>
        <v xml:space="preserve">Retirada de grades, gradis, alambrados, cercas e portões  </v>
      </c>
      <c r="C73" s="48" t="str">
        <f>'PLANILHA ORÇAMENTÁRIA'!E19</f>
        <v>m2</v>
      </c>
      <c r="D73" s="49" t="s">
        <v>399</v>
      </c>
      <c r="E73" s="49" t="s">
        <v>400</v>
      </c>
      <c r="F73" s="49" t="s">
        <v>401</v>
      </c>
      <c r="G73" s="49" t="s">
        <v>402</v>
      </c>
      <c r="H73" s="49" t="s">
        <v>403</v>
      </c>
      <c r="I73" s="49" t="s">
        <v>404</v>
      </c>
      <c r="J73" s="40" t="s">
        <v>405</v>
      </c>
    </row>
    <row r="74" spans="1:10" x14ac:dyDescent="0.2">
      <c r="A74" s="502"/>
      <c r="B74" s="45" t="s">
        <v>432</v>
      </c>
      <c r="C74" s="41"/>
      <c r="D74" s="41"/>
      <c r="E74" s="41"/>
      <c r="F74" s="41">
        <v>1.78</v>
      </c>
      <c r="G74" s="41">
        <v>2.2000000000000002</v>
      </c>
      <c r="H74" s="41">
        <f>F74*G74</f>
        <v>3.9160000000000004</v>
      </c>
      <c r="I74" s="41"/>
      <c r="J74" s="41">
        <f>H74</f>
        <v>3.9160000000000004</v>
      </c>
    </row>
    <row r="75" spans="1:10" x14ac:dyDescent="0.2">
      <c r="A75" s="502"/>
      <c r="B75" s="45" t="s">
        <v>433</v>
      </c>
      <c r="C75" s="41"/>
      <c r="D75" s="41"/>
      <c r="E75" s="41"/>
      <c r="F75" s="41">
        <v>2.06</v>
      </c>
      <c r="G75" s="41">
        <v>2.2000000000000002</v>
      </c>
      <c r="H75" s="41">
        <f>F75*G75</f>
        <v>4.5320000000000009</v>
      </c>
      <c r="I75" s="41"/>
      <c r="J75" s="41">
        <f>H75</f>
        <v>4.5320000000000009</v>
      </c>
    </row>
    <row r="76" spans="1:10" x14ac:dyDescent="0.2">
      <c r="A76" s="502"/>
      <c r="B76" s="45" t="s">
        <v>434</v>
      </c>
      <c r="C76" s="41"/>
      <c r="D76" s="41"/>
      <c r="E76" s="41">
        <v>28.15</v>
      </c>
      <c r="F76" s="41"/>
      <c r="G76" s="41">
        <f>7-1.38</f>
        <v>5.62</v>
      </c>
      <c r="H76" s="41">
        <f>E76*G76</f>
        <v>158.203</v>
      </c>
      <c r="I76" s="41"/>
      <c r="J76" s="41">
        <f>H76</f>
        <v>158.203</v>
      </c>
    </row>
    <row r="77" spans="1:10" x14ac:dyDescent="0.2">
      <c r="A77" s="502"/>
      <c r="B77" s="44"/>
      <c r="C77" s="41"/>
      <c r="D77" s="41"/>
      <c r="E77" s="41"/>
      <c r="F77" s="41"/>
      <c r="G77" s="41"/>
      <c r="H77" s="41"/>
      <c r="I77" s="57" t="s">
        <v>408</v>
      </c>
      <c r="J77" s="58">
        <f>SUM(J74:J76)</f>
        <v>166.65100000000001</v>
      </c>
    </row>
    <row r="78" spans="1:10" x14ac:dyDescent="0.2">
      <c r="A78" s="502"/>
      <c r="B78" s="44"/>
      <c r="C78" s="41"/>
      <c r="D78" s="41"/>
      <c r="E78" s="41"/>
      <c r="F78" s="41"/>
      <c r="G78" s="41"/>
      <c r="H78" s="41"/>
      <c r="I78" s="41"/>
      <c r="J78" s="41"/>
    </row>
    <row r="79" spans="1:10" ht="30" x14ac:dyDescent="0.2">
      <c r="A79" s="46" t="s">
        <v>61</v>
      </c>
      <c r="B79" s="47" t="str">
        <f>'PLANILHA ORÇAMENTÁRIA'!D20</f>
        <v xml:space="preserve">Retirada de divisórias com reaproveitamento </v>
      </c>
      <c r="C79" s="48" t="str">
        <f>'PLANILHA ORÇAMENTÁRIA'!E20</f>
        <v>m2</v>
      </c>
      <c r="D79" s="49" t="s">
        <v>399</v>
      </c>
      <c r="E79" s="49" t="s">
        <v>400</v>
      </c>
      <c r="F79" s="49" t="s">
        <v>401</v>
      </c>
      <c r="G79" s="49" t="s">
        <v>402</v>
      </c>
      <c r="H79" s="49" t="s">
        <v>403</v>
      </c>
      <c r="I79" s="49" t="s">
        <v>404</v>
      </c>
      <c r="J79" s="40" t="s">
        <v>405</v>
      </c>
    </row>
    <row r="80" spans="1:10" x14ac:dyDescent="0.2">
      <c r="A80" s="502"/>
      <c r="B80" s="45" t="s">
        <v>411</v>
      </c>
      <c r="C80" s="41"/>
      <c r="D80" s="41">
        <v>2</v>
      </c>
      <c r="E80" s="41"/>
      <c r="F80" s="41">
        <v>0.75</v>
      </c>
      <c r="G80" s="41">
        <v>1.78</v>
      </c>
      <c r="H80" s="41">
        <f>F80*G80</f>
        <v>1.335</v>
      </c>
      <c r="I80" s="41"/>
      <c r="J80" s="41">
        <f>D80*H80</f>
        <v>2.67</v>
      </c>
    </row>
    <row r="81" spans="1:10" x14ac:dyDescent="0.2">
      <c r="A81" s="502"/>
      <c r="B81" s="44"/>
      <c r="C81" s="41"/>
      <c r="D81" s="41"/>
      <c r="E81" s="41"/>
      <c r="F81" s="41"/>
      <c r="G81" s="41"/>
      <c r="H81" s="41"/>
      <c r="I81" s="57" t="s">
        <v>408</v>
      </c>
      <c r="J81" s="58">
        <f>SUM(J80)</f>
        <v>2.67</v>
      </c>
    </row>
    <row r="82" spans="1:10" x14ac:dyDescent="0.2">
      <c r="A82" s="502"/>
      <c r="B82" s="44"/>
      <c r="C82" s="41"/>
      <c r="D82" s="41"/>
      <c r="E82" s="41"/>
      <c r="F82" s="41"/>
      <c r="G82" s="41"/>
      <c r="H82" s="41"/>
      <c r="I82" s="41"/>
      <c r="J82" s="41"/>
    </row>
    <row r="83" spans="1:10" ht="30" x14ac:dyDescent="0.2">
      <c r="A83" s="46" t="s">
        <v>64</v>
      </c>
      <c r="B83" s="47" t="str">
        <f>'PLANILHA ORÇAMENTÁRIA'!D21</f>
        <v xml:space="preserve">Retirada de pontos elétricos (luminárias, interruptores e tomadas) </v>
      </c>
      <c r="C83" s="48" t="str">
        <f>'PLANILHA ORÇAMENTÁRIA'!E21</f>
        <v>und</v>
      </c>
      <c r="D83" s="49" t="s">
        <v>399</v>
      </c>
      <c r="E83" s="49" t="s">
        <v>400</v>
      </c>
      <c r="F83" s="49" t="s">
        <v>401</v>
      </c>
      <c r="G83" s="49" t="s">
        <v>402</v>
      </c>
      <c r="H83" s="49" t="s">
        <v>403</v>
      </c>
      <c r="I83" s="49" t="s">
        <v>404</v>
      </c>
      <c r="J83" s="40" t="s">
        <v>405</v>
      </c>
    </row>
    <row r="84" spans="1:10" x14ac:dyDescent="0.2">
      <c r="A84" s="502"/>
      <c r="B84" s="45" t="s">
        <v>435</v>
      </c>
      <c r="C84" s="44"/>
      <c r="D84" s="46">
        <v>16</v>
      </c>
      <c r="E84" s="44"/>
      <c r="F84" s="44"/>
      <c r="G84" s="44"/>
      <c r="H84" s="44"/>
      <c r="I84" s="44"/>
      <c r="J84" s="46">
        <f>D84</f>
        <v>16</v>
      </c>
    </row>
    <row r="85" spans="1:10" x14ac:dyDescent="0.2">
      <c r="A85" s="502"/>
      <c r="B85" s="45" t="s">
        <v>436</v>
      </c>
      <c r="C85" s="44"/>
      <c r="D85" s="41">
        <v>8</v>
      </c>
      <c r="E85" s="44"/>
      <c r="F85" s="44"/>
      <c r="G85" s="44"/>
      <c r="H85" s="44"/>
      <c r="I85" s="44"/>
      <c r="J85" s="46">
        <f t="shared" ref="J85:J87" si="7">D85</f>
        <v>8</v>
      </c>
    </row>
    <row r="86" spans="1:10" x14ac:dyDescent="0.2">
      <c r="A86" s="502"/>
      <c r="B86" s="45" t="s">
        <v>437</v>
      </c>
      <c r="C86" s="44"/>
      <c r="D86" s="41">
        <v>7</v>
      </c>
      <c r="E86" s="44"/>
      <c r="F86" s="44"/>
      <c r="G86" s="44"/>
      <c r="H86" s="44"/>
      <c r="I86" s="44"/>
      <c r="J86" s="46">
        <f>D86</f>
        <v>7</v>
      </c>
    </row>
    <row r="87" spans="1:10" x14ac:dyDescent="0.2">
      <c r="A87" s="502"/>
      <c r="B87" s="45" t="s">
        <v>438</v>
      </c>
      <c r="C87" s="44"/>
      <c r="D87" s="41">
        <v>4</v>
      </c>
      <c r="E87" s="44"/>
      <c r="F87" s="44"/>
      <c r="G87" s="44"/>
      <c r="H87" s="44"/>
      <c r="I87" s="44"/>
      <c r="J87" s="46">
        <f t="shared" si="7"/>
        <v>4</v>
      </c>
    </row>
    <row r="88" spans="1:10" x14ac:dyDescent="0.2">
      <c r="A88" s="502"/>
      <c r="B88" s="45"/>
      <c r="C88" s="44"/>
      <c r="D88" s="41"/>
      <c r="E88" s="44"/>
      <c r="F88" s="44"/>
      <c r="G88" s="44"/>
      <c r="H88" s="44"/>
      <c r="I88" s="57" t="s">
        <v>408</v>
      </c>
      <c r="J88" s="58">
        <f>SUM(J84:J87)</f>
        <v>35</v>
      </c>
    </row>
    <row r="89" spans="1:10" x14ac:dyDescent="0.2">
      <c r="A89" s="502"/>
      <c r="B89" s="44"/>
      <c r="C89" s="44"/>
      <c r="D89" s="44"/>
      <c r="E89" s="44"/>
      <c r="F89" s="44"/>
      <c r="G89" s="44"/>
      <c r="H89" s="44"/>
      <c r="I89" s="44"/>
      <c r="J89" s="44"/>
    </row>
    <row r="90" spans="1:10" ht="30" x14ac:dyDescent="0.2">
      <c r="A90" s="46" t="s">
        <v>68</v>
      </c>
      <c r="B90" s="47" t="str">
        <f>'PLANILHA ORÇAMENTÁRIA'!D22</f>
        <v>Lixamento de parede com pintura antiga PVA para recebimento de nova camada de tinta</v>
      </c>
      <c r="C90" s="48" t="str">
        <f>'PLANILHA ORÇAMENTÁRIA'!E22</f>
        <v xml:space="preserve"> m2</v>
      </c>
      <c r="D90" s="40" t="s">
        <v>399</v>
      </c>
      <c r="E90" s="40" t="s">
        <v>400</v>
      </c>
      <c r="F90" s="40" t="s">
        <v>401</v>
      </c>
      <c r="G90" s="40" t="s">
        <v>402</v>
      </c>
      <c r="H90" s="40" t="s">
        <v>403</v>
      </c>
      <c r="I90" s="40" t="s">
        <v>404</v>
      </c>
      <c r="J90" s="40" t="s">
        <v>405</v>
      </c>
    </row>
    <row r="91" spans="1:10" ht="28.5" x14ac:dyDescent="0.2">
      <c r="A91" s="502"/>
      <c r="B91" s="44"/>
      <c r="C91" s="44"/>
      <c r="D91" s="44"/>
      <c r="E91" s="44"/>
      <c r="F91" s="44"/>
      <c r="G91" s="44"/>
      <c r="H91" s="44"/>
      <c r="I91" s="108" t="s">
        <v>409</v>
      </c>
      <c r="J91" s="44"/>
    </row>
    <row r="92" spans="1:10" x14ac:dyDescent="0.2">
      <c r="A92" s="502"/>
      <c r="B92" s="503" t="s">
        <v>439</v>
      </c>
      <c r="C92" s="44"/>
      <c r="D92" s="44"/>
      <c r="E92" s="55">
        <v>18.850000000000001</v>
      </c>
      <c r="F92" s="55"/>
      <c r="G92" s="55">
        <v>1.38</v>
      </c>
      <c r="H92" s="41">
        <f>E92*G92</f>
        <v>26.013000000000002</v>
      </c>
      <c r="I92" s="44"/>
      <c r="J92" s="41">
        <f t="shared" ref="J92:J99" si="8">H92</f>
        <v>26.013000000000002</v>
      </c>
    </row>
    <row r="93" spans="1:10" x14ac:dyDescent="0.2">
      <c r="A93" s="502"/>
      <c r="B93" s="524"/>
      <c r="C93" s="44"/>
      <c r="D93" s="44"/>
      <c r="E93" s="55">
        <v>1.74</v>
      </c>
      <c r="F93" s="55"/>
      <c r="G93" s="55">
        <v>1.38</v>
      </c>
      <c r="H93" s="41">
        <f t="shared" ref="H93:H94" si="9">E93*G93</f>
        <v>2.4011999999999998</v>
      </c>
      <c r="I93" s="44"/>
      <c r="J93" s="41">
        <f t="shared" si="8"/>
        <v>2.4011999999999998</v>
      </c>
    </row>
    <row r="94" spans="1:10" x14ac:dyDescent="0.2">
      <c r="A94" s="502"/>
      <c r="B94" s="504"/>
      <c r="C94" s="44"/>
      <c r="D94" s="44"/>
      <c r="E94" s="55">
        <v>7.43</v>
      </c>
      <c r="F94" s="55"/>
      <c r="G94" s="55">
        <v>1.38</v>
      </c>
      <c r="H94" s="41">
        <f t="shared" si="9"/>
        <v>10.253399999999999</v>
      </c>
      <c r="I94" s="44"/>
      <c r="J94" s="41">
        <f t="shared" si="8"/>
        <v>10.253399999999999</v>
      </c>
    </row>
    <row r="95" spans="1:10" x14ac:dyDescent="0.2">
      <c r="A95" s="502"/>
      <c r="B95" s="103" t="s">
        <v>440</v>
      </c>
      <c r="C95" s="44"/>
      <c r="D95" s="44"/>
      <c r="E95" s="55"/>
      <c r="F95" s="55"/>
      <c r="G95" s="41"/>
      <c r="H95" s="41">
        <v>11.85</v>
      </c>
      <c r="I95" s="44"/>
      <c r="J95" s="41">
        <f t="shared" si="8"/>
        <v>11.85</v>
      </c>
    </row>
    <row r="96" spans="1:10" x14ac:dyDescent="0.2">
      <c r="A96" s="502"/>
      <c r="B96" s="45" t="s">
        <v>441</v>
      </c>
      <c r="C96" s="44"/>
      <c r="D96" s="44"/>
      <c r="E96" s="44"/>
      <c r="F96" s="44"/>
      <c r="G96" s="44"/>
      <c r="H96" s="55">
        <v>106.6</v>
      </c>
      <c r="I96" s="44"/>
      <c r="J96" s="55">
        <f t="shared" si="8"/>
        <v>106.6</v>
      </c>
    </row>
    <row r="97" spans="1:10" x14ac:dyDescent="0.2">
      <c r="A97" s="502"/>
      <c r="B97" s="45" t="s">
        <v>442</v>
      </c>
      <c r="C97" s="44"/>
      <c r="D97" s="45"/>
      <c r="E97" s="44"/>
      <c r="F97" s="44"/>
      <c r="G97" s="44"/>
      <c r="H97" s="41">
        <f>2.3*1.45+2.3*1.77+2.3*2.1+2.3*2.42+2.3*2.74+2.3*3.06</f>
        <v>31.141999999999999</v>
      </c>
      <c r="I97" s="44"/>
      <c r="J97" s="41">
        <f t="shared" si="8"/>
        <v>31.141999999999999</v>
      </c>
    </row>
    <row r="98" spans="1:10" x14ac:dyDescent="0.2">
      <c r="A98" s="502"/>
      <c r="B98" s="45" t="s">
        <v>443</v>
      </c>
      <c r="C98" s="44"/>
      <c r="D98" s="44"/>
      <c r="E98" s="55">
        <v>7.82</v>
      </c>
      <c r="F98" s="55"/>
      <c r="G98" s="55">
        <v>1.38</v>
      </c>
      <c r="H98" s="41">
        <f>E98*G98</f>
        <v>10.791599999999999</v>
      </c>
      <c r="I98" s="44"/>
      <c r="J98" s="41">
        <f t="shared" si="8"/>
        <v>10.791599999999999</v>
      </c>
    </row>
    <row r="99" spans="1:10" x14ac:dyDescent="0.2">
      <c r="A99" s="502"/>
      <c r="B99" s="45" t="s">
        <v>444</v>
      </c>
      <c r="C99" s="44"/>
      <c r="D99" s="44"/>
      <c r="E99" s="41">
        <v>10</v>
      </c>
      <c r="F99" s="41"/>
      <c r="G99" s="41">
        <v>1.9</v>
      </c>
      <c r="H99" s="41">
        <f>E99*G99</f>
        <v>19</v>
      </c>
      <c r="I99" s="44"/>
      <c r="J99" s="41">
        <f t="shared" si="8"/>
        <v>19</v>
      </c>
    </row>
    <row r="100" spans="1:10" x14ac:dyDescent="0.2">
      <c r="A100" s="502"/>
      <c r="B100" s="503" t="s">
        <v>445</v>
      </c>
      <c r="C100" s="44"/>
      <c r="D100" s="41">
        <v>2</v>
      </c>
      <c r="E100" s="41">
        <v>1.75</v>
      </c>
      <c r="F100" s="41"/>
      <c r="G100" s="41">
        <v>3.45</v>
      </c>
      <c r="H100" s="41">
        <f>D100*E100*G100</f>
        <v>12.075000000000001</v>
      </c>
      <c r="I100" s="55">
        <f>0.7*2.1+0.5*0.5</f>
        <v>1.72</v>
      </c>
      <c r="J100" s="41">
        <f>H100-I100</f>
        <v>10.355</v>
      </c>
    </row>
    <row r="101" spans="1:10" x14ac:dyDescent="0.2">
      <c r="A101" s="502"/>
      <c r="B101" s="504"/>
      <c r="C101" s="44"/>
      <c r="D101" s="41">
        <v>1</v>
      </c>
      <c r="E101" s="41">
        <v>3.3</v>
      </c>
      <c r="F101" s="41"/>
      <c r="G101" s="41">
        <f>3.45-1.38</f>
        <v>2.0700000000000003</v>
      </c>
      <c r="H101" s="41">
        <f>D101*E101*G101</f>
        <v>6.8310000000000004</v>
      </c>
      <c r="I101" s="55">
        <f>1.5*1.1</f>
        <v>1.6500000000000001</v>
      </c>
      <c r="J101" s="41">
        <f>H101-I101</f>
        <v>5.181</v>
      </c>
    </row>
    <row r="102" spans="1:10" x14ac:dyDescent="0.2">
      <c r="A102" s="502"/>
      <c r="B102" s="45" t="s">
        <v>446</v>
      </c>
      <c r="C102" s="44"/>
      <c r="D102" s="44"/>
      <c r="E102" s="41">
        <f>3*2+1.6*2</f>
        <v>9.1999999999999993</v>
      </c>
      <c r="F102" s="41"/>
      <c r="G102" s="41">
        <v>3</v>
      </c>
      <c r="H102" s="41">
        <f>E102*G102</f>
        <v>27.599999999999998</v>
      </c>
      <c r="I102" s="55">
        <f>0.7*2.1+0.5*0.5+1.5*1.1</f>
        <v>3.37</v>
      </c>
      <c r="J102" s="41">
        <f>H102-I102</f>
        <v>24.229999999999997</v>
      </c>
    </row>
    <row r="103" spans="1:10" x14ac:dyDescent="0.2">
      <c r="A103" s="502"/>
      <c r="B103" s="45" t="s">
        <v>447</v>
      </c>
      <c r="C103" s="44"/>
      <c r="D103" s="44"/>
      <c r="E103" s="55">
        <f>4.55*2+2.88*2</f>
        <v>14.86</v>
      </c>
      <c r="F103" s="44"/>
      <c r="G103" s="55">
        <f>(1.15+1.55)/2</f>
        <v>1.35</v>
      </c>
      <c r="H103" s="41">
        <f>E103*G103</f>
        <v>20.061</v>
      </c>
      <c r="I103" s="44"/>
      <c r="J103" s="41">
        <f>H103-I103</f>
        <v>20.061</v>
      </c>
    </row>
    <row r="104" spans="1:10" x14ac:dyDescent="0.2">
      <c r="A104" s="502"/>
      <c r="B104" s="503" t="s">
        <v>448</v>
      </c>
      <c r="C104" s="44"/>
      <c r="D104" s="44"/>
      <c r="E104" s="55">
        <v>10.15</v>
      </c>
      <c r="F104" s="44"/>
      <c r="G104" s="55">
        <v>3.5</v>
      </c>
      <c r="H104" s="41">
        <f>E104*G104</f>
        <v>35.524999999999999</v>
      </c>
      <c r="I104" s="41">
        <f>0.6*0.6*3+1.3*0.44*2</f>
        <v>2.2240000000000002</v>
      </c>
      <c r="J104" s="41">
        <f>H104-I104</f>
        <v>33.301000000000002</v>
      </c>
    </row>
    <row r="105" spans="1:10" x14ac:dyDescent="0.2">
      <c r="A105" s="502"/>
      <c r="B105" s="504"/>
      <c r="C105" s="44"/>
      <c r="D105" s="41"/>
      <c r="E105" s="55">
        <v>3.03</v>
      </c>
      <c r="F105" s="44"/>
      <c r="G105" s="41">
        <f>(3.5+3.9)/2</f>
        <v>3.7</v>
      </c>
      <c r="H105" s="41">
        <f>E105*G105</f>
        <v>11.211</v>
      </c>
      <c r="I105" s="44"/>
      <c r="J105" s="41">
        <f>H105</f>
        <v>11.211</v>
      </c>
    </row>
    <row r="106" spans="1:10" x14ac:dyDescent="0.2">
      <c r="A106" s="502"/>
      <c r="B106" s="103"/>
      <c r="C106" s="44"/>
      <c r="D106" s="44"/>
      <c r="E106" s="55"/>
      <c r="F106" s="44"/>
      <c r="G106" s="55"/>
      <c r="H106" s="41"/>
      <c r="I106" s="57" t="s">
        <v>408</v>
      </c>
      <c r="J106" s="58">
        <f>SUM(J92:J105)</f>
        <v>322.39019999999994</v>
      </c>
    </row>
    <row r="107" spans="1:10" x14ac:dyDescent="0.2">
      <c r="A107" s="502"/>
      <c r="B107" s="45"/>
      <c r="C107" s="44"/>
      <c r="D107" s="44"/>
      <c r="E107" s="44"/>
      <c r="F107" s="44"/>
      <c r="G107" s="44"/>
      <c r="H107" s="44"/>
      <c r="I107" s="44"/>
      <c r="J107" s="44"/>
    </row>
    <row r="108" spans="1:10" ht="30" x14ac:dyDescent="0.2">
      <c r="A108" s="46" t="s">
        <v>72</v>
      </c>
      <c r="B108" s="47" t="str">
        <f>'PLANILHA ORÇAMENTÁRIA'!D23</f>
        <v>Remoção de telha ondulada de fibrocimento, inclusive cumeeira</v>
      </c>
      <c r="C108" s="48" t="str">
        <f>'PLANILHA ORÇAMENTÁRIA'!E23</f>
        <v>m2</v>
      </c>
      <c r="D108" s="49" t="s">
        <v>399</v>
      </c>
      <c r="E108" s="49" t="s">
        <v>400</v>
      </c>
      <c r="F108" s="49" t="s">
        <v>401</v>
      </c>
      <c r="G108" s="49" t="s">
        <v>402</v>
      </c>
      <c r="H108" s="49" t="s">
        <v>403</v>
      </c>
      <c r="I108" s="49" t="s">
        <v>404</v>
      </c>
      <c r="J108" s="40" t="s">
        <v>405</v>
      </c>
    </row>
    <row r="109" spans="1:10" x14ac:dyDescent="0.2">
      <c r="A109" s="502"/>
      <c r="B109" s="45" t="s">
        <v>449</v>
      </c>
      <c r="C109" s="44"/>
      <c r="D109" s="44"/>
      <c r="E109" s="46">
        <v>11.15</v>
      </c>
      <c r="F109" s="46">
        <v>3.5</v>
      </c>
      <c r="G109" s="46"/>
      <c r="H109" s="46">
        <f>E109*F109</f>
        <v>39.024999999999999</v>
      </c>
      <c r="I109" s="44"/>
      <c r="J109" s="46">
        <f>H109</f>
        <v>39.024999999999999</v>
      </c>
    </row>
    <row r="110" spans="1:10" x14ac:dyDescent="0.2">
      <c r="A110" s="502"/>
      <c r="B110" s="44"/>
      <c r="C110" s="44"/>
      <c r="D110" s="44"/>
      <c r="E110" s="44"/>
      <c r="F110" s="44"/>
      <c r="G110" s="44"/>
      <c r="H110" s="44"/>
      <c r="I110" s="57" t="s">
        <v>408</v>
      </c>
      <c r="J110" s="58">
        <f>SUM(J109)</f>
        <v>39.024999999999999</v>
      </c>
    </row>
    <row r="111" spans="1:10" x14ac:dyDescent="0.2">
      <c r="A111" s="502"/>
      <c r="B111" s="44"/>
      <c r="C111" s="44"/>
      <c r="D111" s="44"/>
      <c r="E111" s="44"/>
      <c r="F111" s="44"/>
      <c r="G111" s="44"/>
      <c r="H111" s="44"/>
      <c r="I111" s="44"/>
      <c r="J111" s="44"/>
    </row>
    <row r="112" spans="1:10" ht="30" x14ac:dyDescent="0.2">
      <c r="A112" s="46" t="s">
        <v>75</v>
      </c>
      <c r="B112" s="192" t="str">
        <f>'PLANILHA ORÇAMENTÁRIA'!D24</f>
        <v xml:space="preserve">Retirada de caixas/quadros elétricos </v>
      </c>
      <c r="C112" s="60" t="str">
        <f>'PLANILHA ORÇAMENTÁRIA'!E24</f>
        <v>und</v>
      </c>
      <c r="D112" s="61" t="s">
        <v>399</v>
      </c>
      <c r="E112" s="61" t="s">
        <v>400</v>
      </c>
      <c r="F112" s="61" t="s">
        <v>401</v>
      </c>
      <c r="G112" s="61" t="s">
        <v>402</v>
      </c>
      <c r="H112" s="61" t="s">
        <v>403</v>
      </c>
      <c r="I112" s="61" t="s">
        <v>404</v>
      </c>
      <c r="J112" s="62" t="s">
        <v>405</v>
      </c>
    </row>
    <row r="113" spans="1:10" x14ac:dyDescent="0.2">
      <c r="A113" s="510"/>
      <c r="B113" s="45" t="s">
        <v>450</v>
      </c>
      <c r="C113" s="46">
        <v>1</v>
      </c>
      <c r="D113" s="44"/>
      <c r="E113" s="44"/>
      <c r="F113" s="44"/>
      <c r="G113" s="44"/>
      <c r="H113" s="44"/>
      <c r="I113" s="57"/>
      <c r="J113" s="41">
        <f>C113</f>
        <v>1</v>
      </c>
    </row>
    <row r="114" spans="1:10" x14ac:dyDescent="0.2">
      <c r="A114" s="511"/>
      <c r="B114" s="44"/>
      <c r="C114" s="44"/>
      <c r="D114" s="44"/>
      <c r="E114" s="44"/>
      <c r="F114" s="44"/>
      <c r="G114" s="44"/>
      <c r="H114" s="44"/>
      <c r="I114" s="57" t="s">
        <v>408</v>
      </c>
      <c r="J114" s="58">
        <f>SUM(J113)</f>
        <v>1</v>
      </c>
    </row>
    <row r="115" spans="1:10" x14ac:dyDescent="0.2">
      <c r="A115" s="511"/>
      <c r="B115" s="44"/>
      <c r="C115" s="44"/>
      <c r="D115" s="44"/>
      <c r="E115" s="44"/>
      <c r="F115" s="44"/>
      <c r="G115" s="44"/>
      <c r="H115" s="44"/>
      <c r="I115" s="57"/>
      <c r="J115" s="58"/>
    </row>
    <row r="116" spans="1:10" ht="30" x14ac:dyDescent="0.2">
      <c r="A116" s="46" t="s">
        <v>78</v>
      </c>
      <c r="B116" s="223" t="str">
        <f>'PLANILHA ORÇAMENTÁRIA'!D25</f>
        <v xml:space="preserve">Demolição de estrutura de madeira para telhado </v>
      </c>
      <c r="C116" s="60" t="str">
        <f>'PLANILHA ORÇAMENTÁRIA'!E25</f>
        <v>m2</v>
      </c>
      <c r="D116" s="61" t="s">
        <v>399</v>
      </c>
      <c r="E116" s="61" t="s">
        <v>400</v>
      </c>
      <c r="F116" s="61" t="s">
        <v>401</v>
      </c>
      <c r="G116" s="61" t="s">
        <v>402</v>
      </c>
      <c r="H116" s="61" t="s">
        <v>403</v>
      </c>
      <c r="I116" s="61" t="s">
        <v>404</v>
      </c>
      <c r="J116" s="62" t="s">
        <v>405</v>
      </c>
    </row>
    <row r="117" spans="1:10" x14ac:dyDescent="0.2">
      <c r="A117" s="511"/>
      <c r="B117" s="45" t="s">
        <v>449</v>
      </c>
      <c r="C117" s="44"/>
      <c r="D117" s="44"/>
      <c r="E117" s="46">
        <v>11.15</v>
      </c>
      <c r="F117" s="46">
        <v>3.5</v>
      </c>
      <c r="G117" s="46"/>
      <c r="H117" s="46">
        <f>E117*F117</f>
        <v>39.024999999999999</v>
      </c>
      <c r="I117" s="44"/>
      <c r="J117" s="46">
        <f>H117</f>
        <v>39.024999999999999</v>
      </c>
    </row>
    <row r="118" spans="1:10" x14ac:dyDescent="0.2">
      <c r="A118" s="511"/>
      <c r="B118" s="44"/>
      <c r="C118" s="44"/>
      <c r="D118" s="44"/>
      <c r="E118" s="44"/>
      <c r="F118" s="44"/>
      <c r="G118" s="44"/>
      <c r="H118" s="44"/>
      <c r="I118" s="57" t="s">
        <v>408</v>
      </c>
      <c r="J118" s="58">
        <f>SUM(J117)</f>
        <v>39.024999999999999</v>
      </c>
    </row>
    <row r="119" spans="1:10" x14ac:dyDescent="0.2">
      <c r="A119" s="513"/>
      <c r="B119" s="44"/>
      <c r="C119" s="44"/>
      <c r="D119" s="44"/>
      <c r="E119" s="44"/>
      <c r="F119" s="44"/>
      <c r="G119" s="44"/>
      <c r="H119" s="44"/>
      <c r="I119" s="57"/>
      <c r="J119" s="58"/>
    </row>
    <row r="120" spans="1:10" ht="30" x14ac:dyDescent="0.2">
      <c r="A120" s="46" t="s">
        <v>81</v>
      </c>
      <c r="B120" s="192" t="str">
        <f>'PLANILHA ORÇAMENTÁRIA'!D26</f>
        <v xml:space="preserve">Retirada de piso de borracha </v>
      </c>
      <c r="C120" s="60" t="str">
        <f>'PLANILHA ORÇAMENTÁRIA'!E26</f>
        <v xml:space="preserve">m2 </v>
      </c>
      <c r="D120" s="61" t="s">
        <v>399</v>
      </c>
      <c r="E120" s="61" t="s">
        <v>400</v>
      </c>
      <c r="F120" s="61" t="s">
        <v>401</v>
      </c>
      <c r="G120" s="61" t="s">
        <v>402</v>
      </c>
      <c r="H120" s="61" t="s">
        <v>403</v>
      </c>
      <c r="I120" s="61" t="s">
        <v>404</v>
      </c>
      <c r="J120" s="62" t="s">
        <v>405</v>
      </c>
    </row>
    <row r="121" spans="1:10" x14ac:dyDescent="0.2">
      <c r="A121" s="510"/>
      <c r="B121" s="45" t="s">
        <v>428</v>
      </c>
      <c r="C121" s="44"/>
      <c r="D121" s="44"/>
      <c r="E121" s="46">
        <v>6.3</v>
      </c>
      <c r="F121" s="46">
        <v>1.65</v>
      </c>
      <c r="G121" s="44"/>
      <c r="H121" s="46">
        <f>E121*F121</f>
        <v>10.395</v>
      </c>
      <c r="I121" s="44"/>
      <c r="J121" s="41">
        <f>H121</f>
        <v>10.395</v>
      </c>
    </row>
    <row r="122" spans="1:10" x14ac:dyDescent="0.2">
      <c r="A122" s="511"/>
      <c r="B122" s="45" t="s">
        <v>429</v>
      </c>
      <c r="C122" s="44"/>
      <c r="D122" s="44"/>
      <c r="E122" s="46">
        <v>8.15</v>
      </c>
      <c r="F122" s="46">
        <v>1.6</v>
      </c>
      <c r="G122" s="44"/>
      <c r="H122" s="46">
        <f>E122*F122</f>
        <v>13.040000000000001</v>
      </c>
      <c r="I122" s="44"/>
      <c r="J122" s="41">
        <f>H122</f>
        <v>13.040000000000001</v>
      </c>
    </row>
    <row r="123" spans="1:10" x14ac:dyDescent="0.2">
      <c r="A123" s="511"/>
      <c r="B123" s="44"/>
      <c r="C123" s="44"/>
      <c r="D123" s="44"/>
      <c r="E123" s="44"/>
      <c r="F123" s="44"/>
      <c r="G123" s="44"/>
      <c r="H123" s="44"/>
      <c r="I123" s="57" t="s">
        <v>408</v>
      </c>
      <c r="J123" s="58">
        <f>SUM(J121:J122)</f>
        <v>23.435000000000002</v>
      </c>
    </row>
    <row r="124" spans="1:10" x14ac:dyDescent="0.2">
      <c r="A124" s="513"/>
      <c r="B124" s="50"/>
      <c r="C124" s="50"/>
      <c r="D124" s="50"/>
      <c r="E124" s="50"/>
      <c r="F124" s="50"/>
      <c r="G124" s="50"/>
      <c r="H124" s="50"/>
      <c r="I124" s="50"/>
      <c r="J124" s="50"/>
    </row>
    <row r="125" spans="1:10" ht="15" x14ac:dyDescent="0.2">
      <c r="A125" s="33">
        <v>2</v>
      </c>
      <c r="B125" s="51" t="str">
        <f>'PLANILHA ORÇAMENTÁRIA'!D28</f>
        <v>INSTALAÇÃO DO CANTEIRO DE OBRAS</v>
      </c>
      <c r="C125" s="52"/>
      <c r="D125" s="53"/>
      <c r="E125" s="53"/>
      <c r="F125" s="53"/>
      <c r="G125" s="53"/>
      <c r="H125" s="53"/>
      <c r="I125" s="53"/>
      <c r="J125" s="53"/>
    </row>
    <row r="126" spans="1:10" ht="15" x14ac:dyDescent="0.2">
      <c r="A126" s="54" t="s">
        <v>87</v>
      </c>
      <c r="B126" s="493" t="str">
        <f>'PLANILHA ORÇAMENTÁRIA'!D29</f>
        <v>TAPUMES, BARRACÕES E COBERTURAS</v>
      </c>
      <c r="C126" s="493"/>
      <c r="D126" s="493"/>
      <c r="E126" s="493"/>
      <c r="F126" s="493"/>
      <c r="G126" s="493"/>
      <c r="H126" s="493"/>
      <c r="I126" s="493"/>
      <c r="J126" s="493"/>
    </row>
    <row r="127" spans="1:10" ht="30" x14ac:dyDescent="0.2">
      <c r="A127" s="46" t="s">
        <v>90</v>
      </c>
      <c r="B127" s="47" t="str">
        <f>'PLANILHA ORÇAMENTÁRIA'!D30</f>
        <v xml:space="preserve">Placa de obra nas dimensões de 2.0 x 4.0 m, padrão IOPES </v>
      </c>
      <c r="C127" s="48" t="str">
        <f>'PLANILHA ORÇAMENTÁRIA'!E30</f>
        <v xml:space="preserve">m2 </v>
      </c>
      <c r="D127" s="49" t="s">
        <v>399</v>
      </c>
      <c r="E127" s="49" t="s">
        <v>400</v>
      </c>
      <c r="F127" s="49" t="s">
        <v>401</v>
      </c>
      <c r="G127" s="49" t="s">
        <v>402</v>
      </c>
      <c r="H127" s="49" t="s">
        <v>403</v>
      </c>
      <c r="I127" s="49" t="s">
        <v>404</v>
      </c>
      <c r="J127" s="40" t="s">
        <v>405</v>
      </c>
    </row>
    <row r="128" spans="1:10" x14ac:dyDescent="0.2">
      <c r="A128" s="502"/>
      <c r="B128" s="45" t="s">
        <v>451</v>
      </c>
      <c r="C128" s="44"/>
      <c r="D128" s="46">
        <v>1</v>
      </c>
      <c r="E128" s="46">
        <v>4</v>
      </c>
      <c r="F128" s="46"/>
      <c r="G128" s="46">
        <v>2</v>
      </c>
      <c r="H128" s="46">
        <f>D128*E128*G128</f>
        <v>8</v>
      </c>
      <c r="I128" s="44"/>
      <c r="J128" s="46">
        <f>H128</f>
        <v>8</v>
      </c>
    </row>
    <row r="129" spans="1:10" x14ac:dyDescent="0.2">
      <c r="A129" s="502"/>
      <c r="B129" s="44"/>
      <c r="C129" s="44"/>
      <c r="D129" s="44"/>
      <c r="E129" s="44"/>
      <c r="F129" s="44"/>
      <c r="G129" s="44"/>
      <c r="H129" s="44"/>
      <c r="I129" s="57" t="s">
        <v>408</v>
      </c>
      <c r="J129" s="58">
        <f>SUM(J128)</f>
        <v>8</v>
      </c>
    </row>
    <row r="130" spans="1:10" x14ac:dyDescent="0.2">
      <c r="A130" s="502"/>
      <c r="B130" s="44"/>
      <c r="C130" s="44"/>
      <c r="D130" s="44"/>
      <c r="E130" s="44"/>
      <c r="F130" s="44"/>
      <c r="G130" s="44"/>
      <c r="H130" s="44"/>
      <c r="I130" s="44"/>
      <c r="J130" s="44"/>
    </row>
    <row r="131" spans="1:10" ht="56.25" customHeight="1" x14ac:dyDescent="0.2">
      <c r="A131" s="283" t="s">
        <v>93</v>
      </c>
      <c r="B131" s="284" t="str">
        <f>'PLANILHA ORÇAMENTÁRIA'!D31</f>
        <v xml:space="preserve">Locação de andaime metálico para trabalho em fachada de edifíco (aluguel de 1 m² por 1 mês) inclusive frete, montagem e desmontagem </v>
      </c>
      <c r="C131" s="285" t="str">
        <f>'PLANILHA ORÇAMENTÁRIA'!E31</f>
        <v>m2</v>
      </c>
      <c r="D131" s="286" t="s">
        <v>399</v>
      </c>
      <c r="E131" s="286" t="s">
        <v>400</v>
      </c>
      <c r="F131" s="286" t="s">
        <v>401</v>
      </c>
      <c r="G131" s="286" t="s">
        <v>402</v>
      </c>
      <c r="H131" s="286" t="s">
        <v>403</v>
      </c>
      <c r="I131" s="286" t="s">
        <v>404</v>
      </c>
      <c r="J131" s="286" t="s">
        <v>405</v>
      </c>
    </row>
    <row r="132" spans="1:10" x14ac:dyDescent="0.2">
      <c r="A132" s="521"/>
      <c r="B132" s="287" t="s">
        <v>452</v>
      </c>
      <c r="C132" s="288"/>
      <c r="D132" s="289">
        <v>2</v>
      </c>
      <c r="E132" s="283">
        <v>6</v>
      </c>
      <c r="F132" s="283"/>
      <c r="G132" s="283">
        <v>7.9</v>
      </c>
      <c r="H132" s="283">
        <f>D132*E132*G132</f>
        <v>94.800000000000011</v>
      </c>
      <c r="I132" s="283"/>
      <c r="J132" s="283">
        <f>H132</f>
        <v>94.800000000000011</v>
      </c>
    </row>
    <row r="133" spans="1:10" x14ac:dyDescent="0.2">
      <c r="A133" s="521"/>
      <c r="B133" s="287" t="s">
        <v>453</v>
      </c>
      <c r="C133" s="288"/>
      <c r="D133" s="289"/>
      <c r="E133" s="283">
        <v>6</v>
      </c>
      <c r="F133" s="283"/>
      <c r="G133" s="283">
        <f>(7+7.7+9)/3</f>
        <v>7.8999999999999995</v>
      </c>
      <c r="H133" s="283">
        <f>E133*G133</f>
        <v>47.4</v>
      </c>
      <c r="I133" s="283" t="s">
        <v>454</v>
      </c>
      <c r="J133" s="283">
        <f>H133</f>
        <v>47.4</v>
      </c>
    </row>
    <row r="134" spans="1:10" x14ac:dyDescent="0.2">
      <c r="A134" s="521"/>
      <c r="B134" s="287"/>
      <c r="C134" s="288"/>
      <c r="D134" s="288"/>
      <c r="E134" s="283"/>
      <c r="F134" s="283"/>
      <c r="G134" s="283"/>
      <c r="H134" s="283"/>
      <c r="I134" s="304" t="s">
        <v>408</v>
      </c>
      <c r="J134" s="304">
        <f>SUM(J132:J133)</f>
        <v>142.20000000000002</v>
      </c>
    </row>
    <row r="135" spans="1:10" x14ac:dyDescent="0.2">
      <c r="A135" s="521"/>
      <c r="B135" s="288"/>
      <c r="C135" s="288"/>
      <c r="D135" s="288"/>
      <c r="E135" s="283"/>
      <c r="F135" s="283"/>
      <c r="G135" s="283"/>
      <c r="H135" s="283"/>
      <c r="I135" s="283"/>
      <c r="J135" s="283"/>
    </row>
    <row r="136" spans="1:10" ht="70.5" customHeight="1" x14ac:dyDescent="0.2">
      <c r="A136" s="46" t="s">
        <v>96</v>
      </c>
      <c r="B136" s="47" t="str">
        <f>'PLANILHA ORÇAMENTÁRIA'!D32</f>
        <v>Tapume Telha Metálica Ondulada em aço galvalume 0,50mm Branca h=2,20m, incl. montagem estr. mad. 8"x8", c/adesivo "DER-ES" 60x60cm a cada 10m, incl. faixas pint. esmalte sint. cores azul c/ h=30cm e rosa c/ h=10cm (Reaproveitamento 2x)</v>
      </c>
      <c r="C136" s="48" t="str">
        <f>'PLANILHA ORÇAMENTÁRIA'!E32</f>
        <v xml:space="preserve">m </v>
      </c>
      <c r="D136" s="49" t="s">
        <v>399</v>
      </c>
      <c r="E136" s="49" t="s">
        <v>400</v>
      </c>
      <c r="F136" s="49" t="s">
        <v>401</v>
      </c>
      <c r="G136" s="49" t="s">
        <v>402</v>
      </c>
      <c r="H136" s="49" t="s">
        <v>403</v>
      </c>
      <c r="I136" s="49" t="s">
        <v>404</v>
      </c>
      <c r="J136" s="40" t="s">
        <v>405</v>
      </c>
    </row>
    <row r="137" spans="1:10" x14ac:dyDescent="0.2">
      <c r="A137" s="487"/>
      <c r="B137" s="45" t="s">
        <v>455</v>
      </c>
      <c r="C137" s="44"/>
      <c r="D137" s="44"/>
      <c r="E137" s="46">
        <v>4</v>
      </c>
      <c r="F137" s="46"/>
      <c r="G137" s="46">
        <v>2.2000000000000002</v>
      </c>
      <c r="H137" s="46">
        <f>E137*G137</f>
        <v>8.8000000000000007</v>
      </c>
      <c r="I137" s="46"/>
      <c r="J137" s="46">
        <f>H137</f>
        <v>8.8000000000000007</v>
      </c>
    </row>
    <row r="138" spans="1:10" x14ac:dyDescent="0.2">
      <c r="A138" s="488"/>
      <c r="B138" s="45" t="s">
        <v>456</v>
      </c>
      <c r="C138" s="44"/>
      <c r="D138" s="44"/>
      <c r="E138" s="46">
        <v>2</v>
      </c>
      <c r="F138" s="46"/>
      <c r="G138" s="46">
        <v>2.2000000000000002</v>
      </c>
      <c r="H138" s="46">
        <f>E138*G138</f>
        <v>4.4000000000000004</v>
      </c>
      <c r="I138" s="46"/>
      <c r="J138" s="46">
        <f>H138</f>
        <v>4.4000000000000004</v>
      </c>
    </row>
    <row r="139" spans="1:10" x14ac:dyDescent="0.2">
      <c r="A139" s="488"/>
      <c r="B139" s="44"/>
      <c r="C139" s="44"/>
      <c r="D139" s="44"/>
      <c r="E139" s="44"/>
      <c r="F139" s="44"/>
      <c r="G139" s="44"/>
      <c r="H139" s="44"/>
      <c r="I139" s="57" t="s">
        <v>408</v>
      </c>
      <c r="J139" s="58">
        <f>SUM(J137:J138)</f>
        <v>13.200000000000001</v>
      </c>
    </row>
    <row r="140" spans="1:10" x14ac:dyDescent="0.2">
      <c r="A140" s="489"/>
      <c r="B140" s="44"/>
      <c r="C140" s="44"/>
      <c r="D140" s="44"/>
      <c r="E140" s="44"/>
      <c r="F140" s="44"/>
      <c r="G140" s="44"/>
      <c r="H140" s="44"/>
      <c r="I140" s="57"/>
      <c r="J140" s="58"/>
    </row>
    <row r="141" spans="1:10" ht="15" x14ac:dyDescent="0.2">
      <c r="A141" s="33">
        <f>'PLANILHA ORÇAMENTÁRIA'!A34</f>
        <v>3</v>
      </c>
      <c r="B141" s="51" t="str">
        <f>'PLANILHA ORÇAMENTÁRIA'!D34</f>
        <v>MOVIMENTO DE TERRA</v>
      </c>
      <c r="C141" s="52"/>
      <c r="D141" s="53"/>
      <c r="E141" s="53"/>
      <c r="F141" s="53"/>
      <c r="G141" s="53"/>
      <c r="H141" s="53"/>
      <c r="I141" s="53"/>
      <c r="J141" s="53"/>
    </row>
    <row r="142" spans="1:10" ht="15" x14ac:dyDescent="0.2">
      <c r="A142" s="109" t="str">
        <f>'PLANILHA ORÇAMENTÁRIA'!A35</f>
        <v>3.1</v>
      </c>
      <c r="B142" s="110" t="s">
        <v>105</v>
      </c>
      <c r="C142" s="111"/>
      <c r="D142" s="112"/>
      <c r="E142" s="112"/>
      <c r="F142" s="112"/>
      <c r="G142" s="112"/>
      <c r="H142" s="112"/>
      <c r="I142" s="112"/>
      <c r="J142" s="112"/>
    </row>
    <row r="143" spans="1:10" ht="30" x14ac:dyDescent="0.2">
      <c r="A143" s="263" t="str">
        <f>'PLANILHA ORÇAMENTÁRIA'!A36</f>
        <v>3.1.1</v>
      </c>
      <c r="B143" s="264" t="str">
        <f>'PLANILHA ORÇAMENTÁRIA'!D36</f>
        <v xml:space="preserve">Escavação manual em material de 1a. categoria, até 1.50 m de profundidade </v>
      </c>
      <c r="C143" s="48" t="str">
        <f>'PLANILHA ORÇAMENTÁRIA'!E36</f>
        <v xml:space="preserve">m3 </v>
      </c>
      <c r="D143" s="40" t="s">
        <v>399</v>
      </c>
      <c r="E143" s="40" t="s">
        <v>400</v>
      </c>
      <c r="F143" s="40" t="s">
        <v>401</v>
      </c>
      <c r="G143" s="40" t="s">
        <v>402</v>
      </c>
      <c r="H143" s="40" t="s">
        <v>403</v>
      </c>
      <c r="I143" s="40" t="s">
        <v>404</v>
      </c>
      <c r="J143" s="40" t="s">
        <v>405</v>
      </c>
    </row>
    <row r="144" spans="1:10" ht="15" customHeight="1" x14ac:dyDescent="0.2">
      <c r="A144" s="507"/>
      <c r="B144" s="45" t="s">
        <v>457</v>
      </c>
      <c r="C144" s="46"/>
      <c r="D144" s="46">
        <v>5</v>
      </c>
      <c r="E144" s="46">
        <v>0.85</v>
      </c>
      <c r="F144" s="46">
        <v>0.75</v>
      </c>
      <c r="G144" s="46">
        <v>1.1000000000000001</v>
      </c>
      <c r="H144" s="46"/>
      <c r="I144" s="46">
        <f>E144*F144*G144</f>
        <v>0.70125000000000004</v>
      </c>
      <c r="J144" s="46">
        <f>D144*I144</f>
        <v>3.5062500000000001</v>
      </c>
    </row>
    <row r="145" spans="1:10" ht="15" customHeight="1" x14ac:dyDescent="0.2">
      <c r="A145" s="508"/>
      <c r="B145" s="45" t="s">
        <v>458</v>
      </c>
      <c r="C145" s="46"/>
      <c r="D145" s="41">
        <v>1</v>
      </c>
      <c r="E145" s="41">
        <v>23.1</v>
      </c>
      <c r="F145" s="41">
        <v>0.45</v>
      </c>
      <c r="G145" s="41">
        <v>0.2</v>
      </c>
      <c r="H145" s="41"/>
      <c r="I145" s="41">
        <f>E145*F145*G145</f>
        <v>2.0790000000000002</v>
      </c>
      <c r="J145" s="41">
        <f>D145*I145</f>
        <v>2.0790000000000002</v>
      </c>
    </row>
    <row r="146" spans="1:10" ht="15" x14ac:dyDescent="0.2">
      <c r="A146" s="508"/>
      <c r="B146" s="110"/>
      <c r="C146" s="46"/>
      <c r="D146" s="46"/>
      <c r="E146" s="46"/>
      <c r="F146" s="46"/>
      <c r="G146" s="46"/>
      <c r="H146" s="46"/>
      <c r="I146" s="57" t="s">
        <v>408</v>
      </c>
      <c r="J146" s="58">
        <f>SUM(J144:J145)</f>
        <v>5.5852500000000003</v>
      </c>
    </row>
    <row r="147" spans="1:10" ht="15" x14ac:dyDescent="0.2">
      <c r="A147" s="509"/>
      <c r="B147" s="110"/>
      <c r="C147" s="46"/>
      <c r="D147" s="46"/>
      <c r="E147" s="46"/>
      <c r="F147" s="46"/>
      <c r="G147" s="46"/>
      <c r="H147" s="46"/>
      <c r="I147" s="46"/>
      <c r="J147" s="46"/>
    </row>
    <row r="148" spans="1:10" ht="15" x14ac:dyDescent="0.2">
      <c r="A148" s="109" t="str">
        <f>'PLANILHA ORÇAMENTÁRIA'!A37</f>
        <v>3.2</v>
      </c>
      <c r="B148" s="110" t="str">
        <f>'PLANILHA ORÇAMENTÁRIA'!D37</f>
        <v>REATERRO E COMPACTAÇÃO</v>
      </c>
      <c r="C148" s="46"/>
      <c r="D148" s="46"/>
      <c r="E148" s="46"/>
      <c r="F148" s="46"/>
      <c r="G148" s="46"/>
      <c r="H148" s="46"/>
      <c r="I148" s="46"/>
      <c r="J148" s="46"/>
    </row>
    <row r="149" spans="1:10" ht="30" x14ac:dyDescent="0.2">
      <c r="A149" s="263" t="str">
        <f>'PLANILHA ORÇAMENTÁRIA'!A38</f>
        <v>3.2.1</v>
      </c>
      <c r="B149" s="264" t="str">
        <f>'PLANILHA ORÇAMENTÁRIA'!D38</f>
        <v xml:space="preserve">Reaterro apiloado de cavas de fundação, em camadas de 20 cm </v>
      </c>
      <c r="C149" s="48" t="str">
        <f>'PLANILHA ORÇAMENTÁRIA'!E38</f>
        <v xml:space="preserve">m3 </v>
      </c>
      <c r="D149" s="40" t="s">
        <v>399</v>
      </c>
      <c r="E149" s="40" t="s">
        <v>400</v>
      </c>
      <c r="F149" s="40" t="s">
        <v>401</v>
      </c>
      <c r="G149" s="40" t="s">
        <v>402</v>
      </c>
      <c r="H149" s="40" t="s">
        <v>403</v>
      </c>
      <c r="I149" s="40" t="s">
        <v>404</v>
      </c>
      <c r="J149" s="40" t="s">
        <v>405</v>
      </c>
    </row>
    <row r="150" spans="1:10" x14ac:dyDescent="0.2">
      <c r="A150" s="508"/>
      <c r="B150" s="299" t="s">
        <v>459</v>
      </c>
      <c r="C150" s="111"/>
      <c r="D150" s="112"/>
      <c r="E150" s="112"/>
      <c r="F150" s="112"/>
      <c r="G150" s="112"/>
      <c r="H150" s="112"/>
      <c r="I150" s="126">
        <f>J146</f>
        <v>5.5852500000000003</v>
      </c>
      <c r="J150" s="126"/>
    </row>
    <row r="151" spans="1:10" x14ac:dyDescent="0.2">
      <c r="A151" s="508"/>
      <c r="B151" s="299" t="s">
        <v>460</v>
      </c>
      <c r="C151" s="111"/>
      <c r="D151" s="112"/>
      <c r="E151" s="112"/>
      <c r="F151" s="112"/>
      <c r="G151" s="112"/>
      <c r="H151" s="112"/>
      <c r="I151" s="126">
        <f>J178</f>
        <v>0.75765000000000005</v>
      </c>
      <c r="J151" s="126"/>
    </row>
    <row r="152" spans="1:10" x14ac:dyDescent="0.2">
      <c r="A152" s="508"/>
      <c r="B152" s="299" t="s">
        <v>461</v>
      </c>
      <c r="C152" s="111"/>
      <c r="D152" s="112"/>
      <c r="E152" s="112"/>
      <c r="F152" s="112"/>
      <c r="G152" s="112"/>
      <c r="H152" s="112"/>
      <c r="I152" s="126">
        <f>J216</f>
        <v>2.2079999999999997</v>
      </c>
      <c r="J152" s="126"/>
    </row>
    <row r="153" spans="1:10" ht="15" x14ac:dyDescent="0.2">
      <c r="A153" s="508"/>
      <c r="B153" s="300" t="s">
        <v>462</v>
      </c>
      <c r="C153" s="111"/>
      <c r="D153" s="112"/>
      <c r="E153" s="112"/>
      <c r="F153" s="112"/>
      <c r="G153" s="112"/>
      <c r="H153" s="112"/>
      <c r="I153" s="112"/>
      <c r="J153" s="126">
        <f>I150-(I151+I152)</f>
        <v>2.6196000000000006</v>
      </c>
    </row>
    <row r="154" spans="1:10" x14ac:dyDescent="0.2">
      <c r="A154" s="508"/>
      <c r="B154" s="125"/>
      <c r="C154" s="111"/>
      <c r="D154" s="112"/>
      <c r="E154" s="112"/>
      <c r="F154" s="112"/>
      <c r="G154" s="112"/>
      <c r="H154" s="112"/>
      <c r="I154" s="57" t="s">
        <v>408</v>
      </c>
      <c r="J154" s="58">
        <f>J153</f>
        <v>2.6196000000000006</v>
      </c>
    </row>
    <row r="155" spans="1:10" ht="15" x14ac:dyDescent="0.2">
      <c r="A155" s="509"/>
      <c r="B155" s="110"/>
      <c r="C155" s="111"/>
      <c r="D155" s="112"/>
      <c r="E155" s="112"/>
      <c r="F155" s="112"/>
      <c r="G155" s="112"/>
      <c r="H155" s="112"/>
      <c r="I155" s="126"/>
      <c r="J155" s="126"/>
    </row>
    <row r="156" spans="1:10" ht="15" x14ac:dyDescent="0.2">
      <c r="A156" s="54" t="str">
        <f>'PLANILHA ORÇAMENTÁRIA'!A39</f>
        <v>3.3</v>
      </c>
      <c r="B156" s="493" t="str">
        <f>'PLANILHA ORÇAMENTÁRIA'!D39</f>
        <v>TRANSPORTES</v>
      </c>
      <c r="C156" s="493"/>
      <c r="D156" s="493"/>
      <c r="E156" s="493"/>
      <c r="F156" s="493"/>
      <c r="G156" s="493"/>
      <c r="H156" s="493"/>
      <c r="I156" s="493"/>
      <c r="J156" s="493"/>
    </row>
    <row r="157" spans="1:10" ht="60" customHeight="1" x14ac:dyDescent="0.2">
      <c r="A157" s="46" t="str">
        <f>'PLANILHA ORÇAMENTÁRIA'!A40</f>
        <v>3.3.1</v>
      </c>
      <c r="B157" s="47" t="str">
        <f>'PLANILHA ORÇAMENTÁRIA'!D40</f>
        <v>Índice de preço para remoção de entulho decorrente da execução de obras (Classe A CONAMA - NBR 10.004 - Classe II-B), incluindo aluguel da caçamba, carga, transporte e descarga em área licenciada</v>
      </c>
      <c r="C157" s="48" t="str">
        <f>'PLANILHA ORÇAMENTÁRIA'!E40</f>
        <v>m3</v>
      </c>
      <c r="D157" s="40" t="s">
        <v>399</v>
      </c>
      <c r="E157" s="40" t="s">
        <v>400</v>
      </c>
      <c r="F157" s="40" t="s">
        <v>401</v>
      </c>
      <c r="G157" s="40" t="s">
        <v>402</v>
      </c>
      <c r="H157" s="40" t="s">
        <v>403</v>
      </c>
      <c r="I157" s="40" t="s">
        <v>404</v>
      </c>
      <c r="J157" s="40" t="s">
        <v>405</v>
      </c>
    </row>
    <row r="158" spans="1:10" x14ac:dyDescent="0.2">
      <c r="A158" s="502"/>
      <c r="B158" s="45" t="s">
        <v>28</v>
      </c>
      <c r="C158" s="44"/>
      <c r="D158" s="44"/>
      <c r="E158" s="44"/>
      <c r="F158" s="44">
        <v>2.5000000000000001E-2</v>
      </c>
      <c r="G158" s="44"/>
      <c r="H158" s="101">
        <f>J12</f>
        <v>14.4</v>
      </c>
      <c r="I158" s="44">
        <f>F158*H158</f>
        <v>0.36000000000000004</v>
      </c>
      <c r="J158" s="130">
        <f>I158</f>
        <v>0.36000000000000004</v>
      </c>
    </row>
    <row r="159" spans="1:10" x14ac:dyDescent="0.2">
      <c r="A159" s="502"/>
      <c r="B159" s="45" t="s">
        <v>32</v>
      </c>
      <c r="C159" s="44"/>
      <c r="D159" s="44"/>
      <c r="E159" s="44"/>
      <c r="F159" s="44">
        <v>2.5000000000000001E-2</v>
      </c>
      <c r="G159" s="44"/>
      <c r="H159" s="101">
        <f>J21</f>
        <v>47.899199999999993</v>
      </c>
      <c r="I159" s="101">
        <f>F159*H159</f>
        <v>1.1974799999999999</v>
      </c>
      <c r="J159" s="130">
        <f t="shared" ref="J159:J169" si="10">I159</f>
        <v>1.1974799999999999</v>
      </c>
    </row>
    <row r="160" spans="1:10" x14ac:dyDescent="0.2">
      <c r="A160" s="502"/>
      <c r="B160" s="45" t="s">
        <v>35</v>
      </c>
      <c r="C160" s="44"/>
      <c r="D160" s="44"/>
      <c r="E160" s="44"/>
      <c r="F160" s="44">
        <v>2.5000000000000001E-2</v>
      </c>
      <c r="G160" s="44"/>
      <c r="H160" s="101">
        <f>J28</f>
        <v>57.441299999999998</v>
      </c>
      <c r="I160" s="101">
        <f>F160*H160</f>
        <v>1.4360325</v>
      </c>
      <c r="J160" s="130">
        <f t="shared" si="10"/>
        <v>1.4360325</v>
      </c>
    </row>
    <row r="161" spans="1:10" x14ac:dyDescent="0.2">
      <c r="A161" s="502"/>
      <c r="B161" s="45" t="s">
        <v>38</v>
      </c>
      <c r="C161" s="44"/>
      <c r="D161" s="44"/>
      <c r="E161" s="44"/>
      <c r="F161" s="44"/>
      <c r="G161" s="44"/>
      <c r="H161" s="101"/>
      <c r="I161" s="101">
        <f>J43</f>
        <v>5.4369119999999995</v>
      </c>
      <c r="J161" s="130">
        <f t="shared" si="10"/>
        <v>5.4369119999999995</v>
      </c>
    </row>
    <row r="162" spans="1:10" x14ac:dyDescent="0.2">
      <c r="A162" s="502"/>
      <c r="B162" s="45" t="s">
        <v>42</v>
      </c>
      <c r="C162" s="44"/>
      <c r="D162" s="44"/>
      <c r="E162" s="44"/>
      <c r="F162" s="44">
        <v>0.03</v>
      </c>
      <c r="G162" s="44"/>
      <c r="H162" s="101">
        <f>J48</f>
        <v>2.52</v>
      </c>
      <c r="I162" s="101">
        <f>F162*H162</f>
        <v>7.5600000000000001E-2</v>
      </c>
      <c r="J162" s="130">
        <f t="shared" si="10"/>
        <v>7.5600000000000001E-2</v>
      </c>
    </row>
    <row r="163" spans="1:10" x14ac:dyDescent="0.2">
      <c r="A163" s="502"/>
      <c r="B163" s="45" t="s">
        <v>46</v>
      </c>
      <c r="C163" s="44"/>
      <c r="D163" s="44"/>
      <c r="E163" s="44"/>
      <c r="F163" s="44">
        <v>0.03</v>
      </c>
      <c r="G163" s="44"/>
      <c r="H163" s="101">
        <f>J55</f>
        <v>3.9359999999999995</v>
      </c>
      <c r="I163" s="101">
        <f>F163*H163</f>
        <v>0.11807999999999998</v>
      </c>
      <c r="J163" s="130">
        <f t="shared" si="10"/>
        <v>0.11807999999999998</v>
      </c>
    </row>
    <row r="164" spans="1:10" x14ac:dyDescent="0.2">
      <c r="A164" s="502"/>
      <c r="B164" s="45" t="s">
        <v>463</v>
      </c>
      <c r="C164" s="44"/>
      <c r="D164" s="44"/>
      <c r="E164" s="44"/>
      <c r="F164" s="44"/>
      <c r="G164" s="44"/>
      <c r="H164" s="101"/>
      <c r="I164" s="101">
        <f>J61</f>
        <v>2.0940500000000002</v>
      </c>
      <c r="J164" s="130">
        <f t="shared" si="10"/>
        <v>2.0940500000000002</v>
      </c>
    </row>
    <row r="165" spans="1:10" x14ac:dyDescent="0.2">
      <c r="A165" s="502"/>
      <c r="B165" s="45" t="s">
        <v>53</v>
      </c>
      <c r="C165" s="44"/>
      <c r="D165" s="44"/>
      <c r="E165" s="44"/>
      <c r="F165" s="44">
        <v>2.5000000000000001E-2</v>
      </c>
      <c r="G165" s="44"/>
      <c r="H165" s="101">
        <f>J66</f>
        <v>23.435000000000002</v>
      </c>
      <c r="I165" s="101">
        <f>F165*H165</f>
        <v>0.58587500000000003</v>
      </c>
      <c r="J165" s="130">
        <f t="shared" si="10"/>
        <v>0.58587500000000003</v>
      </c>
    </row>
    <row r="166" spans="1:10" x14ac:dyDescent="0.2">
      <c r="A166" s="502"/>
      <c r="B166" s="45" t="s">
        <v>56</v>
      </c>
      <c r="C166" s="44"/>
      <c r="D166" s="101">
        <f>'MEMÓRIA DE CÁLCULO'!J71</f>
        <v>7</v>
      </c>
      <c r="E166" s="101">
        <v>0.6</v>
      </c>
      <c r="F166" s="101">
        <v>0.4</v>
      </c>
      <c r="G166" s="101">
        <v>0.4</v>
      </c>
      <c r="I166" s="101">
        <f>D166*F166*G166*E166</f>
        <v>0.67200000000000004</v>
      </c>
      <c r="J166" s="130">
        <f t="shared" si="10"/>
        <v>0.67200000000000004</v>
      </c>
    </row>
    <row r="167" spans="1:10" x14ac:dyDescent="0.2">
      <c r="A167" s="502"/>
      <c r="B167" s="45" t="s">
        <v>60</v>
      </c>
      <c r="C167" s="44"/>
      <c r="D167" s="44"/>
      <c r="E167" s="44"/>
      <c r="F167" s="44">
        <v>0.03</v>
      </c>
      <c r="G167" s="44"/>
      <c r="H167" s="101">
        <f>J77</f>
        <v>166.65100000000001</v>
      </c>
      <c r="I167" s="101">
        <f>F167*H167</f>
        <v>4.99953</v>
      </c>
      <c r="J167" s="130">
        <f t="shared" si="10"/>
        <v>4.99953</v>
      </c>
    </row>
    <row r="168" spans="1:10" x14ac:dyDescent="0.2">
      <c r="A168" s="502"/>
      <c r="B168" s="45" t="s">
        <v>66</v>
      </c>
      <c r="C168" s="44"/>
      <c r="D168" s="101">
        <f>J88</f>
        <v>35</v>
      </c>
      <c r="E168" s="44">
        <v>0.05</v>
      </c>
      <c r="F168" s="101">
        <v>0.1</v>
      </c>
      <c r="G168" s="101">
        <v>0.1</v>
      </c>
      <c r="I168" s="44">
        <f>D168*E168*F168*G168</f>
        <v>1.7500000000000002E-2</v>
      </c>
      <c r="J168" s="130">
        <f t="shared" si="10"/>
        <v>1.7500000000000002E-2</v>
      </c>
    </row>
    <row r="169" spans="1:10" x14ac:dyDescent="0.2">
      <c r="A169" s="502"/>
      <c r="B169" s="45" t="s">
        <v>74</v>
      </c>
      <c r="C169" s="44"/>
      <c r="D169" s="44"/>
      <c r="E169" s="44">
        <v>0.01</v>
      </c>
      <c r="F169" s="44"/>
      <c r="G169" s="44"/>
      <c r="H169" s="101">
        <f>J110</f>
        <v>39.024999999999999</v>
      </c>
      <c r="I169" s="101">
        <f>E169*H169</f>
        <v>0.39024999999999999</v>
      </c>
      <c r="J169" s="130">
        <f t="shared" si="10"/>
        <v>0.39024999999999999</v>
      </c>
    </row>
    <row r="170" spans="1:10" x14ac:dyDescent="0.2">
      <c r="A170" s="502"/>
      <c r="B170" s="45" t="s">
        <v>80</v>
      </c>
      <c r="C170" s="44"/>
      <c r="D170" s="44"/>
      <c r="E170" s="44">
        <v>0.1</v>
      </c>
      <c r="F170" s="44"/>
      <c r="G170" s="44"/>
      <c r="H170" s="101">
        <f>J118</f>
        <v>39.024999999999999</v>
      </c>
      <c r="I170" s="101">
        <f>E170*H170</f>
        <v>3.9024999999999999</v>
      </c>
      <c r="J170" s="130">
        <f>I170</f>
        <v>3.9024999999999999</v>
      </c>
    </row>
    <row r="171" spans="1:10" x14ac:dyDescent="0.2">
      <c r="A171" s="502"/>
      <c r="B171" s="45"/>
      <c r="C171" s="44"/>
      <c r="D171" s="44"/>
      <c r="E171" s="44"/>
      <c r="F171" s="44"/>
      <c r="G171" s="44"/>
      <c r="H171" s="44"/>
      <c r="I171" s="57" t="s">
        <v>408</v>
      </c>
      <c r="J171" s="68">
        <f>SUM(J158:J170)</f>
        <v>21.285809500000003</v>
      </c>
    </row>
    <row r="172" spans="1:10" x14ac:dyDescent="0.2">
      <c r="A172" s="502"/>
      <c r="B172" s="44"/>
      <c r="C172" s="44"/>
      <c r="D172" s="44"/>
      <c r="E172" s="44"/>
      <c r="F172" s="44"/>
      <c r="G172" s="44"/>
      <c r="H172" s="44"/>
      <c r="I172" s="44"/>
      <c r="J172" s="44"/>
    </row>
    <row r="173" spans="1:10" ht="15" x14ac:dyDescent="0.2">
      <c r="A173" s="33">
        <f>'PLANILHA ORÇAMENTÁRIA'!A42</f>
        <v>4</v>
      </c>
      <c r="B173" s="51" t="str">
        <f>'PLANILHA ORÇAMENTÁRIA'!D42</f>
        <v>ESTRUTURAS</v>
      </c>
      <c r="C173" s="52"/>
      <c r="D173" s="53"/>
      <c r="E173" s="53"/>
      <c r="F173" s="53"/>
      <c r="G173" s="53"/>
      <c r="H173" s="53"/>
      <c r="I173" s="53"/>
      <c r="J173" s="53"/>
    </row>
    <row r="174" spans="1:10" ht="15" x14ac:dyDescent="0.2">
      <c r="A174" s="109" t="str">
        <f>'PLANILHA ORÇAMENTÁRIA'!A43</f>
        <v>4.1</v>
      </c>
      <c r="B174" s="493" t="str">
        <f>'PLANILHA ORÇAMENTÁRIA'!D43</f>
        <v>INFRA-ESTRUTURA (FUNDAÇÃO)</v>
      </c>
      <c r="C174" s="493"/>
      <c r="D174" s="493"/>
      <c r="E174" s="493"/>
      <c r="F174" s="493"/>
      <c r="G174" s="493"/>
      <c r="H174" s="493"/>
      <c r="I174" s="493"/>
      <c r="J174" s="493"/>
    </row>
    <row r="175" spans="1:10" ht="42.75" customHeight="1" x14ac:dyDescent="0.2">
      <c r="A175" s="46" t="str">
        <f>'PLANILHA ORÇAMENTÁRIA'!A44</f>
        <v>4.1.1</v>
      </c>
      <c r="B175" s="47" t="str">
        <f>'PLANILHA ORÇAMENTÁRIA'!D44</f>
        <v>Fornecimento, preparo e aplicação de concreto magro com consumo mínimo de cimento de 250 kg/m3 (brita 1 e 2) - (5% de perdas já incluído no custo)</v>
      </c>
      <c r="C175" s="48" t="str">
        <f>'PLANILHA ORÇAMENTÁRIA'!E44</f>
        <v xml:space="preserve">m3 </v>
      </c>
      <c r="D175" s="49" t="s">
        <v>399</v>
      </c>
      <c r="E175" s="49" t="s">
        <v>400</v>
      </c>
      <c r="F175" s="49" t="s">
        <v>401</v>
      </c>
      <c r="G175" s="49" t="s">
        <v>402</v>
      </c>
      <c r="H175" s="49" t="s">
        <v>403</v>
      </c>
      <c r="I175" s="49" t="s">
        <v>404</v>
      </c>
      <c r="J175" s="40" t="s">
        <v>405</v>
      </c>
    </row>
    <row r="176" spans="1:10" ht="15" customHeight="1" x14ac:dyDescent="0.2">
      <c r="A176" s="507"/>
      <c r="B176" s="125" t="s">
        <v>464</v>
      </c>
      <c r="C176" s="111"/>
      <c r="D176" s="126">
        <v>5</v>
      </c>
      <c r="E176" s="126">
        <v>0.85</v>
      </c>
      <c r="F176" s="126">
        <v>0.75</v>
      </c>
      <c r="G176" s="126">
        <v>0.05</v>
      </c>
      <c r="H176" s="126"/>
      <c r="I176" s="126">
        <f>D176*E176*F176*G176</f>
        <v>0.15937500000000002</v>
      </c>
      <c r="J176" s="126">
        <f>I176</f>
        <v>0.15937500000000002</v>
      </c>
    </row>
    <row r="177" spans="1:10" ht="15" customHeight="1" x14ac:dyDescent="0.2">
      <c r="A177" s="508"/>
      <c r="B177" s="125" t="s">
        <v>465</v>
      </c>
      <c r="C177" s="111"/>
      <c r="D177" s="126"/>
      <c r="E177" s="41">
        <f>28.15-(6*0.26)</f>
        <v>26.59</v>
      </c>
      <c r="F177" s="41">
        <v>0.45</v>
      </c>
      <c r="G177" s="126">
        <v>0.05</v>
      </c>
      <c r="H177" s="126"/>
      <c r="I177" s="126">
        <f>E177*F177*G177</f>
        <v>0.598275</v>
      </c>
      <c r="J177" s="126">
        <f>I177</f>
        <v>0.598275</v>
      </c>
    </row>
    <row r="178" spans="1:10" ht="15" x14ac:dyDescent="0.2">
      <c r="A178" s="508"/>
      <c r="B178" s="110"/>
      <c r="C178" s="111"/>
      <c r="D178" s="126"/>
      <c r="E178" s="126"/>
      <c r="F178" s="126"/>
      <c r="G178" s="126"/>
      <c r="H178" s="126"/>
      <c r="I178" s="127" t="s">
        <v>408</v>
      </c>
      <c r="J178" s="127">
        <f>SUM(J176:J177)</f>
        <v>0.75765000000000005</v>
      </c>
    </row>
    <row r="179" spans="1:10" ht="15" x14ac:dyDescent="0.2">
      <c r="A179" s="509"/>
      <c r="B179" s="110"/>
      <c r="C179" s="111"/>
      <c r="D179" s="112"/>
      <c r="E179" s="112"/>
      <c r="F179" s="112"/>
      <c r="G179" s="112"/>
      <c r="H179" s="112"/>
      <c r="I179" s="112"/>
      <c r="J179" s="112"/>
    </row>
    <row r="180" spans="1:10" ht="40.5" customHeight="1" x14ac:dyDescent="0.2">
      <c r="A180" s="46" t="str">
        <f>'PLANILHA ORÇAMENTÁRIA'!A45</f>
        <v>4.1.2</v>
      </c>
      <c r="B180" s="47" t="str">
        <f>'PLANILHA ORÇAMENTÁRIA'!D45</f>
        <v>Fôrma de chapa compensada resinada 12mm, levando-se em conta a utilização 3 vezes (incluido o material, corte, montagem, escoramento e desfôrma)</v>
      </c>
      <c r="C180" s="48" t="str">
        <f>'PLANILHA ORÇAMENTÁRIA'!E45</f>
        <v xml:space="preserve">m2 </v>
      </c>
      <c r="D180" s="49" t="s">
        <v>399</v>
      </c>
      <c r="E180" s="49" t="s">
        <v>400</v>
      </c>
      <c r="F180" s="49" t="s">
        <v>401</v>
      </c>
      <c r="G180" s="49" t="s">
        <v>402</v>
      </c>
      <c r="H180" s="49" t="s">
        <v>403</v>
      </c>
      <c r="I180" s="49" t="s">
        <v>404</v>
      </c>
      <c r="J180" s="40" t="s">
        <v>405</v>
      </c>
    </row>
    <row r="181" spans="1:10" ht="15" x14ac:dyDescent="0.2">
      <c r="A181" s="494"/>
      <c r="B181" s="500" t="s">
        <v>466</v>
      </c>
      <c r="C181" s="56">
        <v>5</v>
      </c>
      <c r="D181" s="56">
        <v>2</v>
      </c>
      <c r="E181" s="56">
        <v>0.15</v>
      </c>
      <c r="F181" s="56"/>
      <c r="G181" s="56">
        <v>0.95</v>
      </c>
      <c r="H181" s="56">
        <f>C181*D181*E181*G181</f>
        <v>1.4249999999999998</v>
      </c>
      <c r="I181" s="49"/>
      <c r="J181" s="64">
        <f>H181</f>
        <v>1.4249999999999998</v>
      </c>
    </row>
    <row r="182" spans="1:10" ht="15" x14ac:dyDescent="0.2">
      <c r="A182" s="495"/>
      <c r="B182" s="501"/>
      <c r="C182" s="56">
        <v>5</v>
      </c>
      <c r="D182" s="56">
        <v>2</v>
      </c>
      <c r="E182" s="56">
        <v>0.25</v>
      </c>
      <c r="F182" s="56"/>
      <c r="G182" s="56">
        <v>0.95</v>
      </c>
      <c r="H182" s="56">
        <f>C182*D182*E182*G182</f>
        <v>2.375</v>
      </c>
      <c r="I182" s="49"/>
      <c r="J182" s="64">
        <f>H182</f>
        <v>2.375</v>
      </c>
    </row>
    <row r="183" spans="1:10" ht="15" x14ac:dyDescent="0.2">
      <c r="A183" s="495"/>
      <c r="B183" s="63" t="s">
        <v>467</v>
      </c>
      <c r="C183" s="56">
        <v>1</v>
      </c>
      <c r="D183" s="56">
        <v>2</v>
      </c>
      <c r="E183" s="41">
        <f>28.15-(0.26*6+0.15*5)</f>
        <v>25.84</v>
      </c>
      <c r="F183" s="56"/>
      <c r="G183" s="56">
        <v>0.3</v>
      </c>
      <c r="H183" s="56">
        <f>E183*G183*D183*C183</f>
        <v>15.504</v>
      </c>
      <c r="I183" s="49"/>
      <c r="J183" s="64">
        <f>H183</f>
        <v>15.504</v>
      </c>
    </row>
    <row r="184" spans="1:10" ht="15" x14ac:dyDescent="0.2">
      <c r="A184" s="495"/>
      <c r="B184" s="110"/>
      <c r="C184" s="111"/>
      <c r="D184" s="112"/>
      <c r="E184" s="112"/>
      <c r="F184" s="112"/>
      <c r="G184" s="112"/>
      <c r="H184" s="112"/>
      <c r="I184" s="127" t="s">
        <v>408</v>
      </c>
      <c r="J184" s="127">
        <f>SUM(J181:J183)</f>
        <v>19.303999999999998</v>
      </c>
    </row>
    <row r="185" spans="1:10" ht="15" x14ac:dyDescent="0.2">
      <c r="A185" s="499"/>
      <c r="B185" s="110"/>
      <c r="C185" s="111"/>
      <c r="D185" s="112"/>
      <c r="E185" s="112"/>
      <c r="F185" s="112"/>
      <c r="G185" s="112"/>
      <c r="H185" s="112"/>
      <c r="I185" s="112"/>
      <c r="J185" s="112"/>
    </row>
    <row r="186" spans="1:10" ht="30" x14ac:dyDescent="0.2">
      <c r="A186" s="46" t="str">
        <f>'PLANILHA ORÇAMENTÁRIA'!A46</f>
        <v>4.1.3</v>
      </c>
      <c r="B186" s="65" t="str">
        <f>'PLANILHA ORÇAMENTÁRIA'!D46</f>
        <v xml:space="preserve">Fornecimento, dobragem e colocação em fôrma, de armadura CA-50 A média, diâmetro de 6.3 a 10.0 mm </v>
      </c>
      <c r="C186" s="173" t="str">
        <f>'PLANILHA ORÇAMENTÁRIA'!E46</f>
        <v xml:space="preserve">kg </v>
      </c>
      <c r="D186" s="167" t="s">
        <v>399</v>
      </c>
      <c r="E186" s="167" t="s">
        <v>468</v>
      </c>
      <c r="F186" s="167" t="s">
        <v>400</v>
      </c>
      <c r="G186" s="167" t="s">
        <v>402</v>
      </c>
      <c r="H186" s="167" t="s">
        <v>469</v>
      </c>
      <c r="I186" s="167" t="s">
        <v>470</v>
      </c>
      <c r="J186" s="40" t="s">
        <v>405</v>
      </c>
    </row>
    <row r="187" spans="1:10" ht="15" x14ac:dyDescent="0.2">
      <c r="A187" s="494"/>
      <c r="B187" s="177" t="s">
        <v>471</v>
      </c>
      <c r="C187" s="48"/>
      <c r="D187" s="44"/>
      <c r="E187" s="44"/>
      <c r="F187" s="44"/>
      <c r="G187" s="170"/>
      <c r="H187" s="44"/>
      <c r="I187" s="44"/>
      <c r="J187" s="166" t="s">
        <v>472</v>
      </c>
    </row>
    <row r="188" spans="1:10" ht="15" x14ac:dyDescent="0.2">
      <c r="A188" s="495"/>
      <c r="B188" s="188" t="s">
        <v>464</v>
      </c>
      <c r="C188" s="48"/>
      <c r="D188" s="44"/>
      <c r="E188" s="44"/>
      <c r="F188" s="44"/>
      <c r="G188" s="171"/>
      <c r="H188" s="168"/>
      <c r="I188" s="168"/>
      <c r="J188" s="40"/>
    </row>
    <row r="189" spans="1:10" ht="15" customHeight="1" x14ac:dyDescent="0.2">
      <c r="A189" s="495"/>
      <c r="B189" s="169" t="s">
        <v>473</v>
      </c>
      <c r="C189" s="44"/>
      <c r="D189" s="165">
        <v>5</v>
      </c>
      <c r="E189" s="126">
        <v>10</v>
      </c>
      <c r="F189" s="126">
        <v>1.04</v>
      </c>
      <c r="G189" s="172"/>
      <c r="H189" s="126">
        <f>D189*E189*F189</f>
        <v>52</v>
      </c>
      <c r="I189" s="176">
        <v>0.245</v>
      </c>
      <c r="J189" s="126">
        <f>H189*I189</f>
        <v>12.74</v>
      </c>
    </row>
    <row r="190" spans="1:10" ht="15" customHeight="1" x14ac:dyDescent="0.2">
      <c r="A190" s="495"/>
      <c r="B190" s="178" t="s">
        <v>474</v>
      </c>
      <c r="C190" s="179"/>
      <c r="D190" s="180">
        <v>5</v>
      </c>
      <c r="E190" s="181">
        <v>9</v>
      </c>
      <c r="F190" s="181">
        <v>1.1399999999999999</v>
      </c>
      <c r="G190" s="182"/>
      <c r="H190" s="181">
        <f>D190*E190*F190</f>
        <v>51.3</v>
      </c>
      <c r="I190" s="183">
        <v>0.245</v>
      </c>
      <c r="J190" s="181">
        <f>H190*I190</f>
        <v>12.568499999999998</v>
      </c>
    </row>
    <row r="191" spans="1:10" ht="15" customHeight="1" x14ac:dyDescent="0.2">
      <c r="A191" s="495"/>
      <c r="B191" s="184" t="s">
        <v>475</v>
      </c>
      <c r="C191" s="105"/>
      <c r="D191" s="44"/>
      <c r="E191" s="44"/>
      <c r="F191" s="44"/>
      <c r="G191" s="44"/>
      <c r="H191" s="44"/>
      <c r="I191" s="44"/>
      <c r="J191" s="44"/>
    </row>
    <row r="192" spans="1:10" ht="15" customHeight="1" x14ac:dyDescent="0.2">
      <c r="A192" s="495"/>
      <c r="B192" s="186" t="s">
        <v>476</v>
      </c>
      <c r="C192" s="105"/>
      <c r="D192" s="44"/>
      <c r="E192" s="44"/>
      <c r="F192" s="44"/>
      <c r="G192" s="44"/>
      <c r="H192" s="44"/>
      <c r="I192" s="44"/>
      <c r="J192" s="44"/>
    </row>
    <row r="193" spans="1:10" ht="15" customHeight="1" x14ac:dyDescent="0.2">
      <c r="A193" s="495"/>
      <c r="B193" s="45" t="s">
        <v>477</v>
      </c>
      <c r="C193" s="105"/>
      <c r="D193" s="41">
        <v>1</v>
      </c>
      <c r="E193" s="41">
        <v>2</v>
      </c>
      <c r="F193" s="55">
        <v>11.25</v>
      </c>
      <c r="G193" s="44"/>
      <c r="H193" s="41">
        <f>D193*E193*F193</f>
        <v>22.5</v>
      </c>
      <c r="I193" s="55">
        <v>0.39500000000000002</v>
      </c>
      <c r="J193" s="41">
        <f>H193*I193</f>
        <v>8.8875000000000011</v>
      </c>
    </row>
    <row r="194" spans="1:10" ht="15" customHeight="1" x14ac:dyDescent="0.2">
      <c r="A194" s="495"/>
      <c r="B194" s="45" t="s">
        <v>478</v>
      </c>
      <c r="C194" s="44"/>
      <c r="D194" s="41">
        <v>1</v>
      </c>
      <c r="E194" s="41">
        <v>2</v>
      </c>
      <c r="F194" s="55">
        <v>11.26</v>
      </c>
      <c r="G194" s="44"/>
      <c r="H194" s="41">
        <f>D194*E194*F194</f>
        <v>22.52</v>
      </c>
      <c r="I194" s="55">
        <v>0.39500000000000002</v>
      </c>
      <c r="J194" s="41">
        <f>H194*I194</f>
        <v>8.8954000000000004</v>
      </c>
    </row>
    <row r="195" spans="1:10" ht="15" customHeight="1" x14ac:dyDescent="0.2">
      <c r="A195" s="495"/>
      <c r="B195" s="185" t="s">
        <v>479</v>
      </c>
      <c r="C195" s="106"/>
      <c r="D195" s="41">
        <v>1</v>
      </c>
      <c r="E195" s="41">
        <v>2</v>
      </c>
      <c r="F195" s="55">
        <v>5.46</v>
      </c>
      <c r="G195" s="44"/>
      <c r="H195" s="41">
        <f>D195*E195*F195</f>
        <v>10.92</v>
      </c>
      <c r="I195" s="55">
        <v>0.39500000000000002</v>
      </c>
      <c r="J195" s="41">
        <f>H195*I195</f>
        <v>4.3134000000000006</v>
      </c>
    </row>
    <row r="196" spans="1:10" ht="15" customHeight="1" x14ac:dyDescent="0.2">
      <c r="A196" s="495"/>
      <c r="B196" s="185" t="s">
        <v>480</v>
      </c>
      <c r="C196" s="106"/>
      <c r="D196" s="129">
        <v>2</v>
      </c>
      <c r="E196" s="129">
        <v>2</v>
      </c>
      <c r="F196" s="129">
        <v>12</v>
      </c>
      <c r="G196" s="129"/>
      <c r="H196" s="41">
        <f>D196*E196*F196</f>
        <v>48</v>
      </c>
      <c r="I196" s="55">
        <v>0.39500000000000002</v>
      </c>
      <c r="J196" s="41">
        <f>H196*I196</f>
        <v>18.96</v>
      </c>
    </row>
    <row r="197" spans="1:10" ht="15" customHeight="1" x14ac:dyDescent="0.2">
      <c r="A197" s="495"/>
      <c r="B197" s="185" t="s">
        <v>481</v>
      </c>
      <c r="C197" s="106"/>
      <c r="D197" s="129">
        <v>1</v>
      </c>
      <c r="E197" s="129">
        <v>2</v>
      </c>
      <c r="F197" s="129">
        <v>4.8099999999999996</v>
      </c>
      <c r="G197" s="106"/>
      <c r="H197" s="41">
        <f>D197*E197*F197</f>
        <v>9.6199999999999992</v>
      </c>
      <c r="I197" s="55">
        <v>0.39500000000000002</v>
      </c>
      <c r="J197" s="41">
        <f>H197*I197</f>
        <v>3.7999000000000001</v>
      </c>
    </row>
    <row r="198" spans="1:10" ht="15" customHeight="1" x14ac:dyDescent="0.2">
      <c r="A198" s="495"/>
      <c r="B198" s="177" t="s">
        <v>482</v>
      </c>
      <c r="C198" s="174"/>
      <c r="D198" s="175"/>
      <c r="E198" s="175"/>
      <c r="F198" s="175"/>
      <c r="G198" s="126"/>
      <c r="H198" s="126"/>
      <c r="I198" s="126"/>
      <c r="J198" s="126"/>
    </row>
    <row r="199" spans="1:10" ht="15" customHeight="1" x14ac:dyDescent="0.2">
      <c r="A199" s="495"/>
      <c r="B199" s="186" t="s">
        <v>483</v>
      </c>
      <c r="C199" s="164"/>
      <c r="D199" s="126"/>
      <c r="E199" s="126"/>
      <c r="F199" s="126"/>
      <c r="G199" s="126"/>
      <c r="H199" s="126"/>
      <c r="I199" s="126"/>
      <c r="J199" s="126"/>
    </row>
    <row r="200" spans="1:10" ht="15" customHeight="1" x14ac:dyDescent="0.2">
      <c r="A200" s="495"/>
      <c r="B200" s="125" t="s">
        <v>484</v>
      </c>
      <c r="C200" s="164"/>
      <c r="D200" s="126">
        <v>5</v>
      </c>
      <c r="E200" s="126">
        <v>4</v>
      </c>
      <c r="F200" s="126">
        <v>1.71</v>
      </c>
      <c r="G200" s="126"/>
      <c r="H200" s="126">
        <f>D200*E200*F200</f>
        <v>34.200000000000003</v>
      </c>
      <c r="I200" s="176">
        <v>0.624</v>
      </c>
      <c r="J200" s="126">
        <f>H200*I200</f>
        <v>21.340800000000002</v>
      </c>
    </row>
    <row r="201" spans="1:10" ht="15" customHeight="1" x14ac:dyDescent="0.2">
      <c r="A201" s="495"/>
      <c r="B201" s="125" t="s">
        <v>485</v>
      </c>
      <c r="C201" s="164"/>
      <c r="D201" s="126">
        <v>4</v>
      </c>
      <c r="E201" s="126">
        <v>2</v>
      </c>
      <c r="F201" s="126">
        <v>1.35</v>
      </c>
      <c r="G201" s="126"/>
      <c r="H201" s="126">
        <f>D201*E201*F201</f>
        <v>10.8</v>
      </c>
      <c r="I201" s="176">
        <v>0.624</v>
      </c>
      <c r="J201" s="126">
        <f>H201*I201</f>
        <v>6.7392000000000003</v>
      </c>
    </row>
    <row r="202" spans="1:10" ht="15" customHeight="1" x14ac:dyDescent="0.2">
      <c r="A202" s="495"/>
      <c r="B202" s="125"/>
      <c r="C202" s="164"/>
      <c r="D202" s="126"/>
      <c r="E202" s="126"/>
      <c r="F202" s="126"/>
      <c r="G202" s="126"/>
      <c r="H202" s="126"/>
      <c r="I202" s="127" t="s">
        <v>408</v>
      </c>
      <c r="J202" s="127">
        <f>SUM(J189:J201)</f>
        <v>98.244699999999995</v>
      </c>
    </row>
    <row r="203" spans="1:10" ht="15" x14ac:dyDescent="0.2">
      <c r="A203" s="495"/>
      <c r="B203" s="110"/>
      <c r="C203" s="111"/>
      <c r="D203" s="112"/>
      <c r="E203" s="112"/>
      <c r="F203" s="112"/>
      <c r="G203" s="112"/>
      <c r="H203" s="112"/>
      <c r="I203" s="112"/>
      <c r="J203" s="112"/>
    </row>
    <row r="204" spans="1:10" ht="30" x14ac:dyDescent="0.2">
      <c r="A204" s="46" t="str">
        <f>'PLANILHA ORÇAMENTÁRIA'!A47</f>
        <v>4.1.4</v>
      </c>
      <c r="B204" s="107" t="str">
        <f>'PLANILHA ORÇAMENTÁRIA'!D47</f>
        <v>Fornecimento, dobragem e colocação em fôrma, de armadura CA-60 B fina, diâmetro de 4.0 a 7.0mm</v>
      </c>
      <c r="C204" s="48" t="str">
        <f>'PLANILHA ORÇAMENTÁRIA'!E47</f>
        <v xml:space="preserve"> kg </v>
      </c>
      <c r="D204" s="167" t="s">
        <v>399</v>
      </c>
      <c r="E204" s="167" t="s">
        <v>468</v>
      </c>
      <c r="F204" s="167" t="s">
        <v>400</v>
      </c>
      <c r="G204" s="167" t="s">
        <v>402</v>
      </c>
      <c r="H204" s="167" t="s">
        <v>469</v>
      </c>
      <c r="I204" s="167" t="s">
        <v>470</v>
      </c>
      <c r="J204" s="40" t="s">
        <v>405</v>
      </c>
    </row>
    <row r="205" spans="1:10" ht="15" x14ac:dyDescent="0.2">
      <c r="A205" s="508"/>
      <c r="B205" s="177" t="s">
        <v>486</v>
      </c>
      <c r="C205" s="111"/>
      <c r="D205" s="112"/>
      <c r="E205" s="112"/>
      <c r="F205" s="112"/>
      <c r="G205" s="112"/>
      <c r="H205" s="112"/>
      <c r="I205" s="112"/>
      <c r="J205" s="166" t="s">
        <v>472</v>
      </c>
    </row>
    <row r="206" spans="1:10" ht="15" customHeight="1" x14ac:dyDescent="0.2">
      <c r="A206" s="508"/>
      <c r="B206" s="186" t="s">
        <v>483</v>
      </c>
      <c r="C206" s="111"/>
      <c r="D206" s="112"/>
      <c r="E206" s="112"/>
      <c r="F206" s="112"/>
      <c r="G206" s="112"/>
      <c r="H206" s="112"/>
      <c r="I206" s="112"/>
      <c r="J206" s="112"/>
    </row>
    <row r="207" spans="1:10" ht="15" customHeight="1" x14ac:dyDescent="0.2">
      <c r="A207" s="508"/>
      <c r="B207" s="125" t="s">
        <v>487</v>
      </c>
      <c r="C207" s="111"/>
      <c r="D207" s="126">
        <v>5</v>
      </c>
      <c r="E207" s="126">
        <v>10</v>
      </c>
      <c r="F207" s="126">
        <v>0.68</v>
      </c>
      <c r="G207" s="126"/>
      <c r="H207" s="126">
        <f>D207*E207*F207</f>
        <v>34</v>
      </c>
      <c r="I207" s="176">
        <v>0.154</v>
      </c>
      <c r="J207" s="126">
        <f>H207*I207</f>
        <v>5.2359999999999998</v>
      </c>
    </row>
    <row r="208" spans="1:10" ht="15" customHeight="1" x14ac:dyDescent="0.2">
      <c r="A208" s="508"/>
      <c r="B208" s="186" t="s">
        <v>476</v>
      </c>
      <c r="C208" s="111"/>
      <c r="D208" s="126"/>
      <c r="E208" s="126"/>
      <c r="F208" s="126"/>
      <c r="G208" s="126"/>
      <c r="H208" s="126"/>
      <c r="I208" s="126"/>
      <c r="J208" s="126"/>
    </row>
    <row r="209" spans="1:10" ht="15" customHeight="1" x14ac:dyDescent="0.2">
      <c r="A209" s="508"/>
      <c r="B209" s="125" t="s">
        <v>488</v>
      </c>
      <c r="C209" s="111"/>
      <c r="D209" s="126">
        <v>1</v>
      </c>
      <c r="E209" s="126">
        <v>177</v>
      </c>
      <c r="F209" s="126">
        <v>0.78</v>
      </c>
      <c r="G209" s="126"/>
      <c r="H209" s="126">
        <f>D209*E209*F209</f>
        <v>138.06</v>
      </c>
      <c r="I209" s="176">
        <v>0.154</v>
      </c>
      <c r="J209" s="126">
        <f>H209*I209</f>
        <v>21.261240000000001</v>
      </c>
    </row>
    <row r="210" spans="1:10" ht="15" customHeight="1" x14ac:dyDescent="0.2">
      <c r="A210" s="508"/>
      <c r="B210" s="125"/>
      <c r="C210" s="111"/>
      <c r="D210" s="126"/>
      <c r="E210" s="126"/>
      <c r="F210" s="126"/>
      <c r="G210" s="126"/>
      <c r="H210" s="126"/>
      <c r="I210" s="127" t="s">
        <v>408</v>
      </c>
      <c r="J210" s="127">
        <f>SUM(J207:J209)</f>
        <v>26.497240000000001</v>
      </c>
    </row>
    <row r="211" spans="1:10" ht="15" x14ac:dyDescent="0.2">
      <c r="A211" s="509"/>
      <c r="B211" s="110"/>
      <c r="C211" s="111"/>
      <c r="D211" s="126"/>
      <c r="E211" s="126"/>
      <c r="F211" s="126"/>
      <c r="G211" s="126"/>
      <c r="H211" s="126"/>
      <c r="I211" s="126"/>
      <c r="J211" s="126"/>
    </row>
    <row r="212" spans="1:10" ht="38.25" customHeight="1" x14ac:dyDescent="0.2">
      <c r="A212" s="46" t="str">
        <f>'PLANILHA ORÇAMENTÁRIA'!A48</f>
        <v>4.1.5</v>
      </c>
      <c r="B212" s="47" t="str">
        <f>'PLANILHA ORÇAMENTÁRIA'!D48</f>
        <v>Fornecimento e aplicação de concreto USINADO Fck=30 MPa - considerando lançamento MANUAL para INFRA-ESTRUTURA (5% de perdas já incluído no custo)</v>
      </c>
      <c r="C212" s="48" t="str">
        <f>'PLANILHA ORÇAMENTÁRIA'!E48</f>
        <v xml:space="preserve">m3 </v>
      </c>
      <c r="D212" s="49" t="s">
        <v>399</v>
      </c>
      <c r="E212" s="49" t="s">
        <v>400</v>
      </c>
      <c r="F212" s="49" t="s">
        <v>401</v>
      </c>
      <c r="G212" s="49" t="s">
        <v>402</v>
      </c>
      <c r="H212" s="49" t="s">
        <v>403</v>
      </c>
      <c r="I212" s="49" t="s">
        <v>404</v>
      </c>
      <c r="J212" s="40" t="s">
        <v>405</v>
      </c>
    </row>
    <row r="213" spans="1:10" ht="15" x14ac:dyDescent="0.2">
      <c r="A213" s="494"/>
      <c r="B213" s="63" t="s">
        <v>464</v>
      </c>
      <c r="C213" s="48"/>
      <c r="D213" s="56">
        <v>5</v>
      </c>
      <c r="E213" s="56">
        <v>0.75</v>
      </c>
      <c r="F213" s="56">
        <v>0.85</v>
      </c>
      <c r="G213" s="56">
        <v>0.25</v>
      </c>
      <c r="H213" s="49"/>
      <c r="I213" s="56">
        <f>D213*E213*F213*G213</f>
        <v>0.796875</v>
      </c>
      <c r="J213" s="64">
        <f>I213</f>
        <v>0.796875</v>
      </c>
    </row>
    <row r="214" spans="1:10" ht="15" x14ac:dyDescent="0.2">
      <c r="A214" s="495"/>
      <c r="B214" s="63" t="s">
        <v>483</v>
      </c>
      <c r="C214" s="48"/>
      <c r="D214" s="56">
        <v>5</v>
      </c>
      <c r="E214" s="56">
        <v>0.15</v>
      </c>
      <c r="F214" s="56">
        <v>0.25</v>
      </c>
      <c r="G214" s="56">
        <f>1.2-0.25</f>
        <v>0.95</v>
      </c>
      <c r="H214" s="49"/>
      <c r="I214" s="56">
        <f>D214*E214*F214*G214</f>
        <v>0.17812499999999998</v>
      </c>
      <c r="J214" s="64">
        <f>I214</f>
        <v>0.17812499999999998</v>
      </c>
    </row>
    <row r="215" spans="1:10" ht="15" x14ac:dyDescent="0.2">
      <c r="A215" s="495"/>
      <c r="B215" s="63" t="s">
        <v>476</v>
      </c>
      <c r="C215" s="48"/>
      <c r="D215" s="56">
        <v>1</v>
      </c>
      <c r="E215" s="41">
        <f>28.15-(0.15*5)</f>
        <v>27.4</v>
      </c>
      <c r="F215" s="56">
        <v>0.15</v>
      </c>
      <c r="G215" s="56">
        <v>0.3</v>
      </c>
      <c r="H215" s="56"/>
      <c r="I215" s="56">
        <f>D215*E215*F215*G215</f>
        <v>1.2329999999999999</v>
      </c>
      <c r="J215" s="64">
        <f>I215</f>
        <v>1.2329999999999999</v>
      </c>
    </row>
    <row r="216" spans="1:10" ht="15" x14ac:dyDescent="0.2">
      <c r="A216" s="495"/>
      <c r="B216" s="47"/>
      <c r="C216" s="48"/>
      <c r="D216" s="49"/>
      <c r="E216" s="49"/>
      <c r="F216" s="49"/>
      <c r="G216" s="49"/>
      <c r="H216" s="49"/>
      <c r="I216" s="187" t="s">
        <v>408</v>
      </c>
      <c r="J216" s="67">
        <f>SUM(J213:J215)</f>
        <v>2.2079999999999997</v>
      </c>
    </row>
    <row r="217" spans="1:10" ht="15" x14ac:dyDescent="0.2">
      <c r="A217" s="499"/>
      <c r="B217" s="110"/>
      <c r="C217" s="111"/>
      <c r="D217" s="112"/>
      <c r="E217" s="112"/>
      <c r="F217" s="112"/>
      <c r="G217" s="112"/>
      <c r="H217" s="112"/>
      <c r="I217" s="112"/>
      <c r="J217" s="112"/>
    </row>
    <row r="218" spans="1:10" ht="15" x14ac:dyDescent="0.2">
      <c r="A218" s="54" t="str">
        <f>'PLANILHA ORÇAMENTÁRIA'!A49</f>
        <v>4.2</v>
      </c>
      <c r="B218" s="493" t="str">
        <f>'PLANILHA ORÇAMENTÁRIA'!D49</f>
        <v>SUPER-ESTRUTURA</v>
      </c>
      <c r="C218" s="493"/>
      <c r="D218" s="493"/>
      <c r="E218" s="493"/>
      <c r="F218" s="493"/>
      <c r="G218" s="493"/>
      <c r="H218" s="493"/>
      <c r="I218" s="493"/>
      <c r="J218" s="493"/>
    </row>
    <row r="219" spans="1:10" ht="30" x14ac:dyDescent="0.2">
      <c r="A219" s="46" t="str">
        <f>'PLANILHA ORÇAMENTÁRIA'!A50</f>
        <v>4.2.1</v>
      </c>
      <c r="B219" s="47" t="str">
        <f>'PLANILHA ORÇAMENTÁRIA'!D50</f>
        <v xml:space="preserve">Fornecimento, dobragem e colocação em fôrma, de armadura CA-50 A média, diâmetro de 6.3 a 10.0 mm </v>
      </c>
      <c r="C219" s="48" t="str">
        <f>'PLANILHA ORÇAMENTÁRIA'!E50</f>
        <v xml:space="preserve">kg </v>
      </c>
      <c r="D219" s="167" t="s">
        <v>399</v>
      </c>
      <c r="E219" s="167" t="s">
        <v>468</v>
      </c>
      <c r="F219" s="167" t="s">
        <v>400</v>
      </c>
      <c r="G219" s="167" t="s">
        <v>402</v>
      </c>
      <c r="H219" s="167" t="s">
        <v>469</v>
      </c>
      <c r="I219" s="167" t="s">
        <v>470</v>
      </c>
      <c r="J219" s="40" t="s">
        <v>405</v>
      </c>
    </row>
    <row r="220" spans="1:10" ht="15" x14ac:dyDescent="0.2">
      <c r="A220" s="494"/>
      <c r="B220" s="177" t="s">
        <v>475</v>
      </c>
      <c r="C220" s="48"/>
      <c r="D220" s="112"/>
      <c r="E220" s="112"/>
      <c r="F220" s="112"/>
      <c r="G220" s="112"/>
      <c r="H220" s="112"/>
      <c r="I220" s="112"/>
      <c r="J220" s="166" t="s">
        <v>472</v>
      </c>
    </row>
    <row r="221" spans="1:10" ht="15" x14ac:dyDescent="0.2">
      <c r="A221" s="495"/>
      <c r="B221" s="213" t="s">
        <v>489</v>
      </c>
      <c r="C221" s="48"/>
      <c r="D221" s="112"/>
      <c r="E221" s="112"/>
      <c r="F221" s="112"/>
      <c r="G221" s="112"/>
      <c r="H221" s="112"/>
      <c r="I221" s="112"/>
      <c r="J221" s="166"/>
    </row>
    <row r="222" spans="1:10" ht="15" x14ac:dyDescent="0.2">
      <c r="A222" s="495"/>
      <c r="B222" s="63" t="s">
        <v>473</v>
      </c>
      <c r="C222" s="48"/>
      <c r="D222" s="56">
        <v>1</v>
      </c>
      <c r="E222" s="56">
        <v>2</v>
      </c>
      <c r="F222" s="210">
        <v>11.25</v>
      </c>
      <c r="G222" s="210"/>
      <c r="H222" s="210">
        <f t="shared" ref="H222:H227" si="11">D222*E222*F222</f>
        <v>22.5</v>
      </c>
      <c r="I222" s="211">
        <v>0.39500000000000002</v>
      </c>
      <c r="J222" s="212">
        <f t="shared" ref="J222:J227" si="12">H222*I222</f>
        <v>8.8875000000000011</v>
      </c>
    </row>
    <row r="223" spans="1:10" ht="15" x14ac:dyDescent="0.2">
      <c r="A223" s="495"/>
      <c r="B223" s="63" t="s">
        <v>474</v>
      </c>
      <c r="C223" s="48"/>
      <c r="D223" s="56">
        <v>1</v>
      </c>
      <c r="E223" s="56">
        <v>2</v>
      </c>
      <c r="F223" s="210">
        <v>11.26</v>
      </c>
      <c r="G223" s="210"/>
      <c r="H223" s="210">
        <f t="shared" si="11"/>
        <v>22.52</v>
      </c>
      <c r="I223" s="211">
        <v>0.39500000000000002</v>
      </c>
      <c r="J223" s="212">
        <f t="shared" si="12"/>
        <v>8.8954000000000004</v>
      </c>
    </row>
    <row r="224" spans="1:10" ht="15" customHeight="1" x14ac:dyDescent="0.2">
      <c r="A224" s="495"/>
      <c r="B224" s="63" t="s">
        <v>477</v>
      </c>
      <c r="C224" s="111"/>
      <c r="D224" s="56">
        <v>1</v>
      </c>
      <c r="E224" s="56">
        <v>2</v>
      </c>
      <c r="F224" s="126">
        <v>5.46</v>
      </c>
      <c r="G224" s="126"/>
      <c r="H224" s="210">
        <f t="shared" si="11"/>
        <v>10.92</v>
      </c>
      <c r="I224" s="211">
        <v>0.39500000000000002</v>
      </c>
      <c r="J224" s="212">
        <f t="shared" si="12"/>
        <v>4.3134000000000006</v>
      </c>
    </row>
    <row r="225" spans="1:10" ht="15" customHeight="1" x14ac:dyDescent="0.2">
      <c r="A225" s="495"/>
      <c r="B225" s="63" t="s">
        <v>478</v>
      </c>
      <c r="C225" s="111"/>
      <c r="D225" s="56">
        <v>1</v>
      </c>
      <c r="E225" s="56">
        <v>2</v>
      </c>
      <c r="F225" s="126">
        <v>11.98</v>
      </c>
      <c r="G225" s="126"/>
      <c r="H225" s="210">
        <f t="shared" si="11"/>
        <v>23.96</v>
      </c>
      <c r="I225" s="211">
        <v>0.39500000000000002</v>
      </c>
      <c r="J225" s="212">
        <f t="shared" si="12"/>
        <v>9.4641999999999999</v>
      </c>
    </row>
    <row r="226" spans="1:10" ht="15" customHeight="1" x14ac:dyDescent="0.2">
      <c r="A226" s="495"/>
      <c r="B226" s="63" t="s">
        <v>479</v>
      </c>
      <c r="C226" s="111"/>
      <c r="D226" s="56">
        <v>1</v>
      </c>
      <c r="E226" s="56">
        <v>2</v>
      </c>
      <c r="F226" s="126">
        <v>12</v>
      </c>
      <c r="G226" s="126"/>
      <c r="H226" s="210">
        <f t="shared" si="11"/>
        <v>24</v>
      </c>
      <c r="I226" s="211">
        <v>0.39500000000000002</v>
      </c>
      <c r="J226" s="212">
        <f t="shared" si="12"/>
        <v>9.48</v>
      </c>
    </row>
    <row r="227" spans="1:10" ht="15" customHeight="1" x14ac:dyDescent="0.2">
      <c r="A227" s="495"/>
      <c r="B227" s="63" t="s">
        <v>480</v>
      </c>
      <c r="C227" s="111"/>
      <c r="D227" s="56">
        <v>1</v>
      </c>
      <c r="E227" s="56">
        <v>2</v>
      </c>
      <c r="F227" s="126">
        <v>5.15</v>
      </c>
      <c r="G227" s="126"/>
      <c r="H227" s="210">
        <f t="shared" si="11"/>
        <v>10.3</v>
      </c>
      <c r="I227" s="211">
        <v>0.39500000000000002</v>
      </c>
      <c r="J227" s="212">
        <f t="shared" si="12"/>
        <v>4.0685000000000002</v>
      </c>
    </row>
    <row r="228" spans="1:10" ht="15" customHeight="1" x14ac:dyDescent="0.2">
      <c r="A228" s="495"/>
      <c r="B228" s="177" t="s">
        <v>482</v>
      </c>
      <c r="C228" s="111"/>
      <c r="D228" s="112"/>
      <c r="E228" s="112"/>
      <c r="F228" s="126"/>
      <c r="G228" s="126"/>
      <c r="H228" s="126"/>
      <c r="I228" s="126"/>
      <c r="J228" s="126"/>
    </row>
    <row r="229" spans="1:10" ht="15" customHeight="1" x14ac:dyDescent="0.2">
      <c r="A229" s="495"/>
      <c r="B229" s="213" t="s">
        <v>490</v>
      </c>
      <c r="C229" s="111"/>
      <c r="D229" s="112"/>
      <c r="E229" s="112"/>
      <c r="F229" s="112"/>
      <c r="G229" s="112"/>
      <c r="H229" s="112"/>
      <c r="I229" s="112"/>
      <c r="J229" s="112"/>
    </row>
    <row r="230" spans="1:10" ht="15" customHeight="1" x14ac:dyDescent="0.2">
      <c r="A230" s="495"/>
      <c r="B230" s="63" t="s">
        <v>481</v>
      </c>
      <c r="C230" s="111"/>
      <c r="D230" s="126">
        <v>4</v>
      </c>
      <c r="E230" s="126">
        <v>4</v>
      </c>
      <c r="F230" s="126">
        <v>2.97</v>
      </c>
      <c r="G230" s="126"/>
      <c r="H230" s="126">
        <f>D230*E230*F230</f>
        <v>47.52</v>
      </c>
      <c r="I230" s="176">
        <v>0.624</v>
      </c>
      <c r="J230" s="126">
        <f>H230*I230</f>
        <v>29.652480000000001</v>
      </c>
    </row>
    <row r="231" spans="1:10" ht="15" customHeight="1" x14ac:dyDescent="0.2">
      <c r="A231" s="495"/>
      <c r="B231" s="63"/>
      <c r="C231" s="111"/>
      <c r="D231" s="126"/>
      <c r="E231" s="126"/>
      <c r="F231" s="126"/>
      <c r="G231" s="126"/>
      <c r="H231" s="126"/>
      <c r="I231" s="127" t="s">
        <v>408</v>
      </c>
      <c r="J231" s="127">
        <f>SUM(J222:J230)</f>
        <v>74.761480000000006</v>
      </c>
    </row>
    <row r="232" spans="1:10" ht="15" x14ac:dyDescent="0.2">
      <c r="A232" s="495"/>
      <c r="B232" s="110"/>
      <c r="C232" s="111"/>
      <c r="D232" s="112"/>
      <c r="E232" s="112"/>
      <c r="F232" s="112"/>
      <c r="G232" s="112"/>
      <c r="H232" s="112"/>
      <c r="I232" s="112"/>
      <c r="J232" s="112"/>
    </row>
    <row r="233" spans="1:10" ht="45" customHeight="1" x14ac:dyDescent="0.2">
      <c r="A233" s="46" t="str">
        <f>'PLANILHA ORÇAMENTÁRIA'!A51</f>
        <v>4.2.2</v>
      </c>
      <c r="B233" s="107" t="str">
        <f>'PLANILHA ORÇAMENTÁRIA'!D51</f>
        <v>Fornecimento e aplicação de concreto USINADO Fck=30 MPa - considerando BOMBEAMENTO (5% de perdas já incluído no custo) (6% de taxa p/ concr. bombeavel)</v>
      </c>
      <c r="C233" s="48" t="str">
        <f>'PLANILHA ORÇAMENTÁRIA'!E51</f>
        <v xml:space="preserve">m3 </v>
      </c>
      <c r="D233" s="49" t="s">
        <v>399</v>
      </c>
      <c r="E233" s="49" t="s">
        <v>400</v>
      </c>
      <c r="F233" s="49" t="s">
        <v>401</v>
      </c>
      <c r="G233" s="49" t="s">
        <v>402</v>
      </c>
      <c r="H233" s="49" t="s">
        <v>403</v>
      </c>
      <c r="I233" s="49" t="s">
        <v>404</v>
      </c>
      <c r="J233" s="40" t="s">
        <v>405</v>
      </c>
    </row>
    <row r="234" spans="1:10" x14ac:dyDescent="0.2">
      <c r="A234" s="495"/>
      <c r="B234" s="63" t="s">
        <v>490</v>
      </c>
      <c r="C234" s="59"/>
      <c r="D234" s="56">
        <v>5</v>
      </c>
      <c r="E234" s="56">
        <v>0.15</v>
      </c>
      <c r="F234" s="56">
        <v>0.25</v>
      </c>
      <c r="G234" s="56">
        <v>3</v>
      </c>
      <c r="H234" s="56"/>
      <c r="I234" s="56">
        <f>D234*E234*F234*G234</f>
        <v>0.5625</v>
      </c>
      <c r="J234" s="64">
        <f>I234</f>
        <v>0.5625</v>
      </c>
    </row>
    <row r="235" spans="1:10" x14ac:dyDescent="0.2">
      <c r="A235" s="495"/>
      <c r="B235" s="63" t="s">
        <v>491</v>
      </c>
      <c r="C235" s="59"/>
      <c r="D235" s="56">
        <v>6</v>
      </c>
      <c r="E235" s="56">
        <v>0.26</v>
      </c>
      <c r="F235" s="56">
        <v>0.36</v>
      </c>
      <c r="G235" s="56">
        <v>3</v>
      </c>
      <c r="H235" s="56"/>
      <c r="I235" s="56">
        <f>D235*E235*F235*G235</f>
        <v>1.6848000000000001</v>
      </c>
      <c r="J235" s="64">
        <f>I235</f>
        <v>1.6848000000000001</v>
      </c>
    </row>
    <row r="236" spans="1:10" ht="15" x14ac:dyDescent="0.2">
      <c r="A236" s="495"/>
      <c r="B236" s="63" t="s">
        <v>489</v>
      </c>
      <c r="C236" s="48"/>
      <c r="D236" s="56">
        <v>1</v>
      </c>
      <c r="E236" s="41">
        <f>28.15-(0.26*6+0.15*5)</f>
        <v>25.84</v>
      </c>
      <c r="F236" s="56">
        <v>0.15</v>
      </c>
      <c r="G236" s="56">
        <v>0.3</v>
      </c>
      <c r="H236" s="56"/>
      <c r="I236" s="56">
        <f>D236*E236*F236*G236</f>
        <v>1.1627999999999998</v>
      </c>
      <c r="J236" s="64">
        <f>I236</f>
        <v>1.1627999999999998</v>
      </c>
    </row>
    <row r="237" spans="1:10" ht="15" x14ac:dyDescent="0.2">
      <c r="A237" s="495"/>
      <c r="B237" s="47"/>
      <c r="C237" s="48"/>
      <c r="D237" s="49"/>
      <c r="E237" s="49"/>
      <c r="F237" s="49"/>
      <c r="G237" s="49"/>
      <c r="H237" s="49"/>
      <c r="I237" s="49" t="s">
        <v>408</v>
      </c>
      <c r="J237" s="40">
        <f>SUM(J234:J236)</f>
        <v>3.4100999999999999</v>
      </c>
    </row>
    <row r="238" spans="1:10" ht="15" x14ac:dyDescent="0.2">
      <c r="A238" s="499"/>
      <c r="B238" s="110"/>
      <c r="C238" s="111"/>
      <c r="D238" s="112"/>
      <c r="E238" s="112"/>
      <c r="F238" s="112"/>
      <c r="G238" s="112"/>
      <c r="H238" s="112"/>
      <c r="I238" s="112"/>
      <c r="J238" s="112"/>
    </row>
    <row r="239" spans="1:10" ht="30" x14ac:dyDescent="0.2">
      <c r="A239" s="46" t="str">
        <f>'PLANILHA ORÇAMENTÁRIA'!A52</f>
        <v>4.2.3</v>
      </c>
      <c r="B239" s="47" t="str">
        <f>'PLANILHA ORÇAMENTÁRIA'!D52</f>
        <v>Fornecimento, dobragem e colocação em fôrma, de armadura CA-60 B fina, diâmetro de 4.0 a 7.0mm</v>
      </c>
      <c r="C239" s="48" t="str">
        <f>'PLANILHA ORÇAMENTÁRIA'!E52</f>
        <v xml:space="preserve"> kg </v>
      </c>
      <c r="D239" s="167" t="s">
        <v>399</v>
      </c>
      <c r="E239" s="167" t="s">
        <v>468</v>
      </c>
      <c r="F239" s="167" t="s">
        <v>400</v>
      </c>
      <c r="G239" s="167" t="s">
        <v>402</v>
      </c>
      <c r="H239" s="167" t="s">
        <v>469</v>
      </c>
      <c r="I239" s="167" t="s">
        <v>470</v>
      </c>
      <c r="J239" s="40" t="s">
        <v>405</v>
      </c>
    </row>
    <row r="240" spans="1:10" ht="15" x14ac:dyDescent="0.2">
      <c r="A240" s="507"/>
      <c r="B240" s="177" t="s">
        <v>486</v>
      </c>
      <c r="C240" s="111"/>
      <c r="D240" s="112"/>
      <c r="E240" s="112"/>
      <c r="F240" s="112"/>
      <c r="G240" s="112"/>
      <c r="H240" s="112"/>
      <c r="I240" s="112"/>
      <c r="J240" s="166" t="s">
        <v>472</v>
      </c>
    </row>
    <row r="241" spans="1:10" ht="15" customHeight="1" x14ac:dyDescent="0.2">
      <c r="A241" s="508"/>
      <c r="B241" s="213" t="s">
        <v>489</v>
      </c>
      <c r="C241" s="111"/>
      <c r="D241" s="112"/>
      <c r="E241" s="112"/>
      <c r="F241" s="112"/>
      <c r="G241" s="112"/>
      <c r="H241" s="112"/>
      <c r="I241" s="112"/>
      <c r="J241" s="112"/>
    </row>
    <row r="242" spans="1:10" ht="15" customHeight="1" x14ac:dyDescent="0.2">
      <c r="A242" s="508"/>
      <c r="B242" s="63" t="s">
        <v>487</v>
      </c>
      <c r="C242" s="111"/>
      <c r="D242" s="126">
        <v>4</v>
      </c>
      <c r="E242" s="126">
        <v>25</v>
      </c>
      <c r="F242" s="126">
        <v>0.68</v>
      </c>
      <c r="G242" s="126"/>
      <c r="H242" s="126">
        <f>D242*E242*F242</f>
        <v>68</v>
      </c>
      <c r="I242" s="176">
        <v>0.154</v>
      </c>
      <c r="J242" s="126">
        <f>H242*I242</f>
        <v>10.472</v>
      </c>
    </row>
    <row r="243" spans="1:10" ht="15" customHeight="1" x14ac:dyDescent="0.2">
      <c r="A243" s="508"/>
      <c r="B243" s="63"/>
      <c r="C243" s="111"/>
      <c r="D243" s="126"/>
      <c r="E243" s="126"/>
      <c r="F243" s="126"/>
      <c r="G243" s="126"/>
      <c r="H243" s="126"/>
      <c r="I243" s="126"/>
      <c r="J243" s="126"/>
    </row>
    <row r="244" spans="1:10" ht="15" customHeight="1" x14ac:dyDescent="0.2">
      <c r="A244" s="508"/>
      <c r="B244" s="213" t="s">
        <v>490</v>
      </c>
      <c r="C244" s="111"/>
      <c r="D244" s="126"/>
      <c r="E244" s="126"/>
      <c r="F244" s="126"/>
      <c r="G244" s="126"/>
      <c r="H244" s="126"/>
      <c r="I244" s="126"/>
      <c r="J244" s="126"/>
    </row>
    <row r="245" spans="1:10" ht="15" customHeight="1" x14ac:dyDescent="0.2">
      <c r="A245" s="508"/>
      <c r="B245" s="63" t="s">
        <v>488</v>
      </c>
      <c r="C245" s="111"/>
      <c r="D245" s="126">
        <v>1</v>
      </c>
      <c r="E245" s="126">
        <v>177</v>
      </c>
      <c r="F245" s="126">
        <v>0.78</v>
      </c>
      <c r="G245" s="126"/>
      <c r="H245" s="126">
        <f>D245*E245*F245</f>
        <v>138.06</v>
      </c>
      <c r="I245" s="176">
        <v>0.154</v>
      </c>
      <c r="J245" s="126">
        <f>H245*I245</f>
        <v>21.261240000000001</v>
      </c>
    </row>
    <row r="246" spans="1:10" ht="15" customHeight="1" x14ac:dyDescent="0.2">
      <c r="A246" s="508"/>
      <c r="B246" s="63"/>
      <c r="C246" s="111"/>
      <c r="D246" s="126"/>
      <c r="E246" s="126"/>
      <c r="F246" s="126"/>
      <c r="G246" s="126"/>
      <c r="H246" s="126"/>
      <c r="I246" s="127" t="s">
        <v>408</v>
      </c>
      <c r="J246" s="127">
        <f>SUM(J242:J245)</f>
        <v>31.733240000000002</v>
      </c>
    </row>
    <row r="247" spans="1:10" ht="15" x14ac:dyDescent="0.2">
      <c r="A247" s="509"/>
      <c r="B247" s="110"/>
      <c r="C247" s="111"/>
      <c r="D247" s="126"/>
      <c r="E247" s="126"/>
      <c r="F247" s="126"/>
      <c r="G247" s="126"/>
      <c r="H247" s="126"/>
      <c r="I247" s="126"/>
      <c r="J247" s="126"/>
    </row>
    <row r="248" spans="1:10" ht="51.75" customHeight="1" x14ac:dyDescent="0.2">
      <c r="A248" s="46" t="str">
        <f>'PLANILHA ORÇAMENTÁRIA'!A53</f>
        <v>4.2.4</v>
      </c>
      <c r="B248" s="47" t="str">
        <f>'PLANILHA ORÇAMENTÁRIA'!D53</f>
        <v>Fôrma em chapa de madeira compensada plastificada 12mm para estrutura em geral, 5 reaproveitamentos, reforçada com sarrafos de madeira 2.5x10cm (incl material, corte, montagem, escoras em eucalipto e desforma)</v>
      </c>
      <c r="C248" s="48" t="str">
        <f>'PLANILHA ORÇAMENTÁRIA'!E53</f>
        <v xml:space="preserve">m2 </v>
      </c>
      <c r="D248" s="49" t="s">
        <v>399</v>
      </c>
      <c r="E248" s="49" t="s">
        <v>400</v>
      </c>
      <c r="F248" s="49" t="s">
        <v>401</v>
      </c>
      <c r="G248" s="49" t="s">
        <v>402</v>
      </c>
      <c r="H248" s="49" t="s">
        <v>403</v>
      </c>
      <c r="I248" s="49" t="s">
        <v>404</v>
      </c>
      <c r="J248" s="40" t="s">
        <v>405</v>
      </c>
    </row>
    <row r="249" spans="1:10" x14ac:dyDescent="0.2">
      <c r="A249" s="507"/>
      <c r="C249" s="111"/>
      <c r="D249" s="112"/>
      <c r="E249" s="112"/>
      <c r="F249" s="112"/>
      <c r="G249" s="112"/>
      <c r="H249" s="112"/>
      <c r="I249" s="112"/>
      <c r="J249" s="112"/>
    </row>
    <row r="250" spans="1:10" ht="15" x14ac:dyDescent="0.2">
      <c r="A250" s="520"/>
      <c r="B250" s="518" t="s">
        <v>490</v>
      </c>
      <c r="C250" s="215">
        <v>5</v>
      </c>
      <c r="D250" s="56">
        <v>2</v>
      </c>
      <c r="E250" s="56">
        <v>0.15</v>
      </c>
      <c r="F250" s="56"/>
      <c r="G250" s="56">
        <v>3</v>
      </c>
      <c r="H250" s="56">
        <f>C250*D250*E250*G250</f>
        <v>4.5</v>
      </c>
      <c r="I250" s="49"/>
      <c r="J250" s="64">
        <f>H250</f>
        <v>4.5</v>
      </c>
    </row>
    <row r="251" spans="1:10" ht="15" x14ac:dyDescent="0.2">
      <c r="A251" s="520"/>
      <c r="B251" s="518"/>
      <c r="C251" s="215">
        <v>5</v>
      </c>
      <c r="D251" s="56">
        <v>2</v>
      </c>
      <c r="E251" s="56">
        <v>0.25</v>
      </c>
      <c r="F251" s="56"/>
      <c r="G251" s="56">
        <v>3</v>
      </c>
      <c r="H251" s="56">
        <f>C251*D251*E251*G251</f>
        <v>7.5</v>
      </c>
      <c r="I251" s="49"/>
      <c r="J251" s="64">
        <f>H251</f>
        <v>7.5</v>
      </c>
    </row>
    <row r="252" spans="1:10" ht="15" x14ac:dyDescent="0.2">
      <c r="A252" s="520"/>
      <c r="B252" s="518" t="s">
        <v>491</v>
      </c>
      <c r="C252" s="215">
        <v>6</v>
      </c>
      <c r="D252" s="56">
        <v>2</v>
      </c>
      <c r="E252" s="56">
        <v>0.26</v>
      </c>
      <c r="F252" s="56"/>
      <c r="G252" s="56">
        <v>3</v>
      </c>
      <c r="H252" s="56">
        <f>C252*D252*E252*G252</f>
        <v>9.36</v>
      </c>
      <c r="I252" s="49"/>
      <c r="J252" s="64">
        <f>H252</f>
        <v>9.36</v>
      </c>
    </row>
    <row r="253" spans="1:10" ht="15" x14ac:dyDescent="0.2">
      <c r="A253" s="520"/>
      <c r="B253" s="518"/>
      <c r="C253" s="215">
        <v>6</v>
      </c>
      <c r="D253" s="56">
        <v>2</v>
      </c>
      <c r="E253" s="56">
        <v>0.36</v>
      </c>
      <c r="F253" s="56"/>
      <c r="G253" s="56">
        <v>3</v>
      </c>
      <c r="H253" s="56">
        <f>C253*D253*E253*G253</f>
        <v>12.96</v>
      </c>
      <c r="I253" s="49"/>
      <c r="J253" s="64">
        <f>H253</f>
        <v>12.96</v>
      </c>
    </row>
    <row r="254" spans="1:10" ht="15" x14ac:dyDescent="0.2">
      <c r="A254" s="508"/>
      <c r="B254" s="214" t="s">
        <v>489</v>
      </c>
      <c r="C254" s="56">
        <v>1</v>
      </c>
      <c r="D254" s="56">
        <v>2</v>
      </c>
      <c r="E254" s="41">
        <f>28.15-(0.26*6+0.15*5)</f>
        <v>25.84</v>
      </c>
      <c r="F254" s="56"/>
      <c r="G254" s="56">
        <v>0.3</v>
      </c>
      <c r="H254" s="56">
        <f>E254*G254*D254*C254</f>
        <v>15.504</v>
      </c>
      <c r="I254" s="49"/>
      <c r="J254" s="64">
        <f>H254</f>
        <v>15.504</v>
      </c>
    </row>
    <row r="255" spans="1:10" ht="15" x14ac:dyDescent="0.2">
      <c r="A255" s="508"/>
      <c r="B255" s="110"/>
      <c r="C255" s="111"/>
      <c r="D255" s="112"/>
      <c r="E255" s="112"/>
      <c r="F255" s="112"/>
      <c r="G255" s="112"/>
      <c r="H255" s="112"/>
      <c r="I255" s="127" t="s">
        <v>408</v>
      </c>
      <c r="J255" s="216">
        <f>SUM(J250:J254)</f>
        <v>49.823999999999998</v>
      </c>
    </row>
    <row r="256" spans="1:10" ht="15" x14ac:dyDescent="0.2">
      <c r="A256" s="508"/>
      <c r="B256" s="110"/>
      <c r="C256" s="111"/>
      <c r="D256" s="112"/>
      <c r="E256" s="112"/>
      <c r="F256" s="112"/>
      <c r="G256" s="112"/>
      <c r="H256" s="112"/>
      <c r="I256" s="112"/>
      <c r="J256" s="112"/>
    </row>
    <row r="257" spans="1:10" ht="15" x14ac:dyDescent="0.2">
      <c r="A257" s="54" t="str">
        <f>'PLANILHA ORÇAMENTÁRIA'!A54</f>
        <v>4.3</v>
      </c>
      <c r="B257" s="493" t="str">
        <f>'PLANILHA ORÇAMENTÁRIA'!D54</f>
        <v>RECUPERAÇÃO DE ESTRUTURAS</v>
      </c>
      <c r="C257" s="493"/>
      <c r="D257" s="493"/>
      <c r="E257" s="493"/>
      <c r="F257" s="493"/>
      <c r="G257" s="493"/>
      <c r="H257" s="493"/>
      <c r="I257" s="493"/>
      <c r="J257" s="493"/>
    </row>
    <row r="258" spans="1:10" ht="57" customHeight="1" x14ac:dyDescent="0.2">
      <c r="A258" s="46" t="str">
        <f>'PLANILHA ORÇAMENTÁRIA'!A55</f>
        <v>4.3.1</v>
      </c>
      <c r="B258" s="47" t="str">
        <f>'PLANILHA ORÇAMENTÁRIA'!D55</f>
        <v>Limpeza de aço com lixamento e escovamento com escova de aço, até a completa remoção de partículas soltas, materiais indesejáveis e corrosão</v>
      </c>
      <c r="C258" s="48" t="str">
        <f>'PLANILHA ORÇAMENTÁRIA'!E55</f>
        <v xml:space="preserve">m2 </v>
      </c>
      <c r="D258" s="49" t="s">
        <v>399</v>
      </c>
      <c r="E258" s="49" t="s">
        <v>400</v>
      </c>
      <c r="F258" s="49" t="s">
        <v>401</v>
      </c>
      <c r="G258" s="49" t="s">
        <v>402</v>
      </c>
      <c r="H258" s="49" t="s">
        <v>403</v>
      </c>
      <c r="I258" s="49" t="s">
        <v>404</v>
      </c>
      <c r="J258" s="40" t="s">
        <v>405</v>
      </c>
    </row>
    <row r="259" spans="1:10" x14ac:dyDescent="0.2">
      <c r="A259" s="502"/>
      <c r="B259" s="45" t="s">
        <v>492</v>
      </c>
      <c r="C259" s="46"/>
      <c r="D259" s="46">
        <v>6</v>
      </c>
      <c r="E259" s="46">
        <f>0.2+0.3+0.2+0.3</f>
        <v>1</v>
      </c>
      <c r="F259" s="46"/>
      <c r="G259" s="46">
        <v>3</v>
      </c>
      <c r="H259" s="46">
        <f>E259*G259</f>
        <v>3</v>
      </c>
      <c r="I259" s="46"/>
      <c r="J259" s="46">
        <f>D259*H259</f>
        <v>18</v>
      </c>
    </row>
    <row r="260" spans="1:10" x14ac:dyDescent="0.2">
      <c r="A260" s="502"/>
      <c r="B260" s="44"/>
      <c r="C260" s="46"/>
      <c r="D260" s="46"/>
      <c r="E260" s="46"/>
      <c r="F260" s="46"/>
      <c r="G260" s="46"/>
      <c r="H260" s="46"/>
      <c r="I260" s="57" t="s">
        <v>408</v>
      </c>
      <c r="J260" s="58">
        <f>SUM(J259:J259)</f>
        <v>18</v>
      </c>
    </row>
    <row r="261" spans="1:10" x14ac:dyDescent="0.2">
      <c r="A261" s="502"/>
      <c r="B261" s="44"/>
      <c r="C261" s="44"/>
      <c r="D261" s="44"/>
      <c r="E261" s="44"/>
      <c r="F261" s="44"/>
      <c r="G261" s="44"/>
      <c r="H261" s="44"/>
      <c r="I261" s="44"/>
      <c r="J261" s="44"/>
    </row>
    <row r="262" spans="1:10" ht="45.75" customHeight="1" x14ac:dyDescent="0.2">
      <c r="A262" s="46" t="str">
        <f>'PLANILHA ORÇAMENTÁRIA'!A56</f>
        <v>4.3.2</v>
      </c>
      <c r="B262" s="47" t="str">
        <f>'PLANILHA ORÇAMENTÁRIA'!D56</f>
        <v xml:space="preserve">Aplicação de Sika Top 108 Armatec ou equivalente, nas ferragens a serem recuperadas </v>
      </c>
      <c r="C262" s="48" t="str">
        <f>'PLANILHA ORÇAMENTÁRIA'!E56</f>
        <v xml:space="preserve">m2 </v>
      </c>
      <c r="D262" s="49" t="s">
        <v>399</v>
      </c>
      <c r="E262" s="49" t="s">
        <v>400</v>
      </c>
      <c r="F262" s="49" t="s">
        <v>401</v>
      </c>
      <c r="G262" s="49" t="s">
        <v>402</v>
      </c>
      <c r="H262" s="49" t="s">
        <v>403</v>
      </c>
      <c r="I262" s="49" t="s">
        <v>404</v>
      </c>
      <c r="J262" s="40" t="s">
        <v>405</v>
      </c>
    </row>
    <row r="263" spans="1:10" x14ac:dyDescent="0.2">
      <c r="A263" s="502"/>
      <c r="B263" s="45" t="s">
        <v>493</v>
      </c>
      <c r="C263" s="46"/>
      <c r="D263" s="46">
        <v>6</v>
      </c>
      <c r="E263" s="46">
        <f>0.2+0.3+0.2+0.3</f>
        <v>1</v>
      </c>
      <c r="F263" s="46"/>
      <c r="G263" s="46">
        <v>0.4</v>
      </c>
      <c r="H263" s="46">
        <f>E263*G263</f>
        <v>0.4</v>
      </c>
      <c r="I263" s="46"/>
      <c r="J263" s="46">
        <f>D263*H263</f>
        <v>2.4000000000000004</v>
      </c>
    </row>
    <row r="264" spans="1:10" x14ac:dyDescent="0.2">
      <c r="A264" s="502"/>
      <c r="B264" s="44"/>
      <c r="C264" s="46"/>
      <c r="D264" s="46"/>
      <c r="E264" s="46"/>
      <c r="F264" s="46"/>
      <c r="G264" s="46"/>
      <c r="H264" s="46"/>
      <c r="I264" s="57" t="s">
        <v>408</v>
      </c>
      <c r="J264" s="58">
        <f>SUM(J263:J263)</f>
        <v>2.4000000000000004</v>
      </c>
    </row>
    <row r="265" spans="1:10" x14ac:dyDescent="0.2">
      <c r="A265" s="502"/>
      <c r="B265" s="44"/>
      <c r="C265" s="44"/>
      <c r="D265" s="44"/>
      <c r="E265" s="44"/>
      <c r="F265" s="44"/>
      <c r="G265" s="44"/>
      <c r="H265" s="44"/>
      <c r="I265" s="44"/>
      <c r="J265" s="44"/>
    </row>
    <row r="266" spans="1:10" ht="15" x14ac:dyDescent="0.2">
      <c r="A266" s="33">
        <f>'PLANILHA ORÇAMENTÁRIA'!A58</f>
        <v>5</v>
      </c>
      <c r="B266" s="51" t="str">
        <f>'PLANILHA ORÇAMENTÁRIA'!D58</f>
        <v>PAREDES E PAINÉIS</v>
      </c>
      <c r="C266" s="52"/>
      <c r="D266" s="53"/>
      <c r="E266" s="53"/>
      <c r="F266" s="53"/>
      <c r="G266" s="53"/>
      <c r="H266" s="53"/>
      <c r="I266" s="53"/>
      <c r="J266" s="53"/>
    </row>
    <row r="267" spans="1:10" ht="15" x14ac:dyDescent="0.2">
      <c r="A267" s="54" t="str">
        <f>'PLANILHA ORÇAMENTÁRIA'!A59</f>
        <v>5.1</v>
      </c>
      <c r="B267" s="493" t="str">
        <f>'PLANILHA ORÇAMENTÁRIA'!D59</f>
        <v>ALVENARIA DE VEDAÇÃO EMPREGANDO ARGAMASSA DE CIMENTO, CAL E AREIA</v>
      </c>
      <c r="C267" s="493"/>
      <c r="D267" s="493"/>
      <c r="E267" s="493"/>
      <c r="F267" s="493"/>
      <c r="G267" s="493"/>
      <c r="H267" s="493"/>
      <c r="I267" s="493"/>
      <c r="J267" s="493"/>
    </row>
    <row r="268" spans="1:10" ht="67.5" customHeight="1" x14ac:dyDescent="0.2">
      <c r="A268" s="46" t="str">
        <f>'PLANILHA ORÇAMENTÁRIA'!A60</f>
        <v>5.1.1</v>
      </c>
      <c r="B268" s="47" t="str">
        <f>'PLANILHA ORÇAMENTÁRIA'!D60</f>
        <v>Alvenaria de blocos cerâmicos 10 furos 10x20x20cm, assentados c/argamassa de cimento, cal hidratada CH1 e areia traço 1:0,5:8, juntas 12mm e esp. das paredes s/revestimento, 10cm (bloco comprado na praça de Vitória, posto obra)</v>
      </c>
      <c r="C268" s="48" t="str">
        <f>'PLANILHA ORÇAMENTÁRIA'!E60</f>
        <v>m2</v>
      </c>
      <c r="D268" s="40" t="s">
        <v>399</v>
      </c>
      <c r="E268" s="40" t="s">
        <v>400</v>
      </c>
      <c r="F268" s="40" t="s">
        <v>401</v>
      </c>
      <c r="G268" s="40" t="s">
        <v>402</v>
      </c>
      <c r="H268" s="40" t="s">
        <v>403</v>
      </c>
      <c r="I268" s="40" t="s">
        <v>404</v>
      </c>
      <c r="J268" s="40" t="s">
        <v>405</v>
      </c>
    </row>
    <row r="269" spans="1:10" x14ac:dyDescent="0.2">
      <c r="A269" s="523"/>
      <c r="B269" s="119" t="s">
        <v>494</v>
      </c>
      <c r="C269" s="113"/>
      <c r="D269" s="113"/>
      <c r="E269" s="113">
        <v>26</v>
      </c>
      <c r="F269" s="113"/>
      <c r="G269" s="113">
        <v>3</v>
      </c>
      <c r="H269" s="113">
        <f>E269*G269</f>
        <v>78</v>
      </c>
      <c r="I269" s="113"/>
      <c r="J269" s="113">
        <f>H269</f>
        <v>78</v>
      </c>
    </row>
    <row r="270" spans="1:10" x14ac:dyDescent="0.2">
      <c r="A270" s="523"/>
      <c r="B270" s="119" t="s">
        <v>495</v>
      </c>
      <c r="C270" s="113"/>
      <c r="D270" s="113"/>
      <c r="E270" s="113">
        <v>1.4</v>
      </c>
      <c r="F270" s="113"/>
      <c r="G270" s="113">
        <f>(3.38+3.78)/2</f>
        <v>3.58</v>
      </c>
      <c r="H270" s="113">
        <f>E270*G270</f>
        <v>5.0119999999999996</v>
      </c>
      <c r="I270" s="113"/>
      <c r="J270" s="113">
        <f>H270</f>
        <v>5.0119999999999996</v>
      </c>
    </row>
    <row r="271" spans="1:10" x14ac:dyDescent="0.2">
      <c r="A271" s="523"/>
      <c r="B271" s="120"/>
      <c r="C271" s="113"/>
      <c r="D271" s="113"/>
      <c r="E271" s="113"/>
      <c r="F271" s="113"/>
      <c r="G271" s="113"/>
      <c r="H271" s="113"/>
      <c r="I271" s="57" t="s">
        <v>408</v>
      </c>
      <c r="J271" s="58">
        <f>SUM(J269:J270)</f>
        <v>83.012</v>
      </c>
    </row>
    <row r="272" spans="1:10" x14ac:dyDescent="0.2">
      <c r="A272" s="523"/>
      <c r="B272" s="120"/>
      <c r="C272" s="113"/>
      <c r="D272" s="113"/>
      <c r="E272" s="113"/>
      <c r="F272" s="113"/>
      <c r="G272" s="113"/>
      <c r="H272" s="113"/>
      <c r="I272" s="113"/>
      <c r="J272" s="113"/>
    </row>
    <row r="273" spans="1:10" ht="15" x14ac:dyDescent="0.2">
      <c r="A273" s="33">
        <f>'PLANILHA ORÇAMENTÁRIA'!A62</f>
        <v>6</v>
      </c>
      <c r="B273" s="51" t="str">
        <f>'PLANILHA ORÇAMENTÁRIA'!D62</f>
        <v>ESQUADRIAS METÁLICAS</v>
      </c>
      <c r="C273" s="52"/>
      <c r="D273" s="53"/>
      <c r="E273" s="53"/>
      <c r="F273" s="53"/>
      <c r="G273" s="53"/>
      <c r="H273" s="53"/>
      <c r="I273" s="53"/>
      <c r="J273" s="53"/>
    </row>
    <row r="274" spans="1:10" ht="15" x14ac:dyDescent="0.2">
      <c r="A274" s="292" t="str">
        <f>'PLANILHA ORÇAMENTÁRIA'!A63</f>
        <v>6.1</v>
      </c>
      <c r="B274" s="490" t="str">
        <f>'PLANILHA ORÇAMENTÁRIA'!D63</f>
        <v>GRADES E PORTÕES</v>
      </c>
      <c r="C274" s="491"/>
      <c r="D274" s="491"/>
      <c r="E274" s="491"/>
      <c r="F274" s="491"/>
      <c r="G274" s="491"/>
      <c r="H274" s="491"/>
      <c r="I274" s="491"/>
      <c r="J274" s="492"/>
    </row>
    <row r="275" spans="1:10" ht="30" x14ac:dyDescent="0.2">
      <c r="A275" s="293" t="str">
        <f>'PLANILHA ORÇAMENTÁRIA'!A64</f>
        <v>6.1.1</v>
      </c>
      <c r="B275" s="294" t="str">
        <f>'PLANILHA ORÇAMENTÁRIA'!D64</f>
        <v xml:space="preserve">Portão de ferro de correr em barra chata, inclusive chumbamento </v>
      </c>
      <c r="C275" s="48" t="str">
        <f>'PLANILHA ORÇAMENTÁRIA'!E64</f>
        <v xml:space="preserve">m2 </v>
      </c>
      <c r="D275" s="49" t="s">
        <v>399</v>
      </c>
      <c r="E275" s="49" t="s">
        <v>400</v>
      </c>
      <c r="F275" s="49" t="s">
        <v>401</v>
      </c>
      <c r="G275" s="49" t="s">
        <v>402</v>
      </c>
      <c r="H275" s="49" t="s">
        <v>403</v>
      </c>
      <c r="I275" s="49" t="s">
        <v>404</v>
      </c>
      <c r="J275" s="40" t="s">
        <v>405</v>
      </c>
    </row>
    <row r="276" spans="1:10" x14ac:dyDescent="0.2">
      <c r="A276" s="293"/>
      <c r="B276" s="296" t="s">
        <v>496</v>
      </c>
      <c r="C276" s="297"/>
      <c r="D276" s="295"/>
      <c r="E276" s="295">
        <v>1.8</v>
      </c>
      <c r="F276" s="295"/>
      <c r="G276" s="295">
        <v>2.2000000000000002</v>
      </c>
      <c r="H276" s="295">
        <f>E276*G276</f>
        <v>3.9600000000000004</v>
      </c>
      <c r="I276" s="295"/>
      <c r="J276" s="295">
        <f>H276</f>
        <v>3.9600000000000004</v>
      </c>
    </row>
    <row r="277" spans="1:10" x14ac:dyDescent="0.2">
      <c r="A277" s="293"/>
      <c r="B277" s="296" t="s">
        <v>497</v>
      </c>
      <c r="C277" s="297"/>
      <c r="D277" s="295"/>
      <c r="E277" s="295">
        <v>2.06</v>
      </c>
      <c r="F277" s="295"/>
      <c r="G277" s="295">
        <v>2.2000000000000002</v>
      </c>
      <c r="H277" s="295">
        <f>E277*G277</f>
        <v>4.5320000000000009</v>
      </c>
      <c r="I277" s="295"/>
      <c r="J277" s="295">
        <f>H277</f>
        <v>4.5320000000000009</v>
      </c>
    </row>
    <row r="278" spans="1:10" x14ac:dyDescent="0.2">
      <c r="A278" s="293"/>
      <c r="B278" s="296"/>
      <c r="C278" s="297"/>
      <c r="D278" s="295"/>
      <c r="E278" s="295"/>
      <c r="F278" s="295"/>
      <c r="G278" s="295"/>
      <c r="H278" s="295"/>
      <c r="I278" s="57" t="s">
        <v>498</v>
      </c>
      <c r="J278" s="279">
        <f>SUM(J276:J277)</f>
        <v>8.4920000000000009</v>
      </c>
    </row>
    <row r="279" spans="1:10" ht="15" x14ac:dyDescent="0.2">
      <c r="A279" s="293"/>
      <c r="B279" s="298"/>
      <c r="C279" s="297"/>
      <c r="D279" s="295"/>
      <c r="E279" s="295"/>
      <c r="F279" s="295"/>
      <c r="G279" s="295"/>
      <c r="H279" s="295"/>
      <c r="I279" s="295"/>
      <c r="J279" s="295"/>
    </row>
    <row r="280" spans="1:10" ht="29.25" customHeight="1" x14ac:dyDescent="0.2">
      <c r="A280" s="54" t="str">
        <f>'PLANILHA ORÇAMENTÁRIA'!A65</f>
        <v>6.2</v>
      </c>
      <c r="B280" s="515" t="str">
        <f>'PLANILHA ORÇAMENTÁRIA'!D65</f>
        <v>ESQUADRIAS METÁLICAS (M2)</v>
      </c>
      <c r="C280" s="493"/>
      <c r="D280" s="493"/>
      <c r="E280" s="493"/>
      <c r="F280" s="493"/>
      <c r="G280" s="493"/>
      <c r="H280" s="493"/>
      <c r="I280" s="493"/>
      <c r="J280" s="493"/>
    </row>
    <row r="281" spans="1:10" ht="29.25" customHeight="1" x14ac:dyDescent="0.2">
      <c r="A281" s="46" t="str">
        <f>'PLANILHA ORÇAMENTÁRIA'!A66</f>
        <v>6.2.1</v>
      </c>
      <c r="B281" s="107" t="str">
        <f>'PLANILHA ORÇAMENTÁRIA'!D66</f>
        <v>Báscula para vidro em alumínio anodizado cor natural, linha 25, completa, com tranca, caixilho, alizar e contramarco, exclusive vidro</v>
      </c>
      <c r="C281" s="48" t="str">
        <f>'PLANILHA ORÇAMENTÁRIA'!E66</f>
        <v>m2</v>
      </c>
      <c r="D281" s="49" t="s">
        <v>399</v>
      </c>
      <c r="E281" s="49" t="s">
        <v>400</v>
      </c>
      <c r="F281" s="49" t="s">
        <v>401</v>
      </c>
      <c r="G281" s="49" t="s">
        <v>402</v>
      </c>
      <c r="H281" s="49" t="s">
        <v>403</v>
      </c>
      <c r="I281" s="49" t="s">
        <v>404</v>
      </c>
      <c r="J281" s="40" t="s">
        <v>405</v>
      </c>
    </row>
    <row r="282" spans="1:10" ht="15" customHeight="1" x14ac:dyDescent="0.2">
      <c r="A282" s="486"/>
      <c r="B282" s="266" t="s">
        <v>499</v>
      </c>
      <c r="C282" s="44"/>
      <c r="D282" s="46">
        <v>2</v>
      </c>
      <c r="E282" s="46">
        <v>0.6</v>
      </c>
      <c r="F282" s="46">
        <v>0.6</v>
      </c>
      <c r="G282" s="46"/>
      <c r="H282" s="44">
        <f>E282*F282</f>
        <v>0.36</v>
      </c>
      <c r="I282" s="44"/>
      <c r="J282" s="59">
        <f>D282*H282</f>
        <v>0.72</v>
      </c>
    </row>
    <row r="283" spans="1:10" ht="15" x14ac:dyDescent="0.2">
      <c r="A283" s="486"/>
      <c r="B283" s="266" t="s">
        <v>500</v>
      </c>
      <c r="C283" s="217"/>
      <c r="D283" s="46">
        <v>2</v>
      </c>
      <c r="E283" s="46">
        <v>0.6</v>
      </c>
      <c r="F283" s="46">
        <v>0.6</v>
      </c>
      <c r="G283" s="46"/>
      <c r="H283" s="44">
        <f>E283*F283</f>
        <v>0.36</v>
      </c>
      <c r="I283" s="44"/>
      <c r="J283" s="59">
        <f>D283*H283</f>
        <v>0.72</v>
      </c>
    </row>
    <row r="284" spans="1:10" ht="15" x14ac:dyDescent="0.2">
      <c r="A284" s="486"/>
      <c r="B284" s="280"/>
      <c r="C284" s="217"/>
      <c r="D284" s="217"/>
      <c r="E284" s="217"/>
      <c r="F284" s="217"/>
      <c r="G284" s="217"/>
      <c r="H284" s="217"/>
      <c r="I284" s="57" t="s">
        <v>498</v>
      </c>
      <c r="J284" s="57">
        <f>SUM(J282:J283)</f>
        <v>1.44</v>
      </c>
    </row>
    <row r="285" spans="1:10" ht="15" x14ac:dyDescent="0.2">
      <c r="A285" s="486"/>
      <c r="B285" s="280"/>
      <c r="C285" s="217"/>
      <c r="D285" s="217"/>
      <c r="E285" s="217"/>
      <c r="F285" s="217"/>
      <c r="G285" s="217"/>
      <c r="H285" s="217"/>
      <c r="I285" s="217"/>
      <c r="J285" s="217"/>
    </row>
    <row r="286" spans="1:10" ht="47.25" customHeight="1" x14ac:dyDescent="0.2">
      <c r="A286" s="46" t="str">
        <f>'PLANILHA ORÇAMENTÁRIA'!A67</f>
        <v>6.2.2</v>
      </c>
      <c r="B286" s="107" t="str">
        <f>'PLANILHA ORÇAMENTÁRIA'!D67</f>
        <v>Porta de abrir tipo veneziana em alumínio anodizado, linha 25, completa, incl. puxador com tranca, caixilho, alizar e contramarco</v>
      </c>
      <c r="C286" s="48" t="str">
        <f>'PLANILHA ORÇAMENTÁRIA'!E67</f>
        <v>m2</v>
      </c>
      <c r="D286" s="49" t="s">
        <v>399</v>
      </c>
      <c r="E286" s="49" t="s">
        <v>400</v>
      </c>
      <c r="F286" s="49" t="s">
        <v>401</v>
      </c>
      <c r="G286" s="49" t="s">
        <v>402</v>
      </c>
      <c r="H286" s="49" t="s">
        <v>403</v>
      </c>
      <c r="I286" s="49" t="s">
        <v>404</v>
      </c>
      <c r="J286" s="40" t="s">
        <v>405</v>
      </c>
    </row>
    <row r="287" spans="1:10" x14ac:dyDescent="0.2">
      <c r="A287" s="489"/>
      <c r="B287" s="45" t="s">
        <v>499</v>
      </c>
      <c r="C287" s="44"/>
      <c r="D287" s="44"/>
      <c r="E287" s="46">
        <v>0.8</v>
      </c>
      <c r="F287" s="46"/>
      <c r="G287" s="46">
        <v>2.1</v>
      </c>
      <c r="H287" s="44"/>
      <c r="I287" s="44"/>
      <c r="J287" s="59">
        <f>E287*G287</f>
        <v>1.6800000000000002</v>
      </c>
    </row>
    <row r="288" spans="1:10" x14ac:dyDescent="0.2">
      <c r="A288" s="502"/>
      <c r="B288" s="45" t="s">
        <v>500</v>
      </c>
      <c r="C288" s="44"/>
      <c r="D288" s="44"/>
      <c r="E288" s="46">
        <v>0.8</v>
      </c>
      <c r="F288" s="46"/>
      <c r="G288" s="46">
        <v>2.1</v>
      </c>
      <c r="H288" s="44"/>
      <c r="I288" s="44"/>
      <c r="J288" s="59">
        <f>E288*G288</f>
        <v>1.6800000000000002</v>
      </c>
    </row>
    <row r="289" spans="1:10" x14ac:dyDescent="0.2">
      <c r="A289" s="502"/>
      <c r="B289" s="44"/>
      <c r="C289" s="44"/>
      <c r="D289" s="44"/>
      <c r="E289" s="44"/>
      <c r="F289" s="44"/>
      <c r="G289" s="44"/>
      <c r="H289" s="44"/>
      <c r="I289" s="57" t="s">
        <v>498</v>
      </c>
      <c r="J289" s="57">
        <f>SUM(J287:J288)</f>
        <v>3.3600000000000003</v>
      </c>
    </row>
    <row r="290" spans="1:10" x14ac:dyDescent="0.2">
      <c r="A290" s="502"/>
      <c r="B290" s="44"/>
      <c r="C290" s="44"/>
      <c r="D290" s="44"/>
      <c r="E290" s="44"/>
      <c r="F290" s="44"/>
      <c r="G290" s="44"/>
      <c r="H290" s="44"/>
      <c r="I290" s="44"/>
      <c r="J290" s="44"/>
    </row>
    <row r="291" spans="1:10" ht="15" x14ac:dyDescent="0.2">
      <c r="A291" s="33">
        <f>'PLANILHA ORÇAMENTÁRIA'!A69</f>
        <v>7</v>
      </c>
      <c r="B291" s="51" t="str">
        <f>'PLANILHA ORÇAMENTÁRIA'!D69</f>
        <v>VIDROS E ESPELHOS</v>
      </c>
      <c r="C291" s="52"/>
      <c r="D291" s="53"/>
      <c r="E291" s="53"/>
      <c r="F291" s="53"/>
      <c r="G291" s="53"/>
      <c r="H291" s="53"/>
      <c r="I291" s="53"/>
      <c r="J291" s="53"/>
    </row>
    <row r="292" spans="1:10" ht="29.25" customHeight="1" x14ac:dyDescent="0.2">
      <c r="A292" s="54" t="str">
        <f>'PLANILHA ORÇAMENTÁRIA'!A70</f>
        <v>7.1</v>
      </c>
      <c r="B292" s="493" t="str">
        <f>'PLANILHA ORÇAMENTÁRIA'!D70</f>
        <v>ESPELHOS</v>
      </c>
      <c r="C292" s="493"/>
      <c r="D292" s="493"/>
      <c r="E292" s="493"/>
      <c r="F292" s="493"/>
      <c r="G292" s="493"/>
      <c r="H292" s="493"/>
      <c r="I292" s="493"/>
      <c r="J292" s="493"/>
    </row>
    <row r="293" spans="1:10" ht="60.75" customHeight="1" x14ac:dyDescent="0.2">
      <c r="A293" s="46" t="str">
        <f>'PLANILHA ORÇAMENTÁRIA'!A71</f>
        <v>7.1.1</v>
      </c>
      <c r="B293" s="47" t="str">
        <f>'PLANILHA ORÇAMENTÁRIA'!D71</f>
        <v>Espelho para banheiros espessura 4 mm, incluindo chapa compensada 10 mm, moldura de alumínio em
perfil L 3/4", fixado com parafusos cromados</v>
      </c>
      <c r="C293" s="48" t="str">
        <f>'PLANILHA ORÇAMENTÁRIA'!E71</f>
        <v xml:space="preserve">m2 </v>
      </c>
      <c r="D293" s="49" t="s">
        <v>399</v>
      </c>
      <c r="E293" s="49" t="s">
        <v>400</v>
      </c>
      <c r="F293" s="49" t="s">
        <v>401</v>
      </c>
      <c r="G293" s="49" t="s">
        <v>402</v>
      </c>
      <c r="H293" s="49" t="s">
        <v>403</v>
      </c>
      <c r="I293" s="49" t="s">
        <v>404</v>
      </c>
      <c r="J293" s="40" t="s">
        <v>405</v>
      </c>
    </row>
    <row r="294" spans="1:10" x14ac:dyDescent="0.2">
      <c r="A294" s="502"/>
      <c r="B294" s="45" t="s">
        <v>501</v>
      </c>
      <c r="C294" s="44"/>
      <c r="D294" s="44"/>
      <c r="E294" s="46">
        <v>0.6</v>
      </c>
      <c r="F294" s="46"/>
      <c r="G294" s="46">
        <v>0.6</v>
      </c>
      <c r="H294" s="46">
        <f>E294*G294</f>
        <v>0.36</v>
      </c>
      <c r="I294" s="44"/>
      <c r="J294" s="41">
        <f>H294</f>
        <v>0.36</v>
      </c>
    </row>
    <row r="295" spans="1:10" x14ac:dyDescent="0.2">
      <c r="A295" s="502"/>
      <c r="B295" s="45" t="s">
        <v>500</v>
      </c>
      <c r="C295" s="44"/>
      <c r="D295" s="44"/>
      <c r="E295" s="46">
        <v>0.6</v>
      </c>
      <c r="F295" s="46"/>
      <c r="G295" s="46">
        <v>0.6</v>
      </c>
      <c r="H295" s="46">
        <f>E295*G295</f>
        <v>0.36</v>
      </c>
      <c r="I295" s="44"/>
      <c r="J295" s="41">
        <f>H295</f>
        <v>0.36</v>
      </c>
    </row>
    <row r="296" spans="1:10" x14ac:dyDescent="0.2">
      <c r="A296" s="502"/>
      <c r="B296" s="44"/>
      <c r="C296" s="44"/>
      <c r="D296" s="44"/>
      <c r="E296" s="44"/>
      <c r="F296" s="44"/>
      <c r="G296" s="44"/>
      <c r="H296" s="44"/>
      <c r="I296" s="66" t="s">
        <v>408</v>
      </c>
      <c r="J296" s="58">
        <f>SUM(J294:J295)</f>
        <v>0.72</v>
      </c>
    </row>
    <row r="297" spans="1:10" x14ac:dyDescent="0.2">
      <c r="A297" s="502"/>
      <c r="B297" s="44"/>
      <c r="C297" s="44"/>
      <c r="D297" s="44"/>
      <c r="E297" s="44"/>
      <c r="F297" s="44"/>
      <c r="G297" s="44"/>
      <c r="H297" s="44"/>
      <c r="I297" s="44"/>
      <c r="J297" s="44"/>
    </row>
    <row r="298" spans="1:10" ht="15" x14ac:dyDescent="0.2">
      <c r="A298" s="33">
        <f>'PLANILHA ORÇAMENTÁRIA'!A73</f>
        <v>8</v>
      </c>
      <c r="B298" s="51" t="str">
        <f>'PLANILHA ORÇAMENTÁRIA'!D73</f>
        <v>COBERTURA</v>
      </c>
      <c r="C298" s="52"/>
      <c r="D298" s="53"/>
      <c r="E298" s="53"/>
      <c r="F298" s="53"/>
      <c r="G298" s="53"/>
      <c r="H298" s="53"/>
      <c r="I298" s="53"/>
      <c r="J298" s="53"/>
    </row>
    <row r="299" spans="1:10" ht="15" x14ac:dyDescent="0.2">
      <c r="A299" s="54" t="str">
        <f>'PLANILHA ORÇAMENTÁRIA'!A74</f>
        <v>8.1</v>
      </c>
      <c r="B299" s="493" t="str">
        <f>'PLANILHA ORÇAMENTÁRIA'!D74</f>
        <v>ESTRUTURA PARA TELHADO</v>
      </c>
      <c r="C299" s="493"/>
      <c r="D299" s="493"/>
      <c r="E299" s="493"/>
      <c r="F299" s="493"/>
      <c r="G299" s="493"/>
      <c r="H299" s="493"/>
      <c r="I299" s="493"/>
      <c r="J299" s="493"/>
    </row>
    <row r="300" spans="1:10" ht="72.75" customHeight="1" x14ac:dyDescent="0.2">
      <c r="A300" s="46" t="str">
        <f>'PLANILHA ORÇAMENTÁRIA'!A75</f>
        <v>8.1.1</v>
      </c>
      <c r="B300" s="47" t="str">
        <f>'PLANILHA ORÇAMENTÁRIA'!D75</f>
        <v>Estrutura de madeira de lei tipo Paraju, peroba mica, angelim pedra ou equivalente para telhado de telha ondulada de fibrocimento esp. 6mm, com pontaletes e caibros, inclusive tratamento com cupinicida, exclusive telhas</v>
      </c>
      <c r="C300" s="48" t="str">
        <f>'PLANILHA ORÇAMENTÁRIA'!E75</f>
        <v xml:space="preserve">m2 </v>
      </c>
      <c r="D300" s="49" t="s">
        <v>399</v>
      </c>
      <c r="E300" s="49" t="s">
        <v>400</v>
      </c>
      <c r="F300" s="49" t="s">
        <v>401</v>
      </c>
      <c r="G300" s="49" t="s">
        <v>402</v>
      </c>
      <c r="H300" s="49" t="s">
        <v>403</v>
      </c>
      <c r="I300" s="49" t="s">
        <v>404</v>
      </c>
      <c r="J300" s="40" t="s">
        <v>405</v>
      </c>
    </row>
    <row r="301" spans="1:10" x14ac:dyDescent="0.2">
      <c r="A301" s="502"/>
      <c r="B301" s="45" t="s">
        <v>449</v>
      </c>
      <c r="C301" s="44"/>
      <c r="D301" s="44"/>
      <c r="E301" s="46">
        <v>11.15</v>
      </c>
      <c r="F301" s="46">
        <v>3.5</v>
      </c>
      <c r="G301" s="46"/>
      <c r="H301" s="46">
        <f>E301*F301</f>
        <v>39.024999999999999</v>
      </c>
      <c r="I301" s="44"/>
      <c r="J301" s="46">
        <f>H301</f>
        <v>39.024999999999999</v>
      </c>
    </row>
    <row r="302" spans="1:10" x14ac:dyDescent="0.2">
      <c r="A302" s="502"/>
      <c r="B302" s="44"/>
      <c r="C302" s="44"/>
      <c r="D302" s="44"/>
      <c r="E302" s="44"/>
      <c r="F302" s="44"/>
      <c r="G302" s="44"/>
      <c r="H302" s="44"/>
      <c r="I302" s="57" t="s">
        <v>408</v>
      </c>
      <c r="J302" s="58">
        <f>SUM(J301)</f>
        <v>39.024999999999999</v>
      </c>
    </row>
    <row r="303" spans="1:10" x14ac:dyDescent="0.2">
      <c r="A303" s="502"/>
      <c r="B303" s="44"/>
      <c r="C303" s="44"/>
      <c r="D303" s="44"/>
      <c r="E303" s="44"/>
      <c r="F303" s="44"/>
      <c r="G303" s="44"/>
      <c r="H303" s="44"/>
      <c r="I303" s="44"/>
      <c r="J303" s="44"/>
    </row>
    <row r="304" spans="1:10" ht="15" x14ac:dyDescent="0.2">
      <c r="A304" s="54" t="str">
        <f>'PLANILHA ORÇAMENTÁRIA'!A76</f>
        <v>8.2</v>
      </c>
      <c r="B304" s="493" t="str">
        <f>'PLANILHA ORÇAMENTÁRIA'!D76</f>
        <v>TELHADO</v>
      </c>
      <c r="C304" s="493"/>
      <c r="D304" s="493"/>
      <c r="E304" s="493"/>
      <c r="F304" s="493"/>
      <c r="G304" s="493"/>
      <c r="H304" s="493"/>
      <c r="I304" s="493"/>
      <c r="J304" s="493"/>
    </row>
    <row r="305" spans="1:10" ht="45.75" customHeight="1" x14ac:dyDescent="0.2">
      <c r="A305" s="46" t="str">
        <f>'PLANILHA ORÇAMENTÁRIA'!A77</f>
        <v>8.2.1</v>
      </c>
      <c r="B305" s="47" t="str">
        <f>'PLANILHA ORÇAMENTÁRIA'!D77</f>
        <v xml:space="preserve">Cobertura nova de telhas onduladas de fibrocimento 6.0mm, inclusive cumeeiras e acessórios de fixação </v>
      </c>
      <c r="C305" s="48" t="str">
        <f>'PLANILHA ORÇAMENTÁRIA'!E77</f>
        <v xml:space="preserve">m2 </v>
      </c>
      <c r="D305" s="49" t="s">
        <v>399</v>
      </c>
      <c r="E305" s="49" t="s">
        <v>400</v>
      </c>
      <c r="F305" s="49" t="s">
        <v>401</v>
      </c>
      <c r="G305" s="49" t="s">
        <v>402</v>
      </c>
      <c r="H305" s="49" t="s">
        <v>403</v>
      </c>
      <c r="I305" s="49" t="s">
        <v>404</v>
      </c>
      <c r="J305" s="40" t="s">
        <v>405</v>
      </c>
    </row>
    <row r="306" spans="1:10" x14ac:dyDescent="0.2">
      <c r="A306" s="502"/>
      <c r="B306" s="45" t="s">
        <v>449</v>
      </c>
      <c r="C306" s="44"/>
      <c r="D306" s="44"/>
      <c r="E306" s="46">
        <v>11.15</v>
      </c>
      <c r="F306" s="46">
        <v>3.5</v>
      </c>
      <c r="G306" s="46"/>
      <c r="H306" s="46">
        <f>E306*F306</f>
        <v>39.024999999999999</v>
      </c>
      <c r="I306" s="44"/>
      <c r="J306" s="46">
        <f>H306</f>
        <v>39.024999999999999</v>
      </c>
    </row>
    <row r="307" spans="1:10" x14ac:dyDescent="0.2">
      <c r="A307" s="502"/>
      <c r="B307" s="44"/>
      <c r="C307" s="44"/>
      <c r="D307" s="44"/>
      <c r="E307" s="44"/>
      <c r="F307" s="44"/>
      <c r="G307" s="44"/>
      <c r="H307" s="44"/>
      <c r="I307" s="57" t="s">
        <v>408</v>
      </c>
      <c r="J307" s="58">
        <f>SUM(J306)</f>
        <v>39.024999999999999</v>
      </c>
    </row>
    <row r="308" spans="1:10" x14ac:dyDescent="0.2">
      <c r="A308" s="502"/>
      <c r="B308" s="44"/>
      <c r="C308" s="44"/>
      <c r="D308" s="44"/>
      <c r="E308" s="44"/>
      <c r="F308" s="44"/>
      <c r="G308" s="44"/>
      <c r="H308" s="44"/>
      <c r="I308" s="44"/>
      <c r="J308" s="44"/>
    </row>
    <row r="309" spans="1:10" ht="15" x14ac:dyDescent="0.2">
      <c r="A309" s="54" t="str">
        <f>'PLANILHA ORÇAMENTÁRIA'!A78</f>
        <v>8.3</v>
      </c>
      <c r="B309" s="493" t="str">
        <f>'PLANILHA ORÇAMENTÁRIA'!D78</f>
        <v>RUFOS E CALHAS</v>
      </c>
      <c r="C309" s="493"/>
      <c r="D309" s="493"/>
      <c r="E309" s="493"/>
      <c r="F309" s="493"/>
      <c r="G309" s="493"/>
      <c r="H309" s="493"/>
      <c r="I309" s="493"/>
      <c r="J309" s="493"/>
    </row>
    <row r="310" spans="1:10" ht="30" x14ac:dyDescent="0.2">
      <c r="A310" s="46" t="str">
        <f>'PLANILHA ORÇAMENTÁRIA'!A79</f>
        <v>8.3.1</v>
      </c>
      <c r="B310" s="47" t="str">
        <f>'PLANILHA ORÇAMENTÁRIA'!D79</f>
        <v xml:space="preserve">Calha em chapa galvanizada com largura de 40 cm </v>
      </c>
      <c r="C310" s="48" t="str">
        <f>'PLANILHA ORÇAMENTÁRIA'!E79</f>
        <v xml:space="preserve">m </v>
      </c>
      <c r="D310" s="49" t="s">
        <v>399</v>
      </c>
      <c r="E310" s="49" t="s">
        <v>400</v>
      </c>
      <c r="F310" s="49" t="s">
        <v>401</v>
      </c>
      <c r="G310" s="49" t="s">
        <v>402</v>
      </c>
      <c r="H310" s="49" t="s">
        <v>403</v>
      </c>
      <c r="I310" s="49" t="s">
        <v>404</v>
      </c>
      <c r="J310" s="40" t="s">
        <v>405</v>
      </c>
    </row>
    <row r="311" spans="1:10" x14ac:dyDescent="0.2">
      <c r="A311" s="502"/>
      <c r="B311" s="45" t="s">
        <v>502</v>
      </c>
      <c r="C311" s="44"/>
      <c r="D311" s="44"/>
      <c r="E311" s="55">
        <v>29.71</v>
      </c>
      <c r="F311" s="44"/>
      <c r="G311" s="44"/>
      <c r="H311" s="44"/>
      <c r="I311" s="44"/>
      <c r="J311" s="59">
        <f>E311</f>
        <v>29.71</v>
      </c>
    </row>
    <row r="312" spans="1:10" x14ac:dyDescent="0.2">
      <c r="A312" s="502"/>
      <c r="B312" s="45" t="s">
        <v>503</v>
      </c>
      <c r="C312" s="44"/>
      <c r="D312" s="44"/>
      <c r="E312" s="59">
        <v>29.75</v>
      </c>
      <c r="F312" s="44"/>
      <c r="G312" s="44"/>
      <c r="H312" s="44"/>
      <c r="I312" s="44"/>
      <c r="J312" s="59">
        <f>E312</f>
        <v>29.75</v>
      </c>
    </row>
    <row r="313" spans="1:10" x14ac:dyDescent="0.2">
      <c r="A313" s="502"/>
      <c r="B313" s="44"/>
      <c r="C313" s="44"/>
      <c r="D313" s="44"/>
      <c r="E313" s="44"/>
      <c r="F313" s="44"/>
      <c r="G313" s="44"/>
      <c r="H313" s="44"/>
      <c r="I313" s="57" t="s">
        <v>408</v>
      </c>
      <c r="J313" s="58">
        <f>SUM(J311:J312)</f>
        <v>59.46</v>
      </c>
    </row>
    <row r="314" spans="1:10" x14ac:dyDescent="0.2">
      <c r="A314" s="502"/>
      <c r="B314" s="44"/>
      <c r="C314" s="44"/>
      <c r="D314" s="44"/>
      <c r="E314" s="44"/>
      <c r="F314" s="44"/>
      <c r="G314" s="44"/>
      <c r="H314" s="44"/>
      <c r="I314" s="44"/>
      <c r="J314" s="44"/>
    </row>
    <row r="315" spans="1:10" ht="15" x14ac:dyDescent="0.2">
      <c r="A315" s="302">
        <f>'PLANILHA ORÇAMENTÁRIA'!A81</f>
        <v>9</v>
      </c>
      <c r="B315" s="51" t="str">
        <f>'PLANILHA ORÇAMENTÁRIA'!D81</f>
        <v>IMPERMEABILIZAÇÃO</v>
      </c>
      <c r="C315" s="52"/>
      <c r="D315" s="53"/>
      <c r="E315" s="53"/>
      <c r="F315" s="53"/>
      <c r="G315" s="53"/>
      <c r="H315" s="53"/>
      <c r="I315" s="53"/>
      <c r="J315" s="53"/>
    </row>
    <row r="316" spans="1:10" ht="15" x14ac:dyDescent="0.2">
      <c r="A316" s="54" t="str">
        <f>'PLANILHA ORÇAMENTÁRIA'!A82</f>
        <v>9.1</v>
      </c>
      <c r="B316" s="517" t="str">
        <f>'PLANILHA ORÇAMENTÁRIA'!D82</f>
        <v>IMPERMEABILIZAÇÃO CALHAS, LAJES DESCOBERTAS, BALDRAMES, PAREDES E JARDINEIRAS</v>
      </c>
      <c r="C316" s="517"/>
      <c r="D316" s="517"/>
      <c r="E316" s="517"/>
      <c r="F316" s="517"/>
      <c r="G316" s="517"/>
      <c r="H316" s="517"/>
      <c r="I316" s="517"/>
      <c r="J316" s="517"/>
    </row>
    <row r="317" spans="1:10" ht="30" x14ac:dyDescent="0.2">
      <c r="A317" s="46" t="str">
        <f>'PLANILHA ORÇAMENTÁRIA'!A83</f>
        <v>9.1.1</v>
      </c>
      <c r="B317" s="47" t="str">
        <f>'PLANILHA ORÇAMENTÁRIA'!D83</f>
        <v>Pintura impermeabilizante com igolflex ou equivalente a 3 demãos</v>
      </c>
      <c r="C317" s="48" t="str">
        <f>'PLANILHA ORÇAMENTÁRIA'!E83</f>
        <v xml:space="preserve">m2 </v>
      </c>
      <c r="D317" s="40" t="s">
        <v>399</v>
      </c>
      <c r="E317" s="40" t="s">
        <v>400</v>
      </c>
      <c r="F317" s="40" t="s">
        <v>401</v>
      </c>
      <c r="G317" s="40" t="s">
        <v>402</v>
      </c>
      <c r="H317" s="40" t="s">
        <v>403</v>
      </c>
      <c r="I317" s="40" t="s">
        <v>404</v>
      </c>
      <c r="J317" s="40" t="s">
        <v>405</v>
      </c>
    </row>
    <row r="318" spans="1:10" ht="15" x14ac:dyDescent="0.2">
      <c r="A318" s="502"/>
      <c r="B318" s="503" t="s">
        <v>504</v>
      </c>
      <c r="C318" s="64">
        <v>1</v>
      </c>
      <c r="D318" s="64">
        <v>2</v>
      </c>
      <c r="E318" s="41">
        <v>28.15</v>
      </c>
      <c r="F318" s="64"/>
      <c r="G318" s="64">
        <v>0.3</v>
      </c>
      <c r="H318" s="64">
        <f>E318*G318*D318*C318</f>
        <v>16.889999999999997</v>
      </c>
      <c r="I318" s="40"/>
      <c r="J318" s="64">
        <f>H318</f>
        <v>16.889999999999997</v>
      </c>
    </row>
    <row r="319" spans="1:10" x14ac:dyDescent="0.2">
      <c r="A319" s="502"/>
      <c r="B319" s="504"/>
      <c r="C319" s="41">
        <v>1</v>
      </c>
      <c r="D319" s="41">
        <v>1</v>
      </c>
      <c r="E319" s="41">
        <f>28.15-(0.26*6+0.15*5)</f>
        <v>25.84</v>
      </c>
      <c r="F319" s="44"/>
      <c r="G319" s="55">
        <v>0.15</v>
      </c>
      <c r="H319" s="64">
        <f>E319*G319*D319*C319</f>
        <v>3.8759999999999999</v>
      </c>
      <c r="I319" s="44"/>
      <c r="J319" s="64">
        <f>H319</f>
        <v>3.8759999999999999</v>
      </c>
    </row>
    <row r="320" spans="1:10" x14ac:dyDescent="0.2">
      <c r="A320" s="502"/>
      <c r="B320" s="44"/>
      <c r="C320" s="44"/>
      <c r="D320" s="44"/>
      <c r="E320" s="44"/>
      <c r="F320" s="44"/>
      <c r="G320" s="44"/>
      <c r="H320" s="44"/>
      <c r="I320" s="57" t="s">
        <v>408</v>
      </c>
      <c r="J320" s="58">
        <f>SUM(J318:J319)</f>
        <v>20.765999999999998</v>
      </c>
    </row>
    <row r="321" spans="1:10" x14ac:dyDescent="0.2">
      <c r="A321" s="502"/>
      <c r="B321" s="44"/>
      <c r="C321" s="44"/>
      <c r="D321" s="44"/>
      <c r="E321" s="44"/>
      <c r="F321" s="44"/>
      <c r="G321" s="44"/>
      <c r="H321" s="44"/>
      <c r="I321" s="44"/>
      <c r="J321" s="44"/>
    </row>
    <row r="322" spans="1:10" ht="15" x14ac:dyDescent="0.2">
      <c r="A322" s="302">
        <f>'PLANILHA ORÇAMENTÁRIA'!A85</f>
        <v>10</v>
      </c>
      <c r="B322" s="51" t="str">
        <f>'PLANILHA ORÇAMENTÁRIA'!D85</f>
        <v>REVESTIMENTO DE PAREDES</v>
      </c>
      <c r="C322" s="52"/>
      <c r="D322" s="53"/>
      <c r="E322" s="53"/>
      <c r="F322" s="53"/>
      <c r="G322" s="53"/>
      <c r="H322" s="53"/>
      <c r="I322" s="53"/>
      <c r="J322" s="53"/>
    </row>
    <row r="323" spans="1:10" ht="15" x14ac:dyDescent="0.2">
      <c r="A323" s="54" t="str">
        <f>'PLANILHA ORÇAMENTÁRIA'!A86</f>
        <v>10.1</v>
      </c>
      <c r="B323" s="493" t="str">
        <f>'PLANILHA ORÇAMENTÁRIA'!D86</f>
        <v>REVESTIMENTO COM ARGAMASSA</v>
      </c>
      <c r="C323" s="493"/>
      <c r="D323" s="493"/>
      <c r="E323" s="493"/>
      <c r="F323" s="493"/>
      <c r="G323" s="493"/>
      <c r="H323" s="493"/>
      <c r="I323" s="493"/>
      <c r="J323" s="493"/>
    </row>
    <row r="324" spans="1:10" ht="30" x14ac:dyDescent="0.2">
      <c r="A324" s="46" t="str">
        <f>'PLANILHA ORÇAMENTÁRIA'!A87</f>
        <v>10.1.1</v>
      </c>
      <c r="B324" s="47" t="str">
        <f>'PLANILHA ORÇAMENTÁRIA'!D87</f>
        <v>Chapisco de argamassa de cimento e areia média ou grossa lavada, no traço 1:3, espessura 5 mm</v>
      </c>
      <c r="C324" s="48" t="s">
        <v>29</v>
      </c>
      <c r="D324" s="40" t="s">
        <v>399</v>
      </c>
      <c r="E324" s="40" t="s">
        <v>400</v>
      </c>
      <c r="F324" s="40" t="s">
        <v>401</v>
      </c>
      <c r="G324" s="40" t="s">
        <v>402</v>
      </c>
      <c r="H324" s="40" t="s">
        <v>403</v>
      </c>
      <c r="I324" s="40" t="s">
        <v>404</v>
      </c>
      <c r="J324" s="40" t="s">
        <v>405</v>
      </c>
    </row>
    <row r="325" spans="1:10" ht="28.5" x14ac:dyDescent="0.2">
      <c r="A325" s="494"/>
      <c r="B325" s="47"/>
      <c r="C325" s="48"/>
      <c r="D325" s="40"/>
      <c r="E325" s="40"/>
      <c r="F325" s="40"/>
      <c r="G325" s="40"/>
      <c r="H325" s="40"/>
      <c r="I325" s="108" t="s">
        <v>409</v>
      </c>
      <c r="J325" s="40"/>
    </row>
    <row r="326" spans="1:10" ht="15" x14ac:dyDescent="0.2">
      <c r="A326" s="495"/>
      <c r="B326" s="63" t="s">
        <v>505</v>
      </c>
      <c r="C326" s="48"/>
      <c r="D326" s="64">
        <v>2</v>
      </c>
      <c r="E326" s="41">
        <v>28.15</v>
      </c>
      <c r="F326" s="40"/>
      <c r="G326" s="64">
        <v>3</v>
      </c>
      <c r="H326" s="64">
        <f>D326*E326*G326</f>
        <v>168.89999999999998</v>
      </c>
      <c r="I326" s="40"/>
      <c r="J326" s="64">
        <f>H326</f>
        <v>168.89999999999998</v>
      </c>
    </row>
    <row r="327" spans="1:10" ht="15" x14ac:dyDescent="0.2">
      <c r="A327" s="495"/>
      <c r="B327" s="63" t="s">
        <v>506</v>
      </c>
      <c r="C327" s="48"/>
      <c r="D327" s="64">
        <v>1</v>
      </c>
      <c r="E327" s="64">
        <v>10.15</v>
      </c>
      <c r="F327" s="64"/>
      <c r="G327" s="64">
        <v>2.1</v>
      </c>
      <c r="H327" s="64">
        <f>D327*E327*G327</f>
        <v>21.315000000000001</v>
      </c>
      <c r="I327" s="64"/>
      <c r="J327" s="64">
        <f>H327</f>
        <v>21.315000000000001</v>
      </c>
    </row>
    <row r="328" spans="1:10" x14ac:dyDescent="0.2">
      <c r="A328" s="495"/>
      <c r="B328" s="45" t="s">
        <v>413</v>
      </c>
      <c r="C328" s="44"/>
      <c r="D328" s="44"/>
      <c r="E328" s="59">
        <v>15.57</v>
      </c>
      <c r="F328" s="59"/>
      <c r="G328" s="59">
        <v>1.38</v>
      </c>
      <c r="H328" s="46">
        <f>E328*G328</f>
        <v>21.486599999999999</v>
      </c>
      <c r="I328" s="44"/>
      <c r="J328" s="41">
        <f>H328</f>
        <v>21.486599999999999</v>
      </c>
    </row>
    <row r="329" spans="1:10" x14ac:dyDescent="0.2">
      <c r="A329" s="495"/>
      <c r="B329" s="45" t="s">
        <v>414</v>
      </c>
      <c r="C329" s="44"/>
      <c r="D329" s="44"/>
      <c r="E329" s="59">
        <v>7.94</v>
      </c>
      <c r="F329" s="59"/>
      <c r="G329" s="59">
        <v>1.38</v>
      </c>
      <c r="H329" s="46">
        <f>E329*G329</f>
        <v>10.9572</v>
      </c>
      <c r="I329" s="44"/>
      <c r="J329" s="41">
        <f>H329</f>
        <v>10.9572</v>
      </c>
    </row>
    <row r="330" spans="1:10" x14ac:dyDescent="0.2">
      <c r="A330" s="495"/>
      <c r="B330" s="45" t="s">
        <v>415</v>
      </c>
      <c r="C330" s="44"/>
      <c r="D330" s="44"/>
      <c r="E330" s="46">
        <v>4.5</v>
      </c>
      <c r="F330" s="59"/>
      <c r="G330" s="46">
        <f>(2.23+1.6)/2</f>
        <v>1.915</v>
      </c>
      <c r="H330" s="46">
        <f>E330*G330</f>
        <v>8.6174999999999997</v>
      </c>
      <c r="I330" s="44"/>
      <c r="J330" s="41">
        <f>H330</f>
        <v>8.6174999999999997</v>
      </c>
    </row>
    <row r="331" spans="1:10" x14ac:dyDescent="0.2">
      <c r="A331" s="495"/>
      <c r="B331" s="45" t="s">
        <v>416</v>
      </c>
      <c r="C331" s="44"/>
      <c r="D331" s="44"/>
      <c r="E331" s="46">
        <v>10</v>
      </c>
      <c r="F331" s="59"/>
      <c r="G331" s="46">
        <v>2.1</v>
      </c>
      <c r="H331" s="46">
        <f>E331*G331</f>
        <v>21</v>
      </c>
      <c r="I331" s="46">
        <f>2*0.8*2.1+0.6*2.1</f>
        <v>4.62</v>
      </c>
      <c r="J331" s="41">
        <f>H331-I331</f>
        <v>16.38</v>
      </c>
    </row>
    <row r="332" spans="1:10" x14ac:dyDescent="0.2">
      <c r="A332" s="495"/>
      <c r="B332" s="119" t="s">
        <v>495</v>
      </c>
      <c r="C332" s="113"/>
      <c r="D332" s="113">
        <v>2</v>
      </c>
      <c r="E332" s="113">
        <v>1.4</v>
      </c>
      <c r="F332" s="113"/>
      <c r="G332" s="113">
        <f>(3.38+3.78)/2</f>
        <v>3.58</v>
      </c>
      <c r="H332" s="113">
        <f>E332*G332</f>
        <v>5.0119999999999996</v>
      </c>
      <c r="I332" s="113"/>
      <c r="J332" s="113">
        <f>D332*H332</f>
        <v>10.023999999999999</v>
      </c>
    </row>
    <row r="333" spans="1:10" x14ac:dyDescent="0.2">
      <c r="A333" s="495"/>
      <c r="B333" s="44"/>
      <c r="C333" s="44"/>
      <c r="D333" s="44"/>
      <c r="E333" s="44"/>
      <c r="F333" s="44"/>
      <c r="G333" s="44"/>
      <c r="H333" s="44"/>
      <c r="I333" s="57" t="s">
        <v>408</v>
      </c>
      <c r="J333" s="58">
        <f>SUM(J326:J332)</f>
        <v>257.68029999999999</v>
      </c>
    </row>
    <row r="334" spans="1:10" x14ac:dyDescent="0.2">
      <c r="A334" s="499"/>
      <c r="B334" s="44"/>
      <c r="C334" s="44"/>
      <c r="D334" s="44"/>
      <c r="E334" s="44"/>
      <c r="F334" s="44"/>
      <c r="G334" s="44"/>
      <c r="H334" s="44"/>
      <c r="I334" s="44"/>
      <c r="J334" s="44"/>
    </row>
    <row r="335" spans="1:10" ht="15" x14ac:dyDescent="0.2">
      <c r="A335" s="54" t="str">
        <f>'PLANILHA ORÇAMENTÁRIA'!A88</f>
        <v>10.2</v>
      </c>
      <c r="B335" s="493" t="str">
        <f>'PLANILHA ORÇAMENTÁRIA'!D88</f>
        <v>REVESTIMENTO EMPREGANDO ARGAMASSA DE CIMENTO, CAL E AREIA</v>
      </c>
      <c r="C335" s="493"/>
      <c r="D335" s="493"/>
      <c r="E335" s="493"/>
      <c r="F335" s="493"/>
      <c r="G335" s="493"/>
      <c r="H335" s="493"/>
      <c r="I335" s="493"/>
      <c r="J335" s="493"/>
    </row>
    <row r="336" spans="1:10" ht="42.75" x14ac:dyDescent="0.2">
      <c r="A336" s="46" t="str">
        <f>'PLANILHA ORÇAMENTÁRIA'!A89</f>
        <v>10.2.1</v>
      </c>
      <c r="B336" s="47" t="str">
        <f>'PLANILHA ORÇAMENTÁRIA'!D89</f>
        <v>Reboco tipo paulista de argamassa de cimento, cal hidratada CH1 e areia média ou grossa lavada no traço 1:0.5:6, espessura 25 mm</v>
      </c>
      <c r="C336" s="48" t="str">
        <f>'PLANILHA ORÇAMENTÁRIA'!E89</f>
        <v xml:space="preserve">m2 </v>
      </c>
      <c r="D336" s="40" t="s">
        <v>399</v>
      </c>
      <c r="E336" s="40" t="s">
        <v>400</v>
      </c>
      <c r="F336" s="40" t="s">
        <v>401</v>
      </c>
      <c r="G336" s="40" t="s">
        <v>402</v>
      </c>
      <c r="H336" s="40" t="s">
        <v>403</v>
      </c>
      <c r="I336" s="40" t="s">
        <v>404</v>
      </c>
      <c r="J336" s="40" t="s">
        <v>405</v>
      </c>
    </row>
    <row r="337" spans="1:10" x14ac:dyDescent="0.2">
      <c r="A337" s="494"/>
      <c r="B337" s="63" t="s">
        <v>507</v>
      </c>
      <c r="C337" s="44"/>
      <c r="D337" s="44"/>
      <c r="E337" s="44"/>
      <c r="F337" s="44"/>
      <c r="G337" s="44"/>
      <c r="H337" s="101"/>
      <c r="I337" s="44"/>
      <c r="J337" s="41">
        <f>J333</f>
        <v>257.68029999999999</v>
      </c>
    </row>
    <row r="338" spans="1:10" x14ac:dyDescent="0.2">
      <c r="A338" s="495"/>
      <c r="B338" s="44"/>
      <c r="C338" s="44"/>
      <c r="D338" s="44"/>
      <c r="E338" s="44"/>
      <c r="F338" s="44"/>
      <c r="G338" s="44"/>
      <c r="H338" s="44"/>
      <c r="I338" s="57" t="s">
        <v>408</v>
      </c>
      <c r="J338" s="58">
        <f>SUM(J337:J337)</f>
        <v>257.68029999999999</v>
      </c>
    </row>
    <row r="339" spans="1:10" x14ac:dyDescent="0.2">
      <c r="A339" s="495"/>
      <c r="B339" s="44"/>
      <c r="C339" s="44"/>
      <c r="D339" s="44"/>
      <c r="E339" s="44"/>
      <c r="F339" s="44"/>
      <c r="G339" s="44"/>
      <c r="H339" s="44"/>
      <c r="I339" s="44"/>
      <c r="J339" s="44"/>
    </row>
    <row r="340" spans="1:10" ht="15" x14ac:dyDescent="0.2">
      <c r="A340" s="33">
        <f>'PLANILHA ORÇAMENTÁRIA'!A91</f>
        <v>11</v>
      </c>
      <c r="B340" s="251" t="str">
        <f>'PLANILHA ORÇAMENTÁRIA'!D91</f>
        <v>PISOS INTERNOS E EXTERNOS</v>
      </c>
      <c r="C340" s="52"/>
      <c r="D340" s="53"/>
      <c r="E340" s="53"/>
      <c r="F340" s="53"/>
      <c r="G340" s="53"/>
      <c r="H340" s="53"/>
      <c r="I340" s="53"/>
      <c r="J340" s="53"/>
    </row>
    <row r="341" spans="1:10" ht="15" x14ac:dyDescent="0.2">
      <c r="A341" s="252" t="str">
        <f>'PLANILHA ORÇAMENTÁRIA'!A92</f>
        <v>11.1</v>
      </c>
      <c r="B341" s="493" t="str">
        <f>'PLANILHA ORÇAMENTÁRIA'!D92</f>
        <v>ACABAMENTOS</v>
      </c>
      <c r="C341" s="493"/>
      <c r="D341" s="493"/>
      <c r="E341" s="493"/>
      <c r="F341" s="493"/>
      <c r="G341" s="493"/>
      <c r="H341" s="493"/>
      <c r="I341" s="493"/>
      <c r="J341" s="493"/>
    </row>
    <row r="342" spans="1:10" ht="30" x14ac:dyDescent="0.2">
      <c r="A342" s="283" t="str">
        <f>'PLANILHA ORÇAMENTÁRIA'!A93</f>
        <v>11.1.1</v>
      </c>
      <c r="B342" s="284" t="str">
        <f>'PLANILHA ORÇAMENTÁRIA'!D93</f>
        <v xml:space="preserve">Piso de cimentado camurçado executado com argamassa de cimento e areia no traço 1:3, esp. 3.0cm </v>
      </c>
      <c r="C342" s="285" t="s">
        <v>29</v>
      </c>
      <c r="D342" s="286" t="s">
        <v>399</v>
      </c>
      <c r="E342" s="286" t="s">
        <v>400</v>
      </c>
      <c r="F342" s="286" t="s">
        <v>401</v>
      </c>
      <c r="G342" s="286" t="s">
        <v>402</v>
      </c>
      <c r="H342" s="286" t="s">
        <v>403</v>
      </c>
      <c r="I342" s="286" t="s">
        <v>404</v>
      </c>
      <c r="J342" s="286" t="s">
        <v>405</v>
      </c>
    </row>
    <row r="343" spans="1:10" x14ac:dyDescent="0.2">
      <c r="A343" s="505"/>
      <c r="B343" s="287" t="s">
        <v>428</v>
      </c>
      <c r="C343" s="288"/>
      <c r="D343" s="288"/>
      <c r="E343" s="283">
        <v>6.3</v>
      </c>
      <c r="F343" s="283">
        <v>1.65</v>
      </c>
      <c r="G343" s="288"/>
      <c r="H343" s="283">
        <f>E343*F343</f>
        <v>10.395</v>
      </c>
      <c r="I343" s="288"/>
      <c r="J343" s="289">
        <f>H343</f>
        <v>10.395</v>
      </c>
    </row>
    <row r="344" spans="1:10" x14ac:dyDescent="0.2">
      <c r="A344" s="506"/>
      <c r="B344" s="287" t="s">
        <v>429</v>
      </c>
      <c r="C344" s="288"/>
      <c r="D344" s="288"/>
      <c r="E344" s="283">
        <v>8.15</v>
      </c>
      <c r="F344" s="283">
        <v>1.6</v>
      </c>
      <c r="G344" s="288"/>
      <c r="H344" s="283">
        <f>E344*F344</f>
        <v>13.040000000000001</v>
      </c>
      <c r="I344" s="288"/>
      <c r="J344" s="289">
        <f>H344</f>
        <v>13.040000000000001</v>
      </c>
    </row>
    <row r="345" spans="1:10" x14ac:dyDescent="0.2">
      <c r="A345" s="506"/>
      <c r="B345" s="288"/>
      <c r="C345" s="288"/>
      <c r="D345" s="288"/>
      <c r="E345" s="288"/>
      <c r="F345" s="288"/>
      <c r="G345" s="288"/>
      <c r="H345" s="288"/>
      <c r="I345" s="290" t="s">
        <v>408</v>
      </c>
      <c r="J345" s="291">
        <f>SUM(J343:J344)</f>
        <v>23.435000000000002</v>
      </c>
    </row>
    <row r="346" spans="1:10" ht="15" x14ac:dyDescent="0.2">
      <c r="A346" s="506"/>
      <c r="B346" s="284"/>
      <c r="C346" s="285"/>
      <c r="D346" s="286"/>
      <c r="E346" s="286"/>
      <c r="F346" s="286"/>
      <c r="G346" s="286"/>
      <c r="H346" s="286"/>
      <c r="I346" s="286"/>
      <c r="J346" s="286"/>
    </row>
    <row r="347" spans="1:10" ht="72" customHeight="1" x14ac:dyDescent="0.2">
      <c r="A347" s="46" t="str">
        <f>'PLANILHA ORÇAMENTÁRIA'!A94</f>
        <v>11.1.2</v>
      </c>
      <c r="B347" s="107" t="str">
        <f>'PLANILHA ORÇAMENTÁRIA'!D94</f>
        <v>Porcelanato polido, acabamento acetinado, dim. 60x60cm, ref. de cor CIMENTO CINZA BOLD Potobello/equiv, utilizando dupla colagem de argamassa colante para porcelanato tipo ACIII e rejunte 1mm para porcelanato</v>
      </c>
      <c r="C347" s="48" t="s">
        <v>29</v>
      </c>
      <c r="D347" s="49" t="s">
        <v>399</v>
      </c>
      <c r="E347" s="49" t="s">
        <v>400</v>
      </c>
      <c r="F347" s="49" t="s">
        <v>401</v>
      </c>
      <c r="G347" s="49" t="s">
        <v>402</v>
      </c>
      <c r="H347" s="49" t="s">
        <v>403</v>
      </c>
      <c r="I347" s="49" t="s">
        <v>404</v>
      </c>
      <c r="J347" s="40" t="s">
        <v>405</v>
      </c>
    </row>
    <row r="348" spans="1:10" x14ac:dyDescent="0.2">
      <c r="A348" s="489"/>
      <c r="B348" s="45" t="s">
        <v>499</v>
      </c>
      <c r="C348" s="44"/>
      <c r="D348" s="44"/>
      <c r="E348" s="46">
        <v>2</v>
      </c>
      <c r="F348" s="46">
        <v>2.88</v>
      </c>
      <c r="G348" s="46"/>
      <c r="H348" s="46">
        <f>E348*F348</f>
        <v>5.76</v>
      </c>
      <c r="I348" s="46"/>
      <c r="J348" s="46">
        <f>H348</f>
        <v>5.76</v>
      </c>
    </row>
    <row r="349" spans="1:10" x14ac:dyDescent="0.2">
      <c r="A349" s="502"/>
      <c r="B349" s="268" t="s">
        <v>500</v>
      </c>
      <c r="C349" s="179"/>
      <c r="D349" s="179"/>
      <c r="E349" s="260">
        <v>1.86</v>
      </c>
      <c r="F349" s="260">
        <v>2.88</v>
      </c>
      <c r="G349" s="260"/>
      <c r="H349" s="260">
        <f t="shared" ref="H349" si="13">E349*F349</f>
        <v>5.3567999999999998</v>
      </c>
      <c r="I349" s="179"/>
      <c r="J349" s="260">
        <f t="shared" ref="J349" si="14">H349</f>
        <v>5.3567999999999998</v>
      </c>
    </row>
    <row r="350" spans="1:10" ht="15" x14ac:dyDescent="0.2">
      <c r="A350" s="516"/>
      <c r="B350" s="518" t="s">
        <v>508</v>
      </c>
      <c r="C350" s="128"/>
      <c r="D350" s="56">
        <v>2</v>
      </c>
      <c r="E350" s="56">
        <v>2</v>
      </c>
      <c r="F350" s="49"/>
      <c r="G350" s="56">
        <v>1.8</v>
      </c>
      <c r="H350" s="56">
        <f>D350*E350*G350</f>
        <v>7.2</v>
      </c>
      <c r="I350" s="46">
        <f>0.6*0.6*2+0.8*2.1</f>
        <v>2.4000000000000004</v>
      </c>
      <c r="J350" s="64">
        <f>H350-I350</f>
        <v>4.8</v>
      </c>
    </row>
    <row r="351" spans="1:10" ht="15" x14ac:dyDescent="0.2">
      <c r="A351" s="502"/>
      <c r="B351" s="518"/>
      <c r="C351" s="128"/>
      <c r="D351" s="56">
        <v>2</v>
      </c>
      <c r="E351" s="56">
        <v>2.88</v>
      </c>
      <c r="F351" s="49"/>
      <c r="G351" s="56">
        <v>1.8</v>
      </c>
      <c r="H351" s="56">
        <f>D351*E351*G351</f>
        <v>10.368</v>
      </c>
      <c r="I351" s="101"/>
      <c r="J351" s="64">
        <f>H351-I351</f>
        <v>10.368</v>
      </c>
    </row>
    <row r="352" spans="1:10" ht="15" x14ac:dyDescent="0.2">
      <c r="A352" s="502"/>
      <c r="B352" s="518" t="s">
        <v>509</v>
      </c>
      <c r="C352" s="105"/>
      <c r="D352" s="56">
        <v>2</v>
      </c>
      <c r="E352" s="56">
        <v>1.86</v>
      </c>
      <c r="F352" s="49"/>
      <c r="G352" s="56">
        <v>1.8</v>
      </c>
      <c r="H352" s="56">
        <f>D352*E352*G352</f>
        <v>6.6960000000000006</v>
      </c>
      <c r="I352" s="46">
        <f>0.6*0.6*2+0.8*2.1</f>
        <v>2.4000000000000004</v>
      </c>
      <c r="J352" s="64">
        <f>H352-I352</f>
        <v>4.2960000000000003</v>
      </c>
    </row>
    <row r="353" spans="1:10" ht="15" x14ac:dyDescent="0.2">
      <c r="A353" s="502"/>
      <c r="B353" s="518"/>
      <c r="C353" s="105"/>
      <c r="D353" s="56">
        <v>2</v>
      </c>
      <c r="E353" s="56">
        <v>2.88</v>
      </c>
      <c r="F353" s="49"/>
      <c r="G353" s="56">
        <v>1.8</v>
      </c>
      <c r="H353" s="56">
        <f>D353*E353*G353</f>
        <v>10.368</v>
      </c>
      <c r="I353" s="44"/>
      <c r="J353" s="64">
        <f>H353-I353</f>
        <v>10.368</v>
      </c>
    </row>
    <row r="354" spans="1:10" x14ac:dyDescent="0.2">
      <c r="A354" s="502"/>
      <c r="B354" s="45" t="s">
        <v>510</v>
      </c>
      <c r="C354" s="44"/>
      <c r="D354" s="44"/>
      <c r="E354" s="46">
        <v>0.99</v>
      </c>
      <c r="F354" s="46">
        <v>2.88</v>
      </c>
      <c r="G354" s="44"/>
      <c r="H354" s="46">
        <f>E354*F354</f>
        <v>2.8512</v>
      </c>
      <c r="I354" s="44"/>
      <c r="J354" s="46">
        <f>H354</f>
        <v>2.8512</v>
      </c>
    </row>
    <row r="355" spans="1:10" x14ac:dyDescent="0.2">
      <c r="A355" s="502"/>
      <c r="B355" s="45"/>
      <c r="C355" s="44"/>
      <c r="D355" s="44"/>
      <c r="E355" s="46"/>
      <c r="F355" s="46"/>
      <c r="G355" s="44"/>
      <c r="H355" s="46"/>
      <c r="I355" s="66" t="s">
        <v>498</v>
      </c>
      <c r="J355" s="68">
        <f>SUM(J348:J354)</f>
        <v>43.8</v>
      </c>
    </row>
    <row r="356" spans="1:10" x14ac:dyDescent="0.2">
      <c r="A356" s="502"/>
      <c r="B356" s="44"/>
      <c r="C356" s="44"/>
      <c r="D356" s="44"/>
      <c r="E356" s="44"/>
      <c r="F356" s="44"/>
      <c r="G356" s="44"/>
      <c r="H356" s="44"/>
      <c r="I356" s="44"/>
      <c r="J356" s="44"/>
    </row>
    <row r="357" spans="1:10" ht="15" x14ac:dyDescent="0.2">
      <c r="A357" s="33">
        <f>'PLANILHA ORÇAMENTÁRIA'!A96</f>
        <v>12</v>
      </c>
      <c r="B357" s="51" t="str">
        <f>'PLANILHA ORÇAMENTÁRIA'!D96</f>
        <v>INSTALAÇÕES HIDRO-SANITÁRIAS</v>
      </c>
      <c r="C357" s="52"/>
      <c r="D357" s="53"/>
      <c r="E357" s="53"/>
      <c r="F357" s="53"/>
      <c r="G357" s="53"/>
      <c r="H357" s="53"/>
      <c r="I357" s="53"/>
      <c r="J357" s="53"/>
    </row>
    <row r="358" spans="1:10" ht="15" x14ac:dyDescent="0.2">
      <c r="A358" s="54" t="str">
        <f>'PLANILHA ORÇAMENTÁRIA'!A97</f>
        <v>12.1</v>
      </c>
      <c r="B358" s="493" t="str">
        <f>'PLANILHA ORÇAMENTÁRIA'!D97</f>
        <v>PONTOS HIDRO-SANITÁRIOS</v>
      </c>
      <c r="C358" s="493"/>
      <c r="D358" s="493"/>
      <c r="E358" s="493"/>
      <c r="F358" s="493"/>
      <c r="G358" s="493"/>
      <c r="H358" s="493"/>
      <c r="I358" s="493"/>
      <c r="J358" s="493"/>
    </row>
    <row r="359" spans="1:10" ht="30" x14ac:dyDescent="0.2">
      <c r="A359" s="46" t="str">
        <f>'PLANILHA ORÇAMENTÁRIA'!A98</f>
        <v>12.1.1</v>
      </c>
      <c r="B359" s="47" t="str">
        <f>'PLANILHA ORÇAMENTÁRIA'!D98</f>
        <v>Ponto de água fria (lavatório, tanque, pia de cozinha, etc...)</v>
      </c>
      <c r="C359" s="48" t="s">
        <v>29</v>
      </c>
      <c r="D359" s="49" t="s">
        <v>399</v>
      </c>
      <c r="E359" s="49" t="s">
        <v>400</v>
      </c>
      <c r="F359" s="49" t="s">
        <v>401</v>
      </c>
      <c r="G359" s="49" t="s">
        <v>402</v>
      </c>
      <c r="H359" s="49" t="s">
        <v>403</v>
      </c>
      <c r="I359" s="49" t="s">
        <v>404</v>
      </c>
      <c r="J359" s="40" t="s">
        <v>405</v>
      </c>
    </row>
    <row r="360" spans="1:10" x14ac:dyDescent="0.2">
      <c r="A360" s="502"/>
      <c r="B360" s="45" t="s">
        <v>499</v>
      </c>
      <c r="C360" s="46"/>
      <c r="D360" s="46">
        <v>2</v>
      </c>
      <c r="E360" s="46"/>
      <c r="F360" s="46"/>
      <c r="G360" s="46"/>
      <c r="H360" s="46"/>
      <c r="I360" s="46"/>
      <c r="J360" s="46">
        <f>D360</f>
        <v>2</v>
      </c>
    </row>
    <row r="361" spans="1:10" x14ac:dyDescent="0.2">
      <c r="A361" s="502"/>
      <c r="B361" s="45" t="s">
        <v>500</v>
      </c>
      <c r="C361" s="46"/>
      <c r="D361" s="46">
        <v>2</v>
      </c>
      <c r="E361" s="46"/>
      <c r="F361" s="46"/>
      <c r="G361" s="46"/>
      <c r="H361" s="46"/>
      <c r="I361" s="46"/>
      <c r="J361" s="46">
        <f>D361</f>
        <v>2</v>
      </c>
    </row>
    <row r="362" spans="1:10" x14ac:dyDescent="0.2">
      <c r="A362" s="502"/>
      <c r="B362" s="45"/>
      <c r="C362" s="44"/>
      <c r="D362" s="44"/>
      <c r="E362" s="44"/>
      <c r="F362" s="44"/>
      <c r="G362" s="44"/>
      <c r="H362" s="44"/>
      <c r="I362" s="57" t="s">
        <v>408</v>
      </c>
      <c r="J362" s="58">
        <f>SUM(J360:J361)</f>
        <v>4</v>
      </c>
    </row>
    <row r="363" spans="1:10" x14ac:dyDescent="0.2">
      <c r="A363" s="502"/>
      <c r="B363" s="44"/>
      <c r="C363" s="44"/>
      <c r="D363" s="44"/>
      <c r="E363" s="44"/>
      <c r="F363" s="44"/>
      <c r="G363" s="44"/>
      <c r="H363" s="44"/>
      <c r="I363" s="44"/>
      <c r="J363" s="44"/>
    </row>
    <row r="364" spans="1:10" ht="30" x14ac:dyDescent="0.2">
      <c r="A364" s="46" t="str">
        <f>'PLANILHA ORÇAMENTÁRIA'!A99</f>
        <v>12.1.2</v>
      </c>
      <c r="B364" s="47" t="str">
        <f>'PLANILHA ORÇAMENTÁRIA'!D99</f>
        <v xml:space="preserve">Ponto para esgoto primário (vaso sanitário) </v>
      </c>
      <c r="C364" s="48" t="s">
        <v>29</v>
      </c>
      <c r="D364" s="49" t="s">
        <v>399</v>
      </c>
      <c r="E364" s="49" t="s">
        <v>400</v>
      </c>
      <c r="F364" s="49" t="s">
        <v>401</v>
      </c>
      <c r="G364" s="49" t="s">
        <v>402</v>
      </c>
      <c r="H364" s="49" t="s">
        <v>403</v>
      </c>
      <c r="I364" s="49" t="s">
        <v>404</v>
      </c>
      <c r="J364" s="40" t="s">
        <v>405</v>
      </c>
    </row>
    <row r="365" spans="1:10" x14ac:dyDescent="0.2">
      <c r="A365" s="502"/>
      <c r="B365" s="45" t="s">
        <v>499</v>
      </c>
      <c r="C365" s="46"/>
      <c r="D365" s="46">
        <v>1</v>
      </c>
      <c r="E365" s="46"/>
      <c r="F365" s="46"/>
      <c r="G365" s="46"/>
      <c r="H365" s="46"/>
      <c r="I365" s="46"/>
      <c r="J365" s="46">
        <f>D365</f>
        <v>1</v>
      </c>
    </row>
    <row r="366" spans="1:10" x14ac:dyDescent="0.2">
      <c r="A366" s="502"/>
      <c r="B366" s="45" t="s">
        <v>500</v>
      </c>
      <c r="C366" s="46"/>
      <c r="D366" s="46">
        <v>1</v>
      </c>
      <c r="E366" s="46"/>
      <c r="F366" s="46"/>
      <c r="G366" s="46"/>
      <c r="H366" s="46"/>
      <c r="I366" s="46"/>
      <c r="J366" s="46">
        <f>D366</f>
        <v>1</v>
      </c>
    </row>
    <row r="367" spans="1:10" x14ac:dyDescent="0.2">
      <c r="A367" s="502"/>
      <c r="B367" s="45"/>
      <c r="C367" s="44"/>
      <c r="D367" s="44"/>
      <c r="E367" s="44"/>
      <c r="F367" s="44"/>
      <c r="G367" s="44"/>
      <c r="H367" s="44"/>
      <c r="I367" s="57" t="s">
        <v>408</v>
      </c>
      <c r="J367" s="58">
        <f>SUM(J365:J366)</f>
        <v>2</v>
      </c>
    </row>
    <row r="368" spans="1:10" x14ac:dyDescent="0.2">
      <c r="A368" s="502"/>
      <c r="B368" s="44"/>
      <c r="C368" s="44"/>
      <c r="D368" s="44"/>
      <c r="E368" s="44"/>
      <c r="F368" s="44"/>
      <c r="G368" s="44"/>
      <c r="H368" s="44"/>
      <c r="I368" s="44"/>
      <c r="J368" s="44"/>
    </row>
    <row r="369" spans="1:10" ht="30" x14ac:dyDescent="0.2">
      <c r="A369" s="46" t="str">
        <f>'PLANILHA ORÇAMENTÁRIA'!A100</f>
        <v>12.1.3</v>
      </c>
      <c r="B369" s="47" t="str">
        <f>'PLANILHA ORÇAMENTÁRIA'!D100</f>
        <v xml:space="preserve">Ponto para esgoto secundário (pia, lavatório, mictório, tanque, bidê, etc...) </v>
      </c>
      <c r="C369" s="48" t="s">
        <v>29</v>
      </c>
      <c r="D369" s="49" t="s">
        <v>399</v>
      </c>
      <c r="E369" s="49" t="s">
        <v>400</v>
      </c>
      <c r="F369" s="49" t="s">
        <v>401</v>
      </c>
      <c r="G369" s="49" t="s">
        <v>402</v>
      </c>
      <c r="H369" s="49" t="s">
        <v>403</v>
      </c>
      <c r="I369" s="49" t="s">
        <v>404</v>
      </c>
      <c r="J369" s="40" t="s">
        <v>405</v>
      </c>
    </row>
    <row r="370" spans="1:10" x14ac:dyDescent="0.2">
      <c r="A370" s="502"/>
      <c r="B370" s="45" t="s">
        <v>499</v>
      </c>
      <c r="C370" s="46"/>
      <c r="D370" s="46">
        <v>1</v>
      </c>
      <c r="E370" s="46"/>
      <c r="F370" s="46"/>
      <c r="G370" s="46"/>
      <c r="H370" s="46"/>
      <c r="I370" s="46"/>
      <c r="J370" s="46">
        <f>D370</f>
        <v>1</v>
      </c>
    </row>
    <row r="371" spans="1:10" x14ac:dyDescent="0.2">
      <c r="A371" s="502"/>
      <c r="B371" s="45" t="s">
        <v>500</v>
      </c>
      <c r="C371" s="46"/>
      <c r="D371" s="46">
        <v>1</v>
      </c>
      <c r="E371" s="46"/>
      <c r="F371" s="46"/>
      <c r="G371" s="46"/>
      <c r="H371" s="46"/>
      <c r="I371" s="46"/>
      <c r="J371" s="46">
        <f>D371</f>
        <v>1</v>
      </c>
    </row>
    <row r="372" spans="1:10" x14ac:dyDescent="0.2">
      <c r="A372" s="502"/>
      <c r="B372" s="45"/>
      <c r="C372" s="44"/>
      <c r="D372" s="44"/>
      <c r="E372" s="44"/>
      <c r="F372" s="44"/>
      <c r="G372" s="44"/>
      <c r="H372" s="44"/>
      <c r="I372" s="57" t="s">
        <v>408</v>
      </c>
      <c r="J372" s="58">
        <f>SUM(J370:J371)</f>
        <v>2</v>
      </c>
    </row>
    <row r="373" spans="1:10" x14ac:dyDescent="0.2">
      <c r="A373" s="487"/>
      <c r="B373" s="44"/>
      <c r="C373" s="44"/>
      <c r="D373" s="44"/>
      <c r="E373" s="44"/>
      <c r="F373" s="44"/>
      <c r="G373" s="44"/>
      <c r="H373" s="44"/>
      <c r="I373" s="44"/>
      <c r="J373" s="44"/>
    </row>
    <row r="374" spans="1:10" ht="30" x14ac:dyDescent="0.2">
      <c r="A374" s="46" t="str">
        <f>'PLANILHA ORÇAMENTÁRIA'!A101</f>
        <v>12.1.4</v>
      </c>
      <c r="B374" s="107" t="str">
        <f>'PLANILHA ORÇAMENTÁRIA'!D101</f>
        <v xml:space="preserve">Ponto para caixa sifonada, inclusive caixa sifonada pvc 150x150x50mm com grelha em pvc </v>
      </c>
      <c r="C374" s="48" t="s">
        <v>29</v>
      </c>
      <c r="D374" s="49" t="s">
        <v>399</v>
      </c>
      <c r="E374" s="49" t="s">
        <v>400</v>
      </c>
      <c r="F374" s="49" t="s">
        <v>401</v>
      </c>
      <c r="G374" s="49" t="s">
        <v>402</v>
      </c>
      <c r="H374" s="49" t="s">
        <v>403</v>
      </c>
      <c r="I374" s="49" t="s">
        <v>404</v>
      </c>
      <c r="J374" s="40" t="s">
        <v>405</v>
      </c>
    </row>
    <row r="375" spans="1:10" x14ac:dyDescent="0.2">
      <c r="A375" s="489"/>
      <c r="B375" s="45" t="s">
        <v>499</v>
      </c>
      <c r="C375" s="46"/>
      <c r="D375" s="46">
        <v>1</v>
      </c>
      <c r="E375" s="46"/>
      <c r="F375" s="46"/>
      <c r="G375" s="46"/>
      <c r="H375" s="46"/>
      <c r="I375" s="46"/>
      <c r="J375" s="46">
        <f>D375</f>
        <v>1</v>
      </c>
    </row>
    <row r="376" spans="1:10" x14ac:dyDescent="0.2">
      <c r="A376" s="502"/>
      <c r="B376" s="45" t="s">
        <v>500</v>
      </c>
      <c r="C376" s="46"/>
      <c r="D376" s="46">
        <v>1</v>
      </c>
      <c r="E376" s="46"/>
      <c r="F376" s="46"/>
      <c r="G376" s="46"/>
      <c r="H376" s="46"/>
      <c r="I376" s="46"/>
      <c r="J376" s="46">
        <f>D376</f>
        <v>1</v>
      </c>
    </row>
    <row r="377" spans="1:10" x14ac:dyDescent="0.2">
      <c r="A377" s="502"/>
      <c r="B377" s="45"/>
      <c r="C377" s="44"/>
      <c r="D377" s="44"/>
      <c r="E377" s="44"/>
      <c r="F377" s="44"/>
      <c r="G377" s="44"/>
      <c r="H377" s="44"/>
      <c r="I377" s="57" t="s">
        <v>408</v>
      </c>
      <c r="J377" s="58">
        <f>SUM(J375:J376)</f>
        <v>2</v>
      </c>
    </row>
    <row r="378" spans="1:10" x14ac:dyDescent="0.2">
      <c r="A378" s="487"/>
      <c r="B378" s="44"/>
      <c r="C378" s="44"/>
      <c r="D378" s="44"/>
      <c r="E378" s="44"/>
      <c r="F378" s="44"/>
      <c r="G378" s="44"/>
      <c r="H378" s="44"/>
      <c r="I378" s="44"/>
      <c r="J378" s="44"/>
    </row>
    <row r="379" spans="1:10" ht="15" x14ac:dyDescent="0.2">
      <c r="A379" s="54" t="str">
        <f>'PLANILHA ORÇAMENTÁRIA'!A102</f>
        <v>12.2</v>
      </c>
      <c r="B379" s="515" t="str">
        <f>'PLANILHA ORÇAMENTÁRIA'!D102</f>
        <v>CAIXAS DE PVC / EQUIPAMENTOS</v>
      </c>
      <c r="C379" s="493"/>
      <c r="D379" s="493"/>
      <c r="E379" s="493"/>
      <c r="F379" s="493"/>
      <c r="G379" s="493"/>
      <c r="H379" s="493"/>
      <c r="I379" s="493"/>
      <c r="J379" s="493"/>
    </row>
    <row r="380" spans="1:10" ht="30" x14ac:dyDescent="0.2">
      <c r="A380" s="261" t="str">
        <f>'PLANILHA ORÇAMENTÁRIA'!A103</f>
        <v>12.2.1</v>
      </c>
      <c r="B380" s="47" t="str">
        <f>'PLANILHA ORÇAMENTÁRIA'!D103</f>
        <v>Sifão em PVC para pia de cozinha ou lavatório 1x11/2"</v>
      </c>
      <c r="C380" s="48" t="s">
        <v>29</v>
      </c>
      <c r="D380" s="49" t="s">
        <v>399</v>
      </c>
      <c r="E380" s="49" t="s">
        <v>400</v>
      </c>
      <c r="F380" s="49" t="s">
        <v>401</v>
      </c>
      <c r="G380" s="49" t="s">
        <v>402</v>
      </c>
      <c r="H380" s="49" t="s">
        <v>403</v>
      </c>
      <c r="I380" s="49" t="s">
        <v>404</v>
      </c>
      <c r="J380" s="40" t="s">
        <v>405</v>
      </c>
    </row>
    <row r="381" spans="1:10" x14ac:dyDescent="0.2">
      <c r="A381" s="487"/>
      <c r="B381" s="45" t="s">
        <v>412</v>
      </c>
      <c r="C381" s="46"/>
      <c r="D381" s="46">
        <v>1</v>
      </c>
      <c r="E381" s="46"/>
      <c r="F381" s="46"/>
      <c r="G381" s="46"/>
      <c r="H381" s="46"/>
      <c r="I381" s="46"/>
      <c r="J381" s="46">
        <f>D381</f>
        <v>1</v>
      </c>
    </row>
    <row r="382" spans="1:10" x14ac:dyDescent="0.2">
      <c r="A382" s="488"/>
      <c r="B382" s="44"/>
      <c r="C382" s="44"/>
      <c r="D382" s="44"/>
      <c r="E382" s="44"/>
      <c r="F382" s="44"/>
      <c r="G382" s="44"/>
      <c r="H382" s="44"/>
      <c r="I382" s="57" t="s">
        <v>408</v>
      </c>
      <c r="J382" s="58">
        <f>SUM(J381)</f>
        <v>1</v>
      </c>
    </row>
    <row r="383" spans="1:10" x14ac:dyDescent="0.2">
      <c r="A383" s="489"/>
      <c r="B383" s="44"/>
      <c r="C383" s="44"/>
      <c r="D383" s="44"/>
      <c r="E383" s="44"/>
      <c r="F383" s="44"/>
      <c r="G383" s="44"/>
      <c r="H383" s="44"/>
      <c r="I383" s="44"/>
      <c r="J383" s="44"/>
    </row>
    <row r="384" spans="1:10" ht="15" x14ac:dyDescent="0.2">
      <c r="A384" s="33">
        <f>'PLANILHA ORÇAMENTÁRIA'!A105</f>
        <v>13</v>
      </c>
      <c r="B384" s="51" t="str">
        <f>'PLANILHA ORÇAMENTÁRIA'!D105</f>
        <v>INSTALAÇÕES ELÉTRICAS</v>
      </c>
      <c r="C384" s="52"/>
      <c r="D384" s="53"/>
      <c r="E384" s="53"/>
      <c r="F384" s="53"/>
      <c r="G384" s="53"/>
      <c r="H384" s="53"/>
      <c r="I384" s="53"/>
      <c r="J384" s="53"/>
    </row>
    <row r="385" spans="1:10" ht="15" x14ac:dyDescent="0.2">
      <c r="A385" s="54" t="str">
        <f>'PLANILHA ORÇAMENTÁRIA'!A106</f>
        <v>13.1</v>
      </c>
      <c r="B385" s="493" t="str">
        <f>'PLANILHA ORÇAMENTÁRIA'!D106</f>
        <v>QUADRO DE DISTRIBUIÇÃO</v>
      </c>
      <c r="C385" s="493"/>
      <c r="D385" s="493"/>
      <c r="E385" s="493"/>
      <c r="F385" s="493"/>
      <c r="G385" s="493"/>
      <c r="H385" s="493"/>
      <c r="I385" s="493"/>
      <c r="J385" s="493"/>
    </row>
    <row r="386" spans="1:10" ht="30" x14ac:dyDescent="0.2">
      <c r="A386" s="46" t="str">
        <f>'PLANILHA ORÇAMENTÁRIA'!A107</f>
        <v>13.1.1</v>
      </c>
      <c r="B386" s="47" t="str">
        <f>'PLANILHA ORÇAMENTÁRIA'!D107</f>
        <v>Quadro de distribuição de energia, de embutir, com 18 divisões modulares, com barramento</v>
      </c>
      <c r="C386" s="48" t="s">
        <v>67</v>
      </c>
      <c r="D386" s="49" t="s">
        <v>399</v>
      </c>
      <c r="E386" s="49" t="s">
        <v>400</v>
      </c>
      <c r="F386" s="49" t="s">
        <v>401</v>
      </c>
      <c r="G386" s="49" t="s">
        <v>402</v>
      </c>
      <c r="H386" s="49" t="s">
        <v>403</v>
      </c>
      <c r="I386" s="49" t="s">
        <v>404</v>
      </c>
      <c r="J386" s="40" t="s">
        <v>405</v>
      </c>
    </row>
    <row r="387" spans="1:10" x14ac:dyDescent="0.2">
      <c r="A387" s="487"/>
      <c r="B387" s="44"/>
      <c r="C387" s="46">
        <v>1</v>
      </c>
      <c r="D387" s="46"/>
      <c r="E387" s="46"/>
      <c r="F387" s="46"/>
      <c r="G387" s="46"/>
      <c r="H387" s="46"/>
      <c r="I387" s="46"/>
      <c r="J387" s="46">
        <f>C387</f>
        <v>1</v>
      </c>
    </row>
    <row r="388" spans="1:10" x14ac:dyDescent="0.2">
      <c r="A388" s="488"/>
      <c r="B388" s="44"/>
      <c r="C388" s="46"/>
      <c r="D388" s="46"/>
      <c r="E388" s="46"/>
      <c r="F388" s="46"/>
      <c r="G388" s="46"/>
      <c r="H388" s="46"/>
      <c r="I388" s="57" t="s">
        <v>408</v>
      </c>
      <c r="J388" s="58">
        <f>SUM(J387)</f>
        <v>1</v>
      </c>
    </row>
    <row r="389" spans="1:10" x14ac:dyDescent="0.2">
      <c r="A389" s="489"/>
      <c r="B389" s="44"/>
      <c r="C389" s="46"/>
      <c r="D389" s="46"/>
      <c r="E389" s="46"/>
      <c r="F389" s="46"/>
      <c r="G389" s="46"/>
      <c r="H389" s="46"/>
      <c r="I389" s="46"/>
      <c r="J389" s="46"/>
    </row>
    <row r="390" spans="1:10" ht="15" x14ac:dyDescent="0.2">
      <c r="A390" s="54" t="str">
        <f>'PLANILHA ORÇAMENTÁRIA'!A108</f>
        <v>13.2</v>
      </c>
      <c r="B390" s="493" t="str">
        <f>'PLANILHA ORÇAMENTÁRIA'!D108</f>
        <v>ENVELOPAMENTO DE ELETRODUTOS</v>
      </c>
      <c r="C390" s="493"/>
      <c r="D390" s="493"/>
      <c r="E390" s="493"/>
      <c r="F390" s="493"/>
      <c r="G390" s="493"/>
      <c r="H390" s="493"/>
      <c r="I390" s="493"/>
      <c r="J390" s="493"/>
    </row>
    <row r="391" spans="1:10" ht="54" customHeight="1" x14ac:dyDescent="0.2">
      <c r="A391" s="59" t="str">
        <f>'PLANILHA ORÇAMENTÁRIA'!A109</f>
        <v>13.2.1</v>
      </c>
      <c r="B391" s="47" t="str">
        <f>'PLANILHA ORÇAMENTÁRIA'!D109</f>
        <v>Envelopamento de concreto simples com consumo mínimo de cimento de 250kg/m3, inclusive escavação
para profundidade mínima do eletroduto de 50 cm, de 25 x 25 cm, para 1 eletroduto</v>
      </c>
      <c r="C391" s="48" t="str">
        <f>'PLANILHA ORÇAMENTÁRIA'!E109</f>
        <v>m</v>
      </c>
      <c r="D391" s="49" t="s">
        <v>399</v>
      </c>
      <c r="E391" s="49" t="s">
        <v>400</v>
      </c>
      <c r="F391" s="49" t="s">
        <v>401</v>
      </c>
      <c r="G391" s="49" t="s">
        <v>402</v>
      </c>
      <c r="H391" s="49" t="s">
        <v>403</v>
      </c>
      <c r="I391" s="49" t="s">
        <v>404</v>
      </c>
      <c r="J391" s="40" t="s">
        <v>405</v>
      </c>
    </row>
    <row r="392" spans="1:10" x14ac:dyDescent="0.2">
      <c r="A392" s="487"/>
      <c r="B392" s="45"/>
      <c r="C392" s="46">
        <v>30</v>
      </c>
      <c r="D392" s="44"/>
      <c r="E392" s="44"/>
      <c r="F392" s="44"/>
      <c r="G392" s="44"/>
      <c r="H392" s="44"/>
      <c r="I392" s="46"/>
      <c r="J392" s="46">
        <f>C392</f>
        <v>30</v>
      </c>
    </row>
    <row r="393" spans="1:10" x14ac:dyDescent="0.2">
      <c r="A393" s="488"/>
      <c r="B393" s="44"/>
      <c r="C393" s="44" t="s">
        <v>454</v>
      </c>
      <c r="D393" s="44"/>
      <c r="E393" s="44"/>
      <c r="F393" s="44"/>
      <c r="G393" s="44"/>
      <c r="H393" s="44"/>
      <c r="I393" s="57" t="s">
        <v>408</v>
      </c>
      <c r="J393" s="58">
        <f>SUM(J392)</f>
        <v>30</v>
      </c>
    </row>
    <row r="394" spans="1:10" x14ac:dyDescent="0.2">
      <c r="A394" s="489"/>
      <c r="B394" s="44"/>
      <c r="C394" s="44"/>
      <c r="D394" s="44"/>
      <c r="E394" s="44"/>
      <c r="F394" s="44"/>
      <c r="G394" s="44"/>
      <c r="H394" s="44"/>
      <c r="I394" s="57"/>
      <c r="J394" s="58"/>
    </row>
    <row r="395" spans="1:10" ht="15" x14ac:dyDescent="0.2">
      <c r="A395" s="54" t="str">
        <f>'PLANILHA ORÇAMENTÁRIA'!A110</f>
        <v>13.3</v>
      </c>
      <c r="B395" s="493" t="str">
        <f>'PLANILHA ORÇAMENTÁRIA'!D110</f>
        <v>INSTALAÇÕES APARENTES</v>
      </c>
      <c r="C395" s="493"/>
      <c r="D395" s="493"/>
      <c r="E395" s="493"/>
      <c r="F395" s="493"/>
      <c r="G395" s="493"/>
      <c r="H395" s="493"/>
      <c r="I395" s="493"/>
      <c r="J395" s="493"/>
    </row>
    <row r="396" spans="1:10" ht="30" x14ac:dyDescent="0.2">
      <c r="A396" s="59" t="str">
        <f>'PLANILHA ORÇAMENTÁRIA'!A111</f>
        <v>13.3.1</v>
      </c>
      <c r="B396" s="47" t="str">
        <f>'PLANILHA ORÇAMENTÁRIA'!D111</f>
        <v xml:space="preserve">Eletroduto aparente de PVC rígido roscável diâmetro 1", inclusive abraçadeira de fixação </v>
      </c>
      <c r="C396" s="48" t="str">
        <f>'PLANILHA ORÇAMENTÁRIA'!E111</f>
        <v xml:space="preserve">m </v>
      </c>
      <c r="D396" s="49" t="s">
        <v>399</v>
      </c>
      <c r="E396" s="49" t="s">
        <v>400</v>
      </c>
      <c r="F396" s="49" t="s">
        <v>401</v>
      </c>
      <c r="G396" s="49" t="s">
        <v>402</v>
      </c>
      <c r="H396" s="49" t="s">
        <v>403</v>
      </c>
      <c r="I396" s="49" t="s">
        <v>404</v>
      </c>
      <c r="J396" s="40" t="s">
        <v>405</v>
      </c>
    </row>
    <row r="397" spans="1:10" x14ac:dyDescent="0.2">
      <c r="A397" s="487"/>
      <c r="B397" s="45"/>
      <c r="C397" s="46">
        <v>15</v>
      </c>
      <c r="D397" s="44"/>
      <c r="E397" s="44"/>
      <c r="F397" s="44"/>
      <c r="G397" s="44"/>
      <c r="H397" s="44"/>
      <c r="I397" s="46"/>
      <c r="J397" s="46">
        <f>C397</f>
        <v>15</v>
      </c>
    </row>
    <row r="398" spans="1:10" x14ac:dyDescent="0.2">
      <c r="A398" s="488"/>
      <c r="B398" s="44"/>
      <c r="C398" s="44"/>
      <c r="D398" s="44"/>
      <c r="E398" s="44"/>
      <c r="F398" s="44"/>
      <c r="G398" s="44"/>
      <c r="H398" s="44"/>
      <c r="I398" s="57" t="s">
        <v>408</v>
      </c>
      <c r="J398" s="58">
        <f>SUM(J397)</f>
        <v>15</v>
      </c>
    </row>
    <row r="399" spans="1:10" x14ac:dyDescent="0.2">
      <c r="A399" s="489"/>
      <c r="B399" s="44"/>
      <c r="C399" s="44"/>
      <c r="D399" s="44"/>
      <c r="E399" s="44"/>
      <c r="F399" s="44"/>
      <c r="G399" s="44"/>
      <c r="H399" s="44"/>
      <c r="I399" s="57"/>
      <c r="J399" s="58"/>
    </row>
    <row r="400" spans="1:10" ht="15" x14ac:dyDescent="0.2">
      <c r="A400" s="54" t="str">
        <f>'PLANILHA ORÇAMENTÁRIA'!A112</f>
        <v>13.4</v>
      </c>
      <c r="B400" s="493" t="str">
        <f>'PLANILHA ORÇAMENTÁRIA'!D112</f>
        <v>COMPOSIÇÕES INTERMEDIÁRIAS P/ ELETRICA</v>
      </c>
      <c r="C400" s="493"/>
      <c r="D400" s="493"/>
      <c r="E400" s="493"/>
      <c r="F400" s="493"/>
      <c r="G400" s="493"/>
      <c r="H400" s="493"/>
      <c r="I400" s="493"/>
      <c r="J400" s="493"/>
    </row>
    <row r="401" spans="1:10" ht="30" x14ac:dyDescent="0.2">
      <c r="A401" s="59" t="str">
        <f>'PLANILHA ORÇAMENTÁRIA'!A113</f>
        <v>13.4.1</v>
      </c>
      <c r="B401" s="47" t="str">
        <f>'PLANILHA ORÇAMENTÁRIA'!D113</f>
        <v xml:space="preserve">Fita isolante em rolo de 19mm x 20 m, número 33 Scoth ou equivalente </v>
      </c>
      <c r="C401" s="48" t="str">
        <f>'PLANILHA ORÇAMENTÁRIA'!E113</f>
        <v xml:space="preserve">und </v>
      </c>
      <c r="D401" s="49" t="s">
        <v>399</v>
      </c>
      <c r="E401" s="49" t="s">
        <v>400</v>
      </c>
      <c r="F401" s="49" t="s">
        <v>401</v>
      </c>
      <c r="G401" s="49" t="s">
        <v>402</v>
      </c>
      <c r="H401" s="49" t="s">
        <v>403</v>
      </c>
      <c r="I401" s="49" t="s">
        <v>404</v>
      </c>
      <c r="J401" s="40" t="s">
        <v>405</v>
      </c>
    </row>
    <row r="402" spans="1:10" x14ac:dyDescent="0.2">
      <c r="A402" s="487"/>
      <c r="B402" s="45"/>
      <c r="C402" s="46">
        <v>2</v>
      </c>
      <c r="D402" s="44"/>
      <c r="E402" s="44"/>
      <c r="F402" s="44"/>
      <c r="G402" s="44"/>
      <c r="H402" s="44"/>
      <c r="I402" s="46"/>
      <c r="J402" s="46">
        <f>C402</f>
        <v>2</v>
      </c>
    </row>
    <row r="403" spans="1:10" x14ac:dyDescent="0.2">
      <c r="A403" s="488"/>
      <c r="B403" s="44"/>
      <c r="C403" s="44"/>
      <c r="D403" s="44"/>
      <c r="E403" s="44"/>
      <c r="F403" s="44"/>
      <c r="G403" s="44"/>
      <c r="H403" s="44"/>
      <c r="I403" s="57" t="s">
        <v>408</v>
      </c>
      <c r="J403" s="58">
        <f>SUM(J402)</f>
        <v>2</v>
      </c>
    </row>
    <row r="404" spans="1:10" x14ac:dyDescent="0.2">
      <c r="A404" s="489"/>
      <c r="B404" s="44"/>
      <c r="C404" s="44"/>
      <c r="D404" s="44"/>
      <c r="E404" s="44"/>
      <c r="F404" s="44"/>
      <c r="G404" s="44"/>
      <c r="H404" s="44"/>
      <c r="I404" s="57"/>
      <c r="J404" s="58"/>
    </row>
    <row r="405" spans="1:10" ht="15" x14ac:dyDescent="0.2">
      <c r="A405" s="54" t="str">
        <f>'PLANILHA ORÇAMENTÁRIA'!A114</f>
        <v>13.5</v>
      </c>
      <c r="B405" s="493" t="str">
        <f>'PLANILHA ORÇAMENTÁRIA'!D114</f>
        <v>ELETRODUTOS E CONEXÕES</v>
      </c>
      <c r="C405" s="493"/>
      <c r="D405" s="493"/>
      <c r="E405" s="493"/>
      <c r="F405" s="493"/>
      <c r="G405" s="493"/>
      <c r="H405" s="493"/>
      <c r="I405" s="493"/>
      <c r="J405" s="493"/>
    </row>
    <row r="406" spans="1:10" ht="30" x14ac:dyDescent="0.2">
      <c r="A406" s="59" t="str">
        <f>'PLANILHA ORÇAMENTÁRIA'!A115</f>
        <v>13.5.1</v>
      </c>
      <c r="B406" s="47" t="str">
        <f>'PLANILHA ORÇAMENTÁRIA'!D115</f>
        <v xml:space="preserve">Eletroduto flexível corrugado 3/4" , marca de referência TIGRE </v>
      </c>
      <c r="C406" s="48" t="str">
        <f>'PLANILHA ORÇAMENTÁRIA'!E118</f>
        <v xml:space="preserve">und </v>
      </c>
      <c r="D406" s="49" t="s">
        <v>399</v>
      </c>
      <c r="E406" s="49" t="s">
        <v>400</v>
      </c>
      <c r="F406" s="49" t="s">
        <v>401</v>
      </c>
      <c r="G406" s="49" t="s">
        <v>402</v>
      </c>
      <c r="H406" s="49" t="s">
        <v>403</v>
      </c>
      <c r="I406" s="49" t="s">
        <v>404</v>
      </c>
      <c r="J406" s="40" t="s">
        <v>405</v>
      </c>
    </row>
    <row r="407" spans="1:10" x14ac:dyDescent="0.2">
      <c r="A407" s="487"/>
      <c r="B407" s="45"/>
      <c r="C407" s="46">
        <v>30</v>
      </c>
      <c r="D407" s="44"/>
      <c r="E407" s="44"/>
      <c r="F407" s="44"/>
      <c r="G407" s="44"/>
      <c r="H407" s="44"/>
      <c r="I407" s="46"/>
      <c r="J407" s="46">
        <f>C407</f>
        <v>30</v>
      </c>
    </row>
    <row r="408" spans="1:10" x14ac:dyDescent="0.2">
      <c r="A408" s="488"/>
      <c r="B408" s="44"/>
      <c r="C408" s="44"/>
      <c r="D408" s="44"/>
      <c r="E408" s="44"/>
      <c r="F408" s="44"/>
      <c r="G408" s="44"/>
      <c r="H408" s="44"/>
      <c r="I408" s="57" t="s">
        <v>408</v>
      </c>
      <c r="J408" s="58">
        <f>SUM(J407)</f>
        <v>30</v>
      </c>
    </row>
    <row r="409" spans="1:10" x14ac:dyDescent="0.2">
      <c r="A409" s="489"/>
      <c r="B409" s="44"/>
      <c r="C409" s="44"/>
      <c r="D409" s="44"/>
      <c r="E409" s="44"/>
      <c r="F409" s="44"/>
      <c r="G409" s="44"/>
      <c r="H409" s="44"/>
      <c r="I409" s="44"/>
      <c r="J409" s="44"/>
    </row>
    <row r="410" spans="1:10" ht="15" x14ac:dyDescent="0.2">
      <c r="A410" s="281" t="str">
        <f>'PLANILHA ORÇAMENTÁRIA'!A116</f>
        <v>13.6</v>
      </c>
      <c r="B410" s="519" t="str">
        <f>'PLANILHA ORÇAMENTÁRIA'!D116</f>
        <v>CHAVES, FUSIVEIS E DISJUNTORES</v>
      </c>
      <c r="C410" s="519"/>
      <c r="D410" s="519"/>
      <c r="E410" s="519"/>
      <c r="F410" s="519"/>
      <c r="G410" s="519"/>
      <c r="H410" s="519"/>
      <c r="I410" s="519"/>
      <c r="J410" s="519"/>
    </row>
    <row r="411" spans="1:10" ht="30" x14ac:dyDescent="0.2">
      <c r="A411" s="46" t="str">
        <f>'PLANILHA ORÇAMENTÁRIA'!A117</f>
        <v>13.6.1</v>
      </c>
      <c r="B411" s="47" t="str">
        <f>'PLANILHA ORÇAMENTÁRIA'!D117</f>
        <v>Disjuntor bipolar tipo din, corrente nominal de 10A - fornecimento e instalação</v>
      </c>
      <c r="C411" s="48" t="str">
        <f>'PLANILHA ORÇAMENTÁRIA'!E117</f>
        <v xml:space="preserve">und </v>
      </c>
      <c r="D411" s="49" t="s">
        <v>399</v>
      </c>
      <c r="E411" s="49" t="s">
        <v>400</v>
      </c>
      <c r="F411" s="49" t="s">
        <v>401</v>
      </c>
      <c r="G411" s="49" t="s">
        <v>402</v>
      </c>
      <c r="H411" s="49" t="s">
        <v>403</v>
      </c>
      <c r="I411" s="49" t="s">
        <v>404</v>
      </c>
      <c r="J411" s="40" t="s">
        <v>405</v>
      </c>
    </row>
    <row r="412" spans="1:10" x14ac:dyDescent="0.2">
      <c r="A412" s="487"/>
      <c r="B412" s="44"/>
      <c r="C412" s="46">
        <v>4</v>
      </c>
      <c r="D412" s="46"/>
      <c r="E412" s="46"/>
      <c r="F412" s="46"/>
      <c r="G412" s="46"/>
      <c r="H412" s="46"/>
      <c r="I412" s="46"/>
      <c r="J412" s="46">
        <f>C412</f>
        <v>4</v>
      </c>
    </row>
    <row r="413" spans="1:10" x14ac:dyDescent="0.2">
      <c r="A413" s="488"/>
      <c r="B413" s="44"/>
      <c r="C413" s="44"/>
      <c r="D413" s="44"/>
      <c r="E413" s="44"/>
      <c r="F413" s="44"/>
      <c r="G413" s="44"/>
      <c r="H413" s="44"/>
      <c r="I413" s="57" t="s">
        <v>408</v>
      </c>
      <c r="J413" s="58">
        <f>SUM(J411:J412)</f>
        <v>4</v>
      </c>
    </row>
    <row r="414" spans="1:10" x14ac:dyDescent="0.2">
      <c r="A414" s="489"/>
      <c r="B414" s="44"/>
      <c r="C414" s="44"/>
      <c r="D414" s="44"/>
      <c r="E414" s="44"/>
      <c r="F414" s="44"/>
      <c r="G414" s="44"/>
      <c r="H414" s="44"/>
      <c r="I414" s="57"/>
      <c r="J414" s="58"/>
    </row>
    <row r="415" spans="1:10" ht="30" x14ac:dyDescent="0.2">
      <c r="A415" s="46" t="str">
        <f>'PLANILHA ORÇAMENTÁRIA'!A118</f>
        <v>13.6.2</v>
      </c>
      <c r="B415" s="47" t="str">
        <f>'PLANILHA ORÇAMENTÁRIA'!D118</f>
        <v>Disjuntor monopolar tipo din, corrente nominal de 10A - fornecimento e instalação</v>
      </c>
      <c r="C415" s="48" t="str">
        <f>'PLANILHA ORÇAMENTÁRIA'!E129</f>
        <v xml:space="preserve">und </v>
      </c>
      <c r="D415" s="49" t="s">
        <v>399</v>
      </c>
      <c r="E415" s="49" t="s">
        <v>400</v>
      </c>
      <c r="F415" s="49" t="s">
        <v>401</v>
      </c>
      <c r="G415" s="49" t="s">
        <v>402</v>
      </c>
      <c r="H415" s="49" t="s">
        <v>403</v>
      </c>
      <c r="I415" s="49" t="s">
        <v>404</v>
      </c>
      <c r="J415" s="40" t="s">
        <v>405</v>
      </c>
    </row>
    <row r="416" spans="1:10" x14ac:dyDescent="0.2">
      <c r="A416" s="487"/>
      <c r="B416" s="44"/>
      <c r="C416" s="46">
        <v>4</v>
      </c>
      <c r="D416" s="46"/>
      <c r="E416" s="46"/>
      <c r="F416" s="46"/>
      <c r="G416" s="46"/>
      <c r="H416" s="46"/>
      <c r="I416" s="46"/>
      <c r="J416" s="46">
        <f>C416</f>
        <v>4</v>
      </c>
    </row>
    <row r="417" spans="1:10" x14ac:dyDescent="0.2">
      <c r="A417" s="488"/>
      <c r="B417" s="44"/>
      <c r="C417" s="46"/>
      <c r="D417" s="46"/>
      <c r="E417" s="46"/>
      <c r="F417" s="46"/>
      <c r="G417" s="46"/>
      <c r="H417" s="46"/>
      <c r="I417" s="190" t="s">
        <v>408</v>
      </c>
      <c r="J417" s="191">
        <f>SUM(J415:J416)</f>
        <v>4</v>
      </c>
    </row>
    <row r="418" spans="1:10" x14ac:dyDescent="0.2">
      <c r="A418" s="489"/>
      <c r="B418" s="44"/>
      <c r="C418" s="46"/>
      <c r="D418" s="46"/>
      <c r="E418" s="46"/>
      <c r="F418" s="46"/>
      <c r="G418" s="46"/>
      <c r="H418" s="163"/>
      <c r="I418" s="57"/>
      <c r="J418" s="58"/>
    </row>
    <row r="419" spans="1:10" ht="41.25" customHeight="1" x14ac:dyDescent="0.2">
      <c r="A419" s="46" t="str">
        <f>'PLANILHA ORÇAMENTÁRIA'!A119</f>
        <v>13.6.3</v>
      </c>
      <c r="B419" s="47" t="str">
        <f>'PLANILHA ORÇAMENTÁRIA'!D119</f>
        <v>Mini-Disjuntor monopolar 20 A, curva C - 5KA 220/127VCA (NBR IEC 60947-2), Ref. Siemens, GE,Schneider ou equivalente</v>
      </c>
      <c r="C419" s="48" t="str">
        <f>'PLANILHA ORÇAMENTÁRIA'!E139</f>
        <v xml:space="preserve">und </v>
      </c>
      <c r="D419" s="49" t="s">
        <v>399</v>
      </c>
      <c r="E419" s="49" t="s">
        <v>400</v>
      </c>
      <c r="F419" s="49" t="s">
        <v>401</v>
      </c>
      <c r="G419" s="49" t="s">
        <v>402</v>
      </c>
      <c r="H419" s="49" t="s">
        <v>403</v>
      </c>
      <c r="I419" s="49" t="s">
        <v>404</v>
      </c>
      <c r="J419" s="40" t="s">
        <v>405</v>
      </c>
    </row>
    <row r="420" spans="1:10" x14ac:dyDescent="0.2">
      <c r="A420" s="487"/>
      <c r="B420" s="44"/>
      <c r="C420" s="46">
        <v>1</v>
      </c>
      <c r="D420" s="46"/>
      <c r="E420" s="46"/>
      <c r="F420" s="46"/>
      <c r="G420" s="46"/>
      <c r="H420" s="46"/>
      <c r="I420" s="46"/>
      <c r="J420" s="46">
        <f>C420</f>
        <v>1</v>
      </c>
    </row>
    <row r="421" spans="1:10" x14ac:dyDescent="0.2">
      <c r="A421" s="488"/>
      <c r="B421" s="44"/>
      <c r="C421" s="46"/>
      <c r="D421" s="46"/>
      <c r="E421" s="46"/>
      <c r="F421" s="46"/>
      <c r="G421" s="46"/>
      <c r="H421" s="46"/>
      <c r="I421" s="190" t="s">
        <v>408</v>
      </c>
      <c r="J421" s="191">
        <f>SUM(J419:J420)</f>
        <v>1</v>
      </c>
    </row>
    <row r="422" spans="1:10" x14ac:dyDescent="0.2">
      <c r="A422" s="489"/>
      <c r="B422" s="44"/>
      <c r="C422" s="46"/>
      <c r="D422" s="46"/>
      <c r="E422" s="46"/>
      <c r="F422" s="46"/>
      <c r="G422" s="46"/>
      <c r="H422" s="46"/>
      <c r="I422" s="190"/>
      <c r="J422" s="191"/>
    </row>
    <row r="423" spans="1:10" ht="45.75" customHeight="1" x14ac:dyDescent="0.2">
      <c r="A423" s="46" t="str">
        <f>'PLANILHA ORÇAMENTÁRIA'!A120</f>
        <v>13.6.4</v>
      </c>
      <c r="B423" s="47" t="str">
        <f>'PLANILHA ORÇAMENTÁRIA'!D120</f>
        <v>Mini-Disjuntor bipolar 63 A, curva C - 5KA 220/127VCA (NBR IEC 60947-2), Ref. Siemens, GE, Schneider
ou equivalente</v>
      </c>
      <c r="C423" s="48" t="str">
        <f>'PLANILHA ORÇAMENTÁRIA'!E120</f>
        <v>und</v>
      </c>
      <c r="D423" s="49" t="s">
        <v>399</v>
      </c>
      <c r="E423" s="49" t="s">
        <v>400</v>
      </c>
      <c r="F423" s="49" t="s">
        <v>401</v>
      </c>
      <c r="G423" s="49" t="s">
        <v>402</v>
      </c>
      <c r="H423" s="49" t="s">
        <v>403</v>
      </c>
      <c r="I423" s="49" t="s">
        <v>404</v>
      </c>
      <c r="J423" s="40" t="s">
        <v>405</v>
      </c>
    </row>
    <row r="424" spans="1:10" x14ac:dyDescent="0.2">
      <c r="A424" s="487"/>
      <c r="B424" s="44"/>
      <c r="C424" s="46">
        <v>1</v>
      </c>
      <c r="D424" s="46"/>
      <c r="E424" s="46"/>
      <c r="F424" s="46"/>
      <c r="G424" s="46"/>
      <c r="H424" s="46"/>
      <c r="I424" s="46"/>
      <c r="J424" s="46">
        <f>C424</f>
        <v>1</v>
      </c>
    </row>
    <row r="425" spans="1:10" x14ac:dyDescent="0.2">
      <c r="A425" s="488"/>
      <c r="B425" s="44"/>
      <c r="C425" s="46"/>
      <c r="D425" s="46"/>
      <c r="E425" s="46"/>
      <c r="F425" s="46"/>
      <c r="G425" s="46"/>
      <c r="H425" s="46"/>
      <c r="I425" s="190" t="s">
        <v>408</v>
      </c>
      <c r="J425" s="191">
        <f>SUM(J423:J424)</f>
        <v>1</v>
      </c>
    </row>
    <row r="426" spans="1:10" x14ac:dyDescent="0.2">
      <c r="A426" s="489"/>
      <c r="B426" s="44"/>
      <c r="C426" s="46"/>
      <c r="D426" s="46"/>
      <c r="E426" s="46"/>
      <c r="F426" s="46"/>
      <c r="G426" s="46"/>
      <c r="H426" s="46"/>
      <c r="I426" s="190"/>
      <c r="J426" s="191"/>
    </row>
    <row r="427" spans="1:10" ht="15" customHeight="1" x14ac:dyDescent="0.2">
      <c r="A427" s="46" t="str">
        <f>'PLANILHA ORÇAMENTÁRIA'!A121</f>
        <v>13.6.5</v>
      </c>
      <c r="B427" s="47" t="str">
        <f>'PLANILHA ORÇAMENTÁRIA'!D121</f>
        <v>Interruptor Diferencial DR 16A a 25A, 30mA, 2 módulos</v>
      </c>
      <c r="C427" s="48" t="str">
        <f>'PLANILHA ORÇAMENTÁRIA'!E121</f>
        <v xml:space="preserve"> und </v>
      </c>
      <c r="D427" s="49" t="s">
        <v>399</v>
      </c>
      <c r="E427" s="49" t="s">
        <v>400</v>
      </c>
      <c r="F427" s="49" t="s">
        <v>401</v>
      </c>
      <c r="G427" s="49" t="s">
        <v>402</v>
      </c>
      <c r="H427" s="49" t="s">
        <v>403</v>
      </c>
      <c r="I427" s="49" t="s">
        <v>404</v>
      </c>
      <c r="J427" s="40" t="s">
        <v>405</v>
      </c>
    </row>
    <row r="428" spans="1:10" x14ac:dyDescent="0.2">
      <c r="A428" s="487"/>
      <c r="B428" s="45" t="s">
        <v>511</v>
      </c>
      <c r="C428" s="46">
        <v>1</v>
      </c>
      <c r="D428" s="46"/>
      <c r="E428" s="46"/>
      <c r="F428" s="46"/>
      <c r="G428" s="46"/>
      <c r="H428" s="46"/>
      <c r="I428" s="260"/>
      <c r="J428" s="260">
        <f>C428</f>
        <v>1</v>
      </c>
    </row>
    <row r="429" spans="1:10" x14ac:dyDescent="0.2">
      <c r="A429" s="488"/>
      <c r="B429" s="45" t="s">
        <v>512</v>
      </c>
      <c r="C429" s="46">
        <v>1</v>
      </c>
      <c r="D429" s="46"/>
      <c r="E429" s="46"/>
      <c r="F429" s="46"/>
      <c r="G429" s="46"/>
      <c r="H429" s="163"/>
      <c r="I429" s="44"/>
      <c r="J429" s="260">
        <f>C429</f>
        <v>1</v>
      </c>
    </row>
    <row r="430" spans="1:10" x14ac:dyDescent="0.2">
      <c r="A430" s="488"/>
      <c r="B430" s="44"/>
      <c r="C430" s="46"/>
      <c r="D430" s="46"/>
      <c r="E430" s="46"/>
      <c r="F430" s="46"/>
      <c r="G430" s="46"/>
      <c r="H430" s="163"/>
      <c r="I430" s="57" t="s">
        <v>408</v>
      </c>
      <c r="J430" s="58">
        <f>SUM(J428:J429)</f>
        <v>2</v>
      </c>
    </row>
    <row r="431" spans="1:10" x14ac:dyDescent="0.2">
      <c r="A431" s="488"/>
      <c r="B431" s="44"/>
      <c r="C431" s="46"/>
      <c r="D431" s="46"/>
      <c r="E431" s="46"/>
      <c r="F431" s="46"/>
      <c r="G431" s="46"/>
      <c r="H431" s="46"/>
      <c r="I431" s="275"/>
      <c r="J431" s="276"/>
    </row>
    <row r="432" spans="1:10" x14ac:dyDescent="0.2">
      <c r="A432" s="489"/>
      <c r="B432" s="44"/>
      <c r="C432" s="46"/>
      <c r="D432" s="46"/>
      <c r="E432" s="46"/>
      <c r="F432" s="46"/>
      <c r="G432" s="46"/>
      <c r="H432" s="46"/>
      <c r="I432" s="190"/>
      <c r="J432" s="191"/>
    </row>
    <row r="433" spans="1:10" ht="15" x14ac:dyDescent="0.2">
      <c r="A433" s="54" t="str">
        <f>'PLANILHA ORÇAMENTÁRIA'!A122</f>
        <v>13.7</v>
      </c>
      <c r="B433" s="493" t="str">
        <f>'PLANILHA ORÇAMENTÁRIA'!D122</f>
        <v>FIOS E CABOS</v>
      </c>
      <c r="C433" s="493"/>
      <c r="D433" s="493"/>
      <c r="E433" s="493"/>
      <c r="F433" s="493"/>
      <c r="G433" s="493"/>
      <c r="H433" s="493"/>
      <c r="I433" s="493"/>
      <c r="J433" s="493"/>
    </row>
    <row r="434" spans="1:10" ht="30" x14ac:dyDescent="0.2">
      <c r="A434" s="46" t="str">
        <f>'PLANILHA ORÇAMENTÁRIA'!A123</f>
        <v>13.7.1</v>
      </c>
      <c r="B434" s="47" t="str">
        <f>'PLANILHA ORÇAMENTÁRIA'!D123</f>
        <v xml:space="preserve">Fio de cobre termoplástico, com isolamento para 750V, seção de 1.5 mm2 </v>
      </c>
      <c r="C434" s="48" t="str">
        <f>'PLANILHA ORÇAMENTÁRIA'!E123</f>
        <v>m</v>
      </c>
      <c r="D434" s="49" t="s">
        <v>399</v>
      </c>
      <c r="E434" s="49" t="s">
        <v>400</v>
      </c>
      <c r="F434" s="49" t="s">
        <v>401</v>
      </c>
      <c r="G434" s="49" t="s">
        <v>402</v>
      </c>
      <c r="H434" s="49" t="s">
        <v>403</v>
      </c>
      <c r="I434" s="49" t="s">
        <v>404</v>
      </c>
      <c r="J434" s="40" t="s">
        <v>405</v>
      </c>
    </row>
    <row r="435" spans="1:10" x14ac:dyDescent="0.2">
      <c r="A435" s="487"/>
      <c r="B435" s="45" t="s">
        <v>513</v>
      </c>
      <c r="C435" s="46">
        <v>134</v>
      </c>
      <c r="D435" s="46"/>
      <c r="E435" s="46"/>
      <c r="F435" s="46"/>
      <c r="G435" s="46"/>
      <c r="H435" s="163"/>
      <c r="I435" s="190"/>
      <c r="J435" s="46">
        <f>C435</f>
        <v>134</v>
      </c>
    </row>
    <row r="436" spans="1:10" x14ac:dyDescent="0.2">
      <c r="A436" s="488"/>
      <c r="B436" s="45" t="s">
        <v>514</v>
      </c>
      <c r="C436" s="46">
        <v>38</v>
      </c>
      <c r="D436" s="46"/>
      <c r="E436" s="46"/>
      <c r="F436" s="46"/>
      <c r="G436" s="46"/>
      <c r="H436" s="163"/>
      <c r="I436" s="190"/>
      <c r="J436" s="46">
        <f t="shared" ref="J436:J438" si="15">C436</f>
        <v>38</v>
      </c>
    </row>
    <row r="437" spans="1:10" x14ac:dyDescent="0.2">
      <c r="A437" s="488"/>
      <c r="B437" s="45" t="s">
        <v>515</v>
      </c>
      <c r="C437" s="46">
        <v>24</v>
      </c>
      <c r="D437" s="46"/>
      <c r="E437" s="46"/>
      <c r="F437" s="46"/>
      <c r="G437" s="46"/>
      <c r="H437" s="163"/>
      <c r="I437" s="190"/>
      <c r="J437" s="46">
        <f t="shared" si="15"/>
        <v>24</v>
      </c>
    </row>
    <row r="438" spans="1:10" x14ac:dyDescent="0.2">
      <c r="A438" s="488"/>
      <c r="B438" s="45" t="s">
        <v>516</v>
      </c>
      <c r="C438" s="46">
        <v>151</v>
      </c>
      <c r="D438" s="46"/>
      <c r="E438" s="46"/>
      <c r="F438" s="46"/>
      <c r="G438" s="46"/>
      <c r="H438" s="163"/>
      <c r="I438" s="190"/>
      <c r="J438" s="46">
        <f t="shared" si="15"/>
        <v>151</v>
      </c>
    </row>
    <row r="439" spans="1:10" x14ac:dyDescent="0.2">
      <c r="A439" s="488"/>
      <c r="C439" s="46"/>
      <c r="D439" s="46"/>
      <c r="E439" s="46"/>
      <c r="F439" s="46"/>
      <c r="G439" s="46"/>
      <c r="H439" s="163"/>
      <c r="I439" s="190" t="s">
        <v>408</v>
      </c>
      <c r="J439" s="191">
        <f>SUM(J435:J438)</f>
        <v>347</v>
      </c>
    </row>
    <row r="440" spans="1:10" x14ac:dyDescent="0.2">
      <c r="A440" s="489"/>
      <c r="B440" s="45"/>
      <c r="C440" s="46"/>
      <c r="D440" s="46"/>
      <c r="E440" s="46"/>
      <c r="F440" s="46"/>
      <c r="G440" s="46"/>
      <c r="H440" s="163"/>
      <c r="I440" s="190"/>
      <c r="J440" s="191"/>
    </row>
    <row r="441" spans="1:10" ht="30" x14ac:dyDescent="0.2">
      <c r="A441" s="46" t="str">
        <f>'PLANILHA ORÇAMENTÁRIA'!A124</f>
        <v>13.7.2</v>
      </c>
      <c r="B441" s="47" t="str">
        <f>'PLANILHA ORÇAMENTÁRIA'!D124</f>
        <v xml:space="preserve"> Fio de cobre termoplástico, com isolamento para 750V, seção de 2.5 mm2 </v>
      </c>
      <c r="C441" s="48" t="str">
        <f>'PLANILHA ORÇAMENTÁRIA'!E127</f>
        <v>m</v>
      </c>
      <c r="D441" s="49" t="s">
        <v>399</v>
      </c>
      <c r="E441" s="49" t="s">
        <v>400</v>
      </c>
      <c r="F441" s="49" t="s">
        <v>401</v>
      </c>
      <c r="G441" s="49" t="s">
        <v>402</v>
      </c>
      <c r="H441" s="49" t="s">
        <v>403</v>
      </c>
      <c r="I441" s="49" t="s">
        <v>404</v>
      </c>
      <c r="J441" s="40" t="s">
        <v>405</v>
      </c>
    </row>
    <row r="442" spans="1:10" x14ac:dyDescent="0.2">
      <c r="A442" s="487"/>
      <c r="B442" s="45" t="s">
        <v>517</v>
      </c>
      <c r="C442" s="46">
        <v>95</v>
      </c>
      <c r="D442" s="46"/>
      <c r="E442" s="46"/>
      <c r="F442" s="46"/>
      <c r="G442" s="46"/>
      <c r="H442" s="163"/>
      <c r="I442" s="190"/>
      <c r="J442" s="46">
        <f t="shared" ref="J442:J443" si="16">C442</f>
        <v>95</v>
      </c>
    </row>
    <row r="443" spans="1:10" x14ac:dyDescent="0.2">
      <c r="A443" s="488"/>
      <c r="B443" s="45" t="s">
        <v>512</v>
      </c>
      <c r="C443" s="46">
        <v>30</v>
      </c>
      <c r="D443" s="46"/>
      <c r="E443" s="46"/>
      <c r="F443" s="46"/>
      <c r="G443" s="46"/>
      <c r="H443" s="163"/>
      <c r="I443" s="190"/>
      <c r="J443" s="46">
        <f t="shared" si="16"/>
        <v>30</v>
      </c>
    </row>
    <row r="444" spans="1:10" x14ac:dyDescent="0.2">
      <c r="A444" s="488"/>
      <c r="C444" s="46"/>
      <c r="D444" s="46"/>
      <c r="E444" s="46"/>
      <c r="F444" s="46"/>
      <c r="G444" s="46"/>
      <c r="H444" s="163"/>
      <c r="I444" s="190" t="s">
        <v>408</v>
      </c>
      <c r="J444" s="191">
        <f>SUM(J442:J443)</f>
        <v>125</v>
      </c>
    </row>
    <row r="445" spans="1:10" x14ac:dyDescent="0.2">
      <c r="A445" s="489"/>
      <c r="B445" s="44"/>
      <c r="C445" s="46"/>
      <c r="D445" s="46"/>
      <c r="E445" s="46"/>
      <c r="F445" s="46"/>
      <c r="G445" s="46"/>
      <c r="H445" s="163"/>
      <c r="I445" s="190"/>
      <c r="J445" s="191"/>
    </row>
    <row r="446" spans="1:10" ht="30" x14ac:dyDescent="0.2">
      <c r="A446" s="46" t="str">
        <f>'PLANILHA ORÇAMENTÁRIA'!A125</f>
        <v>13.7.3</v>
      </c>
      <c r="B446" s="47" t="str">
        <f>'PLANILHA ORÇAMENTÁRIA'!D125</f>
        <v xml:space="preserve"> Fio ou cabo de cobre termoplástico, com isolamento para 750V, seção de 4.0 mm2 </v>
      </c>
      <c r="C446" s="48" t="str">
        <f>'PLANILHA ORÇAMENTÁRIA'!E125</f>
        <v>m</v>
      </c>
      <c r="D446" s="49" t="s">
        <v>399</v>
      </c>
      <c r="E446" s="49" t="s">
        <v>400</v>
      </c>
      <c r="F446" s="49" t="s">
        <v>401</v>
      </c>
      <c r="G446" s="49" t="s">
        <v>402</v>
      </c>
      <c r="H446" s="49" t="s">
        <v>403</v>
      </c>
      <c r="I446" s="49" t="s">
        <v>404</v>
      </c>
      <c r="J446" s="40" t="s">
        <v>405</v>
      </c>
    </row>
    <row r="447" spans="1:10" x14ac:dyDescent="0.2">
      <c r="A447" s="487"/>
      <c r="B447" s="268" t="s">
        <v>511</v>
      </c>
      <c r="C447" s="260">
        <v>151</v>
      </c>
      <c r="D447" s="46"/>
      <c r="E447" s="46"/>
      <c r="F447" s="46"/>
      <c r="G447" s="46"/>
      <c r="H447" s="163"/>
      <c r="I447" s="190"/>
      <c r="J447" s="46">
        <f t="shared" ref="J447" si="17">C447</f>
        <v>151</v>
      </c>
    </row>
    <row r="448" spans="1:10" x14ac:dyDescent="0.2">
      <c r="A448" s="488"/>
      <c r="B448" s="44"/>
      <c r="C448" s="46"/>
      <c r="D448" s="274"/>
      <c r="E448" s="46"/>
      <c r="F448" s="46"/>
      <c r="G448" s="46"/>
      <c r="H448" s="163"/>
      <c r="I448" s="190" t="s">
        <v>408</v>
      </c>
      <c r="J448" s="191">
        <f>SUM(J447)</f>
        <v>151</v>
      </c>
    </row>
    <row r="449" spans="1:10" x14ac:dyDescent="0.2">
      <c r="A449" s="488"/>
      <c r="B449" s="44"/>
      <c r="C449" s="46"/>
      <c r="D449" s="274"/>
      <c r="E449" s="46"/>
      <c r="F449" s="46"/>
      <c r="G449" s="46"/>
      <c r="H449" s="163"/>
      <c r="I449" s="190"/>
      <c r="J449" s="191"/>
    </row>
    <row r="450" spans="1:10" x14ac:dyDescent="0.2">
      <c r="A450" s="488"/>
      <c r="B450" s="106"/>
      <c r="C450" s="261"/>
      <c r="D450" s="46"/>
      <c r="E450" s="46"/>
      <c r="F450" s="46"/>
      <c r="G450" s="46"/>
      <c r="H450" s="163"/>
      <c r="I450" s="190"/>
      <c r="J450" s="191"/>
    </row>
    <row r="451" spans="1:10" x14ac:dyDescent="0.2">
      <c r="A451" s="489"/>
      <c r="B451" s="44"/>
      <c r="C451" s="46"/>
      <c r="D451" s="46"/>
      <c r="E451" s="46"/>
      <c r="F451" s="46"/>
      <c r="G451" s="46"/>
      <c r="H451" s="163"/>
      <c r="I451" s="190"/>
      <c r="J451" s="191"/>
    </row>
    <row r="452" spans="1:10" ht="30" x14ac:dyDescent="0.2">
      <c r="A452" s="46" t="str">
        <f>'PLANILHA ORÇAMENTÁRIA'!A126</f>
        <v>13.7.4</v>
      </c>
      <c r="B452" s="47" t="str">
        <f>'PLANILHA ORÇAMENTÁRIA'!D126</f>
        <v xml:space="preserve"> Fio ou cabo de cobre termoplástico, com isolamento para 750V, seção de 10.0 mm2 </v>
      </c>
      <c r="C452" s="48" t="str">
        <f>'PLANILHA ORÇAMENTÁRIA'!E126</f>
        <v>m</v>
      </c>
      <c r="D452" s="49" t="s">
        <v>399</v>
      </c>
      <c r="E452" s="49" t="s">
        <v>400</v>
      </c>
      <c r="F452" s="49" t="s">
        <v>401</v>
      </c>
      <c r="G452" s="49" t="s">
        <v>402</v>
      </c>
      <c r="H452" s="49" t="s">
        <v>403</v>
      </c>
      <c r="I452" s="49" t="s">
        <v>404</v>
      </c>
      <c r="J452" s="40" t="s">
        <v>405</v>
      </c>
    </row>
    <row r="453" spans="1:10" x14ac:dyDescent="0.2">
      <c r="A453" s="487"/>
      <c r="B453" s="45" t="s">
        <v>518</v>
      </c>
      <c r="C453" s="46">
        <v>10</v>
      </c>
      <c r="D453" s="46"/>
      <c r="E453" s="46"/>
      <c r="F453" s="46"/>
      <c r="G453" s="46"/>
      <c r="H453" s="163"/>
      <c r="I453" s="190"/>
      <c r="J453" s="191">
        <f>C453</f>
        <v>10</v>
      </c>
    </row>
    <row r="454" spans="1:10" x14ac:dyDescent="0.2">
      <c r="A454" s="488"/>
      <c r="B454" s="44"/>
      <c r="C454" s="46"/>
      <c r="D454" s="46"/>
      <c r="E454" s="46"/>
      <c r="F454" s="46"/>
      <c r="G454" s="46"/>
      <c r="H454" s="163"/>
      <c r="I454" s="190" t="s">
        <v>408</v>
      </c>
      <c r="J454" s="191">
        <f>SUM(J453)</f>
        <v>10</v>
      </c>
    </row>
    <row r="455" spans="1:10" x14ac:dyDescent="0.2">
      <c r="A455" s="489"/>
      <c r="B455" s="44"/>
      <c r="C455" s="46"/>
      <c r="D455" s="46"/>
      <c r="E455" s="46"/>
      <c r="F455" s="46"/>
      <c r="G455" s="46"/>
      <c r="H455" s="163"/>
      <c r="I455" s="190"/>
      <c r="J455" s="191"/>
    </row>
    <row r="456" spans="1:10" ht="30" x14ac:dyDescent="0.2">
      <c r="A456" s="46" t="str">
        <f>'PLANILHA ORÇAMENTÁRIA'!A127</f>
        <v>13.7.5</v>
      </c>
      <c r="B456" s="47" t="str">
        <f>'PLANILHA ORÇAMENTÁRIA'!D127</f>
        <v xml:space="preserve"> Fio ou cabo de cobre termoplástico, com isolamento para 750V, seção de 16.0 mm2 </v>
      </c>
      <c r="C456" s="48" t="str">
        <f>'PLANILHA ORÇAMENTÁRIA'!E127</f>
        <v>m</v>
      </c>
      <c r="D456" s="49" t="s">
        <v>399</v>
      </c>
      <c r="E456" s="49" t="s">
        <v>400</v>
      </c>
      <c r="F456" s="49" t="s">
        <v>401</v>
      </c>
      <c r="G456" s="49" t="s">
        <v>402</v>
      </c>
      <c r="H456" s="49" t="s">
        <v>403</v>
      </c>
      <c r="I456" s="49" t="s">
        <v>404</v>
      </c>
      <c r="J456" s="40" t="s">
        <v>405</v>
      </c>
    </row>
    <row r="457" spans="1:10" x14ac:dyDescent="0.2">
      <c r="A457" s="487"/>
      <c r="B457" s="45" t="s">
        <v>518</v>
      </c>
      <c r="C457" s="46">
        <v>30</v>
      </c>
      <c r="D457" s="46"/>
      <c r="E457" s="46"/>
      <c r="F457" s="46"/>
      <c r="G457" s="46"/>
      <c r="H457" s="163"/>
      <c r="I457" s="190"/>
      <c r="J457" s="191">
        <f>C457</f>
        <v>30</v>
      </c>
    </row>
    <row r="458" spans="1:10" x14ac:dyDescent="0.2">
      <c r="A458" s="488"/>
      <c r="B458" s="44"/>
      <c r="C458" s="46"/>
      <c r="D458" s="46"/>
      <c r="E458" s="46"/>
      <c r="F458" s="46"/>
      <c r="G458" s="46"/>
      <c r="H458" s="163"/>
      <c r="I458" s="190" t="s">
        <v>408</v>
      </c>
      <c r="J458" s="191">
        <f>SUM(J457)</f>
        <v>30</v>
      </c>
    </row>
    <row r="459" spans="1:10" x14ac:dyDescent="0.2">
      <c r="A459" s="489"/>
      <c r="B459" s="44"/>
      <c r="C459" s="44"/>
      <c r="D459" s="44"/>
      <c r="E459" s="44"/>
      <c r="F459" s="44"/>
      <c r="G459" s="44"/>
      <c r="H459" s="189"/>
      <c r="I459" s="44"/>
      <c r="J459" s="44"/>
    </row>
    <row r="460" spans="1:10" ht="15" x14ac:dyDescent="0.2">
      <c r="A460" s="54" t="str">
        <f>'PLANILHA ORÇAMENTÁRIA'!A128</f>
        <v>13.8</v>
      </c>
      <c r="B460" s="493" t="str">
        <f>'PLANILHA ORÇAMENTÁRIA'!D128</f>
        <v>PADRAO DE ENTRADA DE ENERGIA - NORTEC-01 - ESCELSA</v>
      </c>
      <c r="C460" s="493"/>
      <c r="D460" s="493"/>
      <c r="E460" s="493"/>
      <c r="F460" s="493"/>
      <c r="G460" s="493"/>
      <c r="H460" s="493"/>
      <c r="I460" s="512"/>
      <c r="J460" s="512"/>
    </row>
    <row r="461" spans="1:10" ht="43.5" customHeight="1" x14ac:dyDescent="0.2">
      <c r="A461" s="46" t="str">
        <f>'PLANILHA ORÇAMENTÁRIA'!A129</f>
        <v>13.8.1</v>
      </c>
      <c r="B461" s="47" t="str">
        <f>'PLANILHA ORÇAMENTÁRIA'!D129</f>
        <v xml:space="preserve"> Padrão de entrada de energia elétrica, monofásico, entrada aérea, a 2 fios, carga instalada em muro de
3500 até 9000W - 220/127V</v>
      </c>
      <c r="C461" s="48" t="s">
        <v>67</v>
      </c>
      <c r="D461" s="49" t="s">
        <v>399</v>
      </c>
      <c r="E461" s="49" t="s">
        <v>400</v>
      </c>
      <c r="F461" s="49" t="s">
        <v>401</v>
      </c>
      <c r="G461" s="49" t="s">
        <v>402</v>
      </c>
      <c r="H461" s="49" t="s">
        <v>403</v>
      </c>
      <c r="I461" s="49" t="s">
        <v>404</v>
      </c>
      <c r="J461" s="40" t="s">
        <v>405</v>
      </c>
    </row>
    <row r="462" spans="1:10" x14ac:dyDescent="0.2">
      <c r="A462" s="494"/>
      <c r="B462" s="44"/>
      <c r="C462" s="46">
        <v>1</v>
      </c>
      <c r="D462" s="46"/>
      <c r="E462" s="46"/>
      <c r="F462" s="46"/>
      <c r="G462" s="46"/>
      <c r="H462" s="46"/>
      <c r="I462" s="46"/>
      <c r="J462" s="46">
        <f>C462</f>
        <v>1</v>
      </c>
    </row>
    <row r="463" spans="1:10" ht="15" x14ac:dyDescent="0.2">
      <c r="A463" s="495"/>
      <c r="B463" s="47"/>
      <c r="C463" s="48"/>
      <c r="D463" s="49"/>
      <c r="E463" s="49"/>
      <c r="F463" s="49"/>
      <c r="G463" s="49"/>
      <c r="H463" s="49"/>
      <c r="I463" s="57" t="s">
        <v>408</v>
      </c>
      <c r="J463" s="58">
        <f>SUM(J461:J462)</f>
        <v>1</v>
      </c>
    </row>
    <row r="464" spans="1:10" ht="15" x14ac:dyDescent="0.2">
      <c r="A464" s="499"/>
      <c r="B464" s="47"/>
      <c r="C464" s="48"/>
      <c r="D464" s="49"/>
      <c r="E464" s="49"/>
      <c r="F464" s="49"/>
      <c r="G464" s="49"/>
      <c r="H464" s="49"/>
      <c r="I464" s="57"/>
      <c r="J464" s="58"/>
    </row>
    <row r="465" spans="1:10" ht="15" x14ac:dyDescent="0.2">
      <c r="A465" s="54" t="str">
        <f>'PLANILHA ORÇAMENTÁRIA'!A130</f>
        <v>13.9</v>
      </c>
      <c r="B465" s="493" t="str">
        <f>'PLANILHA ORÇAMENTÁRIA'!D130</f>
        <v>PONTOS ELETRICOS REVISAO NR-10</v>
      </c>
      <c r="C465" s="493"/>
      <c r="D465" s="493"/>
      <c r="E465" s="493"/>
      <c r="F465" s="493"/>
      <c r="G465" s="493"/>
      <c r="H465" s="493"/>
      <c r="I465" s="512"/>
      <c r="J465" s="512"/>
    </row>
    <row r="466" spans="1:10" ht="46.5" customHeight="1" x14ac:dyDescent="0.2">
      <c r="A466" s="46" t="str">
        <f>'PLANILHA ORÇAMENTÁRIA'!A131</f>
        <v>13.9.1</v>
      </c>
      <c r="B466" s="47" t="str">
        <f>'PLANILHA ORÇAMENTÁRIA'!D131</f>
        <v>Ponto padrão de luz no teto - considerando eletroduto PVC rígido de 3/4" inclusive conexões (4.5m), fio
isolado PVC de 2.5mm2 (16.2m) e caixa PVC 4x4" (1 und)</v>
      </c>
      <c r="C466" s="48" t="str">
        <f>'PLANILHA ORÇAMENTÁRIA'!E131</f>
        <v xml:space="preserve">und </v>
      </c>
      <c r="D466" s="49" t="s">
        <v>399</v>
      </c>
      <c r="E466" s="49" t="s">
        <v>400</v>
      </c>
      <c r="F466" s="49" t="s">
        <v>401</v>
      </c>
      <c r="G466" s="49" t="s">
        <v>402</v>
      </c>
      <c r="H466" s="49" t="s">
        <v>403</v>
      </c>
      <c r="I466" s="49" t="s">
        <v>404</v>
      </c>
      <c r="J466" s="40" t="s">
        <v>405</v>
      </c>
    </row>
    <row r="467" spans="1:10" x14ac:dyDescent="0.2">
      <c r="A467" s="494"/>
      <c r="B467" s="45" t="s">
        <v>510</v>
      </c>
      <c r="C467" s="46">
        <v>1</v>
      </c>
      <c r="D467" s="46"/>
      <c r="E467" s="46"/>
      <c r="F467" s="46"/>
      <c r="G467" s="46"/>
      <c r="H467" s="46"/>
      <c r="I467" s="46"/>
      <c r="J467" s="46">
        <f>C467</f>
        <v>1</v>
      </c>
    </row>
    <row r="468" spans="1:10" ht="15" x14ac:dyDescent="0.2">
      <c r="A468" s="495"/>
      <c r="B468" s="47"/>
      <c r="C468" s="48"/>
      <c r="D468" s="49"/>
      <c r="E468" s="49"/>
      <c r="F468" s="49"/>
      <c r="G468" s="49"/>
      <c r="H468" s="49"/>
      <c r="I468" s="57" t="s">
        <v>408</v>
      </c>
      <c r="J468" s="58">
        <f>SUM(J466:J467)</f>
        <v>1</v>
      </c>
    </row>
    <row r="469" spans="1:10" ht="15" x14ac:dyDescent="0.2">
      <c r="A469" s="499"/>
      <c r="B469" s="47"/>
      <c r="C469" s="48"/>
      <c r="D469" s="49"/>
      <c r="E469" s="49"/>
      <c r="F469" s="49"/>
      <c r="G469" s="49"/>
      <c r="H469" s="49"/>
      <c r="I469" s="57"/>
      <c r="J469" s="58"/>
    </row>
    <row r="470" spans="1:10" ht="46.5" customHeight="1" x14ac:dyDescent="0.2">
      <c r="A470" s="46" t="str">
        <f>'PLANILHA ORÇAMENTÁRIA'!A132</f>
        <v>13.9.2</v>
      </c>
      <c r="B470" s="47" t="str">
        <f>'PLANILHA ORÇAMENTÁRIA'!D132</f>
        <v>Ponto padrão de tomada 2 pólos mais terra - considerando eletroduto PVC rígido de 3/4" inclusive conexões
(5.0m), fio isolado PVC de 2.5mm2 (16.5m) e caixa pvc 4x2" (1 und)</v>
      </c>
      <c r="C470" s="48" t="str">
        <f>'PLANILHA ORÇAMENTÁRIA'!E132</f>
        <v xml:space="preserve">und </v>
      </c>
      <c r="D470" s="49" t="s">
        <v>399</v>
      </c>
      <c r="E470" s="49" t="s">
        <v>400</v>
      </c>
      <c r="F470" s="49" t="s">
        <v>401</v>
      </c>
      <c r="G470" s="49" t="s">
        <v>402</v>
      </c>
      <c r="H470" s="49" t="s">
        <v>403</v>
      </c>
      <c r="I470" s="49" t="s">
        <v>404</v>
      </c>
      <c r="J470" s="40" t="s">
        <v>405</v>
      </c>
    </row>
    <row r="471" spans="1:10" x14ac:dyDescent="0.2">
      <c r="A471" s="494"/>
      <c r="B471" s="45" t="s">
        <v>510</v>
      </c>
      <c r="C471" s="46">
        <v>2</v>
      </c>
      <c r="D471" s="46"/>
      <c r="E471" s="46"/>
      <c r="F471" s="46"/>
      <c r="G471" s="46"/>
      <c r="H471" s="46"/>
      <c r="I471" s="46"/>
      <c r="J471" s="46">
        <f>C471</f>
        <v>2</v>
      </c>
    </row>
    <row r="472" spans="1:10" ht="15" x14ac:dyDescent="0.2">
      <c r="A472" s="495"/>
      <c r="B472" s="47"/>
      <c r="C472" s="48"/>
      <c r="D472" s="49"/>
      <c r="E472" s="49"/>
      <c r="F472" s="49"/>
      <c r="G472" s="49"/>
      <c r="H472" s="49"/>
      <c r="I472" s="57" t="s">
        <v>408</v>
      </c>
      <c r="J472" s="58">
        <f>SUM(J470:J471)</f>
        <v>2</v>
      </c>
    </row>
    <row r="473" spans="1:10" ht="15" x14ac:dyDescent="0.2">
      <c r="A473" s="495"/>
      <c r="B473" s="47"/>
      <c r="C473" s="48"/>
      <c r="D473" s="49"/>
      <c r="E473" s="49"/>
      <c r="F473" s="49"/>
      <c r="G473" s="49"/>
      <c r="H473" s="49"/>
      <c r="I473" s="57"/>
      <c r="J473" s="58"/>
    </row>
    <row r="474" spans="1:10" ht="15" x14ac:dyDescent="0.2">
      <c r="A474" s="499"/>
      <c r="B474" s="47"/>
      <c r="C474" s="48"/>
      <c r="D474" s="49"/>
      <c r="E474" s="49"/>
      <c r="F474" s="49"/>
      <c r="G474" s="49"/>
      <c r="H474" s="49"/>
      <c r="I474" s="57"/>
      <c r="J474" s="58"/>
    </row>
    <row r="475" spans="1:10" ht="64.5" customHeight="1" x14ac:dyDescent="0.2">
      <c r="A475" s="46" t="str">
        <f>'PLANILHA ORÇAMENTÁRIA'!A133</f>
        <v>13.9.3</v>
      </c>
      <c r="B475" s="47" t="str">
        <f>'PLANILHA ORÇAMENTÁRIA'!D133</f>
        <v>Ponto padrão de interruptor de 1 tecla simples e 1 tomada dois pólos mais terra 10A/250V - considerando
eletroduto PVC rígido de 3/4" inclusive conexões (4.5m), fio isolado PVC de 2.5mm2 (19.4m) e caixa PVC
4x2" (1 und)</v>
      </c>
      <c r="C475" s="48" t="str">
        <f>'PLANILHA ORÇAMENTÁRIA'!E133</f>
        <v xml:space="preserve">und </v>
      </c>
      <c r="D475" s="49" t="s">
        <v>399</v>
      </c>
      <c r="E475" s="49" t="s">
        <v>400</v>
      </c>
      <c r="F475" s="49" t="s">
        <v>401</v>
      </c>
      <c r="G475" s="49" t="s">
        <v>402</v>
      </c>
      <c r="H475" s="49" t="s">
        <v>403</v>
      </c>
      <c r="I475" s="49" t="s">
        <v>404</v>
      </c>
      <c r="J475" s="40" t="s">
        <v>405</v>
      </c>
    </row>
    <row r="476" spans="1:10" x14ac:dyDescent="0.2">
      <c r="A476" s="494"/>
      <c r="B476" s="45" t="s">
        <v>499</v>
      </c>
      <c r="C476" s="46">
        <v>1</v>
      </c>
      <c r="D476" s="46"/>
      <c r="E476" s="46"/>
      <c r="F476" s="46"/>
      <c r="G476" s="46"/>
      <c r="H476" s="46"/>
      <c r="I476" s="46"/>
      <c r="J476" s="46">
        <f>C476</f>
        <v>1</v>
      </c>
    </row>
    <row r="477" spans="1:10" ht="15" x14ac:dyDescent="0.2">
      <c r="A477" s="495"/>
      <c r="B477" s="63" t="s">
        <v>500</v>
      </c>
      <c r="C477" s="46">
        <v>1</v>
      </c>
      <c r="D477" s="49"/>
      <c r="E477" s="49"/>
      <c r="F477" s="49"/>
      <c r="G477" s="49"/>
      <c r="H477" s="49"/>
      <c r="J477" s="46">
        <f t="shared" ref="J477" si="18">C477</f>
        <v>1</v>
      </c>
    </row>
    <row r="478" spans="1:10" ht="15" x14ac:dyDescent="0.2">
      <c r="A478" s="495"/>
      <c r="B478" s="63"/>
      <c r="C478" s="48"/>
      <c r="D478" s="49"/>
      <c r="E478" s="49"/>
      <c r="F478" s="49"/>
      <c r="G478" s="49"/>
      <c r="H478" s="49"/>
      <c r="I478" s="57" t="s">
        <v>408</v>
      </c>
      <c r="J478" s="58">
        <f>SUM(J476:J477)</f>
        <v>2</v>
      </c>
    </row>
    <row r="479" spans="1:10" ht="15" x14ac:dyDescent="0.2">
      <c r="A479" s="499"/>
      <c r="B479" s="47"/>
      <c r="C479" s="48"/>
      <c r="D479" s="49"/>
      <c r="E479" s="49"/>
      <c r="F479" s="49"/>
      <c r="G479" s="49"/>
      <c r="H479" s="49"/>
      <c r="I479" s="57"/>
      <c r="J479" s="58"/>
    </row>
    <row r="480" spans="1:10" ht="64.5" customHeight="1" x14ac:dyDescent="0.2">
      <c r="A480" s="46" t="str">
        <f>'PLANILHA ORÇAMENTÁRIA'!A134</f>
        <v>13.9.4</v>
      </c>
      <c r="B480" s="47" t="str">
        <f>'PLANILHA ORÇAMENTÁRIA'!D134</f>
        <v>Ponto padrão de interruptor de 1 tecla intermediário - considerando eletroduto PVC rígido de 3/4" inclusive
conexões (3.3m), fio isolado PVC de 2.5mm2 (15.8m) e caixa PVC 4x2" (1 und)</v>
      </c>
      <c r="C480" s="48" t="str">
        <f>'PLANILHA ORÇAMENTÁRIA'!E134</f>
        <v xml:space="preserve">und </v>
      </c>
      <c r="D480" s="49" t="s">
        <v>399</v>
      </c>
      <c r="E480" s="49" t="s">
        <v>400</v>
      </c>
      <c r="F480" s="49" t="s">
        <v>401</v>
      </c>
      <c r="G480" s="49" t="s">
        <v>402</v>
      </c>
      <c r="H480" s="49" t="s">
        <v>403</v>
      </c>
      <c r="I480" s="49" t="s">
        <v>404</v>
      </c>
      <c r="J480" s="40" t="s">
        <v>405</v>
      </c>
    </row>
    <row r="481" spans="1:10" x14ac:dyDescent="0.2">
      <c r="A481" s="494"/>
      <c r="B481" s="45" t="s">
        <v>510</v>
      </c>
      <c r="C481" s="46">
        <v>1</v>
      </c>
      <c r="D481" s="46"/>
      <c r="E481" s="46"/>
      <c r="F481" s="46"/>
      <c r="G481" s="46"/>
      <c r="H481" s="46"/>
      <c r="I481" s="46"/>
      <c r="J481" s="46">
        <f>C481</f>
        <v>1</v>
      </c>
    </row>
    <row r="482" spans="1:10" ht="15" x14ac:dyDescent="0.2">
      <c r="A482" s="495"/>
      <c r="B482" s="47"/>
      <c r="C482" s="48"/>
      <c r="D482" s="49"/>
      <c r="E482" s="49"/>
      <c r="F482" s="49"/>
      <c r="G482" s="49"/>
      <c r="H482" s="49"/>
      <c r="I482" s="57" t="s">
        <v>408</v>
      </c>
      <c r="J482" s="58">
        <f>SUM(J480:J481)</f>
        <v>1</v>
      </c>
    </row>
    <row r="483" spans="1:10" x14ac:dyDescent="0.2">
      <c r="A483" s="499"/>
      <c r="B483" s="44"/>
      <c r="C483" s="44"/>
      <c r="D483" s="44"/>
      <c r="E483" s="44"/>
      <c r="F483" s="44"/>
      <c r="G483" s="44"/>
      <c r="H483" s="44"/>
      <c r="I483" s="44"/>
      <c r="J483" s="44"/>
    </row>
    <row r="484" spans="1:10" ht="15" x14ac:dyDescent="0.2">
      <c r="A484" s="33">
        <f>'PLANILHA ORÇAMENTÁRIA'!A136</f>
        <v>14</v>
      </c>
      <c r="B484" s="51" t="str">
        <f>'PLANILHA ORÇAMENTÁRIA'!D136</f>
        <v>APARELHOS HIDRO-SANITÁRIOS</v>
      </c>
      <c r="C484" s="52"/>
      <c r="D484" s="53"/>
      <c r="E484" s="53"/>
      <c r="F484" s="53"/>
      <c r="G484" s="53"/>
      <c r="H484" s="53"/>
      <c r="I484" s="53"/>
      <c r="J484" s="53"/>
    </row>
    <row r="485" spans="1:10" ht="15" x14ac:dyDescent="0.2">
      <c r="A485" s="265" t="str">
        <f>'PLANILHA ORÇAMENTÁRIA'!A137</f>
        <v>14.1</v>
      </c>
      <c r="B485" s="493" t="str">
        <f>'PLANILHA ORÇAMENTÁRIA'!D137</f>
        <v>LOUÇAS</v>
      </c>
      <c r="C485" s="493"/>
      <c r="D485" s="493"/>
      <c r="E485" s="493"/>
      <c r="F485" s="493"/>
      <c r="G485" s="493"/>
      <c r="H485" s="493"/>
      <c r="I485" s="493"/>
      <c r="J485" s="493"/>
    </row>
    <row r="486" spans="1:10" ht="73.5" customHeight="1" x14ac:dyDescent="0.2">
      <c r="A486" s="260" t="str">
        <f>'PLANILHA ORÇAMENTÁRIA'!A138</f>
        <v>14.1.1</v>
      </c>
      <c r="B486" s="107" t="str">
        <f>'PLANILHA ORÇAMENTÁRIA'!D138</f>
        <v>Bacia sifonada de louça branca sem abertura frontal para portadores de necessidades especiais, Vogue Plus Conforto - Linha Conforto, mod P510, incl. assento poliester, ref.AP51,marca de ref. Deca ou equivalente, sem abertura frontal</v>
      </c>
      <c r="C486" s="48" t="s">
        <v>29</v>
      </c>
      <c r="D486" s="49" t="s">
        <v>399</v>
      </c>
      <c r="E486" s="49" t="s">
        <v>400</v>
      </c>
      <c r="F486" s="49" t="s">
        <v>401</v>
      </c>
      <c r="G486" s="49" t="s">
        <v>402</v>
      </c>
      <c r="H486" s="49" t="s">
        <v>403</v>
      </c>
      <c r="I486" s="49" t="s">
        <v>404</v>
      </c>
      <c r="J486" s="40" t="s">
        <v>405</v>
      </c>
    </row>
    <row r="487" spans="1:10" x14ac:dyDescent="0.2">
      <c r="A487" s="502"/>
      <c r="B487" s="266" t="s">
        <v>499</v>
      </c>
      <c r="C487" s="46"/>
      <c r="D487" s="46">
        <v>1</v>
      </c>
      <c r="E487" s="46"/>
      <c r="F487" s="46"/>
      <c r="G487" s="46"/>
      <c r="H487" s="46"/>
      <c r="I487" s="46"/>
      <c r="J487" s="46">
        <f>D487</f>
        <v>1</v>
      </c>
    </row>
    <row r="488" spans="1:10" x14ac:dyDescent="0.2">
      <c r="A488" s="502"/>
      <c r="B488" s="267" t="s">
        <v>500</v>
      </c>
      <c r="C488" s="46"/>
      <c r="D488" s="46">
        <v>1</v>
      </c>
      <c r="E488" s="46"/>
      <c r="F488" s="46"/>
      <c r="G488" s="46"/>
      <c r="H488" s="46"/>
      <c r="I488" s="46"/>
      <c r="J488" s="46">
        <f>D488</f>
        <v>1</v>
      </c>
    </row>
    <row r="489" spans="1:10" x14ac:dyDescent="0.2">
      <c r="A489" s="502"/>
      <c r="B489" s="267"/>
      <c r="C489" s="44"/>
      <c r="D489" s="44"/>
      <c r="E489" s="44"/>
      <c r="F489" s="44"/>
      <c r="G489" s="44"/>
      <c r="H489" s="44"/>
      <c r="I489" s="57" t="s">
        <v>408</v>
      </c>
      <c r="J489" s="58">
        <f>SUM(J487:J488)</f>
        <v>2</v>
      </c>
    </row>
    <row r="490" spans="1:10" x14ac:dyDescent="0.2">
      <c r="A490" s="502"/>
      <c r="B490" s="105"/>
      <c r="C490" s="44"/>
      <c r="D490" s="44"/>
      <c r="E490" s="44"/>
      <c r="F490" s="44"/>
      <c r="G490" s="44"/>
      <c r="H490" s="44"/>
      <c r="I490" s="44"/>
      <c r="J490" s="44"/>
    </row>
    <row r="491" spans="1:10" ht="49.5" customHeight="1" x14ac:dyDescent="0.2">
      <c r="A491" s="261" t="str">
        <f>'PLANILHA ORÇAMENTÁRIA'!A139</f>
        <v>14.1.2</v>
      </c>
      <c r="B491" s="47" t="str">
        <f>'PLANILHA ORÇAMENTÁRIA'!D139</f>
        <v>Lavátorio de canto Coleção Master - ref. L76 marca de ref. Deca ou equivalente, inclusive válvula, sifão e engates cromados, exclusive torneira,para PNE</v>
      </c>
      <c r="C491" s="48" t="s">
        <v>29</v>
      </c>
      <c r="D491" s="49" t="s">
        <v>399</v>
      </c>
      <c r="E491" s="49" t="s">
        <v>400</v>
      </c>
      <c r="F491" s="49" t="s">
        <v>401</v>
      </c>
      <c r="G491" s="49" t="s">
        <v>402</v>
      </c>
      <c r="H491" s="49" t="s">
        <v>403</v>
      </c>
      <c r="I491" s="49" t="s">
        <v>404</v>
      </c>
      <c r="J491" s="40" t="s">
        <v>405</v>
      </c>
    </row>
    <row r="492" spans="1:10" x14ac:dyDescent="0.2">
      <c r="A492" s="502"/>
      <c r="B492" s="45" t="s">
        <v>499</v>
      </c>
      <c r="C492" s="46"/>
      <c r="D492" s="46">
        <v>1</v>
      </c>
      <c r="E492" s="46"/>
      <c r="F492" s="46"/>
      <c r="G492" s="46"/>
      <c r="H492" s="46"/>
      <c r="I492" s="46"/>
      <c r="J492" s="46">
        <f>D492</f>
        <v>1</v>
      </c>
    </row>
    <row r="493" spans="1:10" x14ac:dyDescent="0.2">
      <c r="A493" s="502"/>
      <c r="B493" s="63" t="s">
        <v>500</v>
      </c>
      <c r="C493" s="46"/>
      <c r="D493" s="46">
        <v>1</v>
      </c>
      <c r="E493" s="46"/>
      <c r="F493" s="46"/>
      <c r="G493" s="46"/>
      <c r="H493" s="46"/>
      <c r="I493" s="46"/>
      <c r="J493" s="46">
        <f>D493</f>
        <v>1</v>
      </c>
    </row>
    <row r="494" spans="1:10" x14ac:dyDescent="0.2">
      <c r="A494" s="502"/>
      <c r="B494" s="63"/>
      <c r="C494" s="44"/>
      <c r="D494" s="44"/>
      <c r="E494" s="44"/>
      <c r="F494" s="44"/>
      <c r="G494" s="44"/>
      <c r="H494" s="44"/>
      <c r="I494" s="57" t="s">
        <v>408</v>
      </c>
      <c r="J494" s="58">
        <f>SUM(J492:J493)</f>
        <v>2</v>
      </c>
    </row>
    <row r="495" spans="1:10" x14ac:dyDescent="0.2">
      <c r="A495" s="502"/>
      <c r="B495" s="44"/>
      <c r="C495" s="44"/>
      <c r="D495" s="44"/>
      <c r="E495" s="44"/>
      <c r="F495" s="44"/>
      <c r="G495" s="44"/>
      <c r="H495" s="44"/>
      <c r="I495" s="44"/>
      <c r="J495" s="44"/>
    </row>
    <row r="496" spans="1:10" ht="15" x14ac:dyDescent="0.2">
      <c r="A496" s="54" t="str">
        <f>'PLANILHA ORÇAMENTÁRIA'!A140</f>
        <v>14.2</v>
      </c>
      <c r="B496" s="493" t="str">
        <f>'PLANILHA ORÇAMENTÁRIA'!D140</f>
        <v>TORNEIRAS, REGISTROS, VÁLVULAS E METAIS</v>
      </c>
      <c r="C496" s="493"/>
      <c r="D496" s="493"/>
      <c r="E496" s="493"/>
      <c r="F496" s="493"/>
      <c r="G496" s="493"/>
      <c r="H496" s="493"/>
      <c r="I496" s="493"/>
      <c r="J496" s="493"/>
    </row>
    <row r="497" spans="1:16" ht="30" x14ac:dyDescent="0.2">
      <c r="A497" s="46" t="str">
        <f>'PLANILHA ORÇAMENTÁRIA'!A141</f>
        <v>14.2.1</v>
      </c>
      <c r="B497" s="47" t="str">
        <f>'PLANILHA ORÇAMENTÁRIA'!D141</f>
        <v>Torneira pressão cromada diâm. 1/2" para lavatório, marcas de referência Fabrimar, Deca ou Docol</v>
      </c>
      <c r="C497" s="48" t="s">
        <v>29</v>
      </c>
      <c r="D497" s="49" t="s">
        <v>399</v>
      </c>
      <c r="E497" s="49" t="s">
        <v>400</v>
      </c>
      <c r="F497" s="49" t="s">
        <v>401</v>
      </c>
      <c r="G497" s="49" t="s">
        <v>402</v>
      </c>
      <c r="H497" s="49" t="s">
        <v>403</v>
      </c>
      <c r="I497" s="49" t="s">
        <v>404</v>
      </c>
      <c r="J497" s="40" t="s">
        <v>405</v>
      </c>
      <c r="P497" s="34" t="s">
        <v>454</v>
      </c>
    </row>
    <row r="498" spans="1:16" x14ac:dyDescent="0.2">
      <c r="A498" s="502"/>
      <c r="B498" s="45" t="s">
        <v>499</v>
      </c>
      <c r="C498" s="46"/>
      <c r="D498" s="46">
        <v>1</v>
      </c>
      <c r="E498" s="46"/>
      <c r="F498" s="46"/>
      <c r="G498" s="46"/>
      <c r="H498" s="46"/>
      <c r="I498" s="46"/>
      <c r="J498" s="46">
        <f>D498</f>
        <v>1</v>
      </c>
    </row>
    <row r="499" spans="1:16" x14ac:dyDescent="0.2">
      <c r="A499" s="502"/>
      <c r="B499" s="63" t="s">
        <v>500</v>
      </c>
      <c r="C499" s="46"/>
      <c r="D499" s="46">
        <v>1</v>
      </c>
      <c r="E499" s="46"/>
      <c r="F499" s="46"/>
      <c r="G499" s="46"/>
      <c r="H499" s="46"/>
      <c r="I499" s="46"/>
      <c r="J499" s="46">
        <f>D499</f>
        <v>1</v>
      </c>
    </row>
    <row r="500" spans="1:16" x14ac:dyDescent="0.2">
      <c r="A500" s="502"/>
      <c r="B500" s="63"/>
      <c r="C500" s="44"/>
      <c r="D500" s="44"/>
      <c r="E500" s="44"/>
      <c r="F500" s="44"/>
      <c r="G500" s="44"/>
      <c r="H500" s="44"/>
      <c r="I500" s="57" t="s">
        <v>408</v>
      </c>
      <c r="J500" s="58">
        <f>SUM(J498:J499)</f>
        <v>2</v>
      </c>
    </row>
    <row r="501" spans="1:16" x14ac:dyDescent="0.2">
      <c r="A501" s="502"/>
      <c r="B501" s="44"/>
      <c r="C501" s="44"/>
      <c r="D501" s="44"/>
      <c r="E501" s="44"/>
      <c r="F501" s="44"/>
      <c r="G501" s="44"/>
      <c r="H501" s="44"/>
      <c r="I501" s="44"/>
      <c r="J501" s="44"/>
    </row>
    <row r="502" spans="1:16" ht="15" x14ac:dyDescent="0.2">
      <c r="A502" s="33">
        <f>'PLANILHA ORÇAMENTÁRIA'!A143</f>
        <v>15</v>
      </c>
      <c r="B502" s="51" t="str">
        <f>'PLANILHA ORÇAMENTÁRIA'!D143</f>
        <v>APARELHOS ELÉTRICOS</v>
      </c>
      <c r="C502" s="52"/>
      <c r="D502" s="53"/>
      <c r="E502" s="53"/>
      <c r="F502" s="53"/>
      <c r="G502" s="53"/>
      <c r="H502" s="53"/>
      <c r="I502" s="53"/>
      <c r="J502" s="53"/>
    </row>
    <row r="503" spans="1:16" ht="27.75" customHeight="1" x14ac:dyDescent="0.2">
      <c r="A503" s="54" t="str">
        <f>'PLANILHA ORÇAMENTÁRIA'!A144</f>
        <v>15.1</v>
      </c>
      <c r="B503" s="493" t="str">
        <f>'PLANILHA ORÇAMENTÁRIA'!D144</f>
        <v>INTERRUPTORES E TOMADAS</v>
      </c>
      <c r="C503" s="493"/>
      <c r="D503" s="493"/>
      <c r="E503" s="493"/>
      <c r="F503" s="493"/>
      <c r="G503" s="493"/>
      <c r="H503" s="493"/>
      <c r="I503" s="493"/>
      <c r="J503" s="493"/>
    </row>
    <row r="504" spans="1:16" ht="30" x14ac:dyDescent="0.2">
      <c r="A504" s="46" t="str">
        <f>'PLANILHA ORÇAMENTÁRIA'!A145</f>
        <v>15.1.1</v>
      </c>
      <c r="B504" s="47" t="str">
        <f>'PLANILHA ORÇAMENTÁRIA'!D145</f>
        <v xml:space="preserve">Tomada padrão brasileiro linha branca, NBR 14136 2 polos + terra 10A/250V, com placa 4x2" </v>
      </c>
      <c r="C504" s="48" t="s">
        <v>29</v>
      </c>
      <c r="D504" s="40" t="s">
        <v>399</v>
      </c>
      <c r="E504" s="40" t="s">
        <v>400</v>
      </c>
      <c r="F504" s="40" t="s">
        <v>401</v>
      </c>
      <c r="G504" s="40" t="s">
        <v>402</v>
      </c>
      <c r="H504" s="40" t="s">
        <v>403</v>
      </c>
      <c r="I504" s="40" t="s">
        <v>404</v>
      </c>
      <c r="J504" s="40" t="s">
        <v>405</v>
      </c>
    </row>
    <row r="505" spans="1:16" x14ac:dyDescent="0.2">
      <c r="A505" s="502"/>
      <c r="B505" s="45" t="s">
        <v>519</v>
      </c>
      <c r="C505" s="44"/>
      <c r="D505" s="46">
        <v>4</v>
      </c>
      <c r="E505" s="46"/>
      <c r="F505" s="46"/>
      <c r="G505" s="46"/>
      <c r="H505" s="46"/>
      <c r="I505" s="46"/>
      <c r="J505" s="46">
        <f>D505</f>
        <v>4</v>
      </c>
    </row>
    <row r="506" spans="1:16" x14ac:dyDescent="0.2">
      <c r="A506" s="502"/>
      <c r="B506" s="45" t="s">
        <v>412</v>
      </c>
      <c r="C506" s="44"/>
      <c r="D506" s="46">
        <v>4</v>
      </c>
      <c r="E506" s="46"/>
      <c r="F506" s="46"/>
      <c r="G506" s="46"/>
      <c r="H506" s="46"/>
      <c r="I506" s="46"/>
      <c r="J506" s="46">
        <f t="shared" ref="J506:J508" si="19">D506</f>
        <v>4</v>
      </c>
    </row>
    <row r="507" spans="1:16" x14ac:dyDescent="0.2">
      <c r="A507" s="502"/>
      <c r="B507" s="45" t="s">
        <v>510</v>
      </c>
      <c r="C507" s="44"/>
      <c r="D507" s="46">
        <v>2</v>
      </c>
      <c r="E507" s="46"/>
      <c r="F507" s="46"/>
      <c r="G507" s="46"/>
      <c r="H507" s="46"/>
      <c r="I507" s="46"/>
      <c r="J507" s="46">
        <f t="shared" si="19"/>
        <v>2</v>
      </c>
    </row>
    <row r="508" spans="1:16" x14ac:dyDescent="0.2">
      <c r="A508" s="502"/>
      <c r="B508" s="45" t="s">
        <v>520</v>
      </c>
      <c r="C508" s="44"/>
      <c r="D508" s="46">
        <v>1</v>
      </c>
      <c r="E508" s="46"/>
      <c r="F508" s="46"/>
      <c r="G508" s="46"/>
      <c r="H508" s="46"/>
      <c r="I508" s="46"/>
      <c r="J508" s="46">
        <f t="shared" si="19"/>
        <v>1</v>
      </c>
    </row>
    <row r="509" spans="1:16" x14ac:dyDescent="0.2">
      <c r="A509" s="502"/>
      <c r="B509" s="44"/>
      <c r="C509" s="44"/>
      <c r="D509" s="44"/>
      <c r="E509" s="44"/>
      <c r="F509" s="44"/>
      <c r="G509" s="44"/>
      <c r="H509" s="44"/>
      <c r="I509" s="57" t="s">
        <v>408</v>
      </c>
      <c r="J509" s="58">
        <f>SUM(J505:J508)</f>
        <v>11</v>
      </c>
    </row>
    <row r="510" spans="1:16" x14ac:dyDescent="0.2">
      <c r="A510" s="487"/>
      <c r="B510" s="44"/>
      <c r="C510" s="44"/>
      <c r="D510" s="44"/>
      <c r="E510" s="44"/>
      <c r="F510" s="44"/>
      <c r="G510" s="44"/>
      <c r="H510" s="44"/>
      <c r="I510" s="44"/>
      <c r="J510" s="44"/>
    </row>
    <row r="511" spans="1:16" ht="30" x14ac:dyDescent="0.2">
      <c r="A511" s="46" t="str">
        <f>'PLANILHA ORÇAMENTÁRIA'!A146</f>
        <v>15.1.2</v>
      </c>
      <c r="B511" s="47" t="str">
        <f>'PLANILHA ORÇAMENTÁRIA'!D146</f>
        <v xml:space="preserve">Interruptor de uma tecla simples 10A/250V, com placa 4x2" </v>
      </c>
      <c r="C511" s="48" t="s">
        <v>29</v>
      </c>
      <c r="D511" s="40" t="s">
        <v>399</v>
      </c>
      <c r="E511" s="40" t="s">
        <v>400</v>
      </c>
      <c r="F511" s="40" t="s">
        <v>401</v>
      </c>
      <c r="G511" s="40" t="s">
        <v>402</v>
      </c>
      <c r="H511" s="40" t="s">
        <v>403</v>
      </c>
      <c r="I511" s="40" t="s">
        <v>404</v>
      </c>
      <c r="J511" s="40" t="s">
        <v>405</v>
      </c>
    </row>
    <row r="512" spans="1:16" x14ac:dyDescent="0.2">
      <c r="A512" s="487"/>
      <c r="B512" s="45" t="s">
        <v>412</v>
      </c>
      <c r="C512" s="44"/>
      <c r="D512" s="41">
        <v>1</v>
      </c>
      <c r="E512" s="41"/>
      <c r="F512" s="41"/>
      <c r="G512" s="41"/>
      <c r="H512" s="41"/>
      <c r="I512" s="41"/>
      <c r="J512" s="41">
        <f>D512</f>
        <v>1</v>
      </c>
    </row>
    <row r="513" spans="1:10" x14ac:dyDescent="0.2">
      <c r="A513" s="488"/>
      <c r="B513" s="45" t="s">
        <v>510</v>
      </c>
      <c r="C513" s="44"/>
      <c r="D513" s="41">
        <v>1</v>
      </c>
      <c r="E513" s="41"/>
      <c r="F513" s="41"/>
      <c r="G513" s="41"/>
      <c r="H513" s="41"/>
      <c r="I513" s="41"/>
      <c r="J513" s="41">
        <f>D513</f>
        <v>1</v>
      </c>
    </row>
    <row r="514" spans="1:10" x14ac:dyDescent="0.2">
      <c r="A514" s="488"/>
      <c r="B514" s="45" t="s">
        <v>520</v>
      </c>
      <c r="C514" s="44"/>
      <c r="D514" s="41">
        <v>1</v>
      </c>
      <c r="E514" s="41"/>
      <c r="F514" s="41"/>
      <c r="G514" s="41"/>
      <c r="H514" s="41"/>
      <c r="I514" s="41"/>
      <c r="J514" s="41">
        <f>D514</f>
        <v>1</v>
      </c>
    </row>
    <row r="515" spans="1:10" x14ac:dyDescent="0.2">
      <c r="A515" s="488"/>
      <c r="B515" s="45"/>
      <c r="C515" s="44"/>
      <c r="D515" s="44"/>
      <c r="E515" s="44"/>
      <c r="F515" s="44"/>
      <c r="G515" s="44"/>
      <c r="H515" s="44"/>
      <c r="I515" s="57" t="s">
        <v>408</v>
      </c>
      <c r="J515" s="58">
        <f>SUM(J512:J514)</f>
        <v>3</v>
      </c>
    </row>
    <row r="516" spans="1:10" x14ac:dyDescent="0.2">
      <c r="A516" s="489"/>
      <c r="B516" s="45"/>
      <c r="C516" s="44"/>
      <c r="D516" s="44"/>
      <c r="E516" s="44"/>
      <c r="F516" s="44"/>
      <c r="G516" s="44"/>
      <c r="H516" s="44"/>
      <c r="I516" s="57"/>
      <c r="J516" s="58"/>
    </row>
    <row r="517" spans="1:10" ht="50.25" customHeight="1" x14ac:dyDescent="0.2">
      <c r="A517" s="46" t="str">
        <f>'PLANILHA ORÇAMENTÁRIA'!A147</f>
        <v>15.1.3</v>
      </c>
      <c r="B517" s="47" t="str">
        <f>'PLANILHA ORÇAMENTÁRIA'!D147</f>
        <v>Interruptor de uma tecla simples 10A/250V e uma tomada 3 polos 10A/250V, padrão brasileiro, NBR 14136,
linha branca, com placa 4x2"</v>
      </c>
      <c r="C517" s="48" t="s">
        <v>29</v>
      </c>
      <c r="D517" s="40" t="s">
        <v>399</v>
      </c>
      <c r="E517" s="40" t="s">
        <v>400</v>
      </c>
      <c r="F517" s="40" t="s">
        <v>401</v>
      </c>
      <c r="G517" s="40" t="s">
        <v>402</v>
      </c>
      <c r="H517" s="40" t="s">
        <v>403</v>
      </c>
      <c r="I517" s="40" t="s">
        <v>404</v>
      </c>
      <c r="J517" s="40" t="s">
        <v>405</v>
      </c>
    </row>
    <row r="518" spans="1:10" x14ac:dyDescent="0.2">
      <c r="A518" s="487"/>
      <c r="B518" s="45" t="s">
        <v>499</v>
      </c>
      <c r="C518" s="44"/>
      <c r="D518" s="41">
        <v>1</v>
      </c>
      <c r="E518" s="44"/>
      <c r="F518" s="44"/>
      <c r="G518" s="44"/>
      <c r="H518" s="44"/>
      <c r="I518" s="57"/>
      <c r="J518" s="41">
        <f t="shared" ref="J518:J519" si="20">D518</f>
        <v>1</v>
      </c>
    </row>
    <row r="519" spans="1:10" x14ac:dyDescent="0.2">
      <c r="A519" s="488"/>
      <c r="B519" s="45" t="s">
        <v>500</v>
      </c>
      <c r="C519" s="44"/>
      <c r="D519" s="41">
        <v>1</v>
      </c>
      <c r="E519" s="44"/>
      <c r="F519" s="44"/>
      <c r="G519" s="44"/>
      <c r="H519" s="44"/>
      <c r="I519" s="44"/>
      <c r="J519" s="41">
        <f t="shared" si="20"/>
        <v>1</v>
      </c>
    </row>
    <row r="520" spans="1:10" x14ac:dyDescent="0.2">
      <c r="A520" s="488"/>
      <c r="B520" s="45"/>
      <c r="C520" s="44"/>
      <c r="D520" s="44"/>
      <c r="E520" s="44"/>
      <c r="F520" s="44"/>
      <c r="G520" s="44"/>
      <c r="H520" s="44"/>
      <c r="I520" s="57" t="s">
        <v>408</v>
      </c>
      <c r="J520" s="58">
        <f>SUM(J518:J519)</f>
        <v>2</v>
      </c>
    </row>
    <row r="521" spans="1:10" x14ac:dyDescent="0.2">
      <c r="A521" s="489"/>
      <c r="B521" s="44"/>
      <c r="C521" s="44"/>
      <c r="D521" s="44"/>
      <c r="E521" s="44"/>
      <c r="F521" s="44"/>
      <c r="G521" s="44"/>
      <c r="H521" s="44"/>
      <c r="I521" s="57"/>
      <c r="J521" s="58"/>
    </row>
    <row r="522" spans="1:10" ht="15" x14ac:dyDescent="0.2">
      <c r="A522" s="54" t="str">
        <f>'PLANILHA ORÇAMENTÁRIA'!A148</f>
        <v>15.2</v>
      </c>
      <c r="B522" s="517" t="str">
        <f>'PLANILHA ORÇAMENTÁRIA'!D148</f>
        <v>LUMINARIAS PARA LÂMPADAS LED</v>
      </c>
      <c r="C522" s="517"/>
      <c r="D522" s="517"/>
      <c r="E522" s="517"/>
      <c r="F522" s="517"/>
      <c r="G522" s="517"/>
      <c r="H522" s="517"/>
      <c r="I522" s="517"/>
      <c r="J522" s="517"/>
    </row>
    <row r="523" spans="1:10" ht="51.75" customHeight="1" x14ac:dyDescent="0.2">
      <c r="A523" s="46" t="str">
        <f>'PLANILHA ORÇAMENTÁRIA'!A149</f>
        <v>15.2.1</v>
      </c>
      <c r="B523" s="47" t="str">
        <f>'PLANILHA ORÇAMENTÁRIA'!D149</f>
        <v>Luminaria sobrepor compl., corpo ch. aço pintada branca, refletor, aletas parabólicas alum.alta pureza e refletância inclusive 2 lâmpadas LED T8 9W temp. de cor 5000k c/ 60cm - Ref. CS216AL-N - AMES, 663 - LUMAVI OU EQUIVALENTE</v>
      </c>
      <c r="C523" s="48" t="s">
        <v>29</v>
      </c>
      <c r="D523" s="40" t="s">
        <v>399</v>
      </c>
      <c r="E523" s="40" t="s">
        <v>400</v>
      </c>
      <c r="F523" s="40" t="s">
        <v>401</v>
      </c>
      <c r="G523" s="40" t="s">
        <v>402</v>
      </c>
      <c r="H523" s="40" t="s">
        <v>403</v>
      </c>
      <c r="I523" s="40" t="s">
        <v>404</v>
      </c>
      <c r="J523" s="40" t="s">
        <v>405</v>
      </c>
    </row>
    <row r="524" spans="1:10" x14ac:dyDescent="0.2">
      <c r="A524" s="487"/>
      <c r="B524" s="45" t="s">
        <v>412</v>
      </c>
      <c r="C524" s="44"/>
      <c r="D524" s="41">
        <v>2</v>
      </c>
      <c r="E524" s="44"/>
      <c r="F524" s="44"/>
      <c r="G524" s="44"/>
      <c r="H524" s="44"/>
      <c r="I524" s="57"/>
      <c r="J524" s="41">
        <f>D524</f>
        <v>2</v>
      </c>
    </row>
    <row r="525" spans="1:10" x14ac:dyDescent="0.2">
      <c r="A525" s="488"/>
      <c r="B525" s="45" t="s">
        <v>499</v>
      </c>
      <c r="C525" s="44"/>
      <c r="D525" s="41">
        <v>1</v>
      </c>
      <c r="E525" s="44"/>
      <c r="F525" s="44"/>
      <c r="G525" s="44"/>
      <c r="H525" s="44"/>
      <c r="I525" s="57"/>
      <c r="J525" s="41">
        <f t="shared" ref="J525:J527" si="21">D525</f>
        <v>1</v>
      </c>
    </row>
    <row r="526" spans="1:10" x14ac:dyDescent="0.2">
      <c r="A526" s="488"/>
      <c r="B526" s="45" t="s">
        <v>500</v>
      </c>
      <c r="C526" s="44"/>
      <c r="D526" s="41">
        <v>1</v>
      </c>
      <c r="E526" s="44"/>
      <c r="F526" s="44"/>
      <c r="G526" s="44"/>
      <c r="H526" s="44"/>
      <c r="I526" s="44"/>
      <c r="J526" s="41">
        <f t="shared" si="21"/>
        <v>1</v>
      </c>
    </row>
    <row r="527" spans="1:10" x14ac:dyDescent="0.2">
      <c r="A527" s="488"/>
      <c r="B527" s="45" t="s">
        <v>510</v>
      </c>
      <c r="C527" s="44"/>
      <c r="D527" s="41">
        <v>1</v>
      </c>
      <c r="E527" s="44"/>
      <c r="F527" s="44"/>
      <c r="G527" s="44"/>
      <c r="H527" s="44"/>
      <c r="I527" s="44"/>
      <c r="J527" s="41">
        <f t="shared" si="21"/>
        <v>1</v>
      </c>
    </row>
    <row r="528" spans="1:10" x14ac:dyDescent="0.2">
      <c r="A528" s="488"/>
      <c r="B528" s="45" t="s">
        <v>520</v>
      </c>
      <c r="C528" s="44"/>
      <c r="D528" s="41">
        <v>1</v>
      </c>
      <c r="E528" s="44"/>
      <c r="F528" s="44"/>
      <c r="G528" s="44"/>
      <c r="H528" s="44"/>
      <c r="I528" s="44"/>
      <c r="J528" s="41">
        <f>D528</f>
        <v>1</v>
      </c>
    </row>
    <row r="529" spans="1:10" x14ac:dyDescent="0.2">
      <c r="A529" s="489"/>
      <c r="B529" s="44"/>
      <c r="C529" s="44"/>
      <c r="D529" s="44"/>
      <c r="E529" s="44"/>
      <c r="F529" s="44"/>
      <c r="G529" s="44"/>
      <c r="H529" s="44"/>
      <c r="I529" s="57" t="s">
        <v>408</v>
      </c>
      <c r="J529" s="58">
        <f>SUM(J524:J528)</f>
        <v>6</v>
      </c>
    </row>
    <row r="530" spans="1:10" ht="51.75" customHeight="1" x14ac:dyDescent="0.2">
      <c r="A530" s="46" t="str">
        <f>'PLANILHA ORÇAMENTÁRIA'!A150</f>
        <v>15.2.2</v>
      </c>
      <c r="B530" s="47" t="str">
        <f>'PLANILHA ORÇAMENTÁRIA'!D150</f>
        <v>Refletor Led Holofote 100w IP66 Branco Frio Resistente Água</v>
      </c>
      <c r="C530" s="48" t="str">
        <f>'PLANILHA ORÇAMENTÁRIA'!E150</f>
        <v xml:space="preserve">und </v>
      </c>
      <c r="D530" s="40" t="s">
        <v>399</v>
      </c>
      <c r="E530" s="40" t="s">
        <v>400</v>
      </c>
      <c r="F530" s="40" t="s">
        <v>401</v>
      </c>
      <c r="G530" s="40" t="s">
        <v>402</v>
      </c>
      <c r="H530" s="40" t="s">
        <v>403</v>
      </c>
      <c r="I530" s="40" t="s">
        <v>404</v>
      </c>
      <c r="J530" s="40" t="s">
        <v>405</v>
      </c>
    </row>
    <row r="531" spans="1:10" x14ac:dyDescent="0.2">
      <c r="A531" s="487"/>
      <c r="B531" s="44"/>
      <c r="C531" s="41">
        <v>15</v>
      </c>
      <c r="D531" s="44"/>
      <c r="E531" s="44"/>
      <c r="F531" s="44"/>
      <c r="G531" s="44"/>
      <c r="H531" s="44"/>
      <c r="I531" s="44"/>
      <c r="J531" s="41">
        <f>C531</f>
        <v>15</v>
      </c>
    </row>
    <row r="532" spans="1:10" x14ac:dyDescent="0.2">
      <c r="A532" s="488"/>
      <c r="B532" s="44"/>
      <c r="C532" s="44"/>
      <c r="D532" s="44"/>
      <c r="E532" s="44"/>
      <c r="F532" s="44"/>
      <c r="G532" s="44"/>
      <c r="H532" s="44"/>
      <c r="I532" s="57" t="s">
        <v>408</v>
      </c>
      <c r="J532" s="58">
        <f>SUM(J531)</f>
        <v>15</v>
      </c>
    </row>
    <row r="533" spans="1:10" x14ac:dyDescent="0.2">
      <c r="A533" s="489"/>
      <c r="B533" s="44"/>
      <c r="C533" s="44"/>
      <c r="D533" s="44"/>
      <c r="E533" s="44"/>
      <c r="F533" s="44"/>
      <c r="G533" s="44"/>
      <c r="H533" s="44"/>
      <c r="I533" s="57"/>
      <c r="J533" s="58"/>
    </row>
    <row r="534" spans="1:10" ht="15" x14ac:dyDescent="0.2">
      <c r="A534" s="33">
        <f>'PLANILHA ORÇAMENTÁRIA'!A153</f>
        <v>16</v>
      </c>
      <c r="B534" s="51" t="str">
        <f>'PLANILHA ORÇAMENTÁRIA'!D153</f>
        <v>PINTURA</v>
      </c>
      <c r="C534" s="52"/>
      <c r="D534" s="53"/>
      <c r="E534" s="53"/>
      <c r="F534" s="53"/>
      <c r="G534" s="53"/>
      <c r="H534" s="53"/>
      <c r="I534" s="53"/>
      <c r="J534" s="53"/>
    </row>
    <row r="535" spans="1:10" ht="15" x14ac:dyDescent="0.2">
      <c r="A535" s="54" t="str">
        <f>'PLANILHA ORÇAMENTÁRIA'!A154</f>
        <v>16.1</v>
      </c>
      <c r="B535" s="493" t="str">
        <f>'PLANILHA ORÇAMENTÁRIA'!D154</f>
        <v>SOBRE PAREDES E FORROS</v>
      </c>
      <c r="C535" s="493"/>
      <c r="D535" s="493"/>
      <c r="E535" s="493"/>
      <c r="F535" s="493"/>
      <c r="G535" s="493"/>
      <c r="H535" s="493"/>
      <c r="I535" s="493"/>
      <c r="J535" s="493"/>
    </row>
    <row r="536" spans="1:10" ht="47.25" customHeight="1" x14ac:dyDescent="0.2">
      <c r="A536" s="46" t="str">
        <f>'PLANILHA ORÇAMENTÁRIA'!A155</f>
        <v>16.1.1</v>
      </c>
      <c r="B536" s="65" t="str">
        <f>'PLANILHA ORÇAMENTÁRIA'!D155</f>
        <v>Pintura com tinta acrílica, marcas de referência Suvinil, Coral e Metalatex, inclusive selador acrílico, em paredes e forros, a duas demãos</v>
      </c>
      <c r="C536" s="48" t="s">
        <v>29</v>
      </c>
      <c r="D536" s="40" t="s">
        <v>399</v>
      </c>
      <c r="E536" s="40" t="s">
        <v>400</v>
      </c>
      <c r="F536" s="40" t="s">
        <v>401</v>
      </c>
      <c r="G536" s="40" t="s">
        <v>402</v>
      </c>
      <c r="H536" s="40" t="s">
        <v>403</v>
      </c>
      <c r="I536" s="40" t="s">
        <v>404</v>
      </c>
      <c r="J536" s="40" t="s">
        <v>405</v>
      </c>
    </row>
    <row r="537" spans="1:10" ht="28.5" x14ac:dyDescent="0.2">
      <c r="A537" s="516"/>
      <c r="B537" s="270" t="s">
        <v>521</v>
      </c>
      <c r="C537" s="105"/>
      <c r="D537" s="44"/>
      <c r="E537" s="44"/>
      <c r="F537" s="44"/>
      <c r="G537" s="44"/>
      <c r="H537" s="44"/>
      <c r="I537" s="108" t="s">
        <v>409</v>
      </c>
      <c r="J537" s="44"/>
    </row>
    <row r="538" spans="1:10" x14ac:dyDescent="0.2">
      <c r="A538" s="516"/>
      <c r="B538" s="514" t="s">
        <v>439</v>
      </c>
      <c r="C538" s="105"/>
      <c r="D538" s="44"/>
      <c r="E538" s="55">
        <v>18.850000000000001</v>
      </c>
      <c r="F538" s="55"/>
      <c r="G538" s="55">
        <v>1.38</v>
      </c>
      <c r="H538" s="41">
        <f>E538*G538</f>
        <v>26.013000000000002</v>
      </c>
      <c r="I538" s="44"/>
      <c r="J538" s="41">
        <f t="shared" ref="J538:J545" si="22">H538</f>
        <v>26.013000000000002</v>
      </c>
    </row>
    <row r="539" spans="1:10" x14ac:dyDescent="0.2">
      <c r="A539" s="516"/>
      <c r="B539" s="514"/>
      <c r="C539" s="105"/>
      <c r="D539" s="44"/>
      <c r="E539" s="55">
        <v>1.74</v>
      </c>
      <c r="F539" s="55"/>
      <c r="G539" s="55">
        <v>1.38</v>
      </c>
      <c r="H539" s="41">
        <f>E539*G539</f>
        <v>2.4011999999999998</v>
      </c>
      <c r="I539" s="44"/>
      <c r="J539" s="41">
        <f t="shared" si="22"/>
        <v>2.4011999999999998</v>
      </c>
    </row>
    <row r="540" spans="1:10" x14ac:dyDescent="0.2">
      <c r="A540" s="516"/>
      <c r="B540" s="514"/>
      <c r="C540" s="105"/>
      <c r="D540" s="44"/>
      <c r="E540" s="55">
        <v>7.43</v>
      </c>
      <c r="F540" s="55"/>
      <c r="G540" s="55">
        <v>1.38</v>
      </c>
      <c r="H540" s="41">
        <f>E540*G540</f>
        <v>10.253399999999999</v>
      </c>
      <c r="I540" s="44"/>
      <c r="J540" s="41">
        <f t="shared" si="22"/>
        <v>10.253399999999999</v>
      </c>
    </row>
    <row r="541" spans="1:10" x14ac:dyDescent="0.2">
      <c r="A541" s="502"/>
      <c r="B541" s="103" t="s">
        <v>440</v>
      </c>
      <c r="C541" s="44"/>
      <c r="D541" s="44"/>
      <c r="E541" s="55"/>
      <c r="F541" s="55"/>
      <c r="G541" s="41"/>
      <c r="H541" s="41">
        <v>11.85</v>
      </c>
      <c r="I541" s="44"/>
      <c r="J541" s="41">
        <f t="shared" si="22"/>
        <v>11.85</v>
      </c>
    </row>
    <row r="542" spans="1:10" x14ac:dyDescent="0.2">
      <c r="A542" s="502"/>
      <c r="B542" s="45" t="s">
        <v>441</v>
      </c>
      <c r="C542" s="44"/>
      <c r="D542" s="44"/>
      <c r="E542" s="44"/>
      <c r="F542" s="44"/>
      <c r="G542" s="44"/>
      <c r="H542" s="55">
        <v>106.6</v>
      </c>
      <c r="I542" s="44"/>
      <c r="J542" s="55">
        <f t="shared" si="22"/>
        <v>106.6</v>
      </c>
    </row>
    <row r="543" spans="1:10" x14ac:dyDescent="0.2">
      <c r="A543" s="502"/>
      <c r="B543" s="45" t="s">
        <v>442</v>
      </c>
      <c r="C543" s="44"/>
      <c r="D543" s="45"/>
      <c r="E543" s="44"/>
      <c r="F543" s="44"/>
      <c r="G543" s="44"/>
      <c r="H543" s="41">
        <f>2.3*1.45+2.3*1.77+2.3*2.1+2.3*2.42+2.3*2.74+2.3*3.06</f>
        <v>31.141999999999999</v>
      </c>
      <c r="I543" s="44"/>
      <c r="J543" s="41">
        <f t="shared" si="22"/>
        <v>31.141999999999999</v>
      </c>
    </row>
    <row r="544" spans="1:10" x14ac:dyDescent="0.2">
      <c r="A544" s="502"/>
      <c r="B544" s="45" t="s">
        <v>443</v>
      </c>
      <c r="C544" s="44"/>
      <c r="D544" s="44"/>
      <c r="E544" s="55">
        <v>7.82</v>
      </c>
      <c r="F544" s="55"/>
      <c r="G544" s="55">
        <v>1.38</v>
      </c>
      <c r="H544" s="41">
        <f>E544*G544</f>
        <v>10.791599999999999</v>
      </c>
      <c r="I544" s="44"/>
      <c r="J544" s="41">
        <f t="shared" si="22"/>
        <v>10.791599999999999</v>
      </c>
    </row>
    <row r="545" spans="1:10" x14ac:dyDescent="0.2">
      <c r="A545" s="502"/>
      <c r="B545" s="45" t="s">
        <v>444</v>
      </c>
      <c r="C545" s="44"/>
      <c r="D545" s="44"/>
      <c r="E545" s="41">
        <v>10</v>
      </c>
      <c r="F545" s="41"/>
      <c r="G545" s="41">
        <v>1.9</v>
      </c>
      <c r="H545" s="41">
        <f>E545*G545</f>
        <v>19</v>
      </c>
      <c r="I545" s="44"/>
      <c r="J545" s="41">
        <f t="shared" si="22"/>
        <v>19</v>
      </c>
    </row>
    <row r="546" spans="1:10" x14ac:dyDescent="0.2">
      <c r="A546" s="502"/>
      <c r="B546" s="503" t="s">
        <v>445</v>
      </c>
      <c r="C546" s="44"/>
      <c r="D546" s="41">
        <v>2</v>
      </c>
      <c r="E546" s="41">
        <v>1.75</v>
      </c>
      <c r="F546" s="41"/>
      <c r="G546" s="41">
        <v>3.45</v>
      </c>
      <c r="H546" s="41">
        <f>D546*E546*G546</f>
        <v>12.075000000000001</v>
      </c>
      <c r="I546" s="55">
        <f>0.7*2.1+0.5*0.5</f>
        <v>1.72</v>
      </c>
      <c r="J546" s="41">
        <f>H546-I546</f>
        <v>10.355</v>
      </c>
    </row>
    <row r="547" spans="1:10" x14ac:dyDescent="0.2">
      <c r="A547" s="502"/>
      <c r="B547" s="504"/>
      <c r="C547" s="44"/>
      <c r="D547" s="41">
        <v>1</v>
      </c>
      <c r="E547" s="41">
        <v>3.3</v>
      </c>
      <c r="F547" s="41"/>
      <c r="G547" s="41">
        <f>3.45-1.38</f>
        <v>2.0700000000000003</v>
      </c>
      <c r="H547" s="41">
        <f>D547*E547*G547</f>
        <v>6.8310000000000004</v>
      </c>
      <c r="I547" s="55">
        <f>1.5*1.1</f>
        <v>1.6500000000000001</v>
      </c>
      <c r="J547" s="41">
        <f>H547-I547</f>
        <v>5.181</v>
      </c>
    </row>
    <row r="548" spans="1:10" x14ac:dyDescent="0.2">
      <c r="A548" s="502"/>
      <c r="B548" s="45" t="s">
        <v>446</v>
      </c>
      <c r="C548" s="44"/>
      <c r="D548" s="44"/>
      <c r="E548" s="41">
        <f>3*2+1.6*2</f>
        <v>9.1999999999999993</v>
      </c>
      <c r="F548" s="41"/>
      <c r="G548" s="41">
        <v>3</v>
      </c>
      <c r="H548" s="41">
        <f t="shared" ref="H548:H553" si="23">E548*G548</f>
        <v>27.599999999999998</v>
      </c>
      <c r="I548" s="55">
        <f>0.7*2.1+0.5*0.5+1.5*1.1</f>
        <v>3.37</v>
      </c>
      <c r="J548" s="41">
        <f>H548-I548</f>
        <v>24.229999999999997</v>
      </c>
    </row>
    <row r="549" spans="1:10" x14ac:dyDescent="0.2">
      <c r="A549" s="502"/>
      <c r="B549" s="45" t="s">
        <v>447</v>
      </c>
      <c r="C549" s="44"/>
      <c r="D549" s="44"/>
      <c r="E549" s="55">
        <f>4.55*2+2.88*2</f>
        <v>14.86</v>
      </c>
      <c r="F549" s="44"/>
      <c r="G549" s="55">
        <f>(1.15+1.55)/2</f>
        <v>1.35</v>
      </c>
      <c r="H549" s="41">
        <f t="shared" si="23"/>
        <v>20.061</v>
      </c>
      <c r="I549" s="44"/>
      <c r="J549" s="41">
        <f>H549-I549</f>
        <v>20.061</v>
      </c>
    </row>
    <row r="550" spans="1:10" x14ac:dyDescent="0.2">
      <c r="A550" s="502"/>
      <c r="B550" s="503" t="s">
        <v>448</v>
      </c>
      <c r="C550" s="44"/>
      <c r="D550" s="44"/>
      <c r="E550" s="55">
        <v>10.15</v>
      </c>
      <c r="F550" s="44"/>
      <c r="G550" s="55">
        <v>3.5</v>
      </c>
      <c r="H550" s="41">
        <f t="shared" si="23"/>
        <v>35.524999999999999</v>
      </c>
      <c r="I550" s="262">
        <f>0.6*0.6*3+1.3*0.44*2</f>
        <v>2.2240000000000002</v>
      </c>
      <c r="J550" s="262">
        <f>H550-I550</f>
        <v>33.301000000000002</v>
      </c>
    </row>
    <row r="551" spans="1:10" x14ac:dyDescent="0.2">
      <c r="A551" s="502"/>
      <c r="B551" s="504"/>
      <c r="C551" s="44"/>
      <c r="D551" s="41"/>
      <c r="E551" s="55">
        <v>3.03</v>
      </c>
      <c r="F551" s="44"/>
      <c r="G551" s="41">
        <f>(3.5+3.9)/2</f>
        <v>3.7</v>
      </c>
      <c r="H551" s="269">
        <f t="shared" si="23"/>
        <v>11.211</v>
      </c>
      <c r="I551" s="44"/>
      <c r="J551" s="41">
        <f>H551</f>
        <v>11.211</v>
      </c>
    </row>
    <row r="552" spans="1:10" x14ac:dyDescent="0.2">
      <c r="A552" s="502"/>
      <c r="B552" s="103" t="s">
        <v>522</v>
      </c>
      <c r="C552" s="44"/>
      <c r="D552" s="41"/>
      <c r="E552" s="55">
        <f>(2.88+2)*2</f>
        <v>9.76</v>
      </c>
      <c r="F552" s="44"/>
      <c r="G552" s="41">
        <f>3.58-1.8</f>
        <v>1.78</v>
      </c>
      <c r="H552" s="269">
        <f t="shared" si="23"/>
        <v>17.372800000000002</v>
      </c>
      <c r="I552" s="44"/>
      <c r="J552" s="41">
        <f>H552</f>
        <v>17.372800000000002</v>
      </c>
    </row>
    <row r="553" spans="1:10" x14ac:dyDescent="0.2">
      <c r="A553" s="502"/>
      <c r="B553" s="103" t="s">
        <v>523</v>
      </c>
      <c r="C553" s="44"/>
      <c r="D553" s="41"/>
      <c r="E553" s="55">
        <f>(1.86+2)*2</f>
        <v>7.7200000000000006</v>
      </c>
      <c r="F553" s="44"/>
      <c r="G553" s="41">
        <v>1.78</v>
      </c>
      <c r="H553" s="269">
        <f t="shared" si="23"/>
        <v>13.741600000000002</v>
      </c>
      <c r="I553" s="44"/>
      <c r="J553" s="41">
        <f>H553</f>
        <v>13.741600000000002</v>
      </c>
    </row>
    <row r="554" spans="1:10" x14ac:dyDescent="0.2">
      <c r="A554" s="502"/>
      <c r="B554" s="271" t="s">
        <v>524</v>
      </c>
      <c r="C554" s="44"/>
      <c r="D554" s="41"/>
      <c r="E554" s="55"/>
      <c r="F554" s="44"/>
      <c r="G554" s="41"/>
      <c r="H554" s="269"/>
      <c r="I554" s="44"/>
      <c r="J554" s="41"/>
    </row>
    <row r="555" spans="1:10" ht="15" x14ac:dyDescent="0.2">
      <c r="A555" s="502"/>
      <c r="B555" s="63" t="s">
        <v>505</v>
      </c>
      <c r="C555" s="48"/>
      <c r="D555" s="64">
        <v>2</v>
      </c>
      <c r="E555" s="41">
        <v>28.15</v>
      </c>
      <c r="F555" s="40"/>
      <c r="G555" s="64">
        <v>3</v>
      </c>
      <c r="H555" s="273">
        <f>D555*E555*G555</f>
        <v>168.89999999999998</v>
      </c>
      <c r="I555" s="40"/>
      <c r="J555" s="64">
        <f>H555</f>
        <v>168.89999999999998</v>
      </c>
    </row>
    <row r="556" spans="1:10" ht="15" x14ac:dyDescent="0.2">
      <c r="A556" s="502"/>
      <c r="B556" s="63" t="s">
        <v>506</v>
      </c>
      <c r="C556" s="48"/>
      <c r="D556" s="64">
        <v>1</v>
      </c>
      <c r="E556" s="64">
        <v>10.15</v>
      </c>
      <c r="F556" s="64"/>
      <c r="G556" s="64">
        <v>2.1</v>
      </c>
      <c r="H556" s="64">
        <f>D556*E556*G556</f>
        <v>21.315000000000001</v>
      </c>
      <c r="I556" s="272"/>
      <c r="J556" s="272">
        <f>H556</f>
        <v>21.315000000000001</v>
      </c>
    </row>
    <row r="557" spans="1:10" x14ac:dyDescent="0.2">
      <c r="A557" s="502"/>
      <c r="B557" s="45" t="s">
        <v>413</v>
      </c>
      <c r="C557" s="44"/>
      <c r="D557" s="44"/>
      <c r="E557" s="59">
        <v>15.57</v>
      </c>
      <c r="F557" s="59"/>
      <c r="G557" s="59">
        <v>1.38</v>
      </c>
      <c r="H557" s="46">
        <f>E557*G557</f>
        <v>21.486599999999999</v>
      </c>
      <c r="I557" s="44"/>
      <c r="J557" s="41">
        <f>H557</f>
        <v>21.486599999999999</v>
      </c>
    </row>
    <row r="558" spans="1:10" x14ac:dyDescent="0.2">
      <c r="A558" s="502"/>
      <c r="B558" s="45" t="s">
        <v>414</v>
      </c>
      <c r="C558" s="44"/>
      <c r="D558" s="44"/>
      <c r="E558" s="59">
        <v>7.94</v>
      </c>
      <c r="F558" s="59"/>
      <c r="G558" s="59">
        <v>1.38</v>
      </c>
      <c r="H558" s="46">
        <f>E558*G558</f>
        <v>10.9572</v>
      </c>
      <c r="I558" s="44"/>
      <c r="J558" s="41">
        <f>H558</f>
        <v>10.9572</v>
      </c>
    </row>
    <row r="559" spans="1:10" x14ac:dyDescent="0.2">
      <c r="A559" s="502"/>
      <c r="B559" s="45" t="s">
        <v>415</v>
      </c>
      <c r="C559" s="44"/>
      <c r="D559" s="44"/>
      <c r="E559" s="46">
        <v>4.5</v>
      </c>
      <c r="F559" s="59"/>
      <c r="G559" s="46">
        <f>(2.23+1.6)/2</f>
        <v>1.915</v>
      </c>
      <c r="H559" s="46">
        <f>E559*G559</f>
        <v>8.6174999999999997</v>
      </c>
      <c r="I559" s="44"/>
      <c r="J559" s="41">
        <f>H559</f>
        <v>8.6174999999999997</v>
      </c>
    </row>
    <row r="560" spans="1:10" x14ac:dyDescent="0.2">
      <c r="A560" s="502"/>
      <c r="B560" s="45" t="s">
        <v>416</v>
      </c>
      <c r="C560" s="44"/>
      <c r="D560" s="44"/>
      <c r="E560" s="46">
        <v>10</v>
      </c>
      <c r="F560" s="59"/>
      <c r="G560" s="46">
        <v>2.1</v>
      </c>
      <c r="H560" s="46">
        <f>E560*G560</f>
        <v>21</v>
      </c>
      <c r="I560" s="46">
        <f>2*0.8*2.1+0.6*2.1</f>
        <v>4.62</v>
      </c>
      <c r="J560" s="41">
        <f>H560-I560</f>
        <v>16.38</v>
      </c>
    </row>
    <row r="561" spans="1:10" x14ac:dyDescent="0.2">
      <c r="A561" s="502"/>
      <c r="B561" s="103"/>
      <c r="C561" s="44"/>
      <c r="D561" s="44"/>
      <c r="E561" s="55"/>
      <c r="F561" s="44"/>
      <c r="G561" s="55"/>
      <c r="H561" s="41"/>
      <c r="I561" s="57" t="s">
        <v>408</v>
      </c>
      <c r="J561" s="58">
        <f>SUM(J538:J560)</f>
        <v>601.16089999999986</v>
      </c>
    </row>
    <row r="562" spans="1:10" x14ac:dyDescent="0.2">
      <c r="A562" s="502"/>
      <c r="B562" s="44"/>
      <c r="C562" s="44"/>
      <c r="D562" s="44"/>
      <c r="E562" s="44"/>
      <c r="F562" s="44"/>
      <c r="G562" s="44"/>
      <c r="H562" s="44"/>
      <c r="I562" s="44"/>
      <c r="J562" s="44"/>
    </row>
    <row r="563" spans="1:10" ht="15" x14ac:dyDescent="0.2">
      <c r="A563" s="54" t="str">
        <f>'PLANILHA ORÇAMENTÁRIA'!A156</f>
        <v>16.2</v>
      </c>
      <c r="B563" s="493" t="str">
        <f>'PLANILHA ORÇAMENTÁRIA'!D156</f>
        <v>SOBRE MADEIRA</v>
      </c>
      <c r="C563" s="493"/>
      <c r="D563" s="493"/>
      <c r="E563" s="493"/>
      <c r="F563" s="493"/>
      <c r="G563" s="493"/>
      <c r="H563" s="493"/>
      <c r="I563" s="493"/>
      <c r="J563" s="493"/>
    </row>
    <row r="564" spans="1:10" ht="40.5" customHeight="1" x14ac:dyDescent="0.2">
      <c r="A564" s="46" t="str">
        <f>'PLANILHA ORÇAMENTÁRIA'!A157</f>
        <v>16.2.1</v>
      </c>
      <c r="B564" s="47" t="str">
        <f>'PLANILHA ORÇAMENTÁRIA'!D157</f>
        <v>Pintura com verniz brilhante, linha Premium, marcas de referência Suvinil, Coral ou Metalatex, em madeira, a três demãos</v>
      </c>
      <c r="C564" s="48" t="s">
        <v>29</v>
      </c>
      <c r="D564" s="49" t="s">
        <v>399</v>
      </c>
      <c r="E564" s="49" t="s">
        <v>400</v>
      </c>
      <c r="F564" s="49" t="s">
        <v>401</v>
      </c>
      <c r="G564" s="49" t="s">
        <v>402</v>
      </c>
      <c r="H564" s="49" t="s">
        <v>403</v>
      </c>
      <c r="I564" s="49" t="s">
        <v>404</v>
      </c>
      <c r="J564" s="40" t="s">
        <v>405</v>
      </c>
    </row>
    <row r="565" spans="1:10" ht="28.5" x14ac:dyDescent="0.2">
      <c r="A565" s="46"/>
      <c r="B565" s="47"/>
      <c r="C565" s="48"/>
      <c r="D565" s="49"/>
      <c r="E565" s="49"/>
      <c r="F565" s="49"/>
      <c r="G565" s="49"/>
      <c r="H565" s="49"/>
      <c r="I565" s="56" t="s">
        <v>525</v>
      </c>
      <c r="J565" s="40"/>
    </row>
    <row r="566" spans="1:10" x14ac:dyDescent="0.2">
      <c r="A566" s="502"/>
      <c r="B566" s="45" t="s">
        <v>526</v>
      </c>
      <c r="C566" s="41"/>
      <c r="D566" s="41"/>
      <c r="E566" s="41">
        <v>0.6</v>
      </c>
      <c r="F566" s="41"/>
      <c r="G566" s="41">
        <v>2.1</v>
      </c>
      <c r="H566" s="41"/>
      <c r="I566" s="494">
        <v>3</v>
      </c>
      <c r="J566" s="41">
        <f>E566*G566*I566</f>
        <v>3.7800000000000002</v>
      </c>
    </row>
    <row r="567" spans="1:10" x14ac:dyDescent="0.2">
      <c r="A567" s="502"/>
      <c r="B567" s="45" t="s">
        <v>527</v>
      </c>
      <c r="C567" s="41"/>
      <c r="D567" s="41"/>
      <c r="E567" s="41">
        <v>0.7</v>
      </c>
      <c r="F567" s="41"/>
      <c r="G567" s="41">
        <v>2.1</v>
      </c>
      <c r="H567" s="41"/>
      <c r="I567" s="499"/>
      <c r="J567" s="41">
        <f>E567*G567*I566</f>
        <v>4.41</v>
      </c>
    </row>
    <row r="568" spans="1:10" x14ac:dyDescent="0.2">
      <c r="A568" s="502"/>
      <c r="B568" s="44"/>
      <c r="C568" s="44"/>
      <c r="D568" s="44"/>
      <c r="E568" s="44"/>
      <c r="F568" s="44"/>
      <c r="G568" s="44"/>
      <c r="H568" s="44"/>
      <c r="I568" s="57" t="s">
        <v>408</v>
      </c>
      <c r="J568" s="58">
        <f>SUM(J566:J567)</f>
        <v>8.1900000000000013</v>
      </c>
    </row>
    <row r="569" spans="1:10" x14ac:dyDescent="0.2">
      <c r="A569" s="502"/>
      <c r="B569" s="44"/>
      <c r="C569" s="44"/>
      <c r="D569" s="44"/>
      <c r="E569" s="44"/>
      <c r="F569" s="44"/>
      <c r="G569" s="44"/>
      <c r="H569" s="44"/>
      <c r="I569" s="44"/>
      <c r="J569" s="44"/>
    </row>
    <row r="570" spans="1:10" ht="15" x14ac:dyDescent="0.2">
      <c r="A570" s="54" t="str">
        <f>'PLANILHA ORÇAMENTÁRIA'!A158</f>
        <v>16.3</v>
      </c>
      <c r="B570" s="493" t="str">
        <f>'PLANILHA ORÇAMENTÁRIA'!D158</f>
        <v>SOBRE METAL</v>
      </c>
      <c r="C570" s="493"/>
      <c r="D570" s="493"/>
      <c r="E570" s="493"/>
      <c r="F570" s="493"/>
      <c r="G570" s="493"/>
      <c r="H570" s="493"/>
      <c r="I570" s="493"/>
      <c r="J570" s="493"/>
    </row>
    <row r="571" spans="1:10" ht="54.75" customHeight="1" x14ac:dyDescent="0.2">
      <c r="A571" s="46" t="str">
        <f>'PLANILHA ORÇAMENTÁRIA'!A159</f>
        <v>16.3.1</v>
      </c>
      <c r="B571" s="47" t="str">
        <f>'PLANILHA ORÇAMENTÁRIA'!D159</f>
        <v>Pintura com tinta esmalte sintético, marcas de referência Suvinil, Coral ou Metalatex, a duas demãos, inclusive fundo anticorrosivo a uma demão, em metal</v>
      </c>
      <c r="C571" s="48" t="s">
        <v>29</v>
      </c>
      <c r="D571" s="40" t="s">
        <v>399</v>
      </c>
      <c r="E571" s="40" t="s">
        <v>400</v>
      </c>
      <c r="F571" s="40" t="s">
        <v>401</v>
      </c>
      <c r="G571" s="40" t="s">
        <v>402</v>
      </c>
      <c r="H571" s="40" t="s">
        <v>403</v>
      </c>
      <c r="I571" s="40" t="s">
        <v>404</v>
      </c>
      <c r="J571" s="40" t="s">
        <v>405</v>
      </c>
    </row>
    <row r="572" spans="1:10" ht="54.75" customHeight="1" x14ac:dyDescent="0.2">
      <c r="A572" s="483"/>
      <c r="B572" s="277"/>
      <c r="C572" s="66"/>
      <c r="D572" s="67"/>
      <c r="E572" s="67"/>
      <c r="F572" s="67"/>
      <c r="G572" s="67"/>
      <c r="H572" s="67"/>
      <c r="I572" s="278" t="s">
        <v>528</v>
      </c>
      <c r="J572" s="67"/>
    </row>
    <row r="573" spans="1:10" ht="15" x14ac:dyDescent="0.2">
      <c r="A573" s="484"/>
      <c r="B573" s="63" t="s">
        <v>529</v>
      </c>
      <c r="C573" s="48"/>
      <c r="D573" s="40"/>
      <c r="E573" s="40"/>
      <c r="F573" s="40"/>
      <c r="G573" s="40"/>
      <c r="H573" s="64">
        <v>605.29999999999995</v>
      </c>
      <c r="I573" s="64">
        <v>1.3</v>
      </c>
      <c r="J573" s="64">
        <f>H573*I573</f>
        <v>786.89</v>
      </c>
    </row>
    <row r="574" spans="1:10" ht="15" x14ac:dyDescent="0.2">
      <c r="A574" s="484"/>
      <c r="B574" s="63" t="s">
        <v>530</v>
      </c>
      <c r="C574" s="48"/>
      <c r="D574" s="64">
        <v>2</v>
      </c>
      <c r="E574" s="64">
        <v>3.1</v>
      </c>
      <c r="F574" s="64"/>
      <c r="G574" s="64">
        <v>2</v>
      </c>
      <c r="H574" s="64"/>
      <c r="I574" s="64">
        <v>2</v>
      </c>
      <c r="J574" s="64">
        <f>D574*E574*G574*I574</f>
        <v>24.8</v>
      </c>
    </row>
    <row r="575" spans="1:10" ht="15" x14ac:dyDescent="0.2">
      <c r="A575" s="484"/>
      <c r="B575" s="63" t="s">
        <v>531</v>
      </c>
      <c r="C575" s="48"/>
      <c r="D575" s="64">
        <v>6</v>
      </c>
      <c r="E575" s="64">
        <v>0.3</v>
      </c>
      <c r="F575" s="40"/>
      <c r="G575" s="64">
        <v>7</v>
      </c>
      <c r="H575" s="64">
        <f>D575*E575*G575</f>
        <v>12.599999999999998</v>
      </c>
      <c r="I575" s="40"/>
      <c r="J575" s="64">
        <f>H575</f>
        <v>12.599999999999998</v>
      </c>
    </row>
    <row r="576" spans="1:10" ht="15" x14ac:dyDescent="0.2">
      <c r="A576" s="484"/>
      <c r="B576" s="63" t="s">
        <v>532</v>
      </c>
      <c r="C576" s="48"/>
      <c r="D576" s="64">
        <v>6</v>
      </c>
      <c r="E576" s="64">
        <v>0.3</v>
      </c>
      <c r="F576" s="40"/>
      <c r="G576" s="64">
        <f>7-3</f>
        <v>4</v>
      </c>
      <c r="H576" s="64">
        <f>D576*E576*G576</f>
        <v>7.1999999999999993</v>
      </c>
      <c r="I576" s="306"/>
      <c r="J576" s="64">
        <f>H576</f>
        <v>7.1999999999999993</v>
      </c>
    </row>
    <row r="577" spans="1:10" ht="15" x14ac:dyDescent="0.2">
      <c r="A577" s="484"/>
      <c r="B577" s="63" t="s">
        <v>533</v>
      </c>
      <c r="C577" s="48"/>
      <c r="D577" s="40"/>
      <c r="E577" s="64">
        <v>17.7</v>
      </c>
      <c r="F577" s="64"/>
      <c r="G577" s="64">
        <f>3*1.65</f>
        <v>4.9499999999999993</v>
      </c>
      <c r="H577" s="64">
        <f t="shared" ref="H577:H583" si="24">E577*G577</f>
        <v>87.614999999999981</v>
      </c>
      <c r="I577" s="496">
        <v>2</v>
      </c>
      <c r="J577" s="64">
        <f t="shared" ref="J577:J585" si="25">H577*$I$577</f>
        <v>175.22999999999996</v>
      </c>
    </row>
    <row r="578" spans="1:10" ht="15" x14ac:dyDescent="0.2">
      <c r="A578" s="484"/>
      <c r="B578" s="63" t="s">
        <v>534</v>
      </c>
      <c r="C578" s="48"/>
      <c r="D578" s="40"/>
      <c r="E578" s="64">
        <f>9.35+1.74+18.85</f>
        <v>29.94</v>
      </c>
      <c r="F578" s="40"/>
      <c r="G578" s="64">
        <f>3*1.65</f>
        <v>4.9499999999999993</v>
      </c>
      <c r="H578" s="64">
        <f t="shared" si="24"/>
        <v>148.20299999999997</v>
      </c>
      <c r="I578" s="497"/>
      <c r="J578" s="64">
        <f t="shared" si="25"/>
        <v>296.40599999999995</v>
      </c>
    </row>
    <row r="579" spans="1:10" ht="15" x14ac:dyDescent="0.2">
      <c r="A579" s="484"/>
      <c r="B579" s="63" t="s">
        <v>535</v>
      </c>
      <c r="C579" s="48"/>
      <c r="D579" s="40"/>
      <c r="E579" s="64">
        <v>7.82</v>
      </c>
      <c r="F579" s="40"/>
      <c r="G579" s="64">
        <f>3*1.65</f>
        <v>4.9499999999999993</v>
      </c>
      <c r="H579" s="64">
        <f t="shared" si="24"/>
        <v>38.708999999999996</v>
      </c>
      <c r="I579" s="497"/>
      <c r="J579" s="64">
        <f t="shared" si="25"/>
        <v>77.417999999999992</v>
      </c>
    </row>
    <row r="580" spans="1:10" ht="15" x14ac:dyDescent="0.2">
      <c r="A580" s="484"/>
      <c r="B580" s="63" t="s">
        <v>536</v>
      </c>
      <c r="C580" s="48"/>
      <c r="D580" s="40"/>
      <c r="E580" s="64">
        <v>10</v>
      </c>
      <c r="F580" s="40"/>
      <c r="G580" s="64">
        <f>1.65+0.83</f>
        <v>2.48</v>
      </c>
      <c r="H580" s="64">
        <f t="shared" si="24"/>
        <v>24.8</v>
      </c>
      <c r="I580" s="497"/>
      <c r="J580" s="64">
        <f t="shared" si="25"/>
        <v>49.6</v>
      </c>
    </row>
    <row r="581" spans="1:10" ht="15" x14ac:dyDescent="0.2">
      <c r="A581" s="484"/>
      <c r="B581" s="63" t="s">
        <v>537</v>
      </c>
      <c r="C581" s="48"/>
      <c r="D581" s="40"/>
      <c r="E581" s="64">
        <v>1.8</v>
      </c>
      <c r="F581" s="40"/>
      <c r="G581" s="64">
        <v>1.07</v>
      </c>
      <c r="H581" s="64">
        <f t="shared" si="24"/>
        <v>1.9260000000000002</v>
      </c>
      <c r="I581" s="497"/>
      <c r="J581" s="64">
        <f t="shared" si="25"/>
        <v>3.8520000000000003</v>
      </c>
    </row>
    <row r="582" spans="1:10" ht="15" x14ac:dyDescent="0.2">
      <c r="A582" s="484"/>
      <c r="B582" s="63" t="s">
        <v>538</v>
      </c>
      <c r="C582" s="48"/>
      <c r="D582" s="40"/>
      <c r="E582" s="64">
        <v>1</v>
      </c>
      <c r="F582" s="40"/>
      <c r="G582" s="64">
        <v>2.06</v>
      </c>
      <c r="H582" s="64">
        <f t="shared" si="24"/>
        <v>2.06</v>
      </c>
      <c r="I582" s="497"/>
      <c r="J582" s="64">
        <f t="shared" si="25"/>
        <v>4.12</v>
      </c>
    </row>
    <row r="583" spans="1:10" ht="15" x14ac:dyDescent="0.2">
      <c r="A583" s="484"/>
      <c r="B583" s="63" t="s">
        <v>539</v>
      </c>
      <c r="C583" s="48"/>
      <c r="D583" s="40"/>
      <c r="E583" s="64">
        <v>1.5</v>
      </c>
      <c r="F583" s="40"/>
      <c r="G583" s="64">
        <v>1.1000000000000001</v>
      </c>
      <c r="H583" s="64">
        <f t="shared" si="24"/>
        <v>1.6500000000000001</v>
      </c>
      <c r="I583" s="497"/>
      <c r="J583" s="64">
        <f t="shared" si="25"/>
        <v>3.3000000000000003</v>
      </c>
    </row>
    <row r="584" spans="1:10" x14ac:dyDescent="0.2">
      <c r="A584" s="484"/>
      <c r="B584" s="45" t="s">
        <v>432</v>
      </c>
      <c r="C584" s="41"/>
      <c r="D584" s="41"/>
      <c r="E584" s="41"/>
      <c r="F584" s="41">
        <v>1.8</v>
      </c>
      <c r="G584" s="41">
        <v>2.2000000000000002</v>
      </c>
      <c r="H584" s="41">
        <f>F584*G584</f>
        <v>3.9600000000000004</v>
      </c>
      <c r="I584" s="497"/>
      <c r="J584" s="64">
        <f t="shared" si="25"/>
        <v>7.9200000000000008</v>
      </c>
    </row>
    <row r="585" spans="1:10" x14ac:dyDescent="0.2">
      <c r="A585" s="484"/>
      <c r="B585" s="45" t="s">
        <v>433</v>
      </c>
      <c r="C585" s="41"/>
      <c r="D585" s="41"/>
      <c r="E585" s="41"/>
      <c r="F585" s="41">
        <v>2.06</v>
      </c>
      <c r="G585" s="41">
        <v>2.2000000000000002</v>
      </c>
      <c r="H585" s="41">
        <f>F585*G585</f>
        <v>4.5320000000000009</v>
      </c>
      <c r="I585" s="498"/>
      <c r="J585" s="64">
        <f t="shared" si="25"/>
        <v>9.0640000000000018</v>
      </c>
    </row>
    <row r="586" spans="1:10" x14ac:dyDescent="0.2">
      <c r="A586" s="484"/>
      <c r="B586" s="44"/>
      <c r="C586" s="44"/>
      <c r="D586" s="44"/>
      <c r="E586" s="44"/>
      <c r="F586" s="44"/>
      <c r="G586" s="44"/>
      <c r="H586" s="44"/>
      <c r="I586" s="66" t="s">
        <v>498</v>
      </c>
      <c r="J586" s="279">
        <f>SUM(J573:J585)</f>
        <v>1458.3999999999999</v>
      </c>
    </row>
    <row r="587" spans="1:10" x14ac:dyDescent="0.2">
      <c r="A587" s="485"/>
      <c r="B587" s="44"/>
      <c r="C587" s="44"/>
      <c r="D587" s="44"/>
      <c r="E587" s="44"/>
      <c r="F587" s="44"/>
      <c r="G587" s="44"/>
      <c r="H587" s="44"/>
      <c r="I587" s="44"/>
      <c r="J587" s="44"/>
    </row>
    <row r="588" spans="1:10" ht="15" x14ac:dyDescent="0.2">
      <c r="A588" s="54" t="str">
        <f>'PLANILHA ORÇAMENTÁRIA'!A160</f>
        <v>16.4</v>
      </c>
      <c r="B588" s="493" t="str">
        <f>'PLANILHA ORÇAMENTÁRIA'!D160</f>
        <v>SOBRE PISOS</v>
      </c>
      <c r="C588" s="493"/>
      <c r="D588" s="493"/>
      <c r="E588" s="493"/>
      <c r="F588" s="493"/>
      <c r="G588" s="493"/>
      <c r="H588" s="493"/>
      <c r="I588" s="493"/>
      <c r="J588" s="493"/>
    </row>
    <row r="589" spans="1:10" ht="51" customHeight="1" x14ac:dyDescent="0.2">
      <c r="A589" s="46" t="str">
        <f>'PLANILHA ORÇAMENTÁRIA'!A161</f>
        <v>16.4.1</v>
      </c>
      <c r="B589" s="47" t="str">
        <f>'PLANILHA ORÇAMENTÁRIA'!D161</f>
        <v>Pintura à base de epoxi, marcas de referência Suvinil, Coral ou Metalatex, em faixas com largura de 5 cm, para demarcação de quadra de esportes</v>
      </c>
      <c r="C589" s="48" t="s">
        <v>29</v>
      </c>
      <c r="D589" s="49" t="s">
        <v>399</v>
      </c>
      <c r="E589" s="49" t="s">
        <v>400</v>
      </c>
      <c r="F589" s="49" t="s">
        <v>401</v>
      </c>
      <c r="G589" s="49" t="s">
        <v>402</v>
      </c>
      <c r="H589" s="49" t="s">
        <v>403</v>
      </c>
      <c r="I589" s="49" t="s">
        <v>404</v>
      </c>
      <c r="J589" s="40" t="s">
        <v>405</v>
      </c>
    </row>
    <row r="590" spans="1:10" x14ac:dyDescent="0.2">
      <c r="A590" s="502"/>
      <c r="B590" s="45" t="s">
        <v>540</v>
      </c>
      <c r="C590" s="46"/>
      <c r="D590" s="46"/>
      <c r="E590" s="46">
        <f>(5.87*4)+(4.34*2)+18.85+(4*9)+(15*2)+(14*3)+(24*2)</f>
        <v>207.01</v>
      </c>
      <c r="F590" s="46"/>
      <c r="G590" s="46"/>
      <c r="H590" s="46"/>
      <c r="I590" s="46"/>
      <c r="J590" s="46">
        <f>E590</f>
        <v>207.01</v>
      </c>
    </row>
    <row r="591" spans="1:10" x14ac:dyDescent="0.2">
      <c r="A591" s="502"/>
      <c r="B591" s="44"/>
      <c r="C591" s="44"/>
      <c r="D591" s="44"/>
      <c r="E591" s="44"/>
      <c r="F591" s="44"/>
      <c r="G591" s="44"/>
      <c r="H591" s="44"/>
      <c r="I591" s="57" t="s">
        <v>408</v>
      </c>
      <c r="J591" s="58">
        <f>SUM(J590)</f>
        <v>207.01</v>
      </c>
    </row>
    <row r="592" spans="1:10" x14ac:dyDescent="0.2">
      <c r="A592" s="502"/>
      <c r="B592" s="44"/>
      <c r="C592" s="44"/>
      <c r="D592" s="44"/>
      <c r="E592" s="44"/>
      <c r="F592" s="44"/>
      <c r="G592" s="44"/>
      <c r="H592" s="44"/>
      <c r="I592" s="44"/>
      <c r="J592" s="44"/>
    </row>
    <row r="593" spans="1:10" ht="56.25" customHeight="1" x14ac:dyDescent="0.2">
      <c r="A593" s="46" t="str">
        <f>'PLANILHA ORÇAMENTÁRIA'!A162</f>
        <v>16.4.2</v>
      </c>
      <c r="B593" s="47" t="str">
        <f>'PLANILHA ORÇAMENTÁRIA'!D162</f>
        <v>Aplicação de tinta epóxi de alta espessura semibrilhante sobre piso de concreto a três demãos, inclusive selador epóxi a uma demão - Ref. Intergard 2005 e 2001 - Internacional ou equivalente</v>
      </c>
      <c r="C593" s="48" t="s">
        <v>29</v>
      </c>
      <c r="D593" s="49" t="s">
        <v>399</v>
      </c>
      <c r="E593" s="49" t="s">
        <v>400</v>
      </c>
      <c r="F593" s="49" t="s">
        <v>401</v>
      </c>
      <c r="G593" s="49" t="s">
        <v>402</v>
      </c>
      <c r="H593" s="49" t="s">
        <v>403</v>
      </c>
      <c r="I593" s="49" t="s">
        <v>404</v>
      </c>
      <c r="J593" s="40" t="s">
        <v>405</v>
      </c>
    </row>
    <row r="594" spans="1:10" x14ac:dyDescent="0.2">
      <c r="A594" s="502"/>
      <c r="B594" s="45" t="s">
        <v>519</v>
      </c>
      <c r="C594" s="46"/>
      <c r="D594" s="46"/>
      <c r="E594" s="46"/>
      <c r="F594" s="46"/>
      <c r="G594" s="46"/>
      <c r="H594" s="46">
        <v>512.57000000000005</v>
      </c>
      <c r="I594" s="46"/>
      <c r="J594" s="46">
        <f>H594</f>
        <v>512.57000000000005</v>
      </c>
    </row>
    <row r="595" spans="1:10" x14ac:dyDescent="0.2">
      <c r="A595" s="502"/>
      <c r="B595" s="44"/>
      <c r="C595" s="44"/>
      <c r="D595" s="44"/>
      <c r="E595" s="44"/>
      <c r="F595" s="44"/>
      <c r="G595" s="44"/>
      <c r="H595" s="44"/>
      <c r="I595" s="57" t="s">
        <v>408</v>
      </c>
      <c r="J595" s="58">
        <f>SUM(J594)</f>
        <v>512.57000000000005</v>
      </c>
    </row>
    <row r="596" spans="1:10" x14ac:dyDescent="0.2">
      <c r="A596" s="502"/>
      <c r="B596" s="44"/>
      <c r="C596" s="44"/>
      <c r="D596" s="44"/>
      <c r="E596" s="44"/>
      <c r="F596" s="44"/>
      <c r="G596" s="44"/>
      <c r="H596" s="44"/>
      <c r="I596" s="44"/>
      <c r="J596" s="44"/>
    </row>
    <row r="597" spans="1:10" ht="15" x14ac:dyDescent="0.2">
      <c r="A597" s="33">
        <f>'PLANILHA ORÇAMENTÁRIA'!A164</f>
        <v>17</v>
      </c>
      <c r="B597" s="51" t="str">
        <f>'PLANILHA ORÇAMENTÁRIA'!D164</f>
        <v>SERVIÇOS COMPLEMENTARES EXTERNOS</v>
      </c>
      <c r="C597" s="52"/>
      <c r="D597" s="53"/>
      <c r="E597" s="53"/>
      <c r="F597" s="53"/>
      <c r="G597" s="53"/>
      <c r="H597" s="53"/>
      <c r="I597" s="53"/>
      <c r="J597" s="53"/>
    </row>
    <row r="598" spans="1:10" ht="15" x14ac:dyDescent="0.2">
      <c r="A598" s="54" t="str">
        <f>'PLANILHA ORÇAMENTÁRIA'!A165</f>
        <v>17.1</v>
      </c>
      <c r="B598" s="493" t="str">
        <f>'PLANILHA ORÇAMENTÁRIA'!D165</f>
        <v>TRATAMENTO, CONSERVAÇÃO E LIMPEZA</v>
      </c>
      <c r="C598" s="493"/>
      <c r="D598" s="493"/>
      <c r="E598" s="493"/>
      <c r="F598" s="493"/>
      <c r="G598" s="493"/>
      <c r="H598" s="493"/>
      <c r="I598" s="493"/>
      <c r="J598" s="493"/>
    </row>
    <row r="599" spans="1:10" ht="30" x14ac:dyDescent="0.2">
      <c r="A599" s="46" t="str">
        <f>'PLANILHA ORÇAMENTÁRIA'!A166</f>
        <v>17.1.1</v>
      </c>
      <c r="B599" s="47" t="str">
        <f>'PLANILHA ORÇAMENTÁRIA'!D166</f>
        <v xml:space="preserve">Limpeza geral de obras (quadras, praças e jardins) </v>
      </c>
      <c r="C599" s="48" t="s">
        <v>29</v>
      </c>
      <c r="D599" s="49" t="s">
        <v>399</v>
      </c>
      <c r="E599" s="49" t="s">
        <v>400</v>
      </c>
      <c r="F599" s="49" t="s">
        <v>401</v>
      </c>
      <c r="G599" s="49" t="s">
        <v>402</v>
      </c>
      <c r="H599" s="49" t="s">
        <v>403</v>
      </c>
      <c r="I599" s="49" t="s">
        <v>404</v>
      </c>
      <c r="J599" s="40" t="s">
        <v>405</v>
      </c>
    </row>
    <row r="600" spans="1:10" x14ac:dyDescent="0.2">
      <c r="A600" s="502"/>
      <c r="B600" s="45" t="s">
        <v>541</v>
      </c>
      <c r="C600" s="46">
        <v>586.87</v>
      </c>
      <c r="D600" s="46"/>
      <c r="E600" s="46"/>
      <c r="F600" s="46"/>
      <c r="G600" s="46"/>
      <c r="H600" s="46"/>
      <c r="I600" s="46"/>
      <c r="J600" s="46">
        <f>C600</f>
        <v>586.87</v>
      </c>
    </row>
    <row r="601" spans="1:10" x14ac:dyDescent="0.2">
      <c r="A601" s="502"/>
      <c r="B601" s="44"/>
      <c r="C601" s="44"/>
      <c r="D601" s="44"/>
      <c r="E601" s="44"/>
      <c r="F601" s="44"/>
      <c r="G601" s="44"/>
      <c r="H601" s="44"/>
      <c r="I601" s="57" t="s">
        <v>408</v>
      </c>
      <c r="J601" s="58">
        <f>SUM(J600)</f>
        <v>586.87</v>
      </c>
    </row>
    <row r="602" spans="1:10" x14ac:dyDescent="0.2">
      <c r="A602" s="502"/>
      <c r="B602" s="44"/>
      <c r="C602" s="44"/>
      <c r="D602" s="44"/>
      <c r="E602" s="44"/>
      <c r="F602" s="44"/>
      <c r="G602" s="44"/>
      <c r="H602" s="44"/>
      <c r="I602" s="44"/>
      <c r="J602" s="44"/>
    </row>
    <row r="603" spans="1:10" ht="15" x14ac:dyDescent="0.2">
      <c r="A603" s="54" t="str">
        <f>'PLANILHA ORÇAMENTÁRIA'!A167</f>
        <v>17.2</v>
      </c>
      <c r="B603" s="493" t="str">
        <f>'PLANILHA ORÇAMENTÁRIA'!D167</f>
        <v xml:space="preserve">QUADRA DE ESPORTES </v>
      </c>
      <c r="C603" s="493"/>
      <c r="D603" s="493"/>
      <c r="E603" s="493"/>
      <c r="F603" s="493"/>
      <c r="G603" s="493"/>
      <c r="H603" s="493"/>
      <c r="I603" s="493"/>
      <c r="J603" s="493"/>
    </row>
    <row r="604" spans="1:10" ht="48.75" customHeight="1" x14ac:dyDescent="0.2">
      <c r="A604" s="46" t="str">
        <f>'PLANILHA ORÇAMENTÁRIA'!A168</f>
        <v>17.2.1</v>
      </c>
      <c r="B604" s="47" t="str">
        <f>'PLANILHA ORÇAMENTÁRIA'!D168</f>
        <v>Conjunto de poste de voleibol de tubo de ferro galvanizado 3"e parte móvel de 21/2", inclusive carretilha, furo com tubo de ferro galvanizado de 31/2"e tampão de furo</v>
      </c>
      <c r="C604" s="48" t="s">
        <v>29</v>
      </c>
      <c r="D604" s="49" t="s">
        <v>399</v>
      </c>
      <c r="E604" s="49" t="s">
        <v>400</v>
      </c>
      <c r="F604" s="49" t="s">
        <v>401</v>
      </c>
      <c r="G604" s="49" t="s">
        <v>402</v>
      </c>
      <c r="H604" s="49" t="s">
        <v>403</v>
      </c>
      <c r="I604" s="49" t="s">
        <v>404</v>
      </c>
      <c r="J604" s="40" t="s">
        <v>405</v>
      </c>
    </row>
    <row r="605" spans="1:10" x14ac:dyDescent="0.2">
      <c r="A605" s="502"/>
      <c r="B605" s="45" t="s">
        <v>519</v>
      </c>
      <c r="C605" s="46"/>
      <c r="D605" s="46">
        <v>1</v>
      </c>
      <c r="E605" s="46"/>
      <c r="F605" s="46"/>
      <c r="G605" s="46"/>
      <c r="H605" s="46"/>
      <c r="I605" s="46"/>
      <c r="J605" s="46">
        <f>D605</f>
        <v>1</v>
      </c>
    </row>
    <row r="606" spans="1:10" x14ac:dyDescent="0.2">
      <c r="A606" s="502"/>
      <c r="B606" s="44"/>
      <c r="C606" s="44"/>
      <c r="D606" s="44"/>
      <c r="E606" s="44"/>
      <c r="F606" s="44"/>
      <c r="G606" s="44"/>
      <c r="H606" s="44"/>
      <c r="I606" s="57" t="s">
        <v>408</v>
      </c>
      <c r="J606" s="58">
        <f>SUM(J605)</f>
        <v>1</v>
      </c>
    </row>
    <row r="607" spans="1:10" x14ac:dyDescent="0.2">
      <c r="A607" s="502"/>
      <c r="B607" s="44"/>
      <c r="C607" s="44"/>
      <c r="D607" s="44"/>
      <c r="E607" s="44"/>
      <c r="F607" s="44"/>
      <c r="G607" s="44"/>
      <c r="H607" s="44"/>
      <c r="I607" s="44"/>
      <c r="J607" s="44"/>
    </row>
    <row r="608" spans="1:10" ht="76.5" customHeight="1" x14ac:dyDescent="0.2">
      <c r="A608" s="46" t="str">
        <f>'PLANILHA ORÇAMENTÁRIA'!A169</f>
        <v>17.2.2</v>
      </c>
      <c r="B608" s="47" t="str">
        <f>'PLANILHA ORÇAMENTÁRIA'!D169</f>
        <v>Forn e assent de telhas de liga de alumínio e zinco (galvalume), ondulada, esp. mínima 0.43mm, alt. mínima de onda 17mm, sobrep. lateral de uma onda e longit. 200mm c/ mínimo de 3 apoios, assent. c/ utiliz. de fitas anti-corrosiva</v>
      </c>
      <c r="C608" s="48" t="s">
        <v>29</v>
      </c>
      <c r="D608" s="49" t="s">
        <v>399</v>
      </c>
      <c r="E608" s="49" t="s">
        <v>400</v>
      </c>
      <c r="F608" s="49" t="s">
        <v>401</v>
      </c>
      <c r="G608" s="49" t="s">
        <v>402</v>
      </c>
      <c r="H608" s="49" t="s">
        <v>403</v>
      </c>
      <c r="I608" s="49" t="s">
        <v>404</v>
      </c>
      <c r="J608" s="40" t="s">
        <v>405</v>
      </c>
    </row>
    <row r="609" spans="1:10" ht="15" customHeight="1" x14ac:dyDescent="0.2">
      <c r="A609" s="502"/>
      <c r="B609" s="45" t="s">
        <v>542</v>
      </c>
      <c r="C609" s="46"/>
      <c r="D609" s="46"/>
      <c r="E609" s="46">
        <v>29.71</v>
      </c>
      <c r="F609" s="46"/>
      <c r="G609" s="46">
        <v>4</v>
      </c>
      <c r="H609" s="46">
        <f>G609*E609</f>
        <v>118.84</v>
      </c>
      <c r="I609" s="46"/>
      <c r="J609" s="46">
        <f>H609</f>
        <v>118.84</v>
      </c>
    </row>
    <row r="610" spans="1:10" ht="15" customHeight="1" x14ac:dyDescent="0.2">
      <c r="A610" s="502"/>
      <c r="B610" s="44"/>
      <c r="C610" s="44"/>
      <c r="D610" s="44"/>
      <c r="E610" s="44"/>
      <c r="F610" s="44"/>
      <c r="G610" s="44"/>
      <c r="H610" s="44"/>
      <c r="I610" s="57" t="s">
        <v>408</v>
      </c>
      <c r="J610" s="58">
        <f>SUM(J609)</f>
        <v>118.84</v>
      </c>
    </row>
    <row r="611" spans="1:10" ht="15" customHeight="1" x14ac:dyDescent="0.2">
      <c r="A611" s="502"/>
      <c r="B611" s="44"/>
      <c r="C611" s="44"/>
      <c r="D611" s="44"/>
      <c r="E611" s="44"/>
      <c r="F611" s="44"/>
      <c r="G611" s="44"/>
      <c r="H611" s="44"/>
      <c r="I611" s="44"/>
      <c r="J611" s="44"/>
    </row>
    <row r="612" spans="1:10" ht="15" x14ac:dyDescent="0.2">
      <c r="A612" s="33">
        <f>'PLANILHA ORÇAMENTÁRIA'!A171</f>
        <v>18</v>
      </c>
      <c r="B612" s="51" t="str">
        <f>'PLANILHA ORÇAMENTÁRIA'!D171</f>
        <v>SERVIÇOS COMPLEMENTARES INTERNOS</v>
      </c>
      <c r="C612" s="52"/>
      <c r="D612" s="53"/>
      <c r="E612" s="53"/>
      <c r="F612" s="53"/>
      <c r="G612" s="53"/>
      <c r="H612" s="53"/>
      <c r="I612" s="53"/>
      <c r="J612" s="53"/>
    </row>
    <row r="613" spans="1:10" ht="15" x14ac:dyDescent="0.2">
      <c r="A613" s="54" t="str">
        <f>'PLANILHA ORÇAMENTÁRIA'!A172</f>
        <v>18.1</v>
      </c>
      <c r="B613" s="493" t="str">
        <f>'PLANILHA ORÇAMENTÁRIA'!D172</f>
        <v>DIVERSOS INTERNOS</v>
      </c>
      <c r="C613" s="493"/>
      <c r="D613" s="493"/>
      <c r="E613" s="493"/>
      <c r="F613" s="493"/>
      <c r="G613" s="493"/>
      <c r="H613" s="493"/>
      <c r="I613" s="493"/>
      <c r="J613" s="493"/>
    </row>
    <row r="614" spans="1:10" ht="42" customHeight="1" x14ac:dyDescent="0.2">
      <c r="A614" s="46" t="str">
        <f>'PLANILHA ORÇAMENTÁRIA'!A173</f>
        <v>18.1.1</v>
      </c>
      <c r="B614" s="47" t="str">
        <f>'PLANILHA ORÇAMENTÁRIA'!D173</f>
        <v>Corrimão de tubo de ferro galvanizado diâmetro 3" com chumbadores a cada 1.50m, inclusive pintura a óleo ou esmalte</v>
      </c>
      <c r="C614" s="48" t="s">
        <v>29</v>
      </c>
      <c r="D614" s="49" t="s">
        <v>399</v>
      </c>
      <c r="E614" s="49" t="s">
        <v>400</v>
      </c>
      <c r="F614" s="49" t="s">
        <v>401</v>
      </c>
      <c r="G614" s="49" t="s">
        <v>402</v>
      </c>
      <c r="H614" s="49" t="s">
        <v>403</v>
      </c>
      <c r="I614" s="49" t="s">
        <v>404</v>
      </c>
      <c r="J614" s="40" t="s">
        <v>405</v>
      </c>
    </row>
    <row r="615" spans="1:10" ht="15" customHeight="1" x14ac:dyDescent="0.2">
      <c r="A615" s="487"/>
      <c r="B615" s="503" t="s">
        <v>543</v>
      </c>
      <c r="C615" s="44"/>
      <c r="D615" s="44"/>
      <c r="E615" s="55">
        <v>6.31</v>
      </c>
      <c r="F615" s="55"/>
      <c r="G615" s="55"/>
      <c r="H615" s="55"/>
      <c r="I615" s="55"/>
      <c r="J615" s="55">
        <f>E615</f>
        <v>6.31</v>
      </c>
    </row>
    <row r="616" spans="1:10" ht="15" customHeight="1" x14ac:dyDescent="0.2">
      <c r="A616" s="488"/>
      <c r="B616" s="504"/>
      <c r="C616" s="44"/>
      <c r="D616" s="44"/>
      <c r="E616" s="55">
        <v>0.95</v>
      </c>
      <c r="F616" s="55"/>
      <c r="G616" s="55"/>
      <c r="H616" s="55"/>
      <c r="I616" s="55"/>
      <c r="J616" s="55">
        <f>E616</f>
        <v>0.95</v>
      </c>
    </row>
    <row r="617" spans="1:10" ht="15" customHeight="1" x14ac:dyDescent="0.2">
      <c r="A617" s="488"/>
      <c r="B617" s="45" t="s">
        <v>544</v>
      </c>
      <c r="C617" s="44"/>
      <c r="D617" s="44"/>
      <c r="E617" s="55">
        <v>3.03</v>
      </c>
      <c r="F617" s="55"/>
      <c r="G617" s="55"/>
      <c r="H617" s="55"/>
      <c r="I617" s="55"/>
      <c r="J617" s="55">
        <f>E617</f>
        <v>3.03</v>
      </c>
    </row>
    <row r="618" spans="1:10" ht="15" customHeight="1" x14ac:dyDescent="0.2">
      <c r="A618" s="488"/>
      <c r="B618" s="45"/>
      <c r="C618" s="44"/>
      <c r="D618" s="44"/>
      <c r="E618" s="44"/>
      <c r="F618" s="44"/>
      <c r="G618" s="44"/>
      <c r="H618" s="44"/>
      <c r="I618" s="57" t="s">
        <v>408</v>
      </c>
      <c r="J618" s="58">
        <f>SUM(J615:J617)</f>
        <v>10.29</v>
      </c>
    </row>
    <row r="619" spans="1:10" ht="15" customHeight="1" x14ac:dyDescent="0.2">
      <c r="A619" s="489"/>
      <c r="B619" s="268"/>
      <c r="C619" s="44"/>
      <c r="D619" s="44"/>
      <c r="E619" s="44"/>
      <c r="F619" s="44"/>
      <c r="G619" s="44"/>
      <c r="H619" s="44"/>
      <c r="I619" s="57"/>
      <c r="J619" s="58"/>
    </row>
    <row r="620" spans="1:10" ht="30" x14ac:dyDescent="0.2">
      <c r="A620" s="46" t="str">
        <f>'PLANILHA ORÇAMENTÁRIA'!A174</f>
        <v>18.1.2</v>
      </c>
      <c r="B620" s="65" t="str">
        <f>'PLANILHA ORÇAMENTÁRIA'!D174</f>
        <v>Barra de apoio em "L", em aço inox polido 80 x 80 cm, fixada na parede - fornecimento e instalação.</v>
      </c>
      <c r="C620" s="48" t="str">
        <f>'PLANILHA ORÇAMENTÁRIA'!E174</f>
        <v>und</v>
      </c>
      <c r="D620" s="49" t="s">
        <v>399</v>
      </c>
      <c r="E620" s="49" t="s">
        <v>400</v>
      </c>
      <c r="F620" s="49" t="s">
        <v>401</v>
      </c>
      <c r="G620" s="49" t="s">
        <v>402</v>
      </c>
      <c r="H620" s="49" t="s">
        <v>403</v>
      </c>
      <c r="I620" s="49" t="s">
        <v>404</v>
      </c>
      <c r="J620" s="40" t="s">
        <v>405</v>
      </c>
    </row>
    <row r="621" spans="1:10" x14ac:dyDescent="0.2">
      <c r="A621" s="516"/>
      <c r="B621" s="461" t="s">
        <v>795</v>
      </c>
      <c r="C621" s="105"/>
      <c r="D621" s="320">
        <v>1</v>
      </c>
      <c r="E621" s="55"/>
      <c r="F621" s="55"/>
      <c r="G621" s="55"/>
      <c r="H621" s="55"/>
      <c r="I621" s="55"/>
      <c r="J621" s="320">
        <f>D621</f>
        <v>1</v>
      </c>
    </row>
    <row r="622" spans="1:10" x14ac:dyDescent="0.2">
      <c r="A622" s="516"/>
      <c r="B622" s="461" t="s">
        <v>796</v>
      </c>
      <c r="C622" s="105"/>
      <c r="D622" s="320">
        <v>1</v>
      </c>
      <c r="E622" s="55"/>
      <c r="F622" s="55"/>
      <c r="G622" s="55"/>
      <c r="H622" s="55"/>
      <c r="I622" s="55"/>
      <c r="J622" s="320">
        <f>D622</f>
        <v>1</v>
      </c>
    </row>
    <row r="623" spans="1:10" x14ac:dyDescent="0.2">
      <c r="A623" s="502"/>
      <c r="B623" s="185"/>
      <c r="C623" s="44"/>
      <c r="D623" s="44"/>
      <c r="E623" s="55"/>
      <c r="F623" s="55"/>
      <c r="G623" s="55"/>
      <c r="H623" s="55"/>
      <c r="I623" s="190" t="s">
        <v>408</v>
      </c>
      <c r="J623" s="191">
        <f>SUM(J621:J622)</f>
        <v>2</v>
      </c>
    </row>
    <row r="624" spans="1:10" x14ac:dyDescent="0.2">
      <c r="A624" s="502"/>
      <c r="B624" s="45"/>
      <c r="C624" s="44"/>
      <c r="D624" s="44"/>
      <c r="E624" s="44"/>
      <c r="F624" s="44"/>
      <c r="G624" s="44"/>
      <c r="H624" s="189"/>
      <c r="I624" s="463"/>
      <c r="J624" s="463"/>
    </row>
    <row r="625" spans="1:10" ht="30" x14ac:dyDescent="0.2">
      <c r="A625" s="46" t="str">
        <f>'PLANILHA ORÇAMENTÁRIA'!A175</f>
        <v>18.1.3</v>
      </c>
      <c r="B625" s="47" t="str">
        <f>'PLANILHA ORÇAMENTÁRIA'!D175</f>
        <v>Saboneteira plástica tipo dispenser para sabonete líquido com reservatório 800 a 1500 ml, incluso fixação.</v>
      </c>
      <c r="C625" s="48" t="str">
        <f>'PLANILHA ORÇAMENTÁRIA'!E175</f>
        <v>und</v>
      </c>
      <c r="D625" s="49" t="s">
        <v>399</v>
      </c>
      <c r="E625" s="49" t="s">
        <v>400</v>
      </c>
      <c r="F625" s="49" t="s">
        <v>401</v>
      </c>
      <c r="G625" s="49" t="s">
        <v>402</v>
      </c>
      <c r="H625" s="462" t="s">
        <v>403</v>
      </c>
      <c r="I625" s="36" t="s">
        <v>404</v>
      </c>
      <c r="J625" s="464" t="s">
        <v>405</v>
      </c>
    </row>
    <row r="626" spans="1:10" x14ac:dyDescent="0.2">
      <c r="A626" s="502"/>
      <c r="B626" s="461" t="s">
        <v>795</v>
      </c>
      <c r="C626" s="105"/>
      <c r="D626" s="320">
        <v>1</v>
      </c>
      <c r="E626" s="55"/>
      <c r="F626" s="55"/>
      <c r="G626" s="55"/>
      <c r="H626" s="55"/>
      <c r="I626" s="55"/>
      <c r="J626" s="320">
        <f>D626</f>
        <v>1</v>
      </c>
    </row>
    <row r="627" spans="1:10" x14ac:dyDescent="0.2">
      <c r="A627" s="502"/>
      <c r="B627" s="461" t="s">
        <v>796</v>
      </c>
      <c r="C627" s="105"/>
      <c r="D627" s="320">
        <v>1</v>
      </c>
      <c r="E627" s="55"/>
      <c r="F627" s="55"/>
      <c r="G627" s="55"/>
      <c r="H627" s="55"/>
      <c r="I627" s="55"/>
      <c r="J627" s="320">
        <f>D627</f>
        <v>1</v>
      </c>
    </row>
    <row r="628" spans="1:10" x14ac:dyDescent="0.2">
      <c r="A628" s="502"/>
      <c r="B628" s="185"/>
      <c r="C628" s="44"/>
      <c r="D628" s="44"/>
      <c r="E628" s="55"/>
      <c r="F628" s="55"/>
      <c r="G628" s="55"/>
      <c r="H628" s="55"/>
      <c r="I628" s="190" t="s">
        <v>408</v>
      </c>
      <c r="J628" s="191">
        <f>SUM(J626:J627)</f>
        <v>2</v>
      </c>
    </row>
    <row r="629" spans="1:10" x14ac:dyDescent="0.2">
      <c r="A629" s="502"/>
      <c r="B629" s="45"/>
      <c r="C629" s="44"/>
      <c r="D629" s="44"/>
      <c r="E629" s="44"/>
      <c r="F629" s="44"/>
      <c r="G629" s="44"/>
      <c r="H629" s="44"/>
      <c r="I629" s="57"/>
      <c r="J629" s="58"/>
    </row>
    <row r="630" spans="1:10" ht="30" x14ac:dyDescent="0.2">
      <c r="A630" s="46" t="str">
        <f>'PLANILHA ORÇAMENTÁRIA'!A176</f>
        <v>18.1.4</v>
      </c>
      <c r="B630" s="47" t="str">
        <f>'PLANILHA ORÇAMENTÁRIA'!D176</f>
        <v>Porta papel toalha plástica tipo dispenser, capacidade para aproximadamente 750 folhas, incluso fixação.</v>
      </c>
      <c r="C630" s="48" t="str">
        <f>'PLANILHA ORÇAMENTÁRIA'!E176</f>
        <v>und</v>
      </c>
      <c r="D630" s="49" t="s">
        <v>399</v>
      </c>
      <c r="E630" s="49" t="s">
        <v>400</v>
      </c>
      <c r="F630" s="49" t="s">
        <v>401</v>
      </c>
      <c r="G630" s="49" t="s">
        <v>402</v>
      </c>
      <c r="H630" s="49" t="s">
        <v>403</v>
      </c>
      <c r="I630" s="49" t="s">
        <v>404</v>
      </c>
      <c r="J630" s="40" t="s">
        <v>405</v>
      </c>
    </row>
    <row r="631" spans="1:10" x14ac:dyDescent="0.2">
      <c r="A631" s="502"/>
      <c r="B631" s="461" t="s">
        <v>795</v>
      </c>
      <c r="C631" s="105"/>
      <c r="D631" s="320">
        <v>1</v>
      </c>
      <c r="E631" s="55"/>
      <c r="F631" s="55"/>
      <c r="G631" s="55"/>
      <c r="H631" s="55"/>
      <c r="I631" s="55"/>
      <c r="J631" s="320">
        <f>D631</f>
        <v>1</v>
      </c>
    </row>
    <row r="632" spans="1:10" x14ac:dyDescent="0.2">
      <c r="A632" s="502"/>
      <c r="B632" s="461" t="s">
        <v>796</v>
      </c>
      <c r="C632" s="105"/>
      <c r="D632" s="320">
        <v>1</v>
      </c>
      <c r="E632" s="55"/>
      <c r="F632" s="55"/>
      <c r="G632" s="55"/>
      <c r="H632" s="55"/>
      <c r="I632" s="55"/>
      <c r="J632" s="320">
        <f>D632</f>
        <v>1</v>
      </c>
    </row>
    <row r="633" spans="1:10" x14ac:dyDescent="0.2">
      <c r="A633" s="502"/>
      <c r="B633" s="185"/>
      <c r="C633" s="44"/>
      <c r="D633" s="44"/>
      <c r="E633" s="55"/>
      <c r="F633" s="55"/>
      <c r="G633" s="55"/>
      <c r="H633" s="55"/>
      <c r="I633" s="190" t="s">
        <v>408</v>
      </c>
      <c r="J633" s="191">
        <f>SUM(J631:J632)</f>
        <v>2</v>
      </c>
    </row>
    <row r="634" spans="1:10" x14ac:dyDescent="0.2">
      <c r="A634" s="502"/>
      <c r="B634" s="45"/>
      <c r="C634" s="44"/>
      <c r="D634" s="44"/>
      <c r="E634" s="44"/>
      <c r="F634" s="44"/>
      <c r="G634" s="44"/>
      <c r="H634" s="44"/>
      <c r="I634" s="57"/>
      <c r="J634" s="58"/>
    </row>
    <row r="635" spans="1:10" ht="30" x14ac:dyDescent="0.2">
      <c r="A635" s="46" t="str">
        <f>'PLANILHA ORÇAMENTÁRIA'!A177</f>
        <v>18.1.5</v>
      </c>
      <c r="B635" s="47" t="str">
        <f>'PLANILHA ORÇAMENTÁRIA'!D177</f>
        <v>Papeleira de parede em metal cromado sem tampa, incluso fixação.</v>
      </c>
      <c r="C635" s="48" t="str">
        <f>'PLANILHA ORÇAMENTÁRIA'!E177</f>
        <v>und</v>
      </c>
      <c r="D635" s="49" t="s">
        <v>399</v>
      </c>
      <c r="E635" s="49" t="s">
        <v>400</v>
      </c>
      <c r="F635" s="49" t="s">
        <v>401</v>
      </c>
      <c r="G635" s="49" t="s">
        <v>402</v>
      </c>
      <c r="H635" s="49" t="s">
        <v>403</v>
      </c>
      <c r="I635" s="49" t="s">
        <v>404</v>
      </c>
      <c r="J635" s="40" t="s">
        <v>405</v>
      </c>
    </row>
    <row r="636" spans="1:10" x14ac:dyDescent="0.2">
      <c r="A636" s="502"/>
      <c r="B636" s="461" t="s">
        <v>795</v>
      </c>
      <c r="C636" s="105"/>
      <c r="D636" s="320">
        <v>1</v>
      </c>
      <c r="E636" s="55"/>
      <c r="F636" s="55"/>
      <c r="G636" s="55"/>
      <c r="H636" s="55"/>
      <c r="I636" s="55"/>
      <c r="J636" s="320">
        <f>D636</f>
        <v>1</v>
      </c>
    </row>
    <row r="637" spans="1:10" x14ac:dyDescent="0.2">
      <c r="A637" s="502"/>
      <c r="B637" s="461" t="s">
        <v>796</v>
      </c>
      <c r="C637" s="105"/>
      <c r="D637" s="320">
        <v>1</v>
      </c>
      <c r="E637" s="55"/>
      <c r="F637" s="55"/>
      <c r="G637" s="55"/>
      <c r="H637" s="55"/>
      <c r="I637" s="55"/>
      <c r="J637" s="320">
        <f>D637</f>
        <v>1</v>
      </c>
    </row>
    <row r="638" spans="1:10" x14ac:dyDescent="0.2">
      <c r="A638" s="502"/>
      <c r="B638" s="185"/>
      <c r="C638" s="44"/>
      <c r="D638" s="44"/>
      <c r="E638" s="55"/>
      <c r="F638" s="55"/>
      <c r="G638" s="55"/>
      <c r="H638" s="55"/>
      <c r="I638" s="190" t="s">
        <v>408</v>
      </c>
      <c r="J638" s="191">
        <f>SUM(J636:J637)</f>
        <v>2</v>
      </c>
    </row>
    <row r="639" spans="1:10" x14ac:dyDescent="0.2">
      <c r="A639" s="502"/>
      <c r="B639" s="45"/>
      <c r="C639" s="44"/>
      <c r="D639" s="44"/>
      <c r="E639" s="44"/>
      <c r="F639" s="44"/>
      <c r="G639" s="44"/>
      <c r="H639" s="44"/>
      <c r="I639" s="57"/>
      <c r="J639" s="58"/>
    </row>
  </sheetData>
  <mergeCells count="155">
    <mergeCell ref="A621:A624"/>
    <mergeCell ref="A626:A629"/>
    <mergeCell ref="A631:A634"/>
    <mergeCell ref="A636:A639"/>
    <mergeCell ref="A615:A619"/>
    <mergeCell ref="A1:J1"/>
    <mergeCell ref="A2:J2"/>
    <mergeCell ref="A3:J3"/>
    <mergeCell ref="A4:J4"/>
    <mergeCell ref="A5:J5"/>
    <mergeCell ref="B8:J8"/>
    <mergeCell ref="A10:A13"/>
    <mergeCell ref="A24:A29"/>
    <mergeCell ref="A109:A111"/>
    <mergeCell ref="A46:A49"/>
    <mergeCell ref="A64:A67"/>
    <mergeCell ref="A69:A72"/>
    <mergeCell ref="A31:A44"/>
    <mergeCell ref="B53:B54"/>
    <mergeCell ref="A58:A62"/>
    <mergeCell ref="A74:A78"/>
    <mergeCell ref="A80:A82"/>
    <mergeCell ref="B18:B19"/>
    <mergeCell ref="B104:B105"/>
    <mergeCell ref="B16:B17"/>
    <mergeCell ref="A15:A22"/>
    <mergeCell ref="B341:J341"/>
    <mergeCell ref="A263:A265"/>
    <mergeCell ref="B267:J267"/>
    <mergeCell ref="A269:A272"/>
    <mergeCell ref="B280:J280"/>
    <mergeCell ref="A287:A290"/>
    <mergeCell ref="B292:J292"/>
    <mergeCell ref="A294:A297"/>
    <mergeCell ref="B299:J299"/>
    <mergeCell ref="A311:A314"/>
    <mergeCell ref="A301:A303"/>
    <mergeCell ref="B304:J304"/>
    <mergeCell ref="A51:A56"/>
    <mergeCell ref="B92:B94"/>
    <mergeCell ref="B100:B101"/>
    <mergeCell ref="A91:A107"/>
    <mergeCell ref="A187:A203"/>
    <mergeCell ref="B51:B52"/>
    <mergeCell ref="B615:B616"/>
    <mergeCell ref="B350:B351"/>
    <mergeCell ref="A205:A211"/>
    <mergeCell ref="A213:A217"/>
    <mergeCell ref="B323:J323"/>
    <mergeCell ref="A220:A232"/>
    <mergeCell ref="B522:J522"/>
    <mergeCell ref="A117:A119"/>
    <mergeCell ref="B613:J613"/>
    <mergeCell ref="B485:J485"/>
    <mergeCell ref="A128:A130"/>
    <mergeCell ref="A132:A135"/>
    <mergeCell ref="B174:J174"/>
    <mergeCell ref="B218:J218"/>
    <mergeCell ref="B156:J156"/>
    <mergeCell ref="A158:A172"/>
    <mergeCell ref="A487:A490"/>
    <mergeCell ref="A492:A495"/>
    <mergeCell ref="A306:A308"/>
    <mergeCell ref="A594:A596"/>
    <mergeCell ref="B390:J390"/>
    <mergeCell ref="B395:J395"/>
    <mergeCell ref="B598:J598"/>
    <mergeCell ref="A240:A247"/>
    <mergeCell ref="A609:A611"/>
    <mergeCell ref="A365:A368"/>
    <mergeCell ref="A605:A607"/>
    <mergeCell ref="B563:J563"/>
    <mergeCell ref="B126:J126"/>
    <mergeCell ref="B316:J316"/>
    <mergeCell ref="A318:A321"/>
    <mergeCell ref="I566:I567"/>
    <mergeCell ref="A566:A569"/>
    <mergeCell ref="B570:J570"/>
    <mergeCell ref="B588:J588"/>
    <mergeCell ref="A590:A592"/>
    <mergeCell ref="A537:A562"/>
    <mergeCell ref="A505:A510"/>
    <mergeCell ref="B535:J535"/>
    <mergeCell ref="B352:B353"/>
    <mergeCell ref="A234:A238"/>
    <mergeCell ref="B410:J410"/>
    <mergeCell ref="A249:A256"/>
    <mergeCell ref="B603:J603"/>
    <mergeCell ref="B250:B251"/>
    <mergeCell ref="B252:B253"/>
    <mergeCell ref="A471:A474"/>
    <mergeCell ref="A476:A479"/>
    <mergeCell ref="B538:B540"/>
    <mergeCell ref="B546:B547"/>
    <mergeCell ref="B550:B551"/>
    <mergeCell ref="A524:A529"/>
    <mergeCell ref="A531:A533"/>
    <mergeCell ref="A600:A602"/>
    <mergeCell ref="B379:J379"/>
    <mergeCell ref="A150:A155"/>
    <mergeCell ref="B400:J400"/>
    <mergeCell ref="B405:J405"/>
    <mergeCell ref="B465:J465"/>
    <mergeCell ref="B503:J503"/>
    <mergeCell ref="A348:A356"/>
    <mergeCell ref="B358:J358"/>
    <mergeCell ref="B496:J496"/>
    <mergeCell ref="A498:A501"/>
    <mergeCell ref="A375:A378"/>
    <mergeCell ref="B385:J385"/>
    <mergeCell ref="A412:A414"/>
    <mergeCell ref="A381:A383"/>
    <mergeCell ref="B433:J433"/>
    <mergeCell ref="B309:J309"/>
    <mergeCell ref="A370:A373"/>
    <mergeCell ref="A481:A483"/>
    <mergeCell ref="A512:A516"/>
    <mergeCell ref="A518:A521"/>
    <mergeCell ref="B181:B182"/>
    <mergeCell ref="A84:A89"/>
    <mergeCell ref="A360:A363"/>
    <mergeCell ref="B318:B319"/>
    <mergeCell ref="A343:A346"/>
    <mergeCell ref="A325:A334"/>
    <mergeCell ref="A144:A147"/>
    <mergeCell ref="A176:A179"/>
    <mergeCell ref="A181:A185"/>
    <mergeCell ref="A113:A115"/>
    <mergeCell ref="B460:J460"/>
    <mergeCell ref="A121:A124"/>
    <mergeCell ref="A259:A261"/>
    <mergeCell ref="A572:A587"/>
    <mergeCell ref="A282:A285"/>
    <mergeCell ref="A137:A140"/>
    <mergeCell ref="B274:J274"/>
    <mergeCell ref="B335:J335"/>
    <mergeCell ref="A337:A339"/>
    <mergeCell ref="I577:I585"/>
    <mergeCell ref="B257:J257"/>
    <mergeCell ref="A387:A389"/>
    <mergeCell ref="A392:A394"/>
    <mergeCell ref="A397:A399"/>
    <mergeCell ref="A402:A404"/>
    <mergeCell ref="A407:A409"/>
    <mergeCell ref="A416:A418"/>
    <mergeCell ref="A420:A422"/>
    <mergeCell ref="A424:A426"/>
    <mergeCell ref="A428:A432"/>
    <mergeCell ref="A435:A440"/>
    <mergeCell ref="A442:A445"/>
    <mergeCell ref="A447:A451"/>
    <mergeCell ref="A453:A455"/>
    <mergeCell ref="A457:A459"/>
    <mergeCell ref="A462:A464"/>
    <mergeCell ref="A467:A469"/>
  </mergeCells>
  <pageMargins left="0.7" right="0.7" top="0.75" bottom="0.75" header="0.3" footer="0.3"/>
  <pageSetup paperSize="9" scale="48"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J50"/>
  <sheetViews>
    <sheetView view="pageBreakPreview" zoomScaleNormal="100" zoomScaleSheetLayoutView="100" workbookViewId="0">
      <selection activeCell="C21" sqref="C21"/>
    </sheetView>
  </sheetViews>
  <sheetFormatPr defaultColWidth="9.140625" defaultRowHeight="12.75" x14ac:dyDescent="0.2"/>
  <cols>
    <col min="1" max="1" width="9.140625" style="383"/>
    <col min="2" max="2" width="10.7109375" style="381" customWidth="1"/>
    <col min="3" max="3" width="73.5703125" style="382" customWidth="1"/>
    <col min="4" max="4" width="12.7109375" style="382" customWidth="1"/>
    <col min="5" max="5" width="13.140625" style="381" customWidth="1"/>
    <col min="6" max="16384" width="9.140625" style="383"/>
  </cols>
  <sheetData>
    <row r="2" spans="2:10" s="321" customFormat="1" ht="21.75" customHeight="1" x14ac:dyDescent="0.2">
      <c r="B2" s="542"/>
      <c r="C2" s="545" t="s">
        <v>0</v>
      </c>
      <c r="D2" s="546"/>
      <c r="E2" s="547"/>
      <c r="F2" s="383"/>
      <c r="G2" s="383"/>
      <c r="H2" s="383"/>
      <c r="I2" s="383"/>
      <c r="J2" s="383"/>
    </row>
    <row r="3" spans="2:10" s="321" customFormat="1" ht="30" customHeight="1" x14ac:dyDescent="0.2">
      <c r="B3" s="543"/>
      <c r="C3" s="545" t="s">
        <v>670</v>
      </c>
      <c r="D3" s="546"/>
      <c r="E3" s="547"/>
      <c r="F3" s="383"/>
      <c r="G3" s="383"/>
      <c r="H3" s="383"/>
      <c r="I3" s="383"/>
      <c r="J3" s="383"/>
    </row>
    <row r="4" spans="2:10" s="321" customFormat="1" ht="20.100000000000001" customHeight="1" x14ac:dyDescent="0.2">
      <c r="B4" s="543"/>
      <c r="C4" s="545" t="s">
        <v>2</v>
      </c>
      <c r="D4" s="546"/>
      <c r="E4" s="547"/>
      <c r="F4" s="383"/>
      <c r="G4" s="383"/>
      <c r="H4" s="383"/>
      <c r="I4" s="383"/>
      <c r="J4" s="383"/>
    </row>
    <row r="5" spans="2:10" s="321" customFormat="1" ht="20.100000000000001" customHeight="1" x14ac:dyDescent="0.2">
      <c r="B5" s="544"/>
      <c r="C5" s="545" t="s">
        <v>611</v>
      </c>
      <c r="D5" s="546"/>
      <c r="E5" s="547"/>
      <c r="F5" s="383"/>
      <c r="G5" s="383"/>
      <c r="H5" s="383"/>
      <c r="I5" s="383"/>
      <c r="J5" s="383"/>
    </row>
    <row r="6" spans="2:10" s="321" customFormat="1" ht="9" customHeight="1" x14ac:dyDescent="0.2">
      <c r="B6" s="548"/>
      <c r="C6" s="548"/>
      <c r="D6" s="548"/>
      <c r="E6" s="548"/>
      <c r="F6" s="383"/>
      <c r="G6" s="383"/>
      <c r="H6" s="383"/>
      <c r="I6" s="383"/>
      <c r="J6" s="383"/>
    </row>
    <row r="7" spans="2:10" ht="15" customHeight="1" x14ac:dyDescent="0.2">
      <c r="B7" s="540" t="s">
        <v>671</v>
      </c>
      <c r="C7" s="540"/>
      <c r="D7" s="540"/>
      <c r="E7" s="384" t="s">
        <v>672</v>
      </c>
    </row>
    <row r="8" spans="2:10" x14ac:dyDescent="0.2">
      <c r="B8" s="384" t="s">
        <v>673</v>
      </c>
      <c r="C8" s="385" t="s">
        <v>674</v>
      </c>
      <c r="D8" s="385"/>
      <c r="E8" s="386">
        <v>0.2</v>
      </c>
    </row>
    <row r="9" spans="2:10" x14ac:dyDescent="0.2">
      <c r="B9" s="384" t="s">
        <v>675</v>
      </c>
      <c r="C9" s="385" t="s">
        <v>676</v>
      </c>
      <c r="D9" s="385"/>
      <c r="E9" s="386">
        <v>0.08</v>
      </c>
    </row>
    <row r="10" spans="2:10" x14ac:dyDescent="0.2">
      <c r="B10" s="384" t="s">
        <v>677</v>
      </c>
      <c r="C10" s="385" t="s">
        <v>678</v>
      </c>
      <c r="D10" s="385"/>
      <c r="E10" s="386">
        <v>1.7999999999999999E-2</v>
      </c>
    </row>
    <row r="11" spans="2:10" x14ac:dyDescent="0.2">
      <c r="B11" s="384" t="s">
        <v>679</v>
      </c>
      <c r="C11" s="385" t="s">
        <v>680</v>
      </c>
      <c r="D11" s="385"/>
      <c r="E11" s="386">
        <v>1.2999999999999999E-2</v>
      </c>
    </row>
    <row r="12" spans="2:10" x14ac:dyDescent="0.2">
      <c r="B12" s="384" t="s">
        <v>681</v>
      </c>
      <c r="C12" s="385" t="s">
        <v>682</v>
      </c>
      <c r="D12" s="385"/>
      <c r="E12" s="386" t="s">
        <v>683</v>
      </c>
    </row>
    <row r="13" spans="2:10" x14ac:dyDescent="0.2">
      <c r="B13" s="384" t="s">
        <v>684</v>
      </c>
      <c r="C13" s="385" t="s">
        <v>685</v>
      </c>
      <c r="D13" s="385"/>
      <c r="E13" s="386">
        <v>2E-3</v>
      </c>
    </row>
    <row r="14" spans="2:10" x14ac:dyDescent="0.2">
      <c r="B14" s="384" t="s">
        <v>686</v>
      </c>
      <c r="C14" s="385" t="s">
        <v>687</v>
      </c>
      <c r="D14" s="385"/>
      <c r="E14" s="386">
        <v>2.5000000000000001E-2</v>
      </c>
    </row>
    <row r="15" spans="2:10" x14ac:dyDescent="0.2">
      <c r="B15" s="384" t="s">
        <v>688</v>
      </c>
      <c r="C15" s="385" t="s">
        <v>689</v>
      </c>
      <c r="D15" s="385"/>
      <c r="E15" s="386">
        <v>0.03</v>
      </c>
    </row>
    <row r="16" spans="2:10" x14ac:dyDescent="0.2">
      <c r="B16" s="384" t="s">
        <v>690</v>
      </c>
      <c r="C16" s="385" t="s">
        <v>691</v>
      </c>
      <c r="D16" s="385"/>
      <c r="E16" s="386">
        <v>0.01</v>
      </c>
    </row>
    <row r="17" spans="2:5" ht="15" customHeight="1" x14ac:dyDescent="0.2">
      <c r="B17" s="540" t="s">
        <v>692</v>
      </c>
      <c r="C17" s="540"/>
      <c r="D17" s="540"/>
      <c r="E17" s="387">
        <f>SUM(E8:E16)</f>
        <v>0.37800000000000011</v>
      </c>
    </row>
    <row r="18" spans="2:5" x14ac:dyDescent="0.2">
      <c r="B18" s="549" t="s">
        <v>693</v>
      </c>
      <c r="C18" s="549"/>
      <c r="D18" s="388"/>
      <c r="E18" s="389" t="s">
        <v>672</v>
      </c>
    </row>
    <row r="19" spans="2:5" x14ac:dyDescent="0.2">
      <c r="B19" s="384" t="s">
        <v>694</v>
      </c>
      <c r="C19" s="385" t="s">
        <v>695</v>
      </c>
      <c r="D19" s="385"/>
      <c r="E19" s="386">
        <v>0.17519999999999999</v>
      </c>
    </row>
    <row r="20" spans="2:5" x14ac:dyDescent="0.2">
      <c r="B20" s="384" t="s">
        <v>696</v>
      </c>
      <c r="C20" s="385" t="s">
        <v>697</v>
      </c>
      <c r="D20" s="385"/>
      <c r="E20" s="386">
        <v>3.9100000000000003E-2</v>
      </c>
    </row>
    <row r="21" spans="2:5" x14ac:dyDescent="0.2">
      <c r="B21" s="384" t="s">
        <v>698</v>
      </c>
      <c r="C21" s="385" t="s">
        <v>699</v>
      </c>
      <c r="D21" s="385"/>
      <c r="E21" s="386">
        <v>7.6E-3</v>
      </c>
    </row>
    <row r="22" spans="2:5" x14ac:dyDescent="0.2">
      <c r="B22" s="384" t="s">
        <v>700</v>
      </c>
      <c r="C22" s="385" t="s">
        <v>701</v>
      </c>
      <c r="D22" s="385"/>
      <c r="E22" s="386">
        <v>1.1000000000000001E-3</v>
      </c>
    </row>
    <row r="23" spans="2:5" x14ac:dyDescent="0.2">
      <c r="B23" s="384" t="s">
        <v>702</v>
      </c>
      <c r="C23" s="385" t="s">
        <v>703</v>
      </c>
      <c r="D23" s="385"/>
      <c r="E23" s="386">
        <v>6.7000000000000002E-3</v>
      </c>
    </row>
    <row r="24" spans="2:5" x14ac:dyDescent="0.2">
      <c r="B24" s="384" t="s">
        <v>704</v>
      </c>
      <c r="C24" s="385" t="s">
        <v>705</v>
      </c>
      <c r="D24" s="385"/>
      <c r="E24" s="386">
        <v>0.1011</v>
      </c>
    </row>
    <row r="25" spans="2:5" x14ac:dyDescent="0.2">
      <c r="B25" s="384" t="s">
        <v>706</v>
      </c>
      <c r="C25" s="385" t="s">
        <v>707</v>
      </c>
      <c r="D25" s="385"/>
      <c r="E25" s="386">
        <v>3.3999999999999998E-3</v>
      </c>
    </row>
    <row r="26" spans="2:5" x14ac:dyDescent="0.2">
      <c r="B26" s="384" t="s">
        <v>708</v>
      </c>
      <c r="C26" s="385" t="s">
        <v>709</v>
      </c>
      <c r="D26" s="385"/>
      <c r="E26" s="390" t="s">
        <v>683</v>
      </c>
    </row>
    <row r="27" spans="2:5" x14ac:dyDescent="0.2">
      <c r="B27" s="384" t="s">
        <v>710</v>
      </c>
      <c r="C27" s="385" t="s">
        <v>711</v>
      </c>
      <c r="D27" s="385"/>
      <c r="E27" s="390" t="s">
        <v>683</v>
      </c>
    </row>
    <row r="28" spans="2:5" x14ac:dyDescent="0.2">
      <c r="B28" s="384" t="s">
        <v>712</v>
      </c>
      <c r="C28" s="385" t="s">
        <v>713</v>
      </c>
      <c r="D28" s="385"/>
      <c r="E28" s="390" t="s">
        <v>683</v>
      </c>
    </row>
    <row r="29" spans="2:5" x14ac:dyDescent="0.2">
      <c r="B29" s="384" t="s">
        <v>714</v>
      </c>
      <c r="C29" s="385" t="s">
        <v>715</v>
      </c>
      <c r="D29" s="385"/>
      <c r="E29" s="390" t="s">
        <v>683</v>
      </c>
    </row>
    <row r="30" spans="2:5" ht="15" customHeight="1" x14ac:dyDescent="0.2">
      <c r="B30" s="540" t="s">
        <v>716</v>
      </c>
      <c r="C30" s="540"/>
      <c r="D30" s="540"/>
      <c r="E30" s="391">
        <f>SUM(E19:E29)</f>
        <v>0.3342</v>
      </c>
    </row>
    <row r="31" spans="2:5" x14ac:dyDescent="0.2">
      <c r="B31" s="550" t="s">
        <v>717</v>
      </c>
      <c r="C31" s="550"/>
      <c r="D31" s="392"/>
      <c r="E31" s="389" t="s">
        <v>672</v>
      </c>
    </row>
    <row r="32" spans="2:5" x14ac:dyDescent="0.2">
      <c r="B32" s="384" t="s">
        <v>718</v>
      </c>
      <c r="C32" s="385" t="s">
        <v>719</v>
      </c>
      <c r="D32" s="385"/>
      <c r="E32" s="393">
        <v>5.3400000000000003E-2</v>
      </c>
    </row>
    <row r="33" spans="2:5" x14ac:dyDescent="0.2">
      <c r="B33" s="384" t="s">
        <v>720</v>
      </c>
      <c r="C33" s="385" t="s">
        <v>721</v>
      </c>
      <c r="D33" s="385"/>
      <c r="E33" s="393">
        <v>0.112</v>
      </c>
    </row>
    <row r="34" spans="2:5" x14ac:dyDescent="0.2">
      <c r="B34" s="384" t="s">
        <v>722</v>
      </c>
      <c r="C34" s="385" t="s">
        <v>723</v>
      </c>
      <c r="D34" s="385"/>
      <c r="E34" s="393">
        <v>0.1129</v>
      </c>
    </row>
    <row r="35" spans="2:5" x14ac:dyDescent="0.2">
      <c r="B35" s="384" t="s">
        <v>724</v>
      </c>
      <c r="C35" s="385" t="s">
        <v>725</v>
      </c>
      <c r="D35" s="385"/>
      <c r="E35" s="393">
        <v>8.9999999999999993E-3</v>
      </c>
    </row>
    <row r="36" spans="2:5" x14ac:dyDescent="0.2">
      <c r="B36" s="384" t="s">
        <v>726</v>
      </c>
      <c r="C36" s="385" t="s">
        <v>727</v>
      </c>
      <c r="D36" s="385"/>
      <c r="E36" s="393">
        <v>2.2599999999999999E-2</v>
      </c>
    </row>
    <row r="37" spans="2:5" x14ac:dyDescent="0.2">
      <c r="B37" s="384" t="s">
        <v>728</v>
      </c>
      <c r="C37" s="385" t="s">
        <v>729</v>
      </c>
      <c r="D37" s="385"/>
      <c r="E37" s="394" t="s">
        <v>683</v>
      </c>
    </row>
    <row r="38" spans="2:5" x14ac:dyDescent="0.2">
      <c r="B38" s="384" t="s">
        <v>730</v>
      </c>
      <c r="C38" s="385" t="s">
        <v>731</v>
      </c>
      <c r="D38" s="385"/>
      <c r="E38" s="394" t="s">
        <v>683</v>
      </c>
    </row>
    <row r="39" spans="2:5" ht="15" customHeight="1" x14ac:dyDescent="0.2">
      <c r="B39" s="540" t="s">
        <v>732</v>
      </c>
      <c r="C39" s="540"/>
      <c r="D39" s="540"/>
      <c r="E39" s="391">
        <f>SUM(E32:E38)</f>
        <v>0.30990000000000001</v>
      </c>
    </row>
    <row r="40" spans="2:5" x14ac:dyDescent="0.2">
      <c r="B40" s="539" t="s">
        <v>733</v>
      </c>
      <c r="C40" s="539"/>
      <c r="D40" s="395"/>
      <c r="E40" s="396" t="s">
        <v>672</v>
      </c>
    </row>
    <row r="41" spans="2:5" x14ac:dyDescent="0.2">
      <c r="B41" s="384" t="s">
        <v>734</v>
      </c>
      <c r="C41" s="385" t="s">
        <v>735</v>
      </c>
      <c r="D41" s="385"/>
      <c r="E41" s="386">
        <f>E17*E30</f>
        <v>0.12632760000000004</v>
      </c>
    </row>
    <row r="42" spans="2:5" ht="25.5" x14ac:dyDescent="0.2">
      <c r="B42" s="384" t="s">
        <v>736</v>
      </c>
      <c r="C42" s="397" t="s">
        <v>737</v>
      </c>
      <c r="D42" s="397"/>
      <c r="E42" s="390" t="s">
        <v>683</v>
      </c>
    </row>
    <row r="43" spans="2:5" ht="15" customHeight="1" x14ac:dyDescent="0.2">
      <c r="B43" s="540" t="s">
        <v>738</v>
      </c>
      <c r="C43" s="540"/>
      <c r="D43" s="540"/>
      <c r="E43" s="387">
        <f>SUM(E41:E42)</f>
        <v>0.12632760000000004</v>
      </c>
    </row>
    <row r="44" spans="2:5" x14ac:dyDescent="0.2">
      <c r="B44" s="541" t="s">
        <v>739</v>
      </c>
      <c r="C44" s="541"/>
      <c r="D44" s="398"/>
      <c r="E44" s="389" t="s">
        <v>672</v>
      </c>
    </row>
    <row r="45" spans="2:5" x14ac:dyDescent="0.2">
      <c r="B45" s="384" t="s">
        <v>740</v>
      </c>
      <c r="C45" s="385" t="s">
        <v>741</v>
      </c>
      <c r="D45" s="385"/>
      <c r="E45" s="393">
        <v>0.25750000000000001</v>
      </c>
    </row>
    <row r="46" spans="2:5" x14ac:dyDescent="0.2">
      <c r="B46" s="384" t="s">
        <v>742</v>
      </c>
      <c r="C46" s="385" t="s">
        <v>743</v>
      </c>
      <c r="D46" s="385"/>
      <c r="E46" s="393">
        <v>6.0299999999999999E-2</v>
      </c>
    </row>
    <row r="47" spans="2:5" ht="25.5" x14ac:dyDescent="0.2">
      <c r="B47" s="384" t="s">
        <v>744</v>
      </c>
      <c r="C47" s="397" t="s">
        <v>745</v>
      </c>
      <c r="D47" s="397"/>
      <c r="E47" s="393">
        <v>2.6700000000000002E-2</v>
      </c>
    </row>
    <row r="48" spans="2:5" x14ac:dyDescent="0.2">
      <c r="B48" s="384" t="s">
        <v>746</v>
      </c>
      <c r="C48" s="385" t="s">
        <v>747</v>
      </c>
      <c r="D48" s="385"/>
      <c r="E48" s="393">
        <v>7.9799999999999996E-2</v>
      </c>
    </row>
    <row r="49" spans="2:5" x14ac:dyDescent="0.2">
      <c r="B49" s="540" t="s">
        <v>748</v>
      </c>
      <c r="C49" s="540"/>
      <c r="D49" s="384"/>
      <c r="E49" s="387">
        <v>0.42430000000000001</v>
      </c>
    </row>
    <row r="50" spans="2:5" ht="15" customHeight="1" x14ac:dyDescent="0.2">
      <c r="B50" s="540" t="s">
        <v>749</v>
      </c>
      <c r="C50" s="540"/>
      <c r="D50" s="540"/>
      <c r="E50" s="387">
        <f>E49+E39+E30+E17+E43</f>
        <v>1.5727276000000001</v>
      </c>
    </row>
  </sheetData>
  <mergeCells count="17">
    <mergeCell ref="B39:D39"/>
    <mergeCell ref="B2:B5"/>
    <mergeCell ref="C2:E2"/>
    <mergeCell ref="C3:E3"/>
    <mergeCell ref="C4:E4"/>
    <mergeCell ref="C5:E5"/>
    <mergeCell ref="B6:E6"/>
    <mergeCell ref="B7:D7"/>
    <mergeCell ref="B17:D17"/>
    <mergeCell ref="B18:C18"/>
    <mergeCell ref="B30:D30"/>
    <mergeCell ref="B31:C31"/>
    <mergeCell ref="B40:C40"/>
    <mergeCell ref="B43:D43"/>
    <mergeCell ref="B44:C44"/>
    <mergeCell ref="B49:C49"/>
    <mergeCell ref="B50:D50"/>
  </mergeCells>
  <pageMargins left="0.511811024" right="0.511811024" top="0.78740157499999996" bottom="0.78740157499999996" header="0.31496062000000002" footer="0.31496062000000002"/>
  <pageSetup paperSize="9" scale="83" orientation="portrait" verticalDpi="300" r:id="rId1"/>
  <colBreaks count="1" manualBreakCount="1">
    <brk id="1" max="1048575" man="1"/>
  </col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R68"/>
  <sheetViews>
    <sheetView view="pageBreakPreview" topLeftCell="A7" zoomScale="80" zoomScaleNormal="80" zoomScaleSheetLayoutView="80" workbookViewId="0">
      <selection activeCell="O20" sqref="O20"/>
    </sheetView>
  </sheetViews>
  <sheetFormatPr defaultRowHeight="12.75" x14ac:dyDescent="0.2"/>
  <cols>
    <col min="1" max="1" width="9.140625" style="321"/>
    <col min="2" max="2" width="18.7109375" style="321" customWidth="1"/>
    <col min="3" max="3" width="9.140625" style="321"/>
    <col min="4" max="4" width="18.5703125" style="321" customWidth="1"/>
    <col min="5" max="5" width="21.42578125" style="321" customWidth="1"/>
    <col min="6" max="6" width="19.42578125" style="321" customWidth="1"/>
    <col min="7" max="7" width="12.42578125" style="321" customWidth="1"/>
    <col min="8" max="11" width="9.140625" style="321"/>
    <col min="12" max="12" width="14.5703125" style="321" customWidth="1"/>
    <col min="13" max="14" width="9.140625" style="321"/>
    <col min="15" max="15" width="13.85546875" style="321" bestFit="1" customWidth="1"/>
    <col min="16" max="256" width="9.140625" style="321"/>
    <col min="257" max="257" width="18.7109375" style="321" customWidth="1"/>
    <col min="258" max="258" width="9.140625" style="321"/>
    <col min="259" max="259" width="18.5703125" style="321" customWidth="1"/>
    <col min="260" max="260" width="13.42578125" style="321" customWidth="1"/>
    <col min="261" max="261" width="19" style="321" customWidth="1"/>
    <col min="262" max="262" width="12.42578125" style="321" customWidth="1"/>
    <col min="263" max="512" width="9.140625" style="321"/>
    <col min="513" max="513" width="18.7109375" style="321" customWidth="1"/>
    <col min="514" max="514" width="9.140625" style="321"/>
    <col min="515" max="515" width="18.5703125" style="321" customWidth="1"/>
    <col min="516" max="516" width="13.42578125" style="321" customWidth="1"/>
    <col min="517" max="517" width="19" style="321" customWidth="1"/>
    <col min="518" max="518" width="12.42578125" style="321" customWidth="1"/>
    <col min="519" max="768" width="9.140625" style="321"/>
    <col min="769" max="769" width="18.7109375" style="321" customWidth="1"/>
    <col min="770" max="770" width="9.140625" style="321"/>
    <col min="771" max="771" width="18.5703125" style="321" customWidth="1"/>
    <col min="772" max="772" width="13.42578125" style="321" customWidth="1"/>
    <col min="773" max="773" width="19" style="321" customWidth="1"/>
    <col min="774" max="774" width="12.42578125" style="321" customWidth="1"/>
    <col min="775" max="1024" width="9.140625" style="321"/>
    <col min="1025" max="1025" width="18.7109375" style="321" customWidth="1"/>
    <col min="1026" max="1026" width="9.140625" style="321"/>
    <col min="1027" max="1027" width="18.5703125" style="321" customWidth="1"/>
    <col min="1028" max="1028" width="13.42578125" style="321" customWidth="1"/>
    <col min="1029" max="1029" width="19" style="321" customWidth="1"/>
    <col min="1030" max="1030" width="12.42578125" style="321" customWidth="1"/>
    <col min="1031" max="1280" width="9.140625" style="321"/>
    <col min="1281" max="1281" width="18.7109375" style="321" customWidth="1"/>
    <col min="1282" max="1282" width="9.140625" style="321"/>
    <col min="1283" max="1283" width="18.5703125" style="321" customWidth="1"/>
    <col min="1284" max="1284" width="13.42578125" style="321" customWidth="1"/>
    <col min="1285" max="1285" width="19" style="321" customWidth="1"/>
    <col min="1286" max="1286" width="12.42578125" style="321" customWidth="1"/>
    <col min="1287" max="1536" width="9.140625" style="321"/>
    <col min="1537" max="1537" width="18.7109375" style="321" customWidth="1"/>
    <col min="1538" max="1538" width="9.140625" style="321"/>
    <col min="1539" max="1539" width="18.5703125" style="321" customWidth="1"/>
    <col min="1540" max="1540" width="13.42578125" style="321" customWidth="1"/>
    <col min="1541" max="1541" width="19" style="321" customWidth="1"/>
    <col min="1542" max="1542" width="12.42578125" style="321" customWidth="1"/>
    <col min="1543" max="1792" width="9.140625" style="321"/>
    <col min="1793" max="1793" width="18.7109375" style="321" customWidth="1"/>
    <col min="1794" max="1794" width="9.140625" style="321"/>
    <col min="1795" max="1795" width="18.5703125" style="321" customWidth="1"/>
    <col min="1796" max="1796" width="13.42578125" style="321" customWidth="1"/>
    <col min="1797" max="1797" width="19" style="321" customWidth="1"/>
    <col min="1798" max="1798" width="12.42578125" style="321" customWidth="1"/>
    <col min="1799" max="2048" width="9.140625" style="321"/>
    <col min="2049" max="2049" width="18.7109375" style="321" customWidth="1"/>
    <col min="2050" max="2050" width="9.140625" style="321"/>
    <col min="2051" max="2051" width="18.5703125" style="321" customWidth="1"/>
    <col min="2052" max="2052" width="13.42578125" style="321" customWidth="1"/>
    <col min="2053" max="2053" width="19" style="321" customWidth="1"/>
    <col min="2054" max="2054" width="12.42578125" style="321" customWidth="1"/>
    <col min="2055" max="2304" width="9.140625" style="321"/>
    <col min="2305" max="2305" width="18.7109375" style="321" customWidth="1"/>
    <col min="2306" max="2306" width="9.140625" style="321"/>
    <col min="2307" max="2307" width="18.5703125" style="321" customWidth="1"/>
    <col min="2308" max="2308" width="13.42578125" style="321" customWidth="1"/>
    <col min="2309" max="2309" width="19" style="321" customWidth="1"/>
    <col min="2310" max="2310" width="12.42578125" style="321" customWidth="1"/>
    <col min="2311" max="2560" width="9.140625" style="321"/>
    <col min="2561" max="2561" width="18.7109375" style="321" customWidth="1"/>
    <col min="2562" max="2562" width="9.140625" style="321"/>
    <col min="2563" max="2563" width="18.5703125" style="321" customWidth="1"/>
    <col min="2564" max="2564" width="13.42578125" style="321" customWidth="1"/>
    <col min="2565" max="2565" width="19" style="321" customWidth="1"/>
    <col min="2566" max="2566" width="12.42578125" style="321" customWidth="1"/>
    <col min="2567" max="2816" width="9.140625" style="321"/>
    <col min="2817" max="2817" width="18.7109375" style="321" customWidth="1"/>
    <col min="2818" max="2818" width="9.140625" style="321"/>
    <col min="2819" max="2819" width="18.5703125" style="321" customWidth="1"/>
    <col min="2820" max="2820" width="13.42578125" style="321" customWidth="1"/>
    <col min="2821" max="2821" width="19" style="321" customWidth="1"/>
    <col min="2822" max="2822" width="12.42578125" style="321" customWidth="1"/>
    <col min="2823" max="3072" width="9.140625" style="321"/>
    <col min="3073" max="3073" width="18.7109375" style="321" customWidth="1"/>
    <col min="3074" max="3074" width="9.140625" style="321"/>
    <col min="3075" max="3075" width="18.5703125" style="321" customWidth="1"/>
    <col min="3076" max="3076" width="13.42578125" style="321" customWidth="1"/>
    <col min="3077" max="3077" width="19" style="321" customWidth="1"/>
    <col min="3078" max="3078" width="12.42578125" style="321" customWidth="1"/>
    <col min="3079" max="3328" width="9.140625" style="321"/>
    <col min="3329" max="3329" width="18.7109375" style="321" customWidth="1"/>
    <col min="3330" max="3330" width="9.140625" style="321"/>
    <col min="3331" max="3331" width="18.5703125" style="321" customWidth="1"/>
    <col min="3332" max="3332" width="13.42578125" style="321" customWidth="1"/>
    <col min="3333" max="3333" width="19" style="321" customWidth="1"/>
    <col min="3334" max="3334" width="12.42578125" style="321" customWidth="1"/>
    <col min="3335" max="3584" width="9.140625" style="321"/>
    <col min="3585" max="3585" width="18.7109375" style="321" customWidth="1"/>
    <col min="3586" max="3586" width="9.140625" style="321"/>
    <col min="3587" max="3587" width="18.5703125" style="321" customWidth="1"/>
    <col min="3588" max="3588" width="13.42578125" style="321" customWidth="1"/>
    <col min="3589" max="3589" width="19" style="321" customWidth="1"/>
    <col min="3590" max="3590" width="12.42578125" style="321" customWidth="1"/>
    <col min="3591" max="3840" width="9.140625" style="321"/>
    <col min="3841" max="3841" width="18.7109375" style="321" customWidth="1"/>
    <col min="3842" max="3842" width="9.140625" style="321"/>
    <col min="3843" max="3843" width="18.5703125" style="321" customWidth="1"/>
    <col min="3844" max="3844" width="13.42578125" style="321" customWidth="1"/>
    <col min="3845" max="3845" width="19" style="321" customWidth="1"/>
    <col min="3846" max="3846" width="12.42578125" style="321" customWidth="1"/>
    <col min="3847" max="4096" width="9.140625" style="321"/>
    <col min="4097" max="4097" width="18.7109375" style="321" customWidth="1"/>
    <col min="4098" max="4098" width="9.140625" style="321"/>
    <col min="4099" max="4099" width="18.5703125" style="321" customWidth="1"/>
    <col min="4100" max="4100" width="13.42578125" style="321" customWidth="1"/>
    <col min="4101" max="4101" width="19" style="321" customWidth="1"/>
    <col min="4102" max="4102" width="12.42578125" style="321" customWidth="1"/>
    <col min="4103" max="4352" width="9.140625" style="321"/>
    <col min="4353" max="4353" width="18.7109375" style="321" customWidth="1"/>
    <col min="4354" max="4354" width="9.140625" style="321"/>
    <col min="4355" max="4355" width="18.5703125" style="321" customWidth="1"/>
    <col min="4356" max="4356" width="13.42578125" style="321" customWidth="1"/>
    <col min="4357" max="4357" width="19" style="321" customWidth="1"/>
    <col min="4358" max="4358" width="12.42578125" style="321" customWidth="1"/>
    <col min="4359" max="4608" width="9.140625" style="321"/>
    <col min="4609" max="4609" width="18.7109375" style="321" customWidth="1"/>
    <col min="4610" max="4610" width="9.140625" style="321"/>
    <col min="4611" max="4611" width="18.5703125" style="321" customWidth="1"/>
    <col min="4612" max="4612" width="13.42578125" style="321" customWidth="1"/>
    <col min="4613" max="4613" width="19" style="321" customWidth="1"/>
    <col min="4614" max="4614" width="12.42578125" style="321" customWidth="1"/>
    <col min="4615" max="4864" width="9.140625" style="321"/>
    <col min="4865" max="4865" width="18.7109375" style="321" customWidth="1"/>
    <col min="4866" max="4866" width="9.140625" style="321"/>
    <col min="4867" max="4867" width="18.5703125" style="321" customWidth="1"/>
    <col min="4868" max="4868" width="13.42578125" style="321" customWidth="1"/>
    <col min="4869" max="4869" width="19" style="321" customWidth="1"/>
    <col min="4870" max="4870" width="12.42578125" style="321" customWidth="1"/>
    <col min="4871" max="5120" width="9.140625" style="321"/>
    <col min="5121" max="5121" width="18.7109375" style="321" customWidth="1"/>
    <col min="5122" max="5122" width="9.140625" style="321"/>
    <col min="5123" max="5123" width="18.5703125" style="321" customWidth="1"/>
    <col min="5124" max="5124" width="13.42578125" style="321" customWidth="1"/>
    <col min="5125" max="5125" width="19" style="321" customWidth="1"/>
    <col min="5126" max="5126" width="12.42578125" style="321" customWidth="1"/>
    <col min="5127" max="5376" width="9.140625" style="321"/>
    <col min="5377" max="5377" width="18.7109375" style="321" customWidth="1"/>
    <col min="5378" max="5378" width="9.140625" style="321"/>
    <col min="5379" max="5379" width="18.5703125" style="321" customWidth="1"/>
    <col min="5380" max="5380" width="13.42578125" style="321" customWidth="1"/>
    <col min="5381" max="5381" width="19" style="321" customWidth="1"/>
    <col min="5382" max="5382" width="12.42578125" style="321" customWidth="1"/>
    <col min="5383" max="5632" width="9.140625" style="321"/>
    <col min="5633" max="5633" width="18.7109375" style="321" customWidth="1"/>
    <col min="5634" max="5634" width="9.140625" style="321"/>
    <col min="5635" max="5635" width="18.5703125" style="321" customWidth="1"/>
    <col min="5636" max="5636" width="13.42578125" style="321" customWidth="1"/>
    <col min="5637" max="5637" width="19" style="321" customWidth="1"/>
    <col min="5638" max="5638" width="12.42578125" style="321" customWidth="1"/>
    <col min="5639" max="5888" width="9.140625" style="321"/>
    <col min="5889" max="5889" width="18.7109375" style="321" customWidth="1"/>
    <col min="5890" max="5890" width="9.140625" style="321"/>
    <col min="5891" max="5891" width="18.5703125" style="321" customWidth="1"/>
    <col min="5892" max="5892" width="13.42578125" style="321" customWidth="1"/>
    <col min="5893" max="5893" width="19" style="321" customWidth="1"/>
    <col min="5894" max="5894" width="12.42578125" style="321" customWidth="1"/>
    <col min="5895" max="6144" width="9.140625" style="321"/>
    <col min="6145" max="6145" width="18.7109375" style="321" customWidth="1"/>
    <col min="6146" max="6146" width="9.140625" style="321"/>
    <col min="6147" max="6147" width="18.5703125" style="321" customWidth="1"/>
    <col min="6148" max="6148" width="13.42578125" style="321" customWidth="1"/>
    <col min="6149" max="6149" width="19" style="321" customWidth="1"/>
    <col min="6150" max="6150" width="12.42578125" style="321" customWidth="1"/>
    <col min="6151" max="6400" width="9.140625" style="321"/>
    <col min="6401" max="6401" width="18.7109375" style="321" customWidth="1"/>
    <col min="6402" max="6402" width="9.140625" style="321"/>
    <col min="6403" max="6403" width="18.5703125" style="321" customWidth="1"/>
    <col min="6404" max="6404" width="13.42578125" style="321" customWidth="1"/>
    <col min="6405" max="6405" width="19" style="321" customWidth="1"/>
    <col min="6406" max="6406" width="12.42578125" style="321" customWidth="1"/>
    <col min="6407" max="6656" width="9.140625" style="321"/>
    <col min="6657" max="6657" width="18.7109375" style="321" customWidth="1"/>
    <col min="6658" max="6658" width="9.140625" style="321"/>
    <col min="6659" max="6659" width="18.5703125" style="321" customWidth="1"/>
    <col min="6660" max="6660" width="13.42578125" style="321" customWidth="1"/>
    <col min="6661" max="6661" width="19" style="321" customWidth="1"/>
    <col min="6662" max="6662" width="12.42578125" style="321" customWidth="1"/>
    <col min="6663" max="6912" width="9.140625" style="321"/>
    <col min="6913" max="6913" width="18.7109375" style="321" customWidth="1"/>
    <col min="6914" max="6914" width="9.140625" style="321"/>
    <col min="6915" max="6915" width="18.5703125" style="321" customWidth="1"/>
    <col min="6916" max="6916" width="13.42578125" style="321" customWidth="1"/>
    <col min="6917" max="6917" width="19" style="321" customWidth="1"/>
    <col min="6918" max="6918" width="12.42578125" style="321" customWidth="1"/>
    <col min="6919" max="7168" width="9.140625" style="321"/>
    <col min="7169" max="7169" width="18.7109375" style="321" customWidth="1"/>
    <col min="7170" max="7170" width="9.140625" style="321"/>
    <col min="7171" max="7171" width="18.5703125" style="321" customWidth="1"/>
    <col min="7172" max="7172" width="13.42578125" style="321" customWidth="1"/>
    <col min="7173" max="7173" width="19" style="321" customWidth="1"/>
    <col min="7174" max="7174" width="12.42578125" style="321" customWidth="1"/>
    <col min="7175" max="7424" width="9.140625" style="321"/>
    <col min="7425" max="7425" width="18.7109375" style="321" customWidth="1"/>
    <col min="7426" max="7426" width="9.140625" style="321"/>
    <col min="7427" max="7427" width="18.5703125" style="321" customWidth="1"/>
    <col min="7428" max="7428" width="13.42578125" style="321" customWidth="1"/>
    <col min="7429" max="7429" width="19" style="321" customWidth="1"/>
    <col min="7430" max="7430" width="12.42578125" style="321" customWidth="1"/>
    <col min="7431" max="7680" width="9.140625" style="321"/>
    <col min="7681" max="7681" width="18.7109375" style="321" customWidth="1"/>
    <col min="7682" max="7682" width="9.140625" style="321"/>
    <col min="7683" max="7683" width="18.5703125" style="321" customWidth="1"/>
    <col min="7684" max="7684" width="13.42578125" style="321" customWidth="1"/>
    <col min="7685" max="7685" width="19" style="321" customWidth="1"/>
    <col min="7686" max="7686" width="12.42578125" style="321" customWidth="1"/>
    <col min="7687" max="7936" width="9.140625" style="321"/>
    <col min="7937" max="7937" width="18.7109375" style="321" customWidth="1"/>
    <col min="7938" max="7938" width="9.140625" style="321"/>
    <col min="7939" max="7939" width="18.5703125" style="321" customWidth="1"/>
    <col min="7940" max="7940" width="13.42578125" style="321" customWidth="1"/>
    <col min="7941" max="7941" width="19" style="321" customWidth="1"/>
    <col min="7942" max="7942" width="12.42578125" style="321" customWidth="1"/>
    <col min="7943" max="8192" width="9.140625" style="321"/>
    <col min="8193" max="8193" width="18.7109375" style="321" customWidth="1"/>
    <col min="8194" max="8194" width="9.140625" style="321"/>
    <col min="8195" max="8195" width="18.5703125" style="321" customWidth="1"/>
    <col min="8196" max="8196" width="13.42578125" style="321" customWidth="1"/>
    <col min="8197" max="8197" width="19" style="321" customWidth="1"/>
    <col min="8198" max="8198" width="12.42578125" style="321" customWidth="1"/>
    <col min="8199" max="8448" width="9.140625" style="321"/>
    <col min="8449" max="8449" width="18.7109375" style="321" customWidth="1"/>
    <col min="8450" max="8450" width="9.140625" style="321"/>
    <col min="8451" max="8451" width="18.5703125" style="321" customWidth="1"/>
    <col min="8452" max="8452" width="13.42578125" style="321" customWidth="1"/>
    <col min="8453" max="8453" width="19" style="321" customWidth="1"/>
    <col min="8454" max="8454" width="12.42578125" style="321" customWidth="1"/>
    <col min="8455" max="8704" width="9.140625" style="321"/>
    <col min="8705" max="8705" width="18.7109375" style="321" customWidth="1"/>
    <col min="8706" max="8706" width="9.140625" style="321"/>
    <col min="8707" max="8707" width="18.5703125" style="321" customWidth="1"/>
    <col min="8708" max="8708" width="13.42578125" style="321" customWidth="1"/>
    <col min="8709" max="8709" width="19" style="321" customWidth="1"/>
    <col min="8710" max="8710" width="12.42578125" style="321" customWidth="1"/>
    <col min="8711" max="8960" width="9.140625" style="321"/>
    <col min="8961" max="8961" width="18.7109375" style="321" customWidth="1"/>
    <col min="8962" max="8962" width="9.140625" style="321"/>
    <col min="8963" max="8963" width="18.5703125" style="321" customWidth="1"/>
    <col min="8964" max="8964" width="13.42578125" style="321" customWidth="1"/>
    <col min="8965" max="8965" width="19" style="321" customWidth="1"/>
    <col min="8966" max="8966" width="12.42578125" style="321" customWidth="1"/>
    <col min="8967" max="9216" width="9.140625" style="321"/>
    <col min="9217" max="9217" width="18.7109375" style="321" customWidth="1"/>
    <col min="9218" max="9218" width="9.140625" style="321"/>
    <col min="9219" max="9219" width="18.5703125" style="321" customWidth="1"/>
    <col min="9220" max="9220" width="13.42578125" style="321" customWidth="1"/>
    <col min="9221" max="9221" width="19" style="321" customWidth="1"/>
    <col min="9222" max="9222" width="12.42578125" style="321" customWidth="1"/>
    <col min="9223" max="9472" width="9.140625" style="321"/>
    <col min="9473" max="9473" width="18.7109375" style="321" customWidth="1"/>
    <col min="9474" max="9474" width="9.140625" style="321"/>
    <col min="9475" max="9475" width="18.5703125" style="321" customWidth="1"/>
    <col min="9476" max="9476" width="13.42578125" style="321" customWidth="1"/>
    <col min="9477" max="9477" width="19" style="321" customWidth="1"/>
    <col min="9478" max="9478" width="12.42578125" style="321" customWidth="1"/>
    <col min="9479" max="9728" width="9.140625" style="321"/>
    <col min="9729" max="9729" width="18.7109375" style="321" customWidth="1"/>
    <col min="9730" max="9730" width="9.140625" style="321"/>
    <col min="9731" max="9731" width="18.5703125" style="321" customWidth="1"/>
    <col min="9732" max="9732" width="13.42578125" style="321" customWidth="1"/>
    <col min="9733" max="9733" width="19" style="321" customWidth="1"/>
    <col min="9734" max="9734" width="12.42578125" style="321" customWidth="1"/>
    <col min="9735" max="9984" width="9.140625" style="321"/>
    <col min="9985" max="9985" width="18.7109375" style="321" customWidth="1"/>
    <col min="9986" max="9986" width="9.140625" style="321"/>
    <col min="9987" max="9987" width="18.5703125" style="321" customWidth="1"/>
    <col min="9988" max="9988" width="13.42578125" style="321" customWidth="1"/>
    <col min="9989" max="9989" width="19" style="321" customWidth="1"/>
    <col min="9990" max="9990" width="12.42578125" style="321" customWidth="1"/>
    <col min="9991" max="10240" width="9.140625" style="321"/>
    <col min="10241" max="10241" width="18.7109375" style="321" customWidth="1"/>
    <col min="10242" max="10242" width="9.140625" style="321"/>
    <col min="10243" max="10243" width="18.5703125" style="321" customWidth="1"/>
    <col min="10244" max="10244" width="13.42578125" style="321" customWidth="1"/>
    <col min="10245" max="10245" width="19" style="321" customWidth="1"/>
    <col min="10246" max="10246" width="12.42578125" style="321" customWidth="1"/>
    <col min="10247" max="10496" width="9.140625" style="321"/>
    <col min="10497" max="10497" width="18.7109375" style="321" customWidth="1"/>
    <col min="10498" max="10498" width="9.140625" style="321"/>
    <col min="10499" max="10499" width="18.5703125" style="321" customWidth="1"/>
    <col min="10500" max="10500" width="13.42578125" style="321" customWidth="1"/>
    <col min="10501" max="10501" width="19" style="321" customWidth="1"/>
    <col min="10502" max="10502" width="12.42578125" style="321" customWidth="1"/>
    <col min="10503" max="10752" width="9.140625" style="321"/>
    <col min="10753" max="10753" width="18.7109375" style="321" customWidth="1"/>
    <col min="10754" max="10754" width="9.140625" style="321"/>
    <col min="10755" max="10755" width="18.5703125" style="321" customWidth="1"/>
    <col min="10756" max="10756" width="13.42578125" style="321" customWidth="1"/>
    <col min="10757" max="10757" width="19" style="321" customWidth="1"/>
    <col min="10758" max="10758" width="12.42578125" style="321" customWidth="1"/>
    <col min="10759" max="11008" width="9.140625" style="321"/>
    <col min="11009" max="11009" width="18.7109375" style="321" customWidth="1"/>
    <col min="11010" max="11010" width="9.140625" style="321"/>
    <col min="11011" max="11011" width="18.5703125" style="321" customWidth="1"/>
    <col min="11012" max="11012" width="13.42578125" style="321" customWidth="1"/>
    <col min="11013" max="11013" width="19" style="321" customWidth="1"/>
    <col min="11014" max="11014" width="12.42578125" style="321" customWidth="1"/>
    <col min="11015" max="11264" width="9.140625" style="321"/>
    <col min="11265" max="11265" width="18.7109375" style="321" customWidth="1"/>
    <col min="11266" max="11266" width="9.140625" style="321"/>
    <col min="11267" max="11267" width="18.5703125" style="321" customWidth="1"/>
    <col min="11268" max="11268" width="13.42578125" style="321" customWidth="1"/>
    <col min="11269" max="11269" width="19" style="321" customWidth="1"/>
    <col min="11270" max="11270" width="12.42578125" style="321" customWidth="1"/>
    <col min="11271" max="11520" width="9.140625" style="321"/>
    <col min="11521" max="11521" width="18.7109375" style="321" customWidth="1"/>
    <col min="11522" max="11522" width="9.140625" style="321"/>
    <col min="11523" max="11523" width="18.5703125" style="321" customWidth="1"/>
    <col min="11524" max="11524" width="13.42578125" style="321" customWidth="1"/>
    <col min="11525" max="11525" width="19" style="321" customWidth="1"/>
    <col min="11526" max="11526" width="12.42578125" style="321" customWidth="1"/>
    <col min="11527" max="11776" width="9.140625" style="321"/>
    <col min="11777" max="11777" width="18.7109375" style="321" customWidth="1"/>
    <col min="11778" max="11778" width="9.140625" style="321"/>
    <col min="11779" max="11779" width="18.5703125" style="321" customWidth="1"/>
    <col min="11780" max="11780" width="13.42578125" style="321" customWidth="1"/>
    <col min="11781" max="11781" width="19" style="321" customWidth="1"/>
    <col min="11782" max="11782" width="12.42578125" style="321" customWidth="1"/>
    <col min="11783" max="12032" width="9.140625" style="321"/>
    <col min="12033" max="12033" width="18.7109375" style="321" customWidth="1"/>
    <col min="12034" max="12034" width="9.140625" style="321"/>
    <col min="12035" max="12035" width="18.5703125" style="321" customWidth="1"/>
    <col min="12036" max="12036" width="13.42578125" style="321" customWidth="1"/>
    <col min="12037" max="12037" width="19" style="321" customWidth="1"/>
    <col min="12038" max="12038" width="12.42578125" style="321" customWidth="1"/>
    <col min="12039" max="12288" width="9.140625" style="321"/>
    <col min="12289" max="12289" width="18.7109375" style="321" customWidth="1"/>
    <col min="12290" max="12290" width="9.140625" style="321"/>
    <col min="12291" max="12291" width="18.5703125" style="321" customWidth="1"/>
    <col min="12292" max="12292" width="13.42578125" style="321" customWidth="1"/>
    <col min="12293" max="12293" width="19" style="321" customWidth="1"/>
    <col min="12294" max="12294" width="12.42578125" style="321" customWidth="1"/>
    <col min="12295" max="12544" width="9.140625" style="321"/>
    <col min="12545" max="12545" width="18.7109375" style="321" customWidth="1"/>
    <col min="12546" max="12546" width="9.140625" style="321"/>
    <col min="12547" max="12547" width="18.5703125" style="321" customWidth="1"/>
    <col min="12548" max="12548" width="13.42578125" style="321" customWidth="1"/>
    <col min="12549" max="12549" width="19" style="321" customWidth="1"/>
    <col min="12550" max="12550" width="12.42578125" style="321" customWidth="1"/>
    <col min="12551" max="12800" width="9.140625" style="321"/>
    <col min="12801" max="12801" width="18.7109375" style="321" customWidth="1"/>
    <col min="12802" max="12802" width="9.140625" style="321"/>
    <col min="12803" max="12803" width="18.5703125" style="321" customWidth="1"/>
    <col min="12804" max="12804" width="13.42578125" style="321" customWidth="1"/>
    <col min="12805" max="12805" width="19" style="321" customWidth="1"/>
    <col min="12806" max="12806" width="12.42578125" style="321" customWidth="1"/>
    <col min="12807" max="13056" width="9.140625" style="321"/>
    <col min="13057" max="13057" width="18.7109375" style="321" customWidth="1"/>
    <col min="13058" max="13058" width="9.140625" style="321"/>
    <col min="13059" max="13059" width="18.5703125" style="321" customWidth="1"/>
    <col min="13060" max="13060" width="13.42578125" style="321" customWidth="1"/>
    <col min="13061" max="13061" width="19" style="321" customWidth="1"/>
    <col min="13062" max="13062" width="12.42578125" style="321" customWidth="1"/>
    <col min="13063" max="13312" width="9.140625" style="321"/>
    <col min="13313" max="13313" width="18.7109375" style="321" customWidth="1"/>
    <col min="13314" max="13314" width="9.140625" style="321"/>
    <col min="13315" max="13315" width="18.5703125" style="321" customWidth="1"/>
    <col min="13316" max="13316" width="13.42578125" style="321" customWidth="1"/>
    <col min="13317" max="13317" width="19" style="321" customWidth="1"/>
    <col min="13318" max="13318" width="12.42578125" style="321" customWidth="1"/>
    <col min="13319" max="13568" width="9.140625" style="321"/>
    <col min="13569" max="13569" width="18.7109375" style="321" customWidth="1"/>
    <col min="13570" max="13570" width="9.140625" style="321"/>
    <col min="13571" max="13571" width="18.5703125" style="321" customWidth="1"/>
    <col min="13572" max="13572" width="13.42578125" style="321" customWidth="1"/>
    <col min="13573" max="13573" width="19" style="321" customWidth="1"/>
    <col min="13574" max="13574" width="12.42578125" style="321" customWidth="1"/>
    <col min="13575" max="13824" width="9.140625" style="321"/>
    <col min="13825" max="13825" width="18.7109375" style="321" customWidth="1"/>
    <col min="13826" max="13826" width="9.140625" style="321"/>
    <col min="13827" max="13827" width="18.5703125" style="321" customWidth="1"/>
    <col min="13828" max="13828" width="13.42578125" style="321" customWidth="1"/>
    <col min="13829" max="13829" width="19" style="321" customWidth="1"/>
    <col min="13830" max="13830" width="12.42578125" style="321" customWidth="1"/>
    <col min="13831" max="14080" width="9.140625" style="321"/>
    <col min="14081" max="14081" width="18.7109375" style="321" customWidth="1"/>
    <col min="14082" max="14082" width="9.140625" style="321"/>
    <col min="14083" max="14083" width="18.5703125" style="321" customWidth="1"/>
    <col min="14084" max="14084" width="13.42578125" style="321" customWidth="1"/>
    <col min="14085" max="14085" width="19" style="321" customWidth="1"/>
    <col min="14086" max="14086" width="12.42578125" style="321" customWidth="1"/>
    <col min="14087" max="14336" width="9.140625" style="321"/>
    <col min="14337" max="14337" width="18.7109375" style="321" customWidth="1"/>
    <col min="14338" max="14338" width="9.140625" style="321"/>
    <col min="14339" max="14339" width="18.5703125" style="321" customWidth="1"/>
    <col min="14340" max="14340" width="13.42578125" style="321" customWidth="1"/>
    <col min="14341" max="14341" width="19" style="321" customWidth="1"/>
    <col min="14342" max="14342" width="12.42578125" style="321" customWidth="1"/>
    <col min="14343" max="14592" width="9.140625" style="321"/>
    <col min="14593" max="14593" width="18.7109375" style="321" customWidth="1"/>
    <col min="14594" max="14594" width="9.140625" style="321"/>
    <col min="14595" max="14595" width="18.5703125" style="321" customWidth="1"/>
    <col min="14596" max="14596" width="13.42578125" style="321" customWidth="1"/>
    <col min="14597" max="14597" width="19" style="321" customWidth="1"/>
    <col min="14598" max="14598" width="12.42578125" style="321" customWidth="1"/>
    <col min="14599" max="14848" width="9.140625" style="321"/>
    <col min="14849" max="14849" width="18.7109375" style="321" customWidth="1"/>
    <col min="14850" max="14850" width="9.140625" style="321"/>
    <col min="14851" max="14851" width="18.5703125" style="321" customWidth="1"/>
    <col min="14852" max="14852" width="13.42578125" style="321" customWidth="1"/>
    <col min="14853" max="14853" width="19" style="321" customWidth="1"/>
    <col min="14854" max="14854" width="12.42578125" style="321" customWidth="1"/>
    <col min="14855" max="15104" width="9.140625" style="321"/>
    <col min="15105" max="15105" width="18.7109375" style="321" customWidth="1"/>
    <col min="15106" max="15106" width="9.140625" style="321"/>
    <col min="15107" max="15107" width="18.5703125" style="321" customWidth="1"/>
    <col min="15108" max="15108" width="13.42578125" style="321" customWidth="1"/>
    <col min="15109" max="15109" width="19" style="321" customWidth="1"/>
    <col min="15110" max="15110" width="12.42578125" style="321" customWidth="1"/>
    <col min="15111" max="15360" width="9.140625" style="321"/>
    <col min="15361" max="15361" width="18.7109375" style="321" customWidth="1"/>
    <col min="15362" max="15362" width="9.140625" style="321"/>
    <col min="15363" max="15363" width="18.5703125" style="321" customWidth="1"/>
    <col min="15364" max="15364" width="13.42578125" style="321" customWidth="1"/>
    <col min="15365" max="15365" width="19" style="321" customWidth="1"/>
    <col min="15366" max="15366" width="12.42578125" style="321" customWidth="1"/>
    <col min="15367" max="15616" width="9.140625" style="321"/>
    <col min="15617" max="15617" width="18.7109375" style="321" customWidth="1"/>
    <col min="15618" max="15618" width="9.140625" style="321"/>
    <col min="15619" max="15619" width="18.5703125" style="321" customWidth="1"/>
    <col min="15620" max="15620" width="13.42578125" style="321" customWidth="1"/>
    <col min="15621" max="15621" width="19" style="321" customWidth="1"/>
    <col min="15622" max="15622" width="12.42578125" style="321" customWidth="1"/>
    <col min="15623" max="15872" width="9.140625" style="321"/>
    <col min="15873" max="15873" width="18.7109375" style="321" customWidth="1"/>
    <col min="15874" max="15874" width="9.140625" style="321"/>
    <col min="15875" max="15875" width="18.5703125" style="321" customWidth="1"/>
    <col min="15876" max="15876" width="13.42578125" style="321" customWidth="1"/>
    <col min="15877" max="15877" width="19" style="321" customWidth="1"/>
    <col min="15878" max="15878" width="12.42578125" style="321" customWidth="1"/>
    <col min="15879" max="16128" width="9.140625" style="321"/>
    <col min="16129" max="16129" width="18.7109375" style="321" customWidth="1"/>
    <col min="16130" max="16130" width="9.140625" style="321"/>
    <col min="16131" max="16131" width="18.5703125" style="321" customWidth="1"/>
    <col min="16132" max="16132" width="13.42578125" style="321" customWidth="1"/>
    <col min="16133" max="16133" width="19" style="321" customWidth="1"/>
    <col min="16134" max="16134" width="12.42578125" style="321" customWidth="1"/>
    <col min="16135" max="16384" width="9.140625" style="321"/>
  </cols>
  <sheetData>
    <row r="2" spans="2:18" ht="21" customHeight="1" x14ac:dyDescent="0.2">
      <c r="B2" s="1"/>
      <c r="C2" s="473" t="s">
        <v>0</v>
      </c>
      <c r="D2" s="474"/>
      <c r="E2" s="474"/>
      <c r="F2" s="474"/>
      <c r="G2" s="474"/>
      <c r="H2" s="474"/>
      <c r="I2" s="474"/>
      <c r="J2" s="475"/>
    </row>
    <row r="3" spans="2:18" ht="30.75" customHeight="1" x14ac:dyDescent="0.2">
      <c r="B3" s="2"/>
      <c r="C3" s="481" t="s">
        <v>613</v>
      </c>
      <c r="D3" s="577"/>
      <c r="E3" s="577"/>
      <c r="F3" s="322"/>
      <c r="G3" s="323"/>
      <c r="H3" s="322"/>
      <c r="I3" s="322"/>
      <c r="J3" s="7"/>
    </row>
    <row r="4" spans="2:18" ht="33.75" customHeight="1" x14ac:dyDescent="0.2">
      <c r="B4" s="2"/>
      <c r="C4" s="481" t="s">
        <v>2</v>
      </c>
      <c r="D4" s="577"/>
      <c r="E4" s="577"/>
      <c r="F4" s="326" t="s">
        <v>3</v>
      </c>
      <c r="G4" s="325">
        <v>1.5727</v>
      </c>
      <c r="H4" s="578" t="s">
        <v>4</v>
      </c>
      <c r="I4" s="578"/>
      <c r="J4" s="579"/>
    </row>
    <row r="5" spans="2:18" ht="21.75" customHeight="1" x14ac:dyDescent="0.2">
      <c r="B5" s="327"/>
      <c r="C5" s="580" t="s">
        <v>614</v>
      </c>
      <c r="D5" s="581"/>
      <c r="E5" s="581"/>
      <c r="F5" s="465" t="s">
        <v>6</v>
      </c>
      <c r="G5" s="466">
        <v>0.3196</v>
      </c>
      <c r="H5" s="582" t="s">
        <v>7</v>
      </c>
      <c r="I5" s="582"/>
      <c r="J5" s="328" t="s">
        <v>8</v>
      </c>
    </row>
    <row r="6" spans="2:18" ht="11.25" customHeight="1" x14ac:dyDescent="0.2">
      <c r="B6" s="2"/>
      <c r="C6" s="329"/>
      <c r="D6" s="329"/>
      <c r="E6" s="329"/>
      <c r="F6" s="330"/>
      <c r="G6" s="331"/>
      <c r="H6" s="324"/>
      <c r="I6" s="324"/>
      <c r="J6" s="332"/>
    </row>
    <row r="7" spans="2:18" ht="25.5" customHeight="1" x14ac:dyDescent="0.2">
      <c r="B7" s="333"/>
      <c r="C7" s="334"/>
      <c r="D7" s="334"/>
      <c r="E7" s="335" t="s">
        <v>615</v>
      </c>
      <c r="F7" s="334"/>
      <c r="G7" s="334"/>
      <c r="H7" s="334"/>
      <c r="I7" s="334"/>
      <c r="J7" s="336"/>
    </row>
    <row r="8" spans="2:18" x14ac:dyDescent="0.2">
      <c r="B8" s="333"/>
      <c r="C8" s="337" t="s">
        <v>616</v>
      </c>
      <c r="D8" s="338"/>
      <c r="E8" s="335"/>
      <c r="F8" s="334"/>
      <c r="G8" s="334"/>
      <c r="H8" s="334"/>
      <c r="I8" s="334"/>
      <c r="J8" s="336"/>
    </row>
    <row r="9" spans="2:18" x14ac:dyDescent="0.2">
      <c r="B9" s="333"/>
      <c r="C9" s="338" t="s">
        <v>617</v>
      </c>
      <c r="D9" s="339"/>
      <c r="E9" s="340">
        <v>4.0599999999999997E-2</v>
      </c>
      <c r="F9" s="334"/>
      <c r="G9" s="334"/>
      <c r="H9" s="334"/>
      <c r="I9" s="334"/>
      <c r="J9" s="336"/>
      <c r="R9" s="341"/>
    </row>
    <row r="10" spans="2:18" x14ac:dyDescent="0.2">
      <c r="B10" s="333"/>
      <c r="C10" s="572" t="s">
        <v>618</v>
      </c>
      <c r="D10" s="573"/>
      <c r="E10" s="342">
        <f>E9</f>
        <v>4.0599999999999997E-2</v>
      </c>
      <c r="F10" s="343"/>
      <c r="G10" s="334"/>
      <c r="H10" s="334"/>
      <c r="I10" s="334"/>
      <c r="J10" s="336"/>
    </row>
    <row r="11" spans="2:18" x14ac:dyDescent="0.2">
      <c r="B11" s="333"/>
      <c r="C11" s="337" t="s">
        <v>619</v>
      </c>
      <c r="D11" s="338"/>
      <c r="E11" s="335"/>
      <c r="F11" s="343"/>
      <c r="G11" s="334"/>
      <c r="H11" s="334"/>
      <c r="I11" s="334"/>
      <c r="J11" s="336"/>
    </row>
    <row r="12" spans="2:18" x14ac:dyDescent="0.2">
      <c r="B12" s="333"/>
      <c r="C12" s="338" t="s">
        <v>620</v>
      </c>
      <c r="D12" s="339"/>
      <c r="E12" s="340">
        <v>5.8799999999999998E-2</v>
      </c>
      <c r="F12" s="343"/>
      <c r="G12" s="334"/>
      <c r="H12" s="334"/>
      <c r="I12" s="334"/>
      <c r="J12" s="336"/>
    </row>
    <row r="13" spans="2:18" x14ac:dyDescent="0.2">
      <c r="B13" s="333"/>
      <c r="C13" s="572" t="s">
        <v>621</v>
      </c>
      <c r="D13" s="573"/>
      <c r="E13" s="342">
        <f>E12</f>
        <v>5.8799999999999998E-2</v>
      </c>
      <c r="F13" s="343"/>
      <c r="G13" s="334"/>
      <c r="H13" s="334"/>
      <c r="I13" s="334"/>
      <c r="J13" s="336"/>
    </row>
    <row r="14" spans="2:18" x14ac:dyDescent="0.2">
      <c r="B14" s="333"/>
      <c r="C14" s="337" t="s">
        <v>622</v>
      </c>
      <c r="D14" s="344"/>
      <c r="E14" s="345"/>
      <c r="F14" s="343"/>
      <c r="G14" s="334"/>
      <c r="H14" s="334"/>
      <c r="I14" s="334"/>
      <c r="J14" s="336"/>
    </row>
    <row r="15" spans="2:18" x14ac:dyDescent="0.2">
      <c r="B15" s="333"/>
      <c r="C15" s="570" t="s">
        <v>623</v>
      </c>
      <c r="D15" s="571"/>
      <c r="E15" s="345"/>
      <c r="F15" s="343"/>
      <c r="G15" s="334"/>
      <c r="H15" s="334"/>
      <c r="I15" s="334"/>
      <c r="J15" s="336"/>
    </row>
    <row r="16" spans="2:18" x14ac:dyDescent="0.2">
      <c r="B16" s="333"/>
      <c r="C16" s="570" t="s">
        <v>624</v>
      </c>
      <c r="D16" s="571"/>
      <c r="E16" s="340">
        <v>0.05</v>
      </c>
      <c r="F16" s="343"/>
      <c r="G16" s="334"/>
      <c r="H16" s="334"/>
      <c r="I16" s="334"/>
      <c r="J16" s="336"/>
    </row>
    <row r="17" spans="2:10" x14ac:dyDescent="0.2">
      <c r="B17" s="333"/>
      <c r="C17" s="570" t="s">
        <v>625</v>
      </c>
      <c r="D17" s="571"/>
      <c r="E17" s="340">
        <v>6.4999999999999997E-3</v>
      </c>
      <c r="F17" s="343"/>
      <c r="G17" s="334"/>
      <c r="H17" s="334"/>
      <c r="I17" s="334"/>
      <c r="J17" s="336"/>
    </row>
    <row r="18" spans="2:10" x14ac:dyDescent="0.2">
      <c r="B18" s="333"/>
      <c r="C18" s="570" t="s">
        <v>626</v>
      </c>
      <c r="D18" s="571"/>
      <c r="E18" s="340">
        <v>0.03</v>
      </c>
      <c r="F18" s="343"/>
      <c r="G18" s="334"/>
      <c r="H18" s="334"/>
      <c r="I18" s="334"/>
      <c r="J18" s="336"/>
    </row>
    <row r="19" spans="2:10" x14ac:dyDescent="0.2">
      <c r="B19" s="333"/>
      <c r="C19" s="570" t="s">
        <v>627</v>
      </c>
      <c r="D19" s="571"/>
      <c r="E19" s="340">
        <v>0</v>
      </c>
      <c r="F19" s="343"/>
      <c r="G19" s="334"/>
      <c r="H19" s="334"/>
      <c r="I19" s="334"/>
      <c r="J19" s="336"/>
    </row>
    <row r="20" spans="2:10" x14ac:dyDescent="0.2">
      <c r="B20" s="333"/>
      <c r="C20" s="572" t="s">
        <v>628</v>
      </c>
      <c r="D20" s="573"/>
      <c r="E20" s="342">
        <f>SUM(E16:E19)</f>
        <v>8.6499999999999994E-2</v>
      </c>
      <c r="F20" s="343"/>
      <c r="G20" s="334"/>
      <c r="H20" s="334"/>
      <c r="I20" s="334"/>
      <c r="J20" s="336"/>
    </row>
    <row r="21" spans="2:10" x14ac:dyDescent="0.2">
      <c r="B21" s="333"/>
      <c r="C21" s="337" t="s">
        <v>629</v>
      </c>
      <c r="D21" s="338"/>
      <c r="E21" s="345"/>
      <c r="F21" s="343"/>
      <c r="G21" s="334"/>
      <c r="H21" s="334"/>
      <c r="I21" s="334"/>
      <c r="J21" s="336"/>
    </row>
    <row r="22" spans="2:10" x14ac:dyDescent="0.2">
      <c r="B22" s="333"/>
      <c r="C22" s="338" t="s">
        <v>630</v>
      </c>
      <c r="D22" s="338"/>
      <c r="E22" s="345">
        <v>6.1000000000000004E-3</v>
      </c>
      <c r="F22" s="343"/>
      <c r="G22" s="334"/>
      <c r="H22" s="334"/>
      <c r="I22" s="334"/>
      <c r="J22" s="336"/>
    </row>
    <row r="23" spans="2:10" x14ac:dyDescent="0.2">
      <c r="B23" s="333"/>
      <c r="C23" s="572" t="s">
        <v>631</v>
      </c>
      <c r="D23" s="573"/>
      <c r="E23" s="346">
        <f>E22</f>
        <v>6.1000000000000004E-3</v>
      </c>
      <c r="F23" s="343"/>
      <c r="G23" s="334"/>
      <c r="H23" s="334"/>
      <c r="I23" s="334"/>
      <c r="J23" s="336"/>
    </row>
    <row r="24" spans="2:10" x14ac:dyDescent="0.2">
      <c r="B24" s="333"/>
      <c r="C24" s="337" t="s">
        <v>632</v>
      </c>
      <c r="D24" s="338"/>
      <c r="E24" s="345"/>
      <c r="F24" s="343"/>
      <c r="G24" s="334"/>
      <c r="H24" s="334"/>
      <c r="I24" s="334"/>
      <c r="J24" s="336"/>
    </row>
    <row r="25" spans="2:10" x14ac:dyDescent="0.2">
      <c r="B25" s="333"/>
      <c r="C25" s="338" t="s">
        <v>633</v>
      </c>
      <c r="D25" s="338"/>
      <c r="E25" s="345">
        <v>5.0000000000000001E-3</v>
      </c>
      <c r="F25" s="343"/>
      <c r="G25" s="334"/>
      <c r="H25" s="334"/>
      <c r="I25" s="334"/>
      <c r="J25" s="336"/>
    </row>
    <row r="26" spans="2:10" x14ac:dyDescent="0.2">
      <c r="B26" s="333"/>
      <c r="C26" s="570" t="s">
        <v>634</v>
      </c>
      <c r="D26" s="571"/>
      <c r="E26" s="345">
        <v>5.0000000000000001E-3</v>
      </c>
      <c r="F26" s="343"/>
      <c r="G26" s="334"/>
      <c r="H26" s="334"/>
      <c r="I26" s="334"/>
      <c r="J26" s="336"/>
    </row>
    <row r="27" spans="2:10" x14ac:dyDescent="0.2">
      <c r="B27" s="333"/>
      <c r="C27" s="572" t="s">
        <v>635</v>
      </c>
      <c r="D27" s="573"/>
      <c r="E27" s="346">
        <f>SUM(E25:E26)</f>
        <v>0.01</v>
      </c>
      <c r="F27" s="343"/>
      <c r="G27" s="334"/>
      <c r="H27" s="334"/>
      <c r="I27" s="334"/>
      <c r="J27" s="336"/>
    </row>
    <row r="28" spans="2:10" x14ac:dyDescent="0.2">
      <c r="B28" s="333"/>
      <c r="C28" s="337" t="s">
        <v>636</v>
      </c>
      <c r="D28" s="338"/>
      <c r="E28" s="345"/>
      <c r="F28" s="343"/>
      <c r="G28" s="334"/>
      <c r="H28" s="334"/>
      <c r="I28" s="334"/>
      <c r="J28" s="336"/>
    </row>
    <row r="29" spans="2:10" x14ac:dyDescent="0.2">
      <c r="B29" s="333"/>
      <c r="C29" s="570" t="s">
        <v>637</v>
      </c>
      <c r="D29" s="571"/>
      <c r="E29" s="340">
        <v>0.08</v>
      </c>
      <c r="F29" s="343"/>
      <c r="G29" s="334"/>
      <c r="H29" s="334"/>
      <c r="I29" s="334"/>
      <c r="J29" s="336"/>
    </row>
    <row r="30" spans="2:10" x14ac:dyDescent="0.2">
      <c r="B30" s="333"/>
      <c r="C30" s="572" t="s">
        <v>638</v>
      </c>
      <c r="D30" s="573"/>
      <c r="E30" s="346">
        <f>E29</f>
        <v>0.08</v>
      </c>
      <c r="F30" s="343"/>
      <c r="G30" s="334"/>
      <c r="H30" s="334"/>
      <c r="I30" s="334"/>
      <c r="J30" s="336"/>
    </row>
    <row r="31" spans="2:10" x14ac:dyDescent="0.2">
      <c r="B31" s="333"/>
      <c r="C31" s="347"/>
      <c r="D31" s="347"/>
      <c r="E31" s="348"/>
      <c r="F31" s="334"/>
      <c r="G31" s="334"/>
      <c r="H31" s="334"/>
      <c r="I31" s="334"/>
      <c r="J31" s="336"/>
    </row>
    <row r="32" spans="2:10" ht="18.75" customHeight="1" x14ac:dyDescent="0.2">
      <c r="B32" s="333"/>
      <c r="C32" s="574" t="s">
        <v>639</v>
      </c>
      <c r="D32" s="575"/>
      <c r="E32" s="346">
        <f>(((1+E23)*(1+E10+E13+E27)*(1+E30)/(1-E20))-1)</f>
        <v>0.31960670738916264</v>
      </c>
      <c r="F32" s="349"/>
      <c r="G32" s="349"/>
      <c r="H32" s="334"/>
      <c r="I32" s="334"/>
      <c r="J32" s="336"/>
    </row>
    <row r="33" spans="2:15" ht="17.25" customHeight="1" x14ac:dyDescent="0.2">
      <c r="B33" s="333"/>
      <c r="C33" s="334"/>
      <c r="D33" s="334"/>
      <c r="E33" s="334"/>
      <c r="F33" s="334"/>
      <c r="G33" s="334"/>
      <c r="H33" s="334"/>
      <c r="I33" s="334"/>
      <c r="J33" s="336"/>
    </row>
    <row r="34" spans="2:15" x14ac:dyDescent="0.2">
      <c r="B34" s="350" t="s">
        <v>640</v>
      </c>
      <c r="C34" s="351"/>
      <c r="D34" s="351"/>
      <c r="E34" s="351"/>
      <c r="F34" s="352"/>
      <c r="G34" s="353"/>
      <c r="H34" s="353"/>
      <c r="I34" s="354"/>
      <c r="J34" s="355"/>
    </row>
    <row r="35" spans="2:15" x14ac:dyDescent="0.2">
      <c r="B35" s="356"/>
      <c r="C35" s="351"/>
      <c r="D35" s="351"/>
      <c r="E35" s="351"/>
      <c r="F35" s="352"/>
      <c r="G35" s="353"/>
      <c r="H35" s="353"/>
      <c r="I35" s="354"/>
      <c r="J35" s="355"/>
    </row>
    <row r="36" spans="2:15" x14ac:dyDescent="0.2">
      <c r="B36" s="357" t="s">
        <v>641</v>
      </c>
      <c r="C36" s="358" t="s">
        <v>642</v>
      </c>
      <c r="D36" s="351"/>
      <c r="E36" s="351"/>
      <c r="F36" s="352"/>
      <c r="G36" s="353"/>
      <c r="H36" s="353"/>
      <c r="I36" s="354"/>
      <c r="J36" s="355"/>
    </row>
    <row r="37" spans="2:15" x14ac:dyDescent="0.2">
      <c r="B37" s="356"/>
      <c r="C37" s="358" t="s">
        <v>643</v>
      </c>
      <c r="D37" s="351"/>
      <c r="E37" s="351"/>
      <c r="F37" s="352"/>
      <c r="G37" s="353"/>
      <c r="H37" s="353"/>
      <c r="I37" s="354"/>
      <c r="J37" s="355"/>
    </row>
    <row r="38" spans="2:15" x14ac:dyDescent="0.2">
      <c r="B38" s="356"/>
      <c r="C38" s="576" t="s">
        <v>644</v>
      </c>
      <c r="D38" s="576"/>
      <c r="E38" s="576"/>
      <c r="F38" s="576"/>
      <c r="G38" s="353"/>
      <c r="H38" s="353"/>
      <c r="I38" s="354"/>
      <c r="J38" s="355"/>
    </row>
    <row r="39" spans="2:15" x14ac:dyDescent="0.2">
      <c r="B39" s="356"/>
      <c r="C39" s="576" t="s">
        <v>645</v>
      </c>
      <c r="D39" s="576"/>
      <c r="E39" s="576"/>
      <c r="F39" s="576"/>
      <c r="G39" s="353"/>
      <c r="H39" s="353"/>
      <c r="I39" s="354"/>
      <c r="J39" s="355"/>
      <c r="L39" s="359"/>
      <c r="M39" s="360"/>
      <c r="N39" s="360"/>
      <c r="O39" s="361"/>
    </row>
    <row r="40" spans="2:15" ht="21" customHeight="1" x14ac:dyDescent="0.2">
      <c r="B40" s="356"/>
      <c r="C40" s="362" t="s">
        <v>646</v>
      </c>
      <c r="D40" s="351"/>
      <c r="E40" s="351"/>
      <c r="F40" s="352"/>
      <c r="G40" s="353"/>
      <c r="H40" s="353"/>
      <c r="I40" s="354"/>
      <c r="J40" s="355"/>
      <c r="L40" s="558"/>
      <c r="M40" s="558"/>
      <c r="N40" s="558"/>
      <c r="O40" s="558"/>
    </row>
    <row r="41" spans="2:15" x14ac:dyDescent="0.2">
      <c r="B41" s="356"/>
      <c r="C41" s="358" t="s">
        <v>647</v>
      </c>
      <c r="D41" s="351"/>
      <c r="E41" s="351"/>
      <c r="F41" s="352"/>
      <c r="G41" s="353"/>
      <c r="H41" s="353"/>
      <c r="I41" s="354"/>
      <c r="J41" s="355"/>
      <c r="L41" s="558"/>
      <c r="M41" s="558"/>
      <c r="N41" s="558"/>
      <c r="O41" s="558"/>
    </row>
    <row r="42" spans="2:15" x14ac:dyDescent="0.2">
      <c r="B42" s="356"/>
      <c r="C42" s="358" t="s">
        <v>648</v>
      </c>
      <c r="D42" s="351"/>
      <c r="E42" s="351"/>
      <c r="F42" s="352"/>
      <c r="G42" s="353"/>
      <c r="H42" s="353"/>
      <c r="I42" s="354"/>
      <c r="J42" s="355"/>
      <c r="L42" s="359"/>
      <c r="M42" s="360"/>
      <c r="N42" s="360"/>
      <c r="O42" s="361"/>
    </row>
    <row r="43" spans="2:15" x14ac:dyDescent="0.2">
      <c r="B43" s="356"/>
      <c r="C43" s="358" t="s">
        <v>649</v>
      </c>
      <c r="D43" s="351"/>
      <c r="E43" s="351"/>
      <c r="F43" s="352"/>
      <c r="G43" s="353"/>
      <c r="H43" s="353"/>
      <c r="I43" s="354"/>
      <c r="J43" s="355"/>
      <c r="L43" s="359"/>
      <c r="M43" s="360"/>
      <c r="N43" s="360"/>
      <c r="O43" s="361"/>
    </row>
    <row r="44" spans="2:15" x14ac:dyDescent="0.2">
      <c r="B44" s="356"/>
      <c r="C44" s="358" t="s">
        <v>650</v>
      </c>
      <c r="D44" s="351"/>
      <c r="E44" s="351"/>
      <c r="F44" s="352"/>
      <c r="G44" s="353"/>
      <c r="H44" s="353"/>
      <c r="I44" s="354"/>
      <c r="J44" s="355"/>
      <c r="L44" s="359"/>
      <c r="M44" s="360"/>
      <c r="N44" s="360"/>
      <c r="O44" s="361"/>
    </row>
    <row r="45" spans="2:15" ht="56.25" customHeight="1" x14ac:dyDescent="0.2">
      <c r="B45" s="356"/>
      <c r="C45" s="358" t="s">
        <v>651</v>
      </c>
      <c r="D45" s="363"/>
      <c r="E45" s="351"/>
      <c r="F45" s="352"/>
      <c r="G45" s="353"/>
      <c r="H45" s="353"/>
      <c r="I45" s="354"/>
      <c r="J45" s="355"/>
      <c r="L45" s="359"/>
      <c r="M45" s="360"/>
      <c r="N45" s="360"/>
      <c r="O45" s="361"/>
    </row>
    <row r="46" spans="2:15" ht="56.25" customHeight="1" x14ac:dyDescent="0.2">
      <c r="B46" s="559" t="s">
        <v>652</v>
      </c>
      <c r="C46" s="560"/>
      <c r="D46" s="560"/>
      <c r="E46" s="560"/>
      <c r="F46" s="560"/>
      <c r="G46" s="560"/>
      <c r="H46" s="560"/>
      <c r="I46" s="560"/>
      <c r="J46" s="561"/>
      <c r="L46" s="359"/>
      <c r="M46" s="360"/>
      <c r="N46" s="360"/>
      <c r="O46" s="361"/>
    </row>
    <row r="47" spans="2:15" ht="74.25" customHeight="1" x14ac:dyDescent="0.2">
      <c r="B47" s="562" t="s">
        <v>653</v>
      </c>
      <c r="C47" s="563"/>
      <c r="D47" s="563"/>
      <c r="E47" s="563"/>
      <c r="F47" s="563"/>
      <c r="G47" s="563"/>
      <c r="H47" s="563"/>
      <c r="I47" s="563"/>
      <c r="J47" s="564"/>
      <c r="L47" s="359"/>
      <c r="M47" s="360"/>
      <c r="N47" s="360"/>
      <c r="O47" s="361"/>
    </row>
    <row r="48" spans="2:15" ht="75" customHeight="1" x14ac:dyDescent="0.2">
      <c r="B48" s="565" t="s">
        <v>654</v>
      </c>
      <c r="C48" s="566"/>
      <c r="D48" s="566"/>
      <c r="E48" s="566"/>
      <c r="F48" s="566"/>
      <c r="G48" s="566"/>
      <c r="H48" s="566"/>
      <c r="I48" s="566"/>
      <c r="J48" s="567"/>
      <c r="L48" s="359"/>
      <c r="M48" s="360"/>
      <c r="N48" s="360"/>
      <c r="O48" s="361"/>
    </row>
    <row r="49" spans="2:15" ht="51" customHeight="1" x14ac:dyDescent="0.2">
      <c r="B49" s="364" t="s">
        <v>655</v>
      </c>
      <c r="C49" s="568" t="s">
        <v>656</v>
      </c>
      <c r="D49" s="568"/>
      <c r="E49" s="568"/>
      <c r="F49" s="568"/>
      <c r="G49" s="365"/>
      <c r="H49" s="365"/>
      <c r="I49" s="366"/>
      <c r="L49" s="359"/>
      <c r="M49" s="360"/>
      <c r="N49" s="360"/>
      <c r="O49" s="361"/>
    </row>
    <row r="50" spans="2:15" x14ac:dyDescent="0.2">
      <c r="B50" s="367"/>
      <c r="C50" s="360"/>
      <c r="D50" s="368"/>
      <c r="E50" s="360"/>
      <c r="F50" s="361"/>
      <c r="G50" s="369"/>
      <c r="H50" s="369"/>
      <c r="I50" s="370"/>
    </row>
    <row r="51" spans="2:15" x14ac:dyDescent="0.2">
      <c r="B51" s="371"/>
      <c r="C51" s="555" t="s">
        <v>657</v>
      </c>
      <c r="D51" s="555"/>
      <c r="E51" s="555"/>
      <c r="F51" s="555"/>
      <c r="G51" s="372"/>
      <c r="H51" s="372"/>
      <c r="I51" s="373"/>
    </row>
    <row r="52" spans="2:15" ht="51" customHeight="1" x14ac:dyDescent="0.2">
      <c r="B52" s="371"/>
      <c r="C52" s="553" t="s">
        <v>658</v>
      </c>
      <c r="D52" s="553"/>
      <c r="E52" s="553"/>
      <c r="F52" s="553"/>
      <c r="G52" s="553"/>
      <c r="H52" s="553"/>
      <c r="I52" s="554"/>
    </row>
    <row r="53" spans="2:15" x14ac:dyDescent="0.2">
      <c r="B53" s="371"/>
      <c r="C53" s="374"/>
      <c r="D53" s="374"/>
      <c r="E53" s="374"/>
      <c r="F53" s="374"/>
      <c r="G53" s="374"/>
      <c r="H53" s="374"/>
      <c r="I53" s="375"/>
    </row>
    <row r="54" spans="2:15" ht="13.5" thickBot="1" x14ac:dyDescent="0.25">
      <c r="B54" s="376"/>
      <c r="C54" s="377"/>
      <c r="D54" s="377"/>
      <c r="E54" s="377"/>
      <c r="F54" s="377"/>
      <c r="G54" s="377"/>
      <c r="H54" s="377"/>
      <c r="I54" s="378"/>
    </row>
    <row r="55" spans="2:15" x14ac:dyDescent="0.2">
      <c r="B55" s="371"/>
      <c r="C55" s="374"/>
      <c r="D55" s="374"/>
      <c r="E55" s="374"/>
      <c r="F55" s="374"/>
      <c r="G55" s="374"/>
      <c r="H55" s="374"/>
      <c r="I55" s="375"/>
    </row>
    <row r="56" spans="2:15" x14ac:dyDescent="0.2">
      <c r="B56" s="379"/>
      <c r="C56" s="569" t="s">
        <v>659</v>
      </c>
      <c r="D56" s="569"/>
      <c r="E56" s="569"/>
      <c r="F56" s="569"/>
      <c r="G56" s="372"/>
      <c r="H56" s="372"/>
      <c r="I56" s="373"/>
    </row>
    <row r="57" spans="2:15" ht="113.25" customHeight="1" x14ac:dyDescent="0.2">
      <c r="B57" s="379"/>
      <c r="C57" s="553" t="s">
        <v>660</v>
      </c>
      <c r="D57" s="553"/>
      <c r="E57" s="553"/>
      <c r="F57" s="553"/>
      <c r="G57" s="553"/>
      <c r="H57" s="553"/>
      <c r="I57" s="554"/>
    </row>
    <row r="58" spans="2:15" ht="14.25" customHeight="1" x14ac:dyDescent="0.2">
      <c r="B58" s="367"/>
      <c r="C58" s="555" t="s">
        <v>661</v>
      </c>
      <c r="D58" s="555"/>
      <c r="E58" s="555"/>
      <c r="F58" s="555"/>
      <c r="G58" s="372"/>
      <c r="H58" s="372"/>
      <c r="I58" s="373"/>
    </row>
    <row r="59" spans="2:15" ht="96.75" customHeight="1" x14ac:dyDescent="0.2">
      <c r="B59" s="367"/>
      <c r="C59" s="553" t="s">
        <v>662</v>
      </c>
      <c r="D59" s="553"/>
      <c r="E59" s="553"/>
      <c r="F59" s="553"/>
      <c r="G59" s="553"/>
      <c r="H59" s="553"/>
      <c r="I59" s="554"/>
    </row>
    <row r="60" spans="2:15" x14ac:dyDescent="0.2">
      <c r="B60" s="367"/>
      <c r="C60" s="374"/>
      <c r="D60" s="374"/>
      <c r="E60" s="374"/>
      <c r="F60" s="374"/>
      <c r="G60" s="374"/>
      <c r="H60" s="374"/>
      <c r="I60" s="375"/>
    </row>
    <row r="61" spans="2:15" ht="15" customHeight="1" x14ac:dyDescent="0.2">
      <c r="B61" s="367"/>
      <c r="C61" s="555" t="s">
        <v>663</v>
      </c>
      <c r="D61" s="555"/>
      <c r="E61" s="555"/>
      <c r="F61" s="555"/>
      <c r="G61" s="372"/>
      <c r="H61" s="372"/>
      <c r="I61" s="373"/>
    </row>
    <row r="62" spans="2:15" ht="45.75" customHeight="1" x14ac:dyDescent="0.2">
      <c r="B62" s="367"/>
      <c r="C62" s="553" t="s">
        <v>664</v>
      </c>
      <c r="D62" s="553"/>
      <c r="E62" s="553"/>
      <c r="F62" s="553"/>
      <c r="G62" s="553"/>
      <c r="H62" s="553"/>
      <c r="I62" s="554"/>
    </row>
    <row r="63" spans="2:15" x14ac:dyDescent="0.2">
      <c r="B63" s="367"/>
      <c r="C63" s="555" t="s">
        <v>665</v>
      </c>
      <c r="D63" s="555"/>
      <c r="E63" s="555"/>
      <c r="F63" s="555"/>
      <c r="G63" s="372"/>
      <c r="H63" s="372"/>
      <c r="I63" s="373"/>
    </row>
    <row r="64" spans="2:15" ht="60" customHeight="1" x14ac:dyDescent="0.2">
      <c r="B64" s="367"/>
      <c r="C64" s="556" t="s">
        <v>666</v>
      </c>
      <c r="D64" s="556"/>
      <c r="E64" s="556"/>
      <c r="F64" s="556"/>
      <c r="G64" s="556"/>
      <c r="H64" s="556"/>
      <c r="I64" s="557"/>
    </row>
    <row r="65" spans="2:9" ht="41.25" customHeight="1" x14ac:dyDescent="0.2">
      <c r="B65" s="367"/>
      <c r="C65" s="556" t="s">
        <v>667</v>
      </c>
      <c r="D65" s="556"/>
      <c r="E65" s="556"/>
      <c r="F65" s="556"/>
      <c r="G65" s="556"/>
      <c r="H65" s="556"/>
      <c r="I65" s="557"/>
    </row>
    <row r="66" spans="2:9" ht="37.5" customHeight="1" x14ac:dyDescent="0.2">
      <c r="B66" s="367"/>
      <c r="C66" s="556" t="s">
        <v>668</v>
      </c>
      <c r="D66" s="556"/>
      <c r="E66" s="556"/>
      <c r="F66" s="556"/>
      <c r="G66" s="556"/>
      <c r="H66" s="556"/>
      <c r="I66" s="557"/>
    </row>
    <row r="67" spans="2:9" ht="37.5" customHeight="1" x14ac:dyDescent="0.2">
      <c r="B67" s="367"/>
      <c r="C67" s="556" t="s">
        <v>669</v>
      </c>
      <c r="D67" s="556"/>
      <c r="E67" s="556"/>
      <c r="F67" s="556"/>
      <c r="G67" s="556"/>
      <c r="H67" s="556"/>
      <c r="I67" s="557"/>
    </row>
    <row r="68" spans="2:9" ht="13.5" thickBot="1" x14ac:dyDescent="0.25">
      <c r="B68" s="380"/>
      <c r="C68" s="551"/>
      <c r="D68" s="551"/>
      <c r="E68" s="551"/>
      <c r="F68" s="551"/>
      <c r="G68" s="551"/>
      <c r="H68" s="551"/>
      <c r="I68" s="552"/>
    </row>
  </sheetData>
  <mergeCells count="42">
    <mergeCell ref="C17:D17"/>
    <mergeCell ref="C2:J2"/>
    <mergeCell ref="C3:E3"/>
    <mergeCell ref="C4:E4"/>
    <mergeCell ref="H4:J4"/>
    <mergeCell ref="C5:E5"/>
    <mergeCell ref="H5:I5"/>
    <mergeCell ref="C10:D10"/>
    <mergeCell ref="C13:D13"/>
    <mergeCell ref="C15:D15"/>
    <mergeCell ref="C16:D16"/>
    <mergeCell ref="L40:O40"/>
    <mergeCell ref="C18:D18"/>
    <mergeCell ref="C19:D19"/>
    <mergeCell ref="C20:D20"/>
    <mergeCell ref="C23:D23"/>
    <mergeCell ref="C26:D26"/>
    <mergeCell ref="C27:D27"/>
    <mergeCell ref="C29:D29"/>
    <mergeCell ref="C30:D30"/>
    <mergeCell ref="C32:D32"/>
    <mergeCell ref="C38:F38"/>
    <mergeCell ref="C39:F39"/>
    <mergeCell ref="C61:F61"/>
    <mergeCell ref="L41:O41"/>
    <mergeCell ref="B46:J46"/>
    <mergeCell ref="B47:J47"/>
    <mergeCell ref="B48:J48"/>
    <mergeCell ref="C49:F49"/>
    <mergeCell ref="C51:F51"/>
    <mergeCell ref="C52:I52"/>
    <mergeCell ref="C56:F56"/>
    <mergeCell ref="C57:I57"/>
    <mergeCell ref="C58:F58"/>
    <mergeCell ref="C59:I59"/>
    <mergeCell ref="C68:I68"/>
    <mergeCell ref="C62:I62"/>
    <mergeCell ref="C63:F63"/>
    <mergeCell ref="C64:I64"/>
    <mergeCell ref="C65:I65"/>
    <mergeCell ref="C66:I66"/>
    <mergeCell ref="C67:I67"/>
  </mergeCells>
  <pageMargins left="0.511811024" right="0.511811024" top="0.78740157499999996" bottom="0.78740157499999996" header="0.31496062000000002" footer="0.31496062000000002"/>
  <pageSetup paperSize="9" scale="72" orientation="portrait" verticalDpi="300"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0"/>
  <sheetViews>
    <sheetView view="pageBreakPreview" zoomScaleNormal="100" zoomScaleSheetLayoutView="100" workbookViewId="0">
      <selection activeCell="K10" sqref="K10"/>
    </sheetView>
  </sheetViews>
  <sheetFormatPr defaultRowHeight="15" x14ac:dyDescent="0.25"/>
  <cols>
    <col min="3" max="3" width="61.42578125" bestFit="1" customWidth="1"/>
    <col min="4" max="4" width="10.28515625" bestFit="1" customWidth="1"/>
    <col min="5" max="5" width="18.85546875" bestFit="1" customWidth="1"/>
    <col min="6" max="6" width="10.28515625" bestFit="1" customWidth="1"/>
    <col min="7" max="7" width="7.140625" bestFit="1" customWidth="1"/>
    <col min="8" max="8" width="11" bestFit="1" customWidth="1"/>
    <col min="9" max="9" width="18.28515625" bestFit="1" customWidth="1"/>
  </cols>
  <sheetData>
    <row r="1" spans="1:9" x14ac:dyDescent="0.25">
      <c r="A1" s="598" t="s">
        <v>545</v>
      </c>
      <c r="B1" s="599"/>
      <c r="C1" s="599"/>
      <c r="D1" s="599"/>
      <c r="E1" s="599"/>
      <c r="F1" s="599"/>
      <c r="G1" s="599"/>
      <c r="H1" s="600"/>
      <c r="I1" s="150" t="s">
        <v>546</v>
      </c>
    </row>
    <row r="2" spans="1:9" x14ac:dyDescent="0.25">
      <c r="A2" s="601"/>
      <c r="B2" s="602"/>
      <c r="C2" s="602"/>
      <c r="D2" s="602"/>
      <c r="E2" s="602"/>
      <c r="F2" s="602"/>
      <c r="G2" s="602"/>
      <c r="H2" s="603"/>
      <c r="I2" s="151">
        <v>44501</v>
      </c>
    </row>
    <row r="3" spans="1:9" x14ac:dyDescent="0.25">
      <c r="A3" s="601"/>
      <c r="B3" s="602"/>
      <c r="C3" s="602"/>
      <c r="D3" s="602"/>
      <c r="E3" s="602"/>
      <c r="F3" s="602"/>
      <c r="G3" s="602"/>
      <c r="H3" s="603"/>
      <c r="I3" s="152" t="s">
        <v>291</v>
      </c>
    </row>
    <row r="4" spans="1:9" x14ac:dyDescent="0.25">
      <c r="A4" s="604"/>
      <c r="B4" s="605"/>
      <c r="C4" s="605"/>
      <c r="D4" s="605"/>
      <c r="E4" s="605"/>
      <c r="F4" s="605"/>
      <c r="G4" s="605"/>
      <c r="H4" s="606"/>
      <c r="I4" s="153" t="s">
        <v>547</v>
      </c>
    </row>
    <row r="5" spans="1:9" x14ac:dyDescent="0.25">
      <c r="A5" s="607" t="s">
        <v>548</v>
      </c>
      <c r="B5" s="608"/>
      <c r="C5" s="608"/>
      <c r="D5" s="608"/>
      <c r="E5" s="608"/>
      <c r="F5" s="608"/>
      <c r="G5" s="608"/>
      <c r="H5" s="608"/>
      <c r="I5" s="609"/>
    </row>
    <row r="6" spans="1:9" x14ac:dyDescent="0.25">
      <c r="A6" s="610" t="s">
        <v>549</v>
      </c>
      <c r="B6" s="611"/>
      <c r="C6" s="611"/>
      <c r="D6" s="611"/>
      <c r="E6" s="611"/>
      <c r="F6" s="611"/>
      <c r="G6" s="611"/>
      <c r="H6" s="611"/>
      <c r="I6" s="612"/>
    </row>
    <row r="7" spans="1:9" x14ac:dyDescent="0.25">
      <c r="A7" s="595" t="s">
        <v>550</v>
      </c>
      <c r="B7" s="596"/>
      <c r="C7" s="596"/>
      <c r="D7" s="596"/>
      <c r="E7" s="596"/>
      <c r="F7" s="596"/>
      <c r="G7" s="596"/>
      <c r="H7" s="596"/>
      <c r="I7" s="597"/>
    </row>
    <row r="8" spans="1:9" x14ac:dyDescent="0.25">
      <c r="A8" s="154" t="s">
        <v>551</v>
      </c>
      <c r="B8" s="155" t="s">
        <v>12</v>
      </c>
      <c r="C8" s="155" t="s">
        <v>552</v>
      </c>
      <c r="D8" s="155"/>
      <c r="E8" s="155"/>
      <c r="F8" s="155" t="s">
        <v>553</v>
      </c>
      <c r="G8" s="155" t="s">
        <v>554</v>
      </c>
      <c r="H8" s="136" t="s">
        <v>555</v>
      </c>
      <c r="I8" s="156" t="s">
        <v>556</v>
      </c>
    </row>
    <row r="9" spans="1:9" x14ac:dyDescent="0.25">
      <c r="A9" s="138">
        <v>88247</v>
      </c>
      <c r="B9" s="139" t="s">
        <v>557</v>
      </c>
      <c r="C9" s="146" t="s">
        <v>558</v>
      </c>
      <c r="D9" s="146"/>
      <c r="E9" s="146" t="s">
        <v>559</v>
      </c>
      <c r="F9" s="139" t="s">
        <v>560</v>
      </c>
      <c r="G9" s="157">
        <v>7.0300000000000001E-2</v>
      </c>
      <c r="H9" s="158">
        <f>(18.69/1.8674)*2.5727</f>
        <v>25.749043054514299</v>
      </c>
      <c r="I9" s="159">
        <f>G9*H9</f>
        <v>1.8101577267323552</v>
      </c>
    </row>
    <row r="10" spans="1:9" x14ac:dyDescent="0.25">
      <c r="A10" s="138">
        <v>88264</v>
      </c>
      <c r="B10" s="139" t="s">
        <v>557</v>
      </c>
      <c r="C10" s="146" t="s">
        <v>561</v>
      </c>
      <c r="D10" s="146"/>
      <c r="E10" s="146" t="s">
        <v>559</v>
      </c>
      <c r="F10" s="139" t="s">
        <v>560</v>
      </c>
      <c r="G10" s="157">
        <v>7.0300000000000001E-2</v>
      </c>
      <c r="H10" s="158">
        <f>(23.95/1.8674)*2.5727</f>
        <v>32.995697226089753</v>
      </c>
      <c r="I10" s="159">
        <f>G10*H10</f>
        <v>2.3195975149941095</v>
      </c>
    </row>
    <row r="11" spans="1:9" x14ac:dyDescent="0.25">
      <c r="A11" s="145"/>
      <c r="B11" s="146"/>
      <c r="C11" s="146"/>
      <c r="D11" s="146"/>
      <c r="E11" s="146"/>
      <c r="F11" s="146"/>
      <c r="G11" s="146"/>
      <c r="H11" s="160"/>
      <c r="I11" s="147"/>
    </row>
    <row r="12" spans="1:9" x14ac:dyDescent="0.25">
      <c r="A12" s="583" t="s">
        <v>562</v>
      </c>
      <c r="B12" s="584"/>
      <c r="C12" s="584"/>
      <c r="D12" s="584"/>
      <c r="E12" s="584"/>
      <c r="F12" s="584"/>
      <c r="G12" s="584"/>
      <c r="H12" s="585"/>
      <c r="I12" s="131">
        <f>I9+I10</f>
        <v>4.1297552417264649</v>
      </c>
    </row>
    <row r="13" spans="1:9" x14ac:dyDescent="0.25">
      <c r="A13" s="132"/>
      <c r="B13" s="133"/>
      <c r="C13" s="133"/>
      <c r="D13" s="133"/>
      <c r="E13" s="133"/>
      <c r="F13" s="133"/>
      <c r="G13" s="133"/>
      <c r="H13" s="133"/>
      <c r="I13" s="134"/>
    </row>
    <row r="14" spans="1:9" x14ac:dyDescent="0.25">
      <c r="A14" s="595" t="s">
        <v>563</v>
      </c>
      <c r="B14" s="596"/>
      <c r="C14" s="596"/>
      <c r="D14" s="596"/>
      <c r="E14" s="596"/>
      <c r="F14" s="596"/>
      <c r="G14" s="596"/>
      <c r="H14" s="596"/>
      <c r="I14" s="597"/>
    </row>
    <row r="15" spans="1:9" x14ac:dyDescent="0.25">
      <c r="A15" s="135" t="s">
        <v>551</v>
      </c>
      <c r="B15" s="136" t="s">
        <v>12</v>
      </c>
      <c r="C15" s="136" t="s">
        <v>552</v>
      </c>
      <c r="D15" s="136"/>
      <c r="E15" s="136"/>
      <c r="F15" s="136" t="s">
        <v>553</v>
      </c>
      <c r="G15" s="136" t="s">
        <v>554</v>
      </c>
      <c r="H15" s="136" t="s">
        <v>555</v>
      </c>
      <c r="I15" s="137" t="s">
        <v>556</v>
      </c>
    </row>
    <row r="16" spans="1:9" ht="30" x14ac:dyDescent="0.25">
      <c r="A16" s="138">
        <v>1570</v>
      </c>
      <c r="B16" s="139" t="s">
        <v>557</v>
      </c>
      <c r="C16" s="140" t="s">
        <v>564</v>
      </c>
      <c r="D16" s="139"/>
      <c r="E16" s="139"/>
      <c r="F16" s="139" t="s">
        <v>67</v>
      </c>
      <c r="G16" s="139">
        <v>2</v>
      </c>
      <c r="H16" s="139">
        <v>0.87</v>
      </c>
      <c r="I16" s="141">
        <f>G16*H16</f>
        <v>1.74</v>
      </c>
    </row>
    <row r="17" spans="1:9" x14ac:dyDescent="0.25">
      <c r="A17" s="138">
        <v>34616</v>
      </c>
      <c r="B17" s="139" t="s">
        <v>557</v>
      </c>
      <c r="C17" s="140" t="s">
        <v>565</v>
      </c>
      <c r="D17" s="139"/>
      <c r="E17" s="139"/>
      <c r="F17" s="139" t="s">
        <v>67</v>
      </c>
      <c r="G17" s="139">
        <v>1</v>
      </c>
      <c r="H17" s="139">
        <v>49.7</v>
      </c>
      <c r="I17" s="141">
        <f>G17*H17</f>
        <v>49.7</v>
      </c>
    </row>
    <row r="18" spans="1:9" x14ac:dyDescent="0.25">
      <c r="A18" s="589" t="s">
        <v>566</v>
      </c>
      <c r="B18" s="590"/>
      <c r="C18" s="590"/>
      <c r="D18" s="590"/>
      <c r="E18" s="590"/>
      <c r="F18" s="590"/>
      <c r="G18" s="590"/>
      <c r="H18" s="591"/>
      <c r="I18" s="161">
        <f>SUM(I16:I17)</f>
        <v>51.440000000000005</v>
      </c>
    </row>
    <row r="19" spans="1:9" x14ac:dyDescent="0.25">
      <c r="A19" s="132"/>
      <c r="B19" s="133"/>
      <c r="C19" s="133"/>
      <c r="D19" s="133"/>
      <c r="E19" s="133"/>
      <c r="F19" s="133"/>
      <c r="G19" s="133"/>
      <c r="H19" s="133"/>
      <c r="I19" s="134"/>
    </row>
    <row r="20" spans="1:9" x14ac:dyDescent="0.25">
      <c r="A20" s="592" t="s">
        <v>567</v>
      </c>
      <c r="B20" s="593"/>
      <c r="C20" s="593"/>
      <c r="D20" s="593"/>
      <c r="E20" s="593"/>
      <c r="F20" s="593"/>
      <c r="G20" s="593"/>
      <c r="H20" s="593"/>
      <c r="I20" s="594"/>
    </row>
    <row r="21" spans="1:9" x14ac:dyDescent="0.25">
      <c r="A21" s="142" t="s">
        <v>551</v>
      </c>
      <c r="B21" s="143" t="s">
        <v>12</v>
      </c>
      <c r="C21" s="143" t="s">
        <v>552</v>
      </c>
      <c r="D21" s="143"/>
      <c r="E21" s="143"/>
      <c r="F21" s="143" t="s">
        <v>553</v>
      </c>
      <c r="G21" s="143" t="s">
        <v>554</v>
      </c>
      <c r="H21" s="143" t="s">
        <v>555</v>
      </c>
      <c r="I21" s="144" t="s">
        <v>556</v>
      </c>
    </row>
    <row r="22" spans="1:9" x14ac:dyDescent="0.25">
      <c r="A22" s="145"/>
      <c r="B22" s="146"/>
      <c r="C22" s="146"/>
      <c r="D22" s="146"/>
      <c r="E22" s="146"/>
      <c r="F22" s="146"/>
      <c r="G22" s="146"/>
      <c r="H22" s="146"/>
      <c r="I22" s="147"/>
    </row>
    <row r="23" spans="1:9" x14ac:dyDescent="0.25">
      <c r="A23" s="145"/>
      <c r="B23" s="146"/>
      <c r="C23" s="146"/>
      <c r="D23" s="146"/>
      <c r="E23" s="146"/>
      <c r="F23" s="146"/>
      <c r="G23" s="146"/>
      <c r="H23" s="146"/>
      <c r="I23" s="147"/>
    </row>
    <row r="24" spans="1:9" x14ac:dyDescent="0.25">
      <c r="A24" s="583" t="s">
        <v>568</v>
      </c>
      <c r="B24" s="584"/>
      <c r="C24" s="584"/>
      <c r="D24" s="584"/>
      <c r="E24" s="584"/>
      <c r="F24" s="584"/>
      <c r="G24" s="584"/>
      <c r="H24" s="585"/>
      <c r="I24" s="147" t="s">
        <v>569</v>
      </c>
    </row>
    <row r="25" spans="1:9" x14ac:dyDescent="0.25">
      <c r="A25" s="145"/>
      <c r="B25" s="146"/>
      <c r="C25" s="146"/>
      <c r="D25" s="146"/>
      <c r="E25" s="146"/>
      <c r="F25" s="146"/>
      <c r="G25" s="146"/>
      <c r="H25" s="146"/>
      <c r="I25" s="147"/>
    </row>
    <row r="26" spans="1:9" x14ac:dyDescent="0.25">
      <c r="A26" s="583" t="s">
        <v>570</v>
      </c>
      <c r="B26" s="584"/>
      <c r="C26" s="584"/>
      <c r="D26" s="584"/>
      <c r="E26" s="584"/>
      <c r="F26" s="584"/>
      <c r="G26" s="584"/>
      <c r="H26" s="585"/>
      <c r="I26" s="147"/>
    </row>
    <row r="27" spans="1:9" x14ac:dyDescent="0.25">
      <c r="A27" s="583" t="s">
        <v>571</v>
      </c>
      <c r="B27" s="584"/>
      <c r="C27" s="584"/>
      <c r="D27" s="584"/>
      <c r="E27" s="584"/>
      <c r="F27" s="584"/>
      <c r="G27" s="584"/>
      <c r="H27" s="585"/>
      <c r="I27" s="148">
        <f>I12</f>
        <v>4.1297552417264649</v>
      </c>
    </row>
    <row r="28" spans="1:9" x14ac:dyDescent="0.25">
      <c r="A28" s="583" t="s">
        <v>572</v>
      </c>
      <c r="B28" s="584"/>
      <c r="C28" s="584"/>
      <c r="D28" s="584"/>
      <c r="E28" s="584"/>
      <c r="F28" s="584"/>
      <c r="G28" s="584"/>
      <c r="H28" s="585"/>
      <c r="I28" s="148">
        <f>I18</f>
        <v>51.440000000000005</v>
      </c>
    </row>
    <row r="29" spans="1:9" x14ac:dyDescent="0.25">
      <c r="A29" s="583" t="s">
        <v>573</v>
      </c>
      <c r="B29" s="584"/>
      <c r="C29" s="584"/>
      <c r="D29" s="584"/>
      <c r="E29" s="584"/>
      <c r="F29" s="584"/>
      <c r="G29" s="584"/>
      <c r="H29" s="585"/>
      <c r="I29" s="147" t="s">
        <v>569</v>
      </c>
    </row>
    <row r="30" spans="1:9" x14ac:dyDescent="0.25">
      <c r="A30" s="586" t="s">
        <v>574</v>
      </c>
      <c r="B30" s="587"/>
      <c r="C30" s="587"/>
      <c r="D30" s="587"/>
      <c r="E30" s="587"/>
      <c r="F30" s="587"/>
      <c r="G30" s="587"/>
      <c r="H30" s="588"/>
      <c r="I30" s="149">
        <f>I27+I28</f>
        <v>55.569755241726469</v>
      </c>
    </row>
  </sheetData>
  <mergeCells count="14">
    <mergeCell ref="A14:I14"/>
    <mergeCell ref="A1:H4"/>
    <mergeCell ref="A5:I5"/>
    <mergeCell ref="A6:I6"/>
    <mergeCell ref="A7:I7"/>
    <mergeCell ref="A12:H12"/>
    <mergeCell ref="A29:H29"/>
    <mergeCell ref="A30:H30"/>
    <mergeCell ref="A18:H18"/>
    <mergeCell ref="A20:I20"/>
    <mergeCell ref="A24:H24"/>
    <mergeCell ref="A26:H26"/>
    <mergeCell ref="A27:H27"/>
    <mergeCell ref="A28:H28"/>
  </mergeCells>
  <pageMargins left="0.7" right="0.7" top="0.75" bottom="0.75" header="0.3" footer="0.3"/>
  <pageSetup paperSize="9" scale="56"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31"/>
  <sheetViews>
    <sheetView view="pageBreakPreview" zoomScaleNormal="100" zoomScaleSheetLayoutView="100" workbookViewId="0">
      <selection activeCell="H10" sqref="H10"/>
    </sheetView>
  </sheetViews>
  <sheetFormatPr defaultRowHeight="15" x14ac:dyDescent="0.25"/>
  <cols>
    <col min="3" max="3" width="61.42578125" bestFit="1" customWidth="1"/>
    <col min="4" max="4" width="10.28515625" bestFit="1" customWidth="1"/>
    <col min="5" max="5" width="18.85546875" bestFit="1" customWidth="1"/>
    <col min="6" max="6" width="10.28515625" bestFit="1" customWidth="1"/>
    <col min="7" max="7" width="7.140625" bestFit="1" customWidth="1"/>
    <col min="8" max="8" width="11" bestFit="1" customWidth="1"/>
    <col min="9" max="9" width="14" bestFit="1" customWidth="1"/>
  </cols>
  <sheetData>
    <row r="1" spans="1:9" x14ac:dyDescent="0.25">
      <c r="A1" s="598" t="s">
        <v>545</v>
      </c>
      <c r="B1" s="599"/>
      <c r="C1" s="599"/>
      <c r="D1" s="599"/>
      <c r="E1" s="599"/>
      <c r="F1" s="599"/>
      <c r="G1" s="599"/>
      <c r="H1" s="600"/>
      <c r="I1" s="150" t="s">
        <v>546</v>
      </c>
    </row>
    <row r="2" spans="1:9" x14ac:dyDescent="0.25">
      <c r="A2" s="601"/>
      <c r="B2" s="602"/>
      <c r="C2" s="602"/>
      <c r="D2" s="602"/>
      <c r="E2" s="602"/>
      <c r="F2" s="602"/>
      <c r="G2" s="602"/>
      <c r="H2" s="603"/>
      <c r="I2" s="151">
        <v>44501</v>
      </c>
    </row>
    <row r="3" spans="1:9" x14ac:dyDescent="0.25">
      <c r="A3" s="601"/>
      <c r="B3" s="602"/>
      <c r="C3" s="602"/>
      <c r="D3" s="602"/>
      <c r="E3" s="602"/>
      <c r="F3" s="602"/>
      <c r="G3" s="602"/>
      <c r="H3" s="603"/>
      <c r="I3" s="152" t="s">
        <v>294</v>
      </c>
    </row>
    <row r="4" spans="1:9" x14ac:dyDescent="0.25">
      <c r="A4" s="604"/>
      <c r="B4" s="605"/>
      <c r="C4" s="605"/>
      <c r="D4" s="605"/>
      <c r="E4" s="605"/>
      <c r="F4" s="605"/>
      <c r="G4" s="605"/>
      <c r="H4" s="606"/>
      <c r="I4" s="153" t="s">
        <v>547</v>
      </c>
    </row>
    <row r="5" spans="1:9" x14ac:dyDescent="0.25">
      <c r="A5" s="607" t="s">
        <v>575</v>
      </c>
      <c r="B5" s="608"/>
      <c r="C5" s="608"/>
      <c r="D5" s="608"/>
      <c r="E5" s="608"/>
      <c r="F5" s="608"/>
      <c r="G5" s="608"/>
      <c r="H5" s="608"/>
      <c r="I5" s="609"/>
    </row>
    <row r="6" spans="1:9" x14ac:dyDescent="0.25">
      <c r="A6" s="610" t="s">
        <v>576</v>
      </c>
      <c r="B6" s="611"/>
      <c r="C6" s="611"/>
      <c r="D6" s="611"/>
      <c r="E6" s="611"/>
      <c r="F6" s="611"/>
      <c r="G6" s="611"/>
      <c r="H6" s="611"/>
      <c r="I6" s="612"/>
    </row>
    <row r="7" spans="1:9" x14ac:dyDescent="0.25">
      <c r="A7" s="595" t="s">
        <v>550</v>
      </c>
      <c r="B7" s="596"/>
      <c r="C7" s="596"/>
      <c r="D7" s="596"/>
      <c r="E7" s="596"/>
      <c r="F7" s="596"/>
      <c r="G7" s="596"/>
      <c r="H7" s="596"/>
      <c r="I7" s="597"/>
    </row>
    <row r="8" spans="1:9" x14ac:dyDescent="0.25">
      <c r="A8" s="154" t="s">
        <v>551</v>
      </c>
      <c r="B8" s="155" t="s">
        <v>12</v>
      </c>
      <c r="C8" s="155" t="s">
        <v>552</v>
      </c>
      <c r="D8" s="155"/>
      <c r="E8" s="155"/>
      <c r="F8" s="155" t="s">
        <v>553</v>
      </c>
      <c r="G8" s="155" t="s">
        <v>554</v>
      </c>
      <c r="H8" s="136" t="s">
        <v>555</v>
      </c>
      <c r="I8" s="156" t="s">
        <v>556</v>
      </c>
    </row>
    <row r="9" spans="1:9" x14ac:dyDescent="0.25">
      <c r="A9" s="138">
        <v>88247</v>
      </c>
      <c r="B9" s="139" t="s">
        <v>557</v>
      </c>
      <c r="C9" s="146" t="s">
        <v>558</v>
      </c>
      <c r="D9" s="146"/>
      <c r="E9" s="146" t="s">
        <v>559</v>
      </c>
      <c r="F9" s="139" t="s">
        <v>560</v>
      </c>
      <c r="G9" s="157">
        <v>3.5200000000000002E-2</v>
      </c>
      <c r="H9" s="158">
        <f>(18.69/1.8674)*2.5727</f>
        <v>25.749043054514299</v>
      </c>
      <c r="I9" s="159">
        <f>G9*H9</f>
        <v>0.90636631551890334</v>
      </c>
    </row>
    <row r="10" spans="1:9" x14ac:dyDescent="0.25">
      <c r="A10" s="138">
        <v>88264</v>
      </c>
      <c r="B10" s="139" t="s">
        <v>557</v>
      </c>
      <c r="C10" s="146" t="s">
        <v>561</v>
      </c>
      <c r="D10" s="146"/>
      <c r="E10" s="146" t="s">
        <v>559</v>
      </c>
      <c r="F10" s="139" t="s">
        <v>560</v>
      </c>
      <c r="G10" s="157">
        <v>3.5200000000000002E-2</v>
      </c>
      <c r="H10" s="158">
        <f>(23.95/1.8674)*2.5727</f>
        <v>32.995697226089753</v>
      </c>
      <c r="I10" s="159">
        <f>G10*H10</f>
        <v>1.1614485423583594</v>
      </c>
    </row>
    <row r="11" spans="1:9" x14ac:dyDescent="0.25">
      <c r="A11" s="145"/>
      <c r="B11" s="146"/>
      <c r="C11" s="146"/>
      <c r="D11" s="146"/>
      <c r="E11" s="146"/>
      <c r="F11" s="146"/>
      <c r="G11" s="146"/>
      <c r="H11" s="160"/>
      <c r="I11" s="147"/>
    </row>
    <row r="12" spans="1:9" x14ac:dyDescent="0.25">
      <c r="A12" s="583" t="s">
        <v>562</v>
      </c>
      <c r="B12" s="584"/>
      <c r="C12" s="584"/>
      <c r="D12" s="584"/>
      <c r="E12" s="584"/>
      <c r="F12" s="584"/>
      <c r="G12" s="584"/>
      <c r="H12" s="585"/>
      <c r="I12" s="131">
        <f>I9+I10</f>
        <v>2.0678148578772628</v>
      </c>
    </row>
    <row r="13" spans="1:9" x14ac:dyDescent="0.25">
      <c r="A13" s="132"/>
      <c r="B13" s="133"/>
      <c r="C13" s="133"/>
      <c r="D13" s="133"/>
      <c r="E13" s="133"/>
      <c r="F13" s="133"/>
      <c r="G13" s="133"/>
      <c r="H13" s="133"/>
      <c r="I13" s="134"/>
    </row>
    <row r="14" spans="1:9" x14ac:dyDescent="0.25">
      <c r="A14" s="595" t="s">
        <v>563</v>
      </c>
      <c r="B14" s="596"/>
      <c r="C14" s="596"/>
      <c r="D14" s="596"/>
      <c r="E14" s="596"/>
      <c r="F14" s="596"/>
      <c r="G14" s="596"/>
      <c r="H14" s="596"/>
      <c r="I14" s="597"/>
    </row>
    <row r="15" spans="1:9" x14ac:dyDescent="0.25">
      <c r="A15" s="135" t="s">
        <v>551</v>
      </c>
      <c r="B15" s="136" t="s">
        <v>12</v>
      </c>
      <c r="C15" s="136" t="s">
        <v>552</v>
      </c>
      <c r="D15" s="136"/>
      <c r="E15" s="136"/>
      <c r="F15" s="136" t="s">
        <v>553</v>
      </c>
      <c r="G15" s="136" t="s">
        <v>554</v>
      </c>
      <c r="H15" s="136" t="s">
        <v>555</v>
      </c>
      <c r="I15" s="137" t="s">
        <v>556</v>
      </c>
    </row>
    <row r="16" spans="1:9" ht="30" x14ac:dyDescent="0.25">
      <c r="A16" s="138">
        <v>1570</v>
      </c>
      <c r="B16" s="139" t="s">
        <v>557</v>
      </c>
      <c r="C16" s="140" t="s">
        <v>564</v>
      </c>
      <c r="D16" s="139"/>
      <c r="E16" s="139"/>
      <c r="F16" s="139" t="s">
        <v>67</v>
      </c>
      <c r="G16" s="139">
        <v>1</v>
      </c>
      <c r="H16" s="139">
        <v>0.87</v>
      </c>
      <c r="I16" s="141">
        <f>G16*H16</f>
        <v>0.87</v>
      </c>
    </row>
    <row r="17" spans="1:16" x14ac:dyDescent="0.25">
      <c r="A17" s="138">
        <v>34653</v>
      </c>
      <c r="B17" s="139" t="s">
        <v>557</v>
      </c>
      <c r="C17" s="140" t="s">
        <v>577</v>
      </c>
      <c r="D17" s="139"/>
      <c r="E17" s="139"/>
      <c r="F17" s="139" t="s">
        <v>67</v>
      </c>
      <c r="G17" s="139">
        <v>1</v>
      </c>
      <c r="H17" s="282">
        <v>8.67</v>
      </c>
      <c r="I17" s="141">
        <f>G17*H17</f>
        <v>8.67</v>
      </c>
    </row>
    <row r="18" spans="1:16" x14ac:dyDescent="0.25">
      <c r="A18" s="589" t="s">
        <v>566</v>
      </c>
      <c r="B18" s="590"/>
      <c r="C18" s="590"/>
      <c r="D18" s="590"/>
      <c r="E18" s="590"/>
      <c r="F18" s="590"/>
      <c r="G18" s="590"/>
      <c r="H18" s="591"/>
      <c r="I18" s="161">
        <f>SUM(I16:I17)</f>
        <v>9.5399999999999991</v>
      </c>
    </row>
    <row r="19" spans="1:16" x14ac:dyDescent="0.25">
      <c r="A19" s="132"/>
      <c r="B19" s="133"/>
      <c r="C19" s="133"/>
      <c r="D19" s="133"/>
      <c r="E19" s="133"/>
      <c r="F19" s="133"/>
      <c r="G19" s="133"/>
      <c r="H19" s="133"/>
      <c r="I19" s="134"/>
    </row>
    <row r="20" spans="1:16" x14ac:dyDescent="0.25">
      <c r="A20" s="592" t="s">
        <v>567</v>
      </c>
      <c r="B20" s="593"/>
      <c r="C20" s="593"/>
      <c r="D20" s="593"/>
      <c r="E20" s="593"/>
      <c r="F20" s="593"/>
      <c r="G20" s="593"/>
      <c r="H20" s="593"/>
      <c r="I20" s="594"/>
    </row>
    <row r="21" spans="1:16" x14ac:dyDescent="0.25">
      <c r="A21" s="142" t="s">
        <v>551</v>
      </c>
      <c r="B21" s="143" t="s">
        <v>12</v>
      </c>
      <c r="C21" s="143" t="s">
        <v>552</v>
      </c>
      <c r="D21" s="143"/>
      <c r="E21" s="143"/>
      <c r="F21" s="143" t="s">
        <v>553</v>
      </c>
      <c r="G21" s="143" t="s">
        <v>554</v>
      </c>
      <c r="H21" s="143" t="s">
        <v>555</v>
      </c>
      <c r="I21" s="144" t="s">
        <v>556</v>
      </c>
    </row>
    <row r="22" spans="1:16" x14ac:dyDescent="0.25">
      <c r="A22" s="145"/>
      <c r="B22" s="146"/>
      <c r="C22" s="146"/>
      <c r="D22" s="146"/>
      <c r="E22" s="146"/>
      <c r="F22" s="146"/>
      <c r="G22" s="146"/>
      <c r="H22" s="146"/>
      <c r="I22" s="147"/>
    </row>
    <row r="23" spans="1:16" x14ac:dyDescent="0.25">
      <c r="A23" s="145"/>
      <c r="B23" s="146"/>
      <c r="C23" s="146"/>
      <c r="D23" s="146"/>
      <c r="E23" s="146"/>
      <c r="F23" s="146"/>
      <c r="G23" s="146"/>
      <c r="H23" s="146"/>
      <c r="I23" s="147"/>
    </row>
    <row r="24" spans="1:16" x14ac:dyDescent="0.25">
      <c r="A24" s="583" t="s">
        <v>568</v>
      </c>
      <c r="B24" s="584"/>
      <c r="C24" s="584"/>
      <c r="D24" s="584"/>
      <c r="E24" s="584"/>
      <c r="F24" s="584"/>
      <c r="G24" s="584"/>
      <c r="H24" s="585"/>
      <c r="I24" s="147" t="s">
        <v>569</v>
      </c>
    </row>
    <row r="25" spans="1:16" x14ac:dyDescent="0.25">
      <c r="A25" s="145"/>
      <c r="B25" s="146"/>
      <c r="C25" s="146"/>
      <c r="D25" s="146"/>
      <c r="E25" s="146"/>
      <c r="F25" s="146"/>
      <c r="G25" s="146"/>
      <c r="H25" s="146"/>
      <c r="I25" s="147"/>
    </row>
    <row r="26" spans="1:16" x14ac:dyDescent="0.25">
      <c r="A26" s="583" t="s">
        <v>570</v>
      </c>
      <c r="B26" s="584"/>
      <c r="C26" s="584"/>
      <c r="D26" s="584"/>
      <c r="E26" s="584"/>
      <c r="F26" s="584"/>
      <c r="G26" s="584"/>
      <c r="H26" s="585"/>
      <c r="I26" s="147"/>
    </row>
    <row r="27" spans="1:16" x14ac:dyDescent="0.25">
      <c r="A27" s="583" t="s">
        <v>571</v>
      </c>
      <c r="B27" s="584"/>
      <c r="C27" s="584"/>
      <c r="D27" s="584"/>
      <c r="E27" s="584"/>
      <c r="F27" s="584"/>
      <c r="G27" s="584"/>
      <c r="H27" s="585"/>
      <c r="I27" s="148">
        <f>I12</f>
        <v>2.0678148578772628</v>
      </c>
    </row>
    <row r="28" spans="1:16" x14ac:dyDescent="0.25">
      <c r="A28" s="583" t="s">
        <v>572</v>
      </c>
      <c r="B28" s="584"/>
      <c r="C28" s="584"/>
      <c r="D28" s="584"/>
      <c r="E28" s="584"/>
      <c r="F28" s="584"/>
      <c r="G28" s="584"/>
      <c r="H28" s="585"/>
      <c r="I28" s="148">
        <f>I18</f>
        <v>9.5399999999999991</v>
      </c>
    </row>
    <row r="29" spans="1:16" x14ac:dyDescent="0.25">
      <c r="A29" s="583" t="s">
        <v>573</v>
      </c>
      <c r="B29" s="584"/>
      <c r="C29" s="584"/>
      <c r="D29" s="584"/>
      <c r="E29" s="584"/>
      <c r="F29" s="584"/>
      <c r="G29" s="584"/>
      <c r="H29" s="585"/>
      <c r="I29" s="147" t="s">
        <v>569</v>
      </c>
    </row>
    <row r="30" spans="1:16" x14ac:dyDescent="0.25">
      <c r="A30" s="586" t="s">
        <v>574</v>
      </c>
      <c r="B30" s="587"/>
      <c r="C30" s="587"/>
      <c r="D30" s="587"/>
      <c r="E30" s="587"/>
      <c r="F30" s="587"/>
      <c r="G30" s="587"/>
      <c r="H30" s="588"/>
      <c r="I30" s="149">
        <f>I27+I28</f>
        <v>11.607814857877262</v>
      </c>
    </row>
    <row r="31" spans="1:16" x14ac:dyDescent="0.25">
      <c r="P31">
        <v>0</v>
      </c>
    </row>
  </sheetData>
  <mergeCells count="14">
    <mergeCell ref="A29:H29"/>
    <mergeCell ref="A30:H30"/>
    <mergeCell ref="A18:H18"/>
    <mergeCell ref="A20:I20"/>
    <mergeCell ref="A24:H24"/>
    <mergeCell ref="A26:H26"/>
    <mergeCell ref="A27:H27"/>
    <mergeCell ref="A28:H28"/>
    <mergeCell ref="A14:I14"/>
    <mergeCell ref="A1:H4"/>
    <mergeCell ref="A5:I5"/>
    <mergeCell ref="A6:I6"/>
    <mergeCell ref="A7:I7"/>
    <mergeCell ref="A12:H12"/>
  </mergeCells>
  <pageMargins left="0.7" right="0.7" top="0.75" bottom="0.75" header="0.3" footer="0.3"/>
  <pageSetup paperSize="9" scale="57" orientation="portrait" r:id="rId1"/>
  <colBreaks count="1" manualBreakCount="1">
    <brk id="9" max="1048575" man="1"/>
  </colBreaks>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9"/>
  <sheetViews>
    <sheetView view="pageBreakPreview" zoomScaleNormal="100" zoomScaleSheetLayoutView="100" workbookViewId="0">
      <selection activeCell="D32" sqref="D32"/>
    </sheetView>
  </sheetViews>
  <sheetFormatPr defaultRowHeight="15" x14ac:dyDescent="0.25"/>
  <cols>
    <col min="3" max="3" width="70.5703125" bestFit="1" customWidth="1"/>
    <col min="4" max="4" width="10.28515625" bestFit="1" customWidth="1"/>
    <col min="5" max="5" width="18.85546875" bestFit="1" customWidth="1"/>
    <col min="6" max="6" width="10.28515625" bestFit="1" customWidth="1"/>
    <col min="7" max="7" width="8" bestFit="1" customWidth="1"/>
    <col min="8" max="8" width="11" bestFit="1" customWidth="1"/>
    <col min="9" max="9" width="14" bestFit="1" customWidth="1"/>
  </cols>
  <sheetData>
    <row r="1" spans="1:9" x14ac:dyDescent="0.25">
      <c r="A1" s="616" t="s">
        <v>545</v>
      </c>
      <c r="B1" s="617"/>
      <c r="C1" s="617"/>
      <c r="D1" s="617"/>
      <c r="E1" s="617"/>
      <c r="F1" s="617"/>
      <c r="G1" s="617"/>
      <c r="H1" s="618"/>
      <c r="I1" s="150" t="s">
        <v>546</v>
      </c>
    </row>
    <row r="2" spans="1:9" x14ac:dyDescent="0.25">
      <c r="A2" s="619"/>
      <c r="B2" s="620"/>
      <c r="C2" s="620"/>
      <c r="D2" s="620"/>
      <c r="E2" s="620"/>
      <c r="F2" s="620"/>
      <c r="G2" s="620"/>
      <c r="H2" s="621"/>
      <c r="I2" s="151">
        <v>44501</v>
      </c>
    </row>
    <row r="3" spans="1:9" x14ac:dyDescent="0.25">
      <c r="A3" s="619"/>
      <c r="B3" s="620"/>
      <c r="C3" s="620"/>
      <c r="D3" s="620"/>
      <c r="E3" s="620"/>
      <c r="F3" s="620"/>
      <c r="G3" s="620"/>
      <c r="H3" s="621"/>
      <c r="I3" s="152" t="s">
        <v>355</v>
      </c>
    </row>
    <row r="4" spans="1:9" x14ac:dyDescent="0.25">
      <c r="A4" s="622"/>
      <c r="B4" s="623"/>
      <c r="C4" s="623"/>
      <c r="D4" s="623"/>
      <c r="E4" s="623"/>
      <c r="F4" s="623"/>
      <c r="G4" s="623"/>
      <c r="H4" s="624"/>
      <c r="I4" s="153" t="s">
        <v>547</v>
      </c>
    </row>
    <row r="5" spans="1:9" x14ac:dyDescent="0.25">
      <c r="A5" s="607" t="s">
        <v>578</v>
      </c>
      <c r="B5" s="608"/>
      <c r="C5" s="608"/>
      <c r="D5" s="608"/>
      <c r="E5" s="608"/>
      <c r="F5" s="608"/>
      <c r="G5" s="608"/>
      <c r="H5" s="608"/>
      <c r="I5" s="609"/>
    </row>
    <row r="6" spans="1:9" x14ac:dyDescent="0.25">
      <c r="A6" s="610" t="s">
        <v>579</v>
      </c>
      <c r="B6" s="611"/>
      <c r="C6" s="611"/>
      <c r="D6" s="611"/>
      <c r="E6" s="611"/>
      <c r="F6" s="611"/>
      <c r="G6" s="611"/>
      <c r="H6" s="611"/>
      <c r="I6" s="612"/>
    </row>
    <row r="7" spans="1:9" x14ac:dyDescent="0.25">
      <c r="A7" s="613" t="s">
        <v>550</v>
      </c>
      <c r="B7" s="614"/>
      <c r="C7" s="614"/>
      <c r="D7" s="614"/>
      <c r="E7" s="614"/>
      <c r="F7" s="614"/>
      <c r="G7" s="614"/>
      <c r="H7" s="614"/>
      <c r="I7" s="615"/>
    </row>
    <row r="8" spans="1:9" x14ac:dyDescent="0.25">
      <c r="A8" s="193" t="s">
        <v>551</v>
      </c>
      <c r="B8" s="194" t="s">
        <v>12</v>
      </c>
      <c r="C8" s="194" t="s">
        <v>552</v>
      </c>
      <c r="D8" s="194"/>
      <c r="E8" s="194"/>
      <c r="F8" s="194" t="s">
        <v>553</v>
      </c>
      <c r="G8" s="194" t="s">
        <v>554</v>
      </c>
      <c r="H8" s="195" t="s">
        <v>555</v>
      </c>
      <c r="I8" s="196" t="s">
        <v>556</v>
      </c>
    </row>
    <row r="9" spans="1:9" x14ac:dyDescent="0.25">
      <c r="A9" s="138">
        <v>88247</v>
      </c>
      <c r="B9" s="197" t="s">
        <v>557</v>
      </c>
      <c r="C9" s="146" t="s">
        <v>558</v>
      </c>
      <c r="D9" s="146"/>
      <c r="E9" s="146" t="s">
        <v>559</v>
      </c>
      <c r="F9" s="139" t="s">
        <v>560</v>
      </c>
      <c r="G9" s="139">
        <v>0.17349999999999999</v>
      </c>
      <c r="H9" s="158">
        <f>(18.69/1.8674)*2.5727</f>
        <v>25.749043054514299</v>
      </c>
      <c r="I9" s="159">
        <f>G9*H9</f>
        <v>4.4674589699582308</v>
      </c>
    </row>
    <row r="10" spans="1:9" x14ac:dyDescent="0.25">
      <c r="A10" s="138">
        <v>88264</v>
      </c>
      <c r="B10" s="197" t="s">
        <v>557</v>
      </c>
      <c r="C10" s="146" t="s">
        <v>561</v>
      </c>
      <c r="D10" s="146"/>
      <c r="E10" s="146" t="s">
        <v>559</v>
      </c>
      <c r="F10" s="139" t="s">
        <v>560</v>
      </c>
      <c r="G10" s="139">
        <v>0.41649999999999998</v>
      </c>
      <c r="H10" s="158">
        <f>(23.95/1.8674)*2.5727</f>
        <v>32.995697226089753</v>
      </c>
      <c r="I10" s="159">
        <f>G10*H10</f>
        <v>13.742707894666381</v>
      </c>
    </row>
    <row r="11" spans="1:9" x14ac:dyDescent="0.25">
      <c r="A11" s="625" t="s">
        <v>562</v>
      </c>
      <c r="B11" s="626"/>
      <c r="C11" s="626"/>
      <c r="D11" s="626"/>
      <c r="E11" s="626"/>
      <c r="F11" s="626"/>
      <c r="G11" s="626"/>
      <c r="H11" s="627"/>
      <c r="I11" s="198">
        <f>I9+I10</f>
        <v>18.210166864624611</v>
      </c>
    </row>
    <row r="12" spans="1:9" x14ac:dyDescent="0.25">
      <c r="A12" s="132"/>
      <c r="B12" s="133"/>
      <c r="C12" s="133"/>
      <c r="D12" s="133"/>
      <c r="E12" s="133"/>
      <c r="F12" s="133"/>
      <c r="G12" s="133"/>
      <c r="H12" s="133"/>
      <c r="I12" s="134"/>
    </row>
    <row r="13" spans="1:9" x14ac:dyDescent="0.25">
      <c r="A13" s="613" t="s">
        <v>563</v>
      </c>
      <c r="B13" s="614"/>
      <c r="C13" s="614"/>
      <c r="D13" s="614"/>
      <c r="E13" s="614"/>
      <c r="F13" s="614"/>
      <c r="G13" s="614"/>
      <c r="H13" s="614"/>
      <c r="I13" s="615"/>
    </row>
    <row r="14" spans="1:9" x14ac:dyDescent="0.25">
      <c r="A14" s="199" t="s">
        <v>551</v>
      </c>
      <c r="B14" s="195" t="s">
        <v>12</v>
      </c>
      <c r="C14" s="195" t="s">
        <v>552</v>
      </c>
      <c r="D14" s="195"/>
      <c r="E14" s="195"/>
      <c r="F14" s="195" t="s">
        <v>553</v>
      </c>
      <c r="G14" s="195" t="s">
        <v>554</v>
      </c>
      <c r="H14" s="195" t="s">
        <v>555</v>
      </c>
      <c r="I14" s="200" t="s">
        <v>556</v>
      </c>
    </row>
    <row r="15" spans="1:9" x14ac:dyDescent="0.25">
      <c r="A15" s="138" t="s">
        <v>580</v>
      </c>
      <c r="B15" s="201"/>
      <c r="C15" s="140" t="s">
        <v>581</v>
      </c>
      <c r="D15" s="139"/>
      <c r="E15" s="139"/>
      <c r="F15" s="139" t="s">
        <v>67</v>
      </c>
      <c r="G15" s="139">
        <v>1</v>
      </c>
      <c r="H15" s="158">
        <f>COTAÇÕES!P8</f>
        <v>70.146666666666661</v>
      </c>
      <c r="I15" s="159">
        <f>G15*H15</f>
        <v>70.146666666666661</v>
      </c>
    </row>
    <row r="16" spans="1:9" x14ac:dyDescent="0.25">
      <c r="A16" s="202"/>
      <c r="B16" s="139"/>
      <c r="C16" s="203"/>
      <c r="D16" s="204"/>
      <c r="E16" s="204"/>
      <c r="F16" s="204"/>
      <c r="G16" s="204"/>
      <c r="H16" s="204"/>
      <c r="I16" s="141"/>
    </row>
    <row r="17" spans="1:9" x14ac:dyDescent="0.25">
      <c r="A17" s="631" t="s">
        <v>566</v>
      </c>
      <c r="B17" s="632"/>
      <c r="C17" s="632"/>
      <c r="D17" s="632"/>
      <c r="E17" s="632"/>
      <c r="F17" s="632"/>
      <c r="G17" s="632"/>
      <c r="H17" s="633"/>
      <c r="I17" s="205">
        <f>SUM(I15:I15)</f>
        <v>70.146666666666661</v>
      </c>
    </row>
    <row r="18" spans="1:9" x14ac:dyDescent="0.25">
      <c r="A18" s="132"/>
      <c r="B18" s="133"/>
      <c r="C18" s="133"/>
      <c r="D18" s="133"/>
      <c r="E18" s="133"/>
      <c r="F18" s="133"/>
      <c r="G18" s="133"/>
      <c r="H18" s="133"/>
      <c r="I18" s="134"/>
    </row>
    <row r="19" spans="1:9" x14ac:dyDescent="0.25">
      <c r="A19" s="634" t="s">
        <v>567</v>
      </c>
      <c r="B19" s="635"/>
      <c r="C19" s="635"/>
      <c r="D19" s="635"/>
      <c r="E19" s="635"/>
      <c r="F19" s="635"/>
      <c r="G19" s="635"/>
      <c r="H19" s="635"/>
      <c r="I19" s="636"/>
    </row>
    <row r="20" spans="1:9" x14ac:dyDescent="0.25">
      <c r="A20" s="206" t="s">
        <v>551</v>
      </c>
      <c r="B20" s="207" t="s">
        <v>12</v>
      </c>
      <c r="C20" s="207" t="s">
        <v>552</v>
      </c>
      <c r="D20" s="207"/>
      <c r="E20" s="207"/>
      <c r="F20" s="207" t="s">
        <v>553</v>
      </c>
      <c r="G20" s="207" t="s">
        <v>554</v>
      </c>
      <c r="H20" s="207" t="s">
        <v>555</v>
      </c>
      <c r="I20" s="208" t="s">
        <v>556</v>
      </c>
    </row>
    <row r="21" spans="1:9" x14ac:dyDescent="0.25">
      <c r="A21" s="145"/>
      <c r="B21" s="146"/>
      <c r="C21" s="146"/>
      <c r="D21" s="146"/>
      <c r="E21" s="146"/>
      <c r="F21" s="146"/>
      <c r="G21" s="146"/>
      <c r="H21" s="146"/>
      <c r="I21" s="147"/>
    </row>
    <row r="22" spans="1:9" x14ac:dyDescent="0.25">
      <c r="A22" s="145"/>
      <c r="B22" s="146"/>
      <c r="C22" s="146"/>
      <c r="D22" s="146"/>
      <c r="E22" s="146"/>
      <c r="F22" s="146"/>
      <c r="G22" s="146"/>
      <c r="H22" s="146"/>
      <c r="I22" s="147"/>
    </row>
    <row r="23" spans="1:9" x14ac:dyDescent="0.25">
      <c r="A23" s="625" t="s">
        <v>568</v>
      </c>
      <c r="B23" s="626"/>
      <c r="C23" s="626"/>
      <c r="D23" s="626"/>
      <c r="E23" s="626"/>
      <c r="F23" s="626"/>
      <c r="G23" s="626"/>
      <c r="H23" s="627"/>
      <c r="I23" s="147" t="s">
        <v>569</v>
      </c>
    </row>
    <row r="24" spans="1:9" x14ac:dyDescent="0.25">
      <c r="A24" s="145"/>
      <c r="B24" s="146"/>
      <c r="C24" s="146"/>
      <c r="D24" s="146"/>
      <c r="E24" s="146"/>
      <c r="F24" s="146"/>
      <c r="G24" s="146"/>
      <c r="H24" s="146"/>
      <c r="I24" s="147"/>
    </row>
    <row r="25" spans="1:9" x14ac:dyDescent="0.25">
      <c r="A25" s="625" t="s">
        <v>570</v>
      </c>
      <c r="B25" s="626"/>
      <c r="C25" s="626"/>
      <c r="D25" s="626"/>
      <c r="E25" s="626"/>
      <c r="F25" s="626"/>
      <c r="G25" s="626"/>
      <c r="H25" s="627"/>
      <c r="I25" s="147"/>
    </row>
    <row r="26" spans="1:9" x14ac:dyDescent="0.25">
      <c r="A26" s="625" t="s">
        <v>571</v>
      </c>
      <c r="B26" s="626"/>
      <c r="C26" s="626"/>
      <c r="D26" s="626"/>
      <c r="E26" s="626"/>
      <c r="F26" s="626"/>
      <c r="G26" s="626"/>
      <c r="H26" s="627"/>
      <c r="I26" s="148">
        <f>I11</f>
        <v>18.210166864624611</v>
      </c>
    </row>
    <row r="27" spans="1:9" x14ac:dyDescent="0.25">
      <c r="A27" s="625" t="s">
        <v>572</v>
      </c>
      <c r="B27" s="626"/>
      <c r="C27" s="626"/>
      <c r="D27" s="626"/>
      <c r="E27" s="626"/>
      <c r="F27" s="626"/>
      <c r="G27" s="626"/>
      <c r="H27" s="627"/>
      <c r="I27" s="148">
        <f>I17</f>
        <v>70.146666666666661</v>
      </c>
    </row>
    <row r="28" spans="1:9" x14ac:dyDescent="0.25">
      <c r="A28" s="625" t="s">
        <v>573</v>
      </c>
      <c r="B28" s="626"/>
      <c r="C28" s="626"/>
      <c r="D28" s="626"/>
      <c r="E28" s="626"/>
      <c r="F28" s="626"/>
      <c r="G28" s="626"/>
      <c r="H28" s="627"/>
      <c r="I28" s="147" t="s">
        <v>569</v>
      </c>
    </row>
    <row r="29" spans="1:9" x14ac:dyDescent="0.25">
      <c r="A29" s="628" t="s">
        <v>574</v>
      </c>
      <c r="B29" s="629"/>
      <c r="C29" s="629"/>
      <c r="D29" s="629"/>
      <c r="E29" s="629"/>
      <c r="F29" s="629"/>
      <c r="G29" s="629"/>
      <c r="H29" s="630"/>
      <c r="I29" s="209">
        <f>I26+I27</f>
        <v>88.356833531291272</v>
      </c>
    </row>
  </sheetData>
  <mergeCells count="14">
    <mergeCell ref="A28:H28"/>
    <mergeCell ref="A29:H29"/>
    <mergeCell ref="A17:H17"/>
    <mergeCell ref="A19:I19"/>
    <mergeCell ref="A23:H23"/>
    <mergeCell ref="A25:H25"/>
    <mergeCell ref="A26:H26"/>
    <mergeCell ref="A27:H27"/>
    <mergeCell ref="A13:I13"/>
    <mergeCell ref="A1:H4"/>
    <mergeCell ref="A5:I5"/>
    <mergeCell ref="A6:I6"/>
    <mergeCell ref="A7:I7"/>
    <mergeCell ref="A11:H11"/>
  </mergeCells>
  <pageMargins left="0.7" right="0.7" top="0.75" bottom="0.75" header="0.3" footer="0.3"/>
  <pageSetup paperSize="9" scale="54"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0"/>
  <sheetViews>
    <sheetView view="pageBreakPreview" topLeftCell="A4" zoomScale="118" zoomScaleNormal="100" zoomScaleSheetLayoutView="118" workbookViewId="0">
      <selection activeCell="K14" sqref="K14"/>
    </sheetView>
  </sheetViews>
  <sheetFormatPr defaultRowHeight="15" x14ac:dyDescent="0.25"/>
  <cols>
    <col min="1" max="1" width="12.28515625" style="423" customWidth="1"/>
    <col min="2" max="2" width="10" style="423" bestFit="1" customWidth="1"/>
    <col min="3" max="3" width="9.140625" style="424"/>
    <col min="4" max="4" width="33.85546875" style="424" customWidth="1"/>
    <col min="5" max="5" width="20.140625" style="424" customWidth="1"/>
    <col min="6" max="6" width="7.7109375" style="424" customWidth="1"/>
    <col min="7" max="7" width="8.5703125" style="424" bestFit="1" customWidth="1"/>
    <col min="8" max="8" width="8.42578125" style="424" bestFit="1" customWidth="1"/>
    <col min="9" max="9" width="11" style="424" bestFit="1" customWidth="1"/>
  </cols>
  <sheetData>
    <row r="1" spans="1:9" x14ac:dyDescent="0.25">
      <c r="A1" s="662" t="s">
        <v>545</v>
      </c>
      <c r="B1" s="663"/>
      <c r="C1" s="663"/>
      <c r="D1" s="663"/>
      <c r="E1" s="663"/>
      <c r="F1" s="663"/>
      <c r="G1" s="663"/>
      <c r="H1" s="664"/>
      <c r="I1" s="671" t="s">
        <v>546</v>
      </c>
    </row>
    <row r="2" spans="1:9" x14ac:dyDescent="0.25">
      <c r="A2" s="665"/>
      <c r="B2" s="666"/>
      <c r="C2" s="666"/>
      <c r="D2" s="666"/>
      <c r="E2" s="666"/>
      <c r="F2" s="666"/>
      <c r="G2" s="666"/>
      <c r="H2" s="667"/>
      <c r="I2" s="672"/>
    </row>
    <row r="3" spans="1:9" x14ac:dyDescent="0.25">
      <c r="A3" s="665"/>
      <c r="B3" s="666"/>
      <c r="C3" s="666"/>
      <c r="D3" s="666"/>
      <c r="E3" s="666"/>
      <c r="F3" s="666"/>
      <c r="G3" s="666"/>
      <c r="H3" s="667"/>
      <c r="I3" s="467">
        <v>44501</v>
      </c>
    </row>
    <row r="4" spans="1:9" ht="15.75" thickBot="1" x14ac:dyDescent="0.3">
      <c r="A4" s="668"/>
      <c r="B4" s="669"/>
      <c r="C4" s="669"/>
      <c r="D4" s="669"/>
      <c r="E4" s="669"/>
      <c r="F4" s="669"/>
      <c r="G4" s="669"/>
      <c r="H4" s="670"/>
      <c r="I4" s="468" t="s">
        <v>785</v>
      </c>
    </row>
    <row r="5" spans="1:9" x14ac:dyDescent="0.25">
      <c r="A5" s="673" t="s">
        <v>750</v>
      </c>
      <c r="B5" s="673"/>
      <c r="C5" s="673"/>
      <c r="D5" s="673"/>
      <c r="E5" s="673"/>
      <c r="F5" s="673"/>
      <c r="G5" s="673"/>
      <c r="H5" s="673"/>
      <c r="I5" s="675" t="s">
        <v>547</v>
      </c>
    </row>
    <row r="6" spans="1:9" x14ac:dyDescent="0.25">
      <c r="A6" s="674"/>
      <c r="B6" s="674"/>
      <c r="C6" s="674"/>
      <c r="D6" s="674"/>
      <c r="E6" s="674"/>
      <c r="F6" s="674"/>
      <c r="G6" s="674"/>
      <c r="H6" s="674"/>
      <c r="I6" s="676"/>
    </row>
    <row r="7" spans="1:9" ht="15.75" thickBot="1" x14ac:dyDescent="0.3">
      <c r="A7" s="677" t="s">
        <v>751</v>
      </c>
      <c r="B7" s="677"/>
      <c r="C7" s="677"/>
      <c r="D7" s="677"/>
      <c r="E7" s="677"/>
      <c r="F7" s="677"/>
      <c r="G7" s="677"/>
      <c r="H7" s="677"/>
      <c r="I7" s="677"/>
    </row>
    <row r="8" spans="1:9" ht="15.75" thickBot="1" x14ac:dyDescent="0.3">
      <c r="A8" s="651" t="s">
        <v>550</v>
      </c>
      <c r="B8" s="652"/>
      <c r="C8" s="652"/>
      <c r="D8" s="652"/>
      <c r="E8" s="652"/>
      <c r="F8" s="652"/>
      <c r="G8" s="652"/>
      <c r="H8" s="652"/>
      <c r="I8" s="653"/>
    </row>
    <row r="9" spans="1:9" x14ac:dyDescent="0.25">
      <c r="A9" s="446" t="s">
        <v>551</v>
      </c>
      <c r="B9" s="447" t="s">
        <v>12</v>
      </c>
      <c r="C9" s="646" t="s">
        <v>552</v>
      </c>
      <c r="D9" s="646"/>
      <c r="E9" s="646"/>
      <c r="F9" s="447" t="s">
        <v>553</v>
      </c>
      <c r="G9" s="448" t="s">
        <v>554</v>
      </c>
      <c r="H9" s="449" t="s">
        <v>555</v>
      </c>
      <c r="I9" s="450" t="s">
        <v>556</v>
      </c>
    </row>
    <row r="10" spans="1:9" x14ac:dyDescent="0.25">
      <c r="A10" s="402" t="s">
        <v>752</v>
      </c>
      <c r="B10" s="402" t="s">
        <v>557</v>
      </c>
      <c r="C10" s="647" t="s">
        <v>753</v>
      </c>
      <c r="D10" s="648"/>
      <c r="E10" s="403" t="s">
        <v>559</v>
      </c>
      <c r="F10" s="404" t="s">
        <v>560</v>
      </c>
      <c r="G10" s="405">
        <v>1.4228000000000001</v>
      </c>
      <c r="H10" s="406">
        <f>(19.73/1.8674)*2.5727</f>
        <v>27.18184159794367</v>
      </c>
      <c r="I10" s="407">
        <f>G10*H10</f>
        <v>38.674324225554258</v>
      </c>
    </row>
    <row r="11" spans="1:9" x14ac:dyDescent="0.25">
      <c r="A11" s="402" t="s">
        <v>754</v>
      </c>
      <c r="B11" s="402" t="s">
        <v>557</v>
      </c>
      <c r="C11" s="649" t="s">
        <v>755</v>
      </c>
      <c r="D11" s="650"/>
      <c r="E11" s="403" t="s">
        <v>559</v>
      </c>
      <c r="F11" s="404" t="s">
        <v>560</v>
      </c>
      <c r="G11" s="405">
        <v>0.44829999999999998</v>
      </c>
      <c r="H11" s="406">
        <f>(16.48/1.8674)*2.5727</f>
        <v>22.704346149726899</v>
      </c>
      <c r="I11" s="407">
        <f>H11*G11</f>
        <v>10.178358378922567</v>
      </c>
    </row>
    <row r="12" spans="1:9" x14ac:dyDescent="0.25">
      <c r="A12" s="638" t="s">
        <v>562</v>
      </c>
      <c r="B12" s="638"/>
      <c r="C12" s="638"/>
      <c r="D12" s="638"/>
      <c r="E12" s="638"/>
      <c r="F12" s="638"/>
      <c r="G12" s="638"/>
      <c r="H12" s="638"/>
      <c r="I12" s="408">
        <f>I10+I11</f>
        <v>48.852682604476826</v>
      </c>
    </row>
    <row r="13" spans="1:9" ht="15.75" thickBot="1" x14ac:dyDescent="0.3">
      <c r="A13" s="451"/>
      <c r="B13" s="451"/>
      <c r="C13" s="451"/>
      <c r="D13" s="451"/>
      <c r="E13" s="451"/>
      <c r="F13" s="451"/>
      <c r="G13" s="451"/>
      <c r="H13" s="451"/>
      <c r="I13" s="452"/>
    </row>
    <row r="14" spans="1:9" ht="15.75" thickBot="1" x14ac:dyDescent="0.3">
      <c r="A14" s="651" t="s">
        <v>563</v>
      </c>
      <c r="B14" s="652"/>
      <c r="C14" s="652"/>
      <c r="D14" s="652"/>
      <c r="E14" s="652"/>
      <c r="F14" s="652"/>
      <c r="G14" s="652"/>
      <c r="H14" s="652"/>
      <c r="I14" s="653"/>
    </row>
    <row r="15" spans="1:9" x14ac:dyDescent="0.25">
      <c r="A15" s="446" t="s">
        <v>551</v>
      </c>
      <c r="B15" s="447" t="s">
        <v>12</v>
      </c>
      <c r="C15" s="646" t="s">
        <v>552</v>
      </c>
      <c r="D15" s="646"/>
      <c r="E15" s="646"/>
      <c r="F15" s="447" t="s">
        <v>553</v>
      </c>
      <c r="G15" s="448" t="s">
        <v>554</v>
      </c>
      <c r="H15" s="449" t="s">
        <v>555</v>
      </c>
      <c r="I15" s="450" t="s">
        <v>556</v>
      </c>
    </row>
    <row r="16" spans="1:9" ht="45.75" customHeight="1" x14ac:dyDescent="0.25">
      <c r="A16" s="410" t="s">
        <v>756</v>
      </c>
      <c r="B16" s="411" t="s">
        <v>557</v>
      </c>
      <c r="C16" s="654" t="s">
        <v>757</v>
      </c>
      <c r="D16" s="654"/>
      <c r="E16" s="654"/>
      <c r="F16" s="410" t="s">
        <v>553</v>
      </c>
      <c r="G16" s="405">
        <v>9</v>
      </c>
      <c r="H16" s="412">
        <v>14.4</v>
      </c>
      <c r="I16" s="413">
        <f>H16*G16</f>
        <v>129.6</v>
      </c>
    </row>
    <row r="17" spans="1:9" ht="31.5" customHeight="1" x14ac:dyDescent="0.25">
      <c r="A17" s="410" t="s">
        <v>758</v>
      </c>
      <c r="B17" s="411" t="s">
        <v>557</v>
      </c>
      <c r="C17" s="655" t="s">
        <v>759</v>
      </c>
      <c r="D17" s="656"/>
      <c r="E17" s="657"/>
      <c r="F17" s="410" t="s">
        <v>553</v>
      </c>
      <c r="G17" s="405">
        <v>1</v>
      </c>
      <c r="H17" s="412">
        <v>379.61</v>
      </c>
      <c r="I17" s="413">
        <f>H17*G17</f>
        <v>379.61</v>
      </c>
    </row>
    <row r="18" spans="1:9" x14ac:dyDescent="0.25">
      <c r="A18" s="638" t="s">
        <v>566</v>
      </c>
      <c r="B18" s="638"/>
      <c r="C18" s="638"/>
      <c r="D18" s="638"/>
      <c r="E18" s="638"/>
      <c r="F18" s="638"/>
      <c r="G18" s="638"/>
      <c r="H18" s="638"/>
      <c r="I18" s="414">
        <f>SUM(I16:I17)</f>
        <v>509.21000000000004</v>
      </c>
    </row>
    <row r="19" spans="1:9" x14ac:dyDescent="0.25">
      <c r="A19" s="409"/>
      <c r="B19" s="409"/>
      <c r="C19" s="409"/>
      <c r="D19" s="409"/>
      <c r="E19" s="409"/>
      <c r="F19" s="409"/>
      <c r="G19" s="409"/>
      <c r="H19" s="409"/>
      <c r="I19" s="408"/>
    </row>
    <row r="20" spans="1:9" ht="15.75" thickBot="1" x14ac:dyDescent="0.3">
      <c r="A20" s="451"/>
      <c r="B20" s="451"/>
      <c r="C20" s="451"/>
      <c r="D20" s="451"/>
      <c r="E20" s="451"/>
      <c r="F20" s="451"/>
      <c r="G20" s="451"/>
      <c r="H20" s="451"/>
      <c r="I20" s="452"/>
    </row>
    <row r="21" spans="1:9" ht="15.75" thickBot="1" x14ac:dyDescent="0.3">
      <c r="A21" s="658" t="s">
        <v>567</v>
      </c>
      <c r="B21" s="659"/>
      <c r="C21" s="659"/>
      <c r="D21" s="659"/>
      <c r="E21" s="659"/>
      <c r="F21" s="659"/>
      <c r="G21" s="659"/>
      <c r="H21" s="659"/>
      <c r="I21" s="660"/>
    </row>
    <row r="22" spans="1:9" x14ac:dyDescent="0.25">
      <c r="A22" s="453"/>
      <c r="B22" s="454"/>
      <c r="C22" s="661" t="s">
        <v>552</v>
      </c>
      <c r="D22" s="661"/>
      <c r="E22" s="661"/>
      <c r="F22" s="454" t="s">
        <v>553</v>
      </c>
      <c r="G22" s="455" t="s">
        <v>554</v>
      </c>
      <c r="H22" s="456" t="s">
        <v>555</v>
      </c>
      <c r="I22" s="457" t="s">
        <v>556</v>
      </c>
    </row>
    <row r="23" spans="1:9" x14ac:dyDescent="0.25">
      <c r="A23" s="416"/>
      <c r="B23" s="416"/>
      <c r="C23" s="643"/>
      <c r="D23" s="644"/>
      <c r="E23" s="645"/>
      <c r="F23" s="417"/>
      <c r="G23" s="417"/>
      <c r="H23" s="418"/>
      <c r="I23" s="419"/>
    </row>
    <row r="24" spans="1:9" x14ac:dyDescent="0.25">
      <c r="A24" s="638" t="s">
        <v>568</v>
      </c>
      <c r="B24" s="638"/>
      <c r="C24" s="638"/>
      <c r="D24" s="638"/>
      <c r="E24" s="638"/>
      <c r="F24" s="638"/>
      <c r="G24" s="638"/>
      <c r="H24" s="638"/>
      <c r="I24" s="420">
        <f>I23</f>
        <v>0</v>
      </c>
    </row>
    <row r="25" spans="1:9" x14ac:dyDescent="0.25">
      <c r="A25" s="639"/>
      <c r="B25" s="640"/>
      <c r="C25" s="640"/>
      <c r="D25" s="640"/>
      <c r="E25" s="640"/>
      <c r="F25" s="640"/>
      <c r="G25" s="640"/>
      <c r="H25" s="640"/>
      <c r="I25" s="641"/>
    </row>
    <row r="26" spans="1:9" x14ac:dyDescent="0.25">
      <c r="A26" s="642" t="s">
        <v>570</v>
      </c>
      <c r="B26" s="642"/>
      <c r="C26" s="642"/>
      <c r="D26" s="642"/>
      <c r="E26" s="642"/>
      <c r="F26" s="642"/>
      <c r="G26" s="642"/>
      <c r="H26" s="642"/>
      <c r="I26" s="642"/>
    </row>
    <row r="27" spans="1:9" x14ac:dyDescent="0.25">
      <c r="A27" s="637" t="s">
        <v>571</v>
      </c>
      <c r="B27" s="637"/>
      <c r="C27" s="637"/>
      <c r="D27" s="637"/>
      <c r="E27" s="637"/>
      <c r="F27" s="637"/>
      <c r="G27" s="637"/>
      <c r="H27" s="637"/>
      <c r="I27" s="421">
        <f>I12</f>
        <v>48.852682604476826</v>
      </c>
    </row>
    <row r="28" spans="1:9" x14ac:dyDescent="0.25">
      <c r="A28" s="637" t="s">
        <v>572</v>
      </c>
      <c r="B28" s="637"/>
      <c r="C28" s="637"/>
      <c r="D28" s="637"/>
      <c r="E28" s="637"/>
      <c r="F28" s="637"/>
      <c r="G28" s="637"/>
      <c r="H28" s="637"/>
      <c r="I28" s="421">
        <f>I18</f>
        <v>509.21000000000004</v>
      </c>
    </row>
    <row r="29" spans="1:9" x14ac:dyDescent="0.25">
      <c r="A29" s="637" t="s">
        <v>760</v>
      </c>
      <c r="B29" s="637"/>
      <c r="C29" s="637"/>
      <c r="D29" s="637"/>
      <c r="E29" s="637"/>
      <c r="F29" s="637"/>
      <c r="G29" s="637"/>
      <c r="H29" s="637"/>
      <c r="I29" s="421">
        <f>I19</f>
        <v>0</v>
      </c>
    </row>
    <row r="30" spans="1:9" x14ac:dyDescent="0.25">
      <c r="A30" s="637" t="s">
        <v>761</v>
      </c>
      <c r="B30" s="637"/>
      <c r="C30" s="637"/>
      <c r="D30" s="637"/>
      <c r="E30" s="637"/>
      <c r="F30" s="637"/>
      <c r="G30" s="637"/>
      <c r="H30" s="637"/>
      <c r="I30" s="422">
        <f>SUM(I27:I28)</f>
        <v>558.06268260447689</v>
      </c>
    </row>
  </sheetData>
  <mergeCells count="25">
    <mergeCell ref="A8:I8"/>
    <mergeCell ref="A1:H4"/>
    <mergeCell ref="I1:I2"/>
    <mergeCell ref="A5:H6"/>
    <mergeCell ref="I5:I6"/>
    <mergeCell ref="A7:I7"/>
    <mergeCell ref="C23:E23"/>
    <mergeCell ref="C9:E9"/>
    <mergeCell ref="C10:D10"/>
    <mergeCell ref="C11:D11"/>
    <mergeCell ref="A12:H12"/>
    <mergeCell ref="A14:I14"/>
    <mergeCell ref="C15:E15"/>
    <mergeCell ref="C16:E16"/>
    <mergeCell ref="C17:E17"/>
    <mergeCell ref="A18:H18"/>
    <mergeCell ref="A21:I21"/>
    <mergeCell ref="C22:E22"/>
    <mergeCell ref="A30:H30"/>
    <mergeCell ref="A24:H24"/>
    <mergeCell ref="A25:I25"/>
    <mergeCell ref="A26:I26"/>
    <mergeCell ref="A27:H27"/>
    <mergeCell ref="A28:H28"/>
    <mergeCell ref="A29:H29"/>
  </mergeCells>
  <pageMargins left="0.511811024" right="0.511811024" top="0.78740157499999996" bottom="0.78740157499999996" header="0.31496062000000002" footer="0.31496062000000002"/>
  <pageSetup paperSize="9" scale="76"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1"/>
  <sheetViews>
    <sheetView view="pageBreakPreview" zoomScale="112" zoomScaleNormal="100" zoomScaleSheetLayoutView="112" workbookViewId="0">
      <selection activeCell="L18" sqref="L18"/>
    </sheetView>
  </sheetViews>
  <sheetFormatPr defaultRowHeight="15" x14ac:dyDescent="0.25"/>
  <cols>
    <col min="1" max="1" width="14.28515625" style="423" customWidth="1"/>
    <col min="2" max="2" width="10" style="423" bestFit="1" customWidth="1"/>
    <col min="3" max="3" width="9.140625" style="424"/>
    <col min="4" max="4" width="29.7109375" style="424" customWidth="1"/>
    <col min="5" max="5" width="20.140625" style="424" customWidth="1"/>
    <col min="6" max="6" width="5" style="424" bestFit="1" customWidth="1"/>
    <col min="7" max="7" width="10.5703125" style="424" bestFit="1" customWidth="1"/>
    <col min="8" max="8" width="8.42578125" style="423" bestFit="1" customWidth="1"/>
    <col min="9" max="9" width="11" style="424" bestFit="1" customWidth="1"/>
  </cols>
  <sheetData>
    <row r="1" spans="1:9" x14ac:dyDescent="0.25">
      <c r="A1" s="662" t="s">
        <v>545</v>
      </c>
      <c r="B1" s="663"/>
      <c r="C1" s="663"/>
      <c r="D1" s="663"/>
      <c r="E1" s="663"/>
      <c r="F1" s="663"/>
      <c r="G1" s="663"/>
      <c r="H1" s="664"/>
      <c r="I1" s="671" t="s">
        <v>546</v>
      </c>
    </row>
    <row r="2" spans="1:9" x14ac:dyDescent="0.25">
      <c r="A2" s="665"/>
      <c r="B2" s="666"/>
      <c r="C2" s="666"/>
      <c r="D2" s="666"/>
      <c r="E2" s="666"/>
      <c r="F2" s="666"/>
      <c r="G2" s="666"/>
      <c r="H2" s="667"/>
      <c r="I2" s="672"/>
    </row>
    <row r="3" spans="1:9" x14ac:dyDescent="0.25">
      <c r="A3" s="665"/>
      <c r="B3" s="666"/>
      <c r="C3" s="666"/>
      <c r="D3" s="666"/>
      <c r="E3" s="666"/>
      <c r="F3" s="666"/>
      <c r="G3" s="666"/>
      <c r="H3" s="667"/>
      <c r="I3" s="467">
        <v>44501</v>
      </c>
    </row>
    <row r="4" spans="1:9" ht="15.75" thickBot="1" x14ac:dyDescent="0.3">
      <c r="A4" s="668"/>
      <c r="B4" s="669"/>
      <c r="C4" s="669"/>
      <c r="D4" s="669"/>
      <c r="E4" s="669"/>
      <c r="F4" s="669"/>
      <c r="G4" s="669"/>
      <c r="H4" s="670"/>
      <c r="I4" s="468" t="s">
        <v>786</v>
      </c>
    </row>
    <row r="5" spans="1:9" x14ac:dyDescent="0.25">
      <c r="A5" s="673" t="s">
        <v>762</v>
      </c>
      <c r="B5" s="673"/>
      <c r="C5" s="673"/>
      <c r="D5" s="673"/>
      <c r="E5" s="673"/>
      <c r="F5" s="673"/>
      <c r="G5" s="673"/>
      <c r="H5" s="673"/>
      <c r="I5" s="675" t="s">
        <v>547</v>
      </c>
    </row>
    <row r="6" spans="1:9" x14ac:dyDescent="0.25">
      <c r="A6" s="674"/>
      <c r="B6" s="674"/>
      <c r="C6" s="674"/>
      <c r="D6" s="674"/>
      <c r="E6" s="674"/>
      <c r="F6" s="674"/>
      <c r="G6" s="674"/>
      <c r="H6" s="674"/>
      <c r="I6" s="676"/>
    </row>
    <row r="7" spans="1:9" ht="15.75" thickBot="1" x14ac:dyDescent="0.3">
      <c r="A7" s="677" t="s">
        <v>763</v>
      </c>
      <c r="B7" s="677"/>
      <c r="C7" s="677"/>
      <c r="D7" s="677"/>
      <c r="E7" s="677"/>
      <c r="F7" s="677"/>
      <c r="G7" s="677"/>
      <c r="H7" s="677"/>
      <c r="I7" s="677"/>
    </row>
    <row r="8" spans="1:9" ht="15.75" thickBot="1" x14ac:dyDescent="0.3">
      <c r="A8" s="651" t="s">
        <v>550</v>
      </c>
      <c r="B8" s="652"/>
      <c r="C8" s="652"/>
      <c r="D8" s="652"/>
      <c r="E8" s="652"/>
      <c r="F8" s="652"/>
      <c r="G8" s="652"/>
      <c r="H8" s="652"/>
      <c r="I8" s="653"/>
    </row>
    <row r="9" spans="1:9" x14ac:dyDescent="0.25">
      <c r="A9" s="446" t="s">
        <v>551</v>
      </c>
      <c r="B9" s="447" t="s">
        <v>12</v>
      </c>
      <c r="C9" s="646" t="s">
        <v>552</v>
      </c>
      <c r="D9" s="646"/>
      <c r="E9" s="646"/>
      <c r="F9" s="447" t="s">
        <v>553</v>
      </c>
      <c r="G9" s="448" t="s">
        <v>554</v>
      </c>
      <c r="H9" s="459" t="s">
        <v>555</v>
      </c>
      <c r="I9" s="450" t="s">
        <v>556</v>
      </c>
    </row>
    <row r="10" spans="1:9" ht="48.75" customHeight="1" x14ac:dyDescent="0.25">
      <c r="A10" s="425" t="s">
        <v>752</v>
      </c>
      <c r="B10" s="402" t="s">
        <v>764</v>
      </c>
      <c r="C10" s="681" t="s">
        <v>765</v>
      </c>
      <c r="D10" s="682"/>
      <c r="E10" s="403" t="s">
        <v>559</v>
      </c>
      <c r="F10" s="399" t="s">
        <v>560</v>
      </c>
      <c r="G10" s="401">
        <v>0.31619999999999998</v>
      </c>
      <c r="H10" s="406">
        <f>(19.73/1.8674)*2.5727</f>
        <v>27.18184159794367</v>
      </c>
      <c r="I10" s="407">
        <f>G10*H10</f>
        <v>8.5948983132697876</v>
      </c>
    </row>
    <row r="11" spans="1:9" ht="33" customHeight="1" x14ac:dyDescent="0.25">
      <c r="A11" s="425" t="s">
        <v>766</v>
      </c>
      <c r="B11" s="402" t="s">
        <v>764</v>
      </c>
      <c r="C11" s="681" t="s">
        <v>767</v>
      </c>
      <c r="D11" s="682"/>
      <c r="E11" s="403" t="s">
        <v>559</v>
      </c>
      <c r="F11" s="399" t="s">
        <v>560</v>
      </c>
      <c r="G11" s="426">
        <v>9.9599999999999994E-2</v>
      </c>
      <c r="H11" s="406">
        <f>(16.48/1.8674)*2.5727</f>
        <v>22.704346149726899</v>
      </c>
      <c r="I11" s="407">
        <f>G11*H11</f>
        <v>2.2613528765127988</v>
      </c>
    </row>
    <row r="12" spans="1:9" x14ac:dyDescent="0.25">
      <c r="A12" s="402"/>
      <c r="B12" s="404"/>
      <c r="C12" s="650"/>
      <c r="D12" s="650"/>
      <c r="E12" s="403"/>
      <c r="F12" s="404"/>
      <c r="G12" s="427"/>
      <c r="H12" s="428"/>
      <c r="I12" s="407"/>
    </row>
    <row r="13" spans="1:9" x14ac:dyDescent="0.25">
      <c r="A13" s="638" t="s">
        <v>562</v>
      </c>
      <c r="B13" s="638"/>
      <c r="C13" s="638"/>
      <c r="D13" s="638"/>
      <c r="E13" s="638"/>
      <c r="F13" s="638"/>
      <c r="G13" s="638"/>
      <c r="H13" s="638"/>
      <c r="I13" s="408">
        <f>I10+I11</f>
        <v>10.856251189782586</v>
      </c>
    </row>
    <row r="14" spans="1:9" ht="15.75" thickBot="1" x14ac:dyDescent="0.3">
      <c r="A14" s="451"/>
      <c r="B14" s="451"/>
      <c r="C14" s="451"/>
      <c r="D14" s="451"/>
      <c r="E14" s="451"/>
      <c r="F14" s="451"/>
      <c r="G14" s="451"/>
      <c r="H14" s="458"/>
      <c r="I14" s="452"/>
    </row>
    <row r="15" spans="1:9" ht="15.75" thickBot="1" x14ac:dyDescent="0.3">
      <c r="A15" s="651" t="s">
        <v>563</v>
      </c>
      <c r="B15" s="652"/>
      <c r="C15" s="652"/>
      <c r="D15" s="652"/>
      <c r="E15" s="652"/>
      <c r="F15" s="652"/>
      <c r="G15" s="652"/>
      <c r="H15" s="652"/>
      <c r="I15" s="653"/>
    </row>
    <row r="16" spans="1:9" x14ac:dyDescent="0.25">
      <c r="A16" s="446" t="s">
        <v>551</v>
      </c>
      <c r="B16" s="447" t="s">
        <v>12</v>
      </c>
      <c r="C16" s="646" t="s">
        <v>552</v>
      </c>
      <c r="D16" s="646"/>
      <c r="E16" s="646"/>
      <c r="F16" s="447" t="s">
        <v>553</v>
      </c>
      <c r="G16" s="448" t="s">
        <v>554</v>
      </c>
      <c r="H16" s="459" t="s">
        <v>555</v>
      </c>
      <c r="I16" s="450" t="s">
        <v>556</v>
      </c>
    </row>
    <row r="17" spans="1:9" ht="27" customHeight="1" x14ac:dyDescent="0.25">
      <c r="A17" s="410" t="s">
        <v>768</v>
      </c>
      <c r="B17" s="402" t="s">
        <v>764</v>
      </c>
      <c r="C17" s="654" t="s">
        <v>769</v>
      </c>
      <c r="D17" s="654"/>
      <c r="E17" s="654"/>
      <c r="F17" s="410" t="s">
        <v>67</v>
      </c>
      <c r="G17" s="427">
        <v>1</v>
      </c>
      <c r="H17" s="429">
        <v>65.400000000000006</v>
      </c>
      <c r="I17" s="430">
        <f>G17*H17</f>
        <v>65.400000000000006</v>
      </c>
    </row>
    <row r="18" spans="1:9" x14ac:dyDescent="0.25">
      <c r="A18" s="410"/>
      <c r="B18" s="411"/>
      <c r="C18" s="654"/>
      <c r="D18" s="654"/>
      <c r="E18" s="654"/>
      <c r="F18" s="410"/>
      <c r="G18" s="431"/>
      <c r="H18" s="429"/>
      <c r="I18" s="430"/>
    </row>
    <row r="19" spans="1:9" x14ac:dyDescent="0.25">
      <c r="A19" s="638" t="s">
        <v>566</v>
      </c>
      <c r="B19" s="638"/>
      <c r="C19" s="638"/>
      <c r="D19" s="638"/>
      <c r="E19" s="638"/>
      <c r="F19" s="638"/>
      <c r="G19" s="638"/>
      <c r="H19" s="638"/>
      <c r="I19" s="414">
        <f>SUM(I17:I18)</f>
        <v>65.400000000000006</v>
      </c>
    </row>
    <row r="20" spans="1:9" ht="15.75" thickBot="1" x14ac:dyDescent="0.3">
      <c r="A20" s="451"/>
      <c r="B20" s="451"/>
      <c r="C20" s="451"/>
      <c r="D20" s="451"/>
      <c r="E20" s="451"/>
      <c r="F20" s="451"/>
      <c r="G20" s="451"/>
      <c r="H20" s="458"/>
      <c r="I20" s="452"/>
    </row>
    <row r="21" spans="1:9" ht="15.75" thickBot="1" x14ac:dyDescent="0.3">
      <c r="A21" s="658" t="s">
        <v>567</v>
      </c>
      <c r="B21" s="659"/>
      <c r="C21" s="659"/>
      <c r="D21" s="659"/>
      <c r="E21" s="659"/>
      <c r="F21" s="659"/>
      <c r="G21" s="659"/>
      <c r="H21" s="659"/>
      <c r="I21" s="660"/>
    </row>
    <row r="22" spans="1:9" x14ac:dyDescent="0.25">
      <c r="A22" s="453"/>
      <c r="B22" s="454"/>
      <c r="C22" s="661" t="s">
        <v>552</v>
      </c>
      <c r="D22" s="661"/>
      <c r="E22" s="661"/>
      <c r="F22" s="454" t="s">
        <v>553</v>
      </c>
      <c r="G22" s="455" t="s">
        <v>554</v>
      </c>
      <c r="H22" s="460" t="s">
        <v>555</v>
      </c>
      <c r="I22" s="457" t="s">
        <v>556</v>
      </c>
    </row>
    <row r="23" spans="1:9" x14ac:dyDescent="0.25">
      <c r="A23" s="434"/>
      <c r="B23" s="432"/>
      <c r="C23" s="678"/>
      <c r="D23" s="679"/>
      <c r="E23" s="680"/>
      <c r="F23" s="435"/>
      <c r="G23" s="436"/>
      <c r="H23" s="433"/>
      <c r="I23" s="437"/>
    </row>
    <row r="24" spans="1:9" x14ac:dyDescent="0.25">
      <c r="A24" s="416"/>
      <c r="B24" s="416"/>
      <c r="C24" s="643"/>
      <c r="D24" s="644"/>
      <c r="E24" s="645"/>
      <c r="F24" s="417"/>
      <c r="G24" s="417"/>
      <c r="H24" s="438"/>
      <c r="I24" s="419"/>
    </row>
    <row r="25" spans="1:9" x14ac:dyDescent="0.25">
      <c r="A25" s="638" t="s">
        <v>568</v>
      </c>
      <c r="B25" s="638"/>
      <c r="C25" s="638"/>
      <c r="D25" s="638"/>
      <c r="E25" s="638"/>
      <c r="F25" s="638"/>
      <c r="G25" s="638"/>
      <c r="H25" s="638"/>
      <c r="I25" s="420">
        <f>I23</f>
        <v>0</v>
      </c>
    </row>
    <row r="26" spans="1:9" x14ac:dyDescent="0.25">
      <c r="A26" s="639"/>
      <c r="B26" s="640"/>
      <c r="C26" s="640"/>
      <c r="D26" s="640"/>
      <c r="E26" s="640"/>
      <c r="F26" s="640"/>
      <c r="G26" s="640"/>
      <c r="H26" s="640"/>
      <c r="I26" s="641"/>
    </row>
    <row r="27" spans="1:9" x14ac:dyDescent="0.25">
      <c r="A27" s="642" t="s">
        <v>570</v>
      </c>
      <c r="B27" s="642"/>
      <c r="C27" s="642"/>
      <c r="D27" s="642"/>
      <c r="E27" s="642"/>
      <c r="F27" s="642"/>
      <c r="G27" s="642"/>
      <c r="H27" s="642"/>
      <c r="I27" s="642"/>
    </row>
    <row r="28" spans="1:9" x14ac:dyDescent="0.25">
      <c r="A28" s="637" t="s">
        <v>571</v>
      </c>
      <c r="B28" s="637"/>
      <c r="C28" s="637"/>
      <c r="D28" s="637"/>
      <c r="E28" s="637"/>
      <c r="F28" s="637"/>
      <c r="G28" s="637"/>
      <c r="H28" s="637"/>
      <c r="I28" s="421">
        <f>I13</f>
        <v>10.856251189782586</v>
      </c>
    </row>
    <row r="29" spans="1:9" x14ac:dyDescent="0.25">
      <c r="A29" s="637" t="s">
        <v>572</v>
      </c>
      <c r="B29" s="637"/>
      <c r="C29" s="637"/>
      <c r="D29" s="637"/>
      <c r="E29" s="637"/>
      <c r="F29" s="637"/>
      <c r="G29" s="637"/>
      <c r="H29" s="637"/>
      <c r="I29" s="421">
        <f>I19</f>
        <v>65.400000000000006</v>
      </c>
    </row>
    <row r="30" spans="1:9" x14ac:dyDescent="0.25">
      <c r="A30" s="637" t="s">
        <v>573</v>
      </c>
      <c r="B30" s="637"/>
      <c r="C30" s="637"/>
      <c r="D30" s="637"/>
      <c r="E30" s="637"/>
      <c r="F30" s="637"/>
      <c r="G30" s="637"/>
      <c r="H30" s="637"/>
      <c r="I30" s="421">
        <f>I25</f>
        <v>0</v>
      </c>
    </row>
    <row r="31" spans="1:9" x14ac:dyDescent="0.25">
      <c r="A31" s="637" t="s">
        <v>761</v>
      </c>
      <c r="B31" s="637"/>
      <c r="C31" s="637"/>
      <c r="D31" s="637"/>
      <c r="E31" s="637"/>
      <c r="F31" s="637"/>
      <c r="G31" s="637"/>
      <c r="H31" s="637"/>
      <c r="I31" s="422">
        <f>SUM(I28:I30)</f>
        <v>76.256251189782589</v>
      </c>
    </row>
  </sheetData>
  <mergeCells count="27">
    <mergeCell ref="A15:I15"/>
    <mergeCell ref="A1:H4"/>
    <mergeCell ref="I1:I2"/>
    <mergeCell ref="A5:H6"/>
    <mergeCell ref="I5:I6"/>
    <mergeCell ref="A7:I7"/>
    <mergeCell ref="A8:I8"/>
    <mergeCell ref="C9:E9"/>
    <mergeCell ref="C10:D10"/>
    <mergeCell ref="C11:D11"/>
    <mergeCell ref="C12:D12"/>
    <mergeCell ref="A13:H13"/>
    <mergeCell ref="A26:I26"/>
    <mergeCell ref="C16:E16"/>
    <mergeCell ref="C17:E17"/>
    <mergeCell ref="C18:E18"/>
    <mergeCell ref="A19:H19"/>
    <mergeCell ref="A21:I21"/>
    <mergeCell ref="C22:E22"/>
    <mergeCell ref="C23:E23"/>
    <mergeCell ref="C24:E24"/>
    <mergeCell ref="A25:H25"/>
    <mergeCell ref="A27:I27"/>
    <mergeCell ref="A28:H28"/>
    <mergeCell ref="A29:H29"/>
    <mergeCell ref="A30:H30"/>
    <mergeCell ref="A31:H31"/>
  </mergeCells>
  <pageMargins left="0.511811024" right="0.511811024" top="0.78740157499999996" bottom="0.78740157499999996" header="0.31496062000000002" footer="0.31496062000000002"/>
  <pageSetup paperSize="9" scale="78"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1"/>
  <sheetViews>
    <sheetView view="pageBreakPreview" zoomScale="95" zoomScaleNormal="100" zoomScaleSheetLayoutView="95" workbookViewId="0">
      <selection activeCell="H17" sqref="H17"/>
    </sheetView>
  </sheetViews>
  <sheetFormatPr defaultRowHeight="15" x14ac:dyDescent="0.25"/>
  <cols>
    <col min="1" max="1" width="14.28515625" style="423" customWidth="1"/>
    <col min="2" max="2" width="12.85546875" style="423" customWidth="1"/>
    <col min="3" max="3" width="9.140625" style="424"/>
    <col min="4" max="4" width="29.7109375" style="424" customWidth="1"/>
    <col min="5" max="5" width="20.140625" style="424" customWidth="1"/>
    <col min="6" max="6" width="5" style="424" bestFit="1" customWidth="1"/>
    <col min="7" max="7" width="10.5703125" style="424" bestFit="1" customWidth="1"/>
    <col min="8" max="8" width="8.42578125" style="423" bestFit="1" customWidth="1"/>
    <col min="9" max="9" width="11" style="424" bestFit="1" customWidth="1"/>
  </cols>
  <sheetData>
    <row r="1" spans="1:9" x14ac:dyDescent="0.25">
      <c r="A1" s="662" t="s">
        <v>545</v>
      </c>
      <c r="B1" s="663"/>
      <c r="C1" s="663"/>
      <c r="D1" s="663"/>
      <c r="E1" s="663"/>
      <c r="F1" s="663"/>
      <c r="G1" s="663"/>
      <c r="H1" s="664"/>
      <c r="I1" s="683" t="s">
        <v>546</v>
      </c>
    </row>
    <row r="2" spans="1:9" x14ac:dyDescent="0.25">
      <c r="A2" s="665"/>
      <c r="B2" s="666"/>
      <c r="C2" s="666"/>
      <c r="D2" s="666"/>
      <c r="E2" s="666"/>
      <c r="F2" s="666"/>
      <c r="G2" s="666"/>
      <c r="H2" s="667"/>
      <c r="I2" s="684"/>
    </row>
    <row r="3" spans="1:9" x14ac:dyDescent="0.25">
      <c r="A3" s="665"/>
      <c r="B3" s="666"/>
      <c r="C3" s="666"/>
      <c r="D3" s="666"/>
      <c r="E3" s="666"/>
      <c r="F3" s="666"/>
      <c r="G3" s="666"/>
      <c r="H3" s="667"/>
      <c r="I3" s="469">
        <v>44501</v>
      </c>
    </row>
    <row r="4" spans="1:9" ht="15.75" thickBot="1" x14ac:dyDescent="0.3">
      <c r="A4" s="668"/>
      <c r="B4" s="669"/>
      <c r="C4" s="669"/>
      <c r="D4" s="669"/>
      <c r="E4" s="669"/>
      <c r="F4" s="669"/>
      <c r="G4" s="669"/>
      <c r="H4" s="670"/>
      <c r="I4" s="470" t="s">
        <v>787</v>
      </c>
    </row>
    <row r="5" spans="1:9" x14ac:dyDescent="0.25">
      <c r="A5" s="673" t="s">
        <v>775</v>
      </c>
      <c r="B5" s="673"/>
      <c r="C5" s="673"/>
      <c r="D5" s="673"/>
      <c r="E5" s="673"/>
      <c r="F5" s="673"/>
      <c r="G5" s="673"/>
      <c r="H5" s="673"/>
      <c r="I5" s="675" t="s">
        <v>547</v>
      </c>
    </row>
    <row r="6" spans="1:9" x14ac:dyDescent="0.25">
      <c r="A6" s="674"/>
      <c r="B6" s="674"/>
      <c r="C6" s="674"/>
      <c r="D6" s="674"/>
      <c r="E6" s="674"/>
      <c r="F6" s="674"/>
      <c r="G6" s="674"/>
      <c r="H6" s="674"/>
      <c r="I6" s="676"/>
    </row>
    <row r="7" spans="1:9" ht="15.75" thickBot="1" x14ac:dyDescent="0.3">
      <c r="A7" s="677" t="s">
        <v>763</v>
      </c>
      <c r="B7" s="677"/>
      <c r="C7" s="677"/>
      <c r="D7" s="677"/>
      <c r="E7" s="677"/>
      <c r="F7" s="677"/>
      <c r="G7" s="677"/>
      <c r="H7" s="677"/>
      <c r="I7" s="677"/>
    </row>
    <row r="8" spans="1:9" ht="15.75" thickBot="1" x14ac:dyDescent="0.3">
      <c r="A8" s="651" t="s">
        <v>550</v>
      </c>
      <c r="B8" s="652"/>
      <c r="C8" s="652"/>
      <c r="D8" s="652"/>
      <c r="E8" s="652"/>
      <c r="F8" s="652"/>
      <c r="G8" s="652"/>
      <c r="H8" s="652"/>
      <c r="I8" s="653"/>
    </row>
    <row r="9" spans="1:9" x14ac:dyDescent="0.25">
      <c r="A9" s="446" t="s">
        <v>551</v>
      </c>
      <c r="B9" s="447" t="s">
        <v>12</v>
      </c>
      <c r="C9" s="646" t="s">
        <v>552</v>
      </c>
      <c r="D9" s="646"/>
      <c r="E9" s="646"/>
      <c r="F9" s="447" t="s">
        <v>553</v>
      </c>
      <c r="G9" s="448" t="s">
        <v>554</v>
      </c>
      <c r="H9" s="459" t="s">
        <v>555</v>
      </c>
      <c r="I9" s="450" t="s">
        <v>556</v>
      </c>
    </row>
    <row r="10" spans="1:9" ht="48.75" customHeight="1" x14ac:dyDescent="0.25">
      <c r="A10" s="425" t="s">
        <v>752</v>
      </c>
      <c r="B10" s="402" t="s">
        <v>764</v>
      </c>
      <c r="C10" s="681" t="s">
        <v>765</v>
      </c>
      <c r="D10" s="682"/>
      <c r="E10" s="403" t="s">
        <v>559</v>
      </c>
      <c r="F10" s="400" t="s">
        <v>560</v>
      </c>
      <c r="G10" s="401">
        <v>0.31619999999999998</v>
      </c>
      <c r="H10" s="406">
        <f>(19.73/1.8674)*2.5727</f>
        <v>27.18184159794367</v>
      </c>
      <c r="I10" s="407">
        <f>G10*H10</f>
        <v>8.5948983132697876</v>
      </c>
    </row>
    <row r="11" spans="1:9" ht="33" customHeight="1" x14ac:dyDescent="0.25">
      <c r="A11" s="425" t="s">
        <v>766</v>
      </c>
      <c r="B11" s="402" t="s">
        <v>764</v>
      </c>
      <c r="C11" s="681" t="s">
        <v>767</v>
      </c>
      <c r="D11" s="682"/>
      <c r="E11" s="403" t="s">
        <v>559</v>
      </c>
      <c r="F11" s="400" t="s">
        <v>560</v>
      </c>
      <c r="G11" s="426">
        <v>9.9599999999999994E-2</v>
      </c>
      <c r="H11" s="406">
        <f>(16.48/1.8674)*2.5727</f>
        <v>22.704346149726899</v>
      </c>
      <c r="I11" s="407">
        <f>G11*H11</f>
        <v>2.2613528765127988</v>
      </c>
    </row>
    <row r="12" spans="1:9" x14ac:dyDescent="0.25">
      <c r="A12" s="402"/>
      <c r="B12" s="415"/>
      <c r="C12" s="650"/>
      <c r="D12" s="650"/>
      <c r="E12" s="403"/>
      <c r="F12" s="415"/>
      <c r="G12" s="427"/>
      <c r="H12" s="428"/>
      <c r="I12" s="407"/>
    </row>
    <row r="13" spans="1:9" x14ac:dyDescent="0.25">
      <c r="A13" s="638" t="s">
        <v>562</v>
      </c>
      <c r="B13" s="638"/>
      <c r="C13" s="638"/>
      <c r="D13" s="638"/>
      <c r="E13" s="638"/>
      <c r="F13" s="638"/>
      <c r="G13" s="638"/>
      <c r="H13" s="638"/>
      <c r="I13" s="408">
        <f>I10+I11</f>
        <v>10.856251189782586</v>
      </c>
    </row>
    <row r="14" spans="1:9" ht="15.75" thickBot="1" x14ac:dyDescent="0.3">
      <c r="A14" s="451"/>
      <c r="B14" s="451"/>
      <c r="C14" s="451"/>
      <c r="D14" s="451"/>
      <c r="E14" s="451"/>
      <c r="F14" s="451"/>
      <c r="G14" s="451"/>
      <c r="H14" s="458"/>
      <c r="I14" s="452"/>
    </row>
    <row r="15" spans="1:9" ht="15.75" thickBot="1" x14ac:dyDescent="0.3">
      <c r="A15" s="651" t="s">
        <v>563</v>
      </c>
      <c r="B15" s="652"/>
      <c r="C15" s="652"/>
      <c r="D15" s="652"/>
      <c r="E15" s="652"/>
      <c r="F15" s="652"/>
      <c r="G15" s="652"/>
      <c r="H15" s="652"/>
      <c r="I15" s="653"/>
    </row>
    <row r="16" spans="1:9" x14ac:dyDescent="0.25">
      <c r="A16" s="446" t="s">
        <v>551</v>
      </c>
      <c r="B16" s="447" t="s">
        <v>12</v>
      </c>
      <c r="C16" s="646" t="s">
        <v>552</v>
      </c>
      <c r="D16" s="646"/>
      <c r="E16" s="646"/>
      <c r="F16" s="447" t="s">
        <v>553</v>
      </c>
      <c r="G16" s="448" t="s">
        <v>554</v>
      </c>
      <c r="H16" s="459" t="s">
        <v>555</v>
      </c>
      <c r="I16" s="450" t="s">
        <v>556</v>
      </c>
    </row>
    <row r="17" spans="1:9" ht="27" customHeight="1" x14ac:dyDescent="0.25">
      <c r="A17" s="410"/>
      <c r="B17" s="402" t="s">
        <v>794</v>
      </c>
      <c r="C17" s="654" t="s">
        <v>774</v>
      </c>
      <c r="D17" s="654"/>
      <c r="E17" s="654"/>
      <c r="F17" s="410" t="s">
        <v>67</v>
      </c>
      <c r="G17" s="427">
        <v>1</v>
      </c>
      <c r="H17" s="429">
        <f>COTAÇÕES!P9</f>
        <v>50.366666666666667</v>
      </c>
      <c r="I17" s="430">
        <f>G17*H17</f>
        <v>50.366666666666667</v>
      </c>
    </row>
    <row r="18" spans="1:9" x14ac:dyDescent="0.25">
      <c r="A18" s="410"/>
      <c r="B18" s="411"/>
      <c r="C18" s="654"/>
      <c r="D18" s="654"/>
      <c r="E18" s="654"/>
      <c r="F18" s="410"/>
      <c r="G18" s="431"/>
      <c r="H18" s="429"/>
      <c r="I18" s="430"/>
    </row>
    <row r="19" spans="1:9" x14ac:dyDescent="0.25">
      <c r="A19" s="638" t="s">
        <v>566</v>
      </c>
      <c r="B19" s="638"/>
      <c r="C19" s="638"/>
      <c r="D19" s="638"/>
      <c r="E19" s="638"/>
      <c r="F19" s="638"/>
      <c r="G19" s="638"/>
      <c r="H19" s="638"/>
      <c r="I19" s="414">
        <f>SUM(I17:I18)</f>
        <v>50.366666666666667</v>
      </c>
    </row>
    <row r="20" spans="1:9" ht="15.75" thickBot="1" x14ac:dyDescent="0.3">
      <c r="A20" s="451"/>
      <c r="B20" s="451"/>
      <c r="C20" s="451"/>
      <c r="D20" s="451"/>
      <c r="E20" s="451"/>
      <c r="F20" s="451"/>
      <c r="G20" s="451"/>
      <c r="H20" s="458"/>
      <c r="I20" s="452"/>
    </row>
    <row r="21" spans="1:9" ht="15.75" thickBot="1" x14ac:dyDescent="0.3">
      <c r="A21" s="658" t="s">
        <v>567</v>
      </c>
      <c r="B21" s="659"/>
      <c r="C21" s="659"/>
      <c r="D21" s="659"/>
      <c r="E21" s="659"/>
      <c r="F21" s="659"/>
      <c r="G21" s="659"/>
      <c r="H21" s="659"/>
      <c r="I21" s="660"/>
    </row>
    <row r="22" spans="1:9" x14ac:dyDescent="0.25">
      <c r="A22" s="453"/>
      <c r="B22" s="454"/>
      <c r="C22" s="661" t="s">
        <v>552</v>
      </c>
      <c r="D22" s="661"/>
      <c r="E22" s="661"/>
      <c r="F22" s="454" t="s">
        <v>553</v>
      </c>
      <c r="G22" s="455" t="s">
        <v>554</v>
      </c>
      <c r="H22" s="460" t="s">
        <v>555</v>
      </c>
      <c r="I22" s="457" t="s">
        <v>556</v>
      </c>
    </row>
    <row r="23" spans="1:9" x14ac:dyDescent="0.25">
      <c r="A23" s="434"/>
      <c r="B23" s="432"/>
      <c r="C23" s="678"/>
      <c r="D23" s="679"/>
      <c r="E23" s="680"/>
      <c r="F23" s="435"/>
      <c r="G23" s="436"/>
      <c r="H23" s="433"/>
      <c r="I23" s="437"/>
    </row>
    <row r="24" spans="1:9" x14ac:dyDescent="0.25">
      <c r="A24" s="416"/>
      <c r="B24" s="416"/>
      <c r="C24" s="643"/>
      <c r="D24" s="644"/>
      <c r="E24" s="645"/>
      <c r="F24" s="417"/>
      <c r="G24" s="417"/>
      <c r="H24" s="438"/>
      <c r="I24" s="419"/>
    </row>
    <row r="25" spans="1:9" x14ac:dyDescent="0.25">
      <c r="A25" s="638" t="s">
        <v>568</v>
      </c>
      <c r="B25" s="638"/>
      <c r="C25" s="638"/>
      <c r="D25" s="638"/>
      <c r="E25" s="638"/>
      <c r="F25" s="638"/>
      <c r="G25" s="638"/>
      <c r="H25" s="638"/>
      <c r="I25" s="420">
        <f>I23</f>
        <v>0</v>
      </c>
    </row>
    <row r="26" spans="1:9" x14ac:dyDescent="0.25">
      <c r="A26" s="639"/>
      <c r="B26" s="640"/>
      <c r="C26" s="640"/>
      <c r="D26" s="640"/>
      <c r="E26" s="640"/>
      <c r="F26" s="640"/>
      <c r="G26" s="640"/>
      <c r="H26" s="640"/>
      <c r="I26" s="641"/>
    </row>
    <row r="27" spans="1:9" x14ac:dyDescent="0.25">
      <c r="A27" s="642" t="s">
        <v>570</v>
      </c>
      <c r="B27" s="642"/>
      <c r="C27" s="642"/>
      <c r="D27" s="642"/>
      <c r="E27" s="642"/>
      <c r="F27" s="642"/>
      <c r="G27" s="642"/>
      <c r="H27" s="642"/>
      <c r="I27" s="642"/>
    </row>
    <row r="28" spans="1:9" x14ac:dyDescent="0.25">
      <c r="A28" s="637" t="s">
        <v>571</v>
      </c>
      <c r="B28" s="637"/>
      <c r="C28" s="637"/>
      <c r="D28" s="637"/>
      <c r="E28" s="637"/>
      <c r="F28" s="637"/>
      <c r="G28" s="637"/>
      <c r="H28" s="637"/>
      <c r="I28" s="421">
        <f>I13</f>
        <v>10.856251189782586</v>
      </c>
    </row>
    <row r="29" spans="1:9" x14ac:dyDescent="0.25">
      <c r="A29" s="637" t="s">
        <v>572</v>
      </c>
      <c r="B29" s="637"/>
      <c r="C29" s="637"/>
      <c r="D29" s="637"/>
      <c r="E29" s="637"/>
      <c r="F29" s="637"/>
      <c r="G29" s="637"/>
      <c r="H29" s="637"/>
      <c r="I29" s="421">
        <f>I19</f>
        <v>50.366666666666667</v>
      </c>
    </row>
    <row r="30" spans="1:9" x14ac:dyDescent="0.25">
      <c r="A30" s="637" t="s">
        <v>573</v>
      </c>
      <c r="B30" s="637"/>
      <c r="C30" s="637"/>
      <c r="D30" s="637"/>
      <c r="E30" s="637"/>
      <c r="F30" s="637"/>
      <c r="G30" s="637"/>
      <c r="H30" s="637"/>
      <c r="I30" s="421">
        <f>I25</f>
        <v>0</v>
      </c>
    </row>
    <row r="31" spans="1:9" x14ac:dyDescent="0.25">
      <c r="A31" s="637" t="s">
        <v>761</v>
      </c>
      <c r="B31" s="637"/>
      <c r="C31" s="637"/>
      <c r="D31" s="637"/>
      <c r="E31" s="637"/>
      <c r="F31" s="637"/>
      <c r="G31" s="637"/>
      <c r="H31" s="637"/>
      <c r="I31" s="422">
        <f>SUM(I28:I30)</f>
        <v>61.222917856449257</v>
      </c>
    </row>
  </sheetData>
  <mergeCells count="27">
    <mergeCell ref="A1:H4"/>
    <mergeCell ref="I1:I2"/>
    <mergeCell ref="A5:H6"/>
    <mergeCell ref="I5:I6"/>
    <mergeCell ref="A7:I7"/>
    <mergeCell ref="A8:I8"/>
    <mergeCell ref="C9:E9"/>
    <mergeCell ref="C10:D10"/>
    <mergeCell ref="C11:D11"/>
    <mergeCell ref="C12:D12"/>
    <mergeCell ref="A13:H13"/>
    <mergeCell ref="A15:I15"/>
    <mergeCell ref="C16:E16"/>
    <mergeCell ref="C17:E17"/>
    <mergeCell ref="C18:E18"/>
    <mergeCell ref="A19:H19"/>
    <mergeCell ref="A21:I21"/>
    <mergeCell ref="C22:E22"/>
    <mergeCell ref="A29:H29"/>
    <mergeCell ref="A30:H30"/>
    <mergeCell ref="A31:H31"/>
    <mergeCell ref="C23:E23"/>
    <mergeCell ref="C24:E24"/>
    <mergeCell ref="A25:H25"/>
    <mergeCell ref="A26:I26"/>
    <mergeCell ref="A27:I27"/>
    <mergeCell ref="A28:H28"/>
  </mergeCells>
  <pageMargins left="0.511811024" right="0.511811024" top="0.78740157499999996" bottom="0.78740157499999996" header="0.31496062000000002" footer="0.31496062000000002"/>
  <pageSetup paperSize="9" scale="76"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1"/>
  <sheetViews>
    <sheetView view="pageBreakPreview" zoomScale="124" zoomScaleNormal="100" zoomScaleSheetLayoutView="124" workbookViewId="0">
      <selection activeCell="K10" sqref="K10"/>
    </sheetView>
  </sheetViews>
  <sheetFormatPr defaultRowHeight="15" x14ac:dyDescent="0.25"/>
  <cols>
    <col min="1" max="1" width="14.28515625" style="423" customWidth="1"/>
    <col min="2" max="2" width="10" style="423" bestFit="1" customWidth="1"/>
    <col min="3" max="3" width="9.140625" style="424"/>
    <col min="4" max="4" width="29.7109375" style="424" customWidth="1"/>
    <col min="5" max="5" width="20.140625" style="424" customWidth="1"/>
    <col min="6" max="6" width="5" style="424" bestFit="1" customWidth="1"/>
    <col min="7" max="7" width="10.5703125" style="424" bestFit="1" customWidth="1"/>
    <col min="8" max="8" width="8.42578125" style="423" bestFit="1" customWidth="1"/>
    <col min="9" max="9" width="11" style="424" bestFit="1" customWidth="1"/>
  </cols>
  <sheetData>
    <row r="1" spans="1:9" x14ac:dyDescent="0.25">
      <c r="A1" s="662" t="s">
        <v>545</v>
      </c>
      <c r="B1" s="663"/>
      <c r="C1" s="663"/>
      <c r="D1" s="663"/>
      <c r="E1" s="663"/>
      <c r="F1" s="663"/>
      <c r="G1" s="663"/>
      <c r="H1" s="664"/>
      <c r="I1" s="683" t="s">
        <v>546</v>
      </c>
    </row>
    <row r="2" spans="1:9" x14ac:dyDescent="0.25">
      <c r="A2" s="665"/>
      <c r="B2" s="666"/>
      <c r="C2" s="666"/>
      <c r="D2" s="666"/>
      <c r="E2" s="666"/>
      <c r="F2" s="666"/>
      <c r="G2" s="666"/>
      <c r="H2" s="667"/>
      <c r="I2" s="684"/>
    </row>
    <row r="3" spans="1:9" x14ac:dyDescent="0.25">
      <c r="A3" s="665"/>
      <c r="B3" s="666"/>
      <c r="C3" s="666"/>
      <c r="D3" s="666"/>
      <c r="E3" s="666"/>
      <c r="F3" s="666"/>
      <c r="G3" s="666"/>
      <c r="H3" s="667"/>
      <c r="I3" s="469">
        <v>44501</v>
      </c>
    </row>
    <row r="4" spans="1:9" ht="15.75" thickBot="1" x14ac:dyDescent="0.3">
      <c r="A4" s="668"/>
      <c r="B4" s="669"/>
      <c r="C4" s="669"/>
      <c r="D4" s="669"/>
      <c r="E4" s="669"/>
      <c r="F4" s="669"/>
      <c r="G4" s="669"/>
      <c r="H4" s="670"/>
      <c r="I4" s="470" t="s">
        <v>790</v>
      </c>
    </row>
    <row r="5" spans="1:9" x14ac:dyDescent="0.25">
      <c r="A5" s="673" t="s">
        <v>770</v>
      </c>
      <c r="B5" s="673"/>
      <c r="C5" s="673"/>
      <c r="D5" s="673"/>
      <c r="E5" s="673"/>
      <c r="F5" s="673"/>
      <c r="G5" s="673"/>
      <c r="H5" s="673"/>
      <c r="I5" s="675" t="s">
        <v>547</v>
      </c>
    </row>
    <row r="6" spans="1:9" x14ac:dyDescent="0.25">
      <c r="A6" s="674"/>
      <c r="B6" s="674"/>
      <c r="C6" s="674"/>
      <c r="D6" s="674"/>
      <c r="E6" s="674"/>
      <c r="F6" s="674"/>
      <c r="G6" s="674"/>
      <c r="H6" s="674"/>
      <c r="I6" s="676"/>
    </row>
    <row r="7" spans="1:9" ht="15.75" thickBot="1" x14ac:dyDescent="0.3">
      <c r="A7" s="677" t="s">
        <v>771</v>
      </c>
      <c r="B7" s="677"/>
      <c r="C7" s="677"/>
      <c r="D7" s="677"/>
      <c r="E7" s="677"/>
      <c r="F7" s="677"/>
      <c r="G7" s="677"/>
      <c r="H7" s="677"/>
      <c r="I7" s="677"/>
    </row>
    <row r="8" spans="1:9" ht="15.75" thickBot="1" x14ac:dyDescent="0.3">
      <c r="A8" s="651" t="s">
        <v>550</v>
      </c>
      <c r="B8" s="652"/>
      <c r="C8" s="652"/>
      <c r="D8" s="652"/>
      <c r="E8" s="652"/>
      <c r="F8" s="652"/>
      <c r="G8" s="652"/>
      <c r="H8" s="652"/>
      <c r="I8" s="653"/>
    </row>
    <row r="9" spans="1:9" x14ac:dyDescent="0.25">
      <c r="A9" s="446" t="s">
        <v>551</v>
      </c>
      <c r="B9" s="447" t="s">
        <v>12</v>
      </c>
      <c r="C9" s="646" t="s">
        <v>552</v>
      </c>
      <c r="D9" s="646"/>
      <c r="E9" s="646"/>
      <c r="F9" s="447" t="s">
        <v>553</v>
      </c>
      <c r="G9" s="448" t="s">
        <v>554</v>
      </c>
      <c r="H9" s="459" t="s">
        <v>555</v>
      </c>
      <c r="I9" s="450" t="s">
        <v>556</v>
      </c>
    </row>
    <row r="10" spans="1:9" ht="48.75" customHeight="1" x14ac:dyDescent="0.25">
      <c r="A10" s="425" t="s">
        <v>752</v>
      </c>
      <c r="B10" s="402" t="s">
        <v>764</v>
      </c>
      <c r="C10" s="681" t="s">
        <v>765</v>
      </c>
      <c r="D10" s="682"/>
      <c r="E10" s="403" t="s">
        <v>559</v>
      </c>
      <c r="F10" s="400" t="s">
        <v>560</v>
      </c>
      <c r="G10" s="401">
        <v>0.31619999999999998</v>
      </c>
      <c r="H10" s="406">
        <f>(19.73/1.8674)*2.5727</f>
        <v>27.18184159794367</v>
      </c>
      <c r="I10" s="407">
        <f>G10*H10</f>
        <v>8.5948983132697876</v>
      </c>
    </row>
    <row r="11" spans="1:9" ht="33" customHeight="1" x14ac:dyDescent="0.25">
      <c r="A11" s="425" t="s">
        <v>766</v>
      </c>
      <c r="B11" s="402" t="s">
        <v>764</v>
      </c>
      <c r="C11" s="681" t="s">
        <v>767</v>
      </c>
      <c r="D11" s="682"/>
      <c r="E11" s="403" t="s">
        <v>559</v>
      </c>
      <c r="F11" s="400" t="s">
        <v>560</v>
      </c>
      <c r="G11" s="426">
        <v>9.9599999999999994E-2</v>
      </c>
      <c r="H11" s="406">
        <f>(16.48/1.8674)*2.5727</f>
        <v>22.704346149726899</v>
      </c>
      <c r="I11" s="407">
        <f>G11*H11</f>
        <v>2.2613528765127988</v>
      </c>
    </row>
    <row r="12" spans="1:9" x14ac:dyDescent="0.25">
      <c r="A12" s="402"/>
      <c r="B12" s="415"/>
      <c r="C12" s="650"/>
      <c r="D12" s="650"/>
      <c r="E12" s="403"/>
      <c r="F12" s="415"/>
      <c r="G12" s="427"/>
      <c r="H12" s="428"/>
      <c r="I12" s="407"/>
    </row>
    <row r="13" spans="1:9" x14ac:dyDescent="0.25">
      <c r="A13" s="638" t="s">
        <v>562</v>
      </c>
      <c r="B13" s="638"/>
      <c r="C13" s="638"/>
      <c r="D13" s="638"/>
      <c r="E13" s="638"/>
      <c r="F13" s="638"/>
      <c r="G13" s="638"/>
      <c r="H13" s="638"/>
      <c r="I13" s="408">
        <f>I10+I11</f>
        <v>10.856251189782586</v>
      </c>
    </row>
    <row r="14" spans="1:9" ht="15.75" thickBot="1" x14ac:dyDescent="0.3">
      <c r="A14" s="451"/>
      <c r="B14" s="451"/>
      <c r="C14" s="451"/>
      <c r="D14" s="451"/>
      <c r="E14" s="451"/>
      <c r="F14" s="451"/>
      <c r="G14" s="451"/>
      <c r="H14" s="458"/>
      <c r="I14" s="452"/>
    </row>
    <row r="15" spans="1:9" ht="15.75" thickBot="1" x14ac:dyDescent="0.3">
      <c r="A15" s="651" t="s">
        <v>563</v>
      </c>
      <c r="B15" s="652"/>
      <c r="C15" s="652"/>
      <c r="D15" s="652"/>
      <c r="E15" s="652"/>
      <c r="F15" s="652"/>
      <c r="G15" s="652"/>
      <c r="H15" s="652"/>
      <c r="I15" s="653"/>
    </row>
    <row r="16" spans="1:9" x14ac:dyDescent="0.25">
      <c r="A16" s="446" t="s">
        <v>551</v>
      </c>
      <c r="B16" s="447" t="s">
        <v>12</v>
      </c>
      <c r="C16" s="646" t="s">
        <v>552</v>
      </c>
      <c r="D16" s="646"/>
      <c r="E16" s="646"/>
      <c r="F16" s="447" t="s">
        <v>553</v>
      </c>
      <c r="G16" s="448" t="s">
        <v>554</v>
      </c>
      <c r="H16" s="459" t="s">
        <v>555</v>
      </c>
      <c r="I16" s="450" t="s">
        <v>556</v>
      </c>
    </row>
    <row r="17" spans="1:9" x14ac:dyDescent="0.25">
      <c r="A17" s="410" t="s">
        <v>772</v>
      </c>
      <c r="B17" s="402" t="s">
        <v>764</v>
      </c>
      <c r="C17" s="654" t="s">
        <v>773</v>
      </c>
      <c r="D17" s="654"/>
      <c r="E17" s="654"/>
      <c r="F17" s="410" t="s">
        <v>67</v>
      </c>
      <c r="G17" s="427">
        <v>1</v>
      </c>
      <c r="H17" s="429">
        <v>24.82</v>
      </c>
      <c r="I17" s="430">
        <f>G17*H17</f>
        <v>24.82</v>
      </c>
    </row>
    <row r="18" spans="1:9" x14ac:dyDescent="0.25">
      <c r="A18" s="410"/>
      <c r="B18" s="411"/>
      <c r="C18" s="654"/>
      <c r="D18" s="654"/>
      <c r="E18" s="654"/>
      <c r="F18" s="410"/>
      <c r="G18" s="431"/>
      <c r="H18" s="429"/>
      <c r="I18" s="430"/>
    </row>
    <row r="19" spans="1:9" x14ac:dyDescent="0.25">
      <c r="A19" s="638" t="s">
        <v>566</v>
      </c>
      <c r="B19" s="638"/>
      <c r="C19" s="638"/>
      <c r="D19" s="638"/>
      <c r="E19" s="638"/>
      <c r="F19" s="638"/>
      <c r="G19" s="638"/>
      <c r="H19" s="638"/>
      <c r="I19" s="414">
        <f>SUM(I17:I18)</f>
        <v>24.82</v>
      </c>
    </row>
    <row r="20" spans="1:9" ht="15.75" thickBot="1" x14ac:dyDescent="0.3">
      <c r="A20" s="451"/>
      <c r="B20" s="451"/>
      <c r="C20" s="451"/>
      <c r="D20" s="451"/>
      <c r="E20" s="451"/>
      <c r="F20" s="451"/>
      <c r="G20" s="451"/>
      <c r="H20" s="458"/>
      <c r="I20" s="452"/>
    </row>
    <row r="21" spans="1:9" ht="15.75" thickBot="1" x14ac:dyDescent="0.3">
      <c r="A21" s="658" t="s">
        <v>567</v>
      </c>
      <c r="B21" s="659"/>
      <c r="C21" s="659"/>
      <c r="D21" s="659"/>
      <c r="E21" s="659"/>
      <c r="F21" s="659"/>
      <c r="G21" s="659"/>
      <c r="H21" s="659"/>
      <c r="I21" s="660"/>
    </row>
    <row r="22" spans="1:9" x14ac:dyDescent="0.25">
      <c r="A22" s="453"/>
      <c r="B22" s="454"/>
      <c r="C22" s="661" t="s">
        <v>552</v>
      </c>
      <c r="D22" s="661"/>
      <c r="E22" s="661"/>
      <c r="F22" s="454" t="s">
        <v>553</v>
      </c>
      <c r="G22" s="455" t="s">
        <v>554</v>
      </c>
      <c r="H22" s="460" t="s">
        <v>555</v>
      </c>
      <c r="I22" s="457" t="s">
        <v>556</v>
      </c>
    </row>
    <row r="23" spans="1:9" x14ac:dyDescent="0.25">
      <c r="A23" s="434"/>
      <c r="B23" s="432"/>
      <c r="C23" s="678"/>
      <c r="D23" s="679"/>
      <c r="E23" s="680"/>
      <c r="F23" s="435"/>
      <c r="G23" s="436"/>
      <c r="H23" s="433"/>
      <c r="I23" s="437"/>
    </row>
    <row r="24" spans="1:9" x14ac:dyDescent="0.25">
      <c r="A24" s="416"/>
      <c r="B24" s="416"/>
      <c r="C24" s="643"/>
      <c r="D24" s="644"/>
      <c r="E24" s="645"/>
      <c r="F24" s="417"/>
      <c r="G24" s="417"/>
      <c r="H24" s="438"/>
      <c r="I24" s="419"/>
    </row>
    <row r="25" spans="1:9" x14ac:dyDescent="0.25">
      <c r="A25" s="638" t="s">
        <v>568</v>
      </c>
      <c r="B25" s="638"/>
      <c r="C25" s="638"/>
      <c r="D25" s="638"/>
      <c r="E25" s="638"/>
      <c r="F25" s="638"/>
      <c r="G25" s="638"/>
      <c r="H25" s="638"/>
      <c r="I25" s="420">
        <f>I23</f>
        <v>0</v>
      </c>
    </row>
    <row r="26" spans="1:9" x14ac:dyDescent="0.25">
      <c r="A26" s="639"/>
      <c r="B26" s="640"/>
      <c r="C26" s="640"/>
      <c r="D26" s="640"/>
      <c r="E26" s="640"/>
      <c r="F26" s="640"/>
      <c r="G26" s="640"/>
      <c r="H26" s="640"/>
      <c r="I26" s="641"/>
    </row>
    <row r="27" spans="1:9" x14ac:dyDescent="0.25">
      <c r="A27" s="642" t="s">
        <v>570</v>
      </c>
      <c r="B27" s="642"/>
      <c r="C27" s="642"/>
      <c r="D27" s="642"/>
      <c r="E27" s="642"/>
      <c r="F27" s="642"/>
      <c r="G27" s="642"/>
      <c r="H27" s="642"/>
      <c r="I27" s="642"/>
    </row>
    <row r="28" spans="1:9" x14ac:dyDescent="0.25">
      <c r="A28" s="637" t="s">
        <v>571</v>
      </c>
      <c r="B28" s="637"/>
      <c r="C28" s="637"/>
      <c r="D28" s="637"/>
      <c r="E28" s="637"/>
      <c r="F28" s="637"/>
      <c r="G28" s="637"/>
      <c r="H28" s="637"/>
      <c r="I28" s="421">
        <f>I13</f>
        <v>10.856251189782586</v>
      </c>
    </row>
    <row r="29" spans="1:9" x14ac:dyDescent="0.25">
      <c r="A29" s="637" t="s">
        <v>572</v>
      </c>
      <c r="B29" s="637"/>
      <c r="C29" s="637"/>
      <c r="D29" s="637"/>
      <c r="E29" s="637"/>
      <c r="F29" s="637"/>
      <c r="G29" s="637"/>
      <c r="H29" s="637"/>
      <c r="I29" s="421">
        <f>I19</f>
        <v>24.82</v>
      </c>
    </row>
    <row r="30" spans="1:9" x14ac:dyDescent="0.25">
      <c r="A30" s="637" t="s">
        <v>573</v>
      </c>
      <c r="B30" s="637"/>
      <c r="C30" s="637"/>
      <c r="D30" s="637"/>
      <c r="E30" s="637"/>
      <c r="F30" s="637"/>
      <c r="G30" s="637"/>
      <c r="H30" s="637"/>
      <c r="I30" s="421">
        <f>I25</f>
        <v>0</v>
      </c>
    </row>
    <row r="31" spans="1:9" x14ac:dyDescent="0.25">
      <c r="A31" s="637" t="s">
        <v>761</v>
      </c>
      <c r="B31" s="637"/>
      <c r="C31" s="637"/>
      <c r="D31" s="637"/>
      <c r="E31" s="637"/>
      <c r="F31" s="637"/>
      <c r="G31" s="637"/>
      <c r="H31" s="637"/>
      <c r="I31" s="422">
        <f>SUM(I28:I30)</f>
        <v>35.67625118978259</v>
      </c>
    </row>
  </sheetData>
  <mergeCells count="27">
    <mergeCell ref="A27:I27"/>
    <mergeCell ref="A28:H28"/>
    <mergeCell ref="A29:H29"/>
    <mergeCell ref="A30:H30"/>
    <mergeCell ref="A31:H31"/>
    <mergeCell ref="A26:I26"/>
    <mergeCell ref="C16:E16"/>
    <mergeCell ref="C17:E17"/>
    <mergeCell ref="C18:E18"/>
    <mergeCell ref="A19:H19"/>
    <mergeCell ref="A21:I21"/>
    <mergeCell ref="C22:E22"/>
    <mergeCell ref="C23:E23"/>
    <mergeCell ref="C24:E24"/>
    <mergeCell ref="A25:H25"/>
    <mergeCell ref="A15:I15"/>
    <mergeCell ref="A1:H4"/>
    <mergeCell ref="I1:I2"/>
    <mergeCell ref="A5:H6"/>
    <mergeCell ref="I5:I6"/>
    <mergeCell ref="A7:I7"/>
    <mergeCell ref="A8:I8"/>
    <mergeCell ref="C9:E9"/>
    <mergeCell ref="C10:D10"/>
    <mergeCell ref="C11:D11"/>
    <mergeCell ref="C12:D12"/>
    <mergeCell ref="A13:H13"/>
  </mergeCells>
  <pageMargins left="0.511811024" right="0.511811024" top="0.78740157499999996" bottom="0.78740157499999996" header="0.31496062000000002" footer="0.31496062000000002"/>
  <pageSetup paperSize="9" scale="78"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9"/>
  <sheetViews>
    <sheetView view="pageBreakPreview" zoomScale="60" zoomScaleNormal="100" workbookViewId="0">
      <selection activeCell="B9" sqref="B9"/>
    </sheetView>
  </sheetViews>
  <sheetFormatPr defaultRowHeight="21" x14ac:dyDescent="0.35"/>
  <cols>
    <col min="1" max="1" width="14.85546875" style="311" bestFit="1" customWidth="1"/>
    <col min="2" max="2" width="26.140625" style="311" bestFit="1" customWidth="1"/>
    <col min="3" max="3" width="39.140625" style="311" bestFit="1" customWidth="1"/>
    <col min="4" max="4" width="26.140625" style="311" bestFit="1" customWidth="1"/>
    <col min="5" max="5" width="34.140625" style="311" bestFit="1" customWidth="1"/>
    <col min="6" max="6" width="16.140625" style="311" bestFit="1" customWidth="1"/>
    <col min="7" max="7" width="17" style="311" bestFit="1" customWidth="1"/>
    <col min="8" max="8" width="26.140625" style="311" bestFit="1" customWidth="1"/>
    <col min="9" max="9" width="49" style="311" bestFit="1" customWidth="1"/>
    <col min="10" max="10" width="16.140625" style="311" bestFit="1" customWidth="1"/>
    <col min="11" max="11" width="17" style="311" bestFit="1" customWidth="1"/>
    <col min="12" max="12" width="26.140625" style="311" bestFit="1" customWidth="1"/>
    <col min="13" max="13" width="41.85546875" style="311" bestFit="1" customWidth="1"/>
    <col min="14" max="14" width="14" style="311" bestFit="1" customWidth="1"/>
    <col min="15" max="15" width="17" style="311" bestFit="1" customWidth="1"/>
    <col min="16" max="16" width="16.140625" style="311" bestFit="1" customWidth="1"/>
    <col min="17" max="17" width="36.85546875" style="311" bestFit="1" customWidth="1"/>
    <col min="18" max="16384" width="9.140625" style="311"/>
  </cols>
  <sheetData>
    <row r="1" spans="1:17" ht="26.25" customHeight="1" x14ac:dyDescent="0.35">
      <c r="A1" s="685"/>
      <c r="B1" s="688" t="s">
        <v>0</v>
      </c>
      <c r="C1" s="688"/>
      <c r="D1" s="688"/>
      <c r="E1" s="688"/>
      <c r="F1" s="688"/>
      <c r="G1" s="688"/>
      <c r="H1" s="688"/>
      <c r="I1" s="688"/>
      <c r="J1" s="688"/>
      <c r="K1" s="688"/>
      <c r="L1" s="688"/>
      <c r="M1" s="688"/>
      <c r="N1" s="688"/>
      <c r="O1" s="688"/>
      <c r="P1" s="688"/>
      <c r="Q1" s="688"/>
    </row>
    <row r="2" spans="1:17" ht="26.25" customHeight="1" x14ac:dyDescent="0.35">
      <c r="A2" s="686"/>
      <c r="B2" s="689" t="s">
        <v>582</v>
      </c>
      <c r="C2" s="690"/>
      <c r="D2" s="690"/>
      <c r="E2" s="690"/>
      <c r="F2" s="690"/>
      <c r="G2" s="690"/>
      <c r="H2" s="690"/>
      <c r="I2" s="690"/>
      <c r="J2" s="690"/>
      <c r="K2" s="690"/>
      <c r="L2" s="690"/>
      <c r="M2" s="690"/>
      <c r="N2" s="690"/>
      <c r="O2" s="690"/>
      <c r="P2" s="690"/>
      <c r="Q2" s="691"/>
    </row>
    <row r="3" spans="1:17" ht="26.25" customHeight="1" x14ac:dyDescent="0.35">
      <c r="A3" s="686"/>
      <c r="B3" s="689" t="s">
        <v>2</v>
      </c>
      <c r="C3" s="690"/>
      <c r="D3" s="690"/>
      <c r="E3" s="690"/>
      <c r="F3" s="690"/>
      <c r="G3" s="690"/>
      <c r="H3" s="690"/>
      <c r="I3" s="690"/>
      <c r="J3" s="690"/>
      <c r="K3" s="690"/>
      <c r="L3" s="690"/>
      <c r="M3" s="690"/>
      <c r="N3" s="690"/>
      <c r="O3" s="690"/>
      <c r="P3" s="690"/>
      <c r="Q3" s="691"/>
    </row>
    <row r="4" spans="1:17" ht="26.25" customHeight="1" x14ac:dyDescent="0.35">
      <c r="A4" s="686"/>
      <c r="B4" s="689" t="s">
        <v>611</v>
      </c>
      <c r="C4" s="690"/>
      <c r="D4" s="690"/>
      <c r="E4" s="690"/>
      <c r="F4" s="690"/>
      <c r="G4" s="690"/>
      <c r="H4" s="690"/>
      <c r="I4" s="690"/>
      <c r="J4" s="690"/>
      <c r="K4" s="690"/>
      <c r="L4" s="690"/>
      <c r="M4" s="690"/>
      <c r="N4" s="690"/>
      <c r="O4" s="690"/>
      <c r="P4" s="690"/>
      <c r="Q4" s="691"/>
    </row>
    <row r="5" spans="1:17" ht="26.25" customHeight="1" x14ac:dyDescent="0.35">
      <c r="A5" s="687"/>
      <c r="B5" s="689" t="s">
        <v>583</v>
      </c>
      <c r="C5" s="690"/>
      <c r="D5" s="690"/>
      <c r="E5" s="690"/>
      <c r="F5" s="690"/>
      <c r="G5" s="690"/>
      <c r="H5" s="690"/>
      <c r="I5" s="690"/>
      <c r="J5" s="690"/>
      <c r="K5" s="690"/>
      <c r="L5" s="690"/>
      <c r="M5" s="690"/>
      <c r="N5" s="690"/>
      <c r="O5" s="690"/>
      <c r="P5" s="690"/>
      <c r="Q5" s="691"/>
    </row>
    <row r="6" spans="1:17" x14ac:dyDescent="0.35">
      <c r="A6" s="693" t="s">
        <v>584</v>
      </c>
      <c r="B6" s="694" t="s">
        <v>585</v>
      </c>
      <c r="C6" s="695" t="s">
        <v>552</v>
      </c>
      <c r="D6" s="696" t="s">
        <v>586</v>
      </c>
      <c r="E6" s="696" t="s">
        <v>587</v>
      </c>
      <c r="F6" s="698" t="s">
        <v>588</v>
      </c>
      <c r="G6" s="699" t="s">
        <v>589</v>
      </c>
      <c r="H6" s="700" t="s">
        <v>590</v>
      </c>
      <c r="I6" s="702" t="s">
        <v>587</v>
      </c>
      <c r="J6" s="703" t="s">
        <v>588</v>
      </c>
      <c r="K6" s="705" t="s">
        <v>591</v>
      </c>
      <c r="L6" s="692" t="s">
        <v>592</v>
      </c>
      <c r="M6" s="692" t="s">
        <v>587</v>
      </c>
      <c r="N6" s="707" t="s">
        <v>588</v>
      </c>
      <c r="O6" s="708" t="s">
        <v>591</v>
      </c>
      <c r="P6" s="710" t="s">
        <v>593</v>
      </c>
      <c r="Q6" s="710" t="s">
        <v>594</v>
      </c>
    </row>
    <row r="7" spans="1:17" x14ac:dyDescent="0.35">
      <c r="A7" s="693"/>
      <c r="B7" s="695"/>
      <c r="C7" s="693"/>
      <c r="D7" s="696"/>
      <c r="E7" s="697"/>
      <c r="F7" s="698"/>
      <c r="G7" s="699"/>
      <c r="H7" s="701"/>
      <c r="I7" s="700"/>
      <c r="J7" s="704"/>
      <c r="K7" s="705"/>
      <c r="L7" s="692"/>
      <c r="M7" s="706"/>
      <c r="N7" s="706"/>
      <c r="O7" s="709"/>
      <c r="P7" s="711"/>
      <c r="Q7" s="711"/>
    </row>
    <row r="8" spans="1:17" ht="238.5" customHeight="1" x14ac:dyDescent="0.35">
      <c r="A8" s="312">
        <v>1</v>
      </c>
      <c r="B8" s="312" t="s">
        <v>354</v>
      </c>
      <c r="C8" s="313" t="s">
        <v>581</v>
      </c>
      <c r="D8" s="313" t="s">
        <v>612</v>
      </c>
      <c r="E8" s="319" t="s">
        <v>595</v>
      </c>
      <c r="F8" s="314">
        <v>59.9</v>
      </c>
      <c r="G8" s="315">
        <v>44543</v>
      </c>
      <c r="H8" s="316" t="s">
        <v>596</v>
      </c>
      <c r="I8" s="319" t="s">
        <v>597</v>
      </c>
      <c r="J8" s="314">
        <v>79.8</v>
      </c>
      <c r="K8" s="315">
        <v>44543</v>
      </c>
      <c r="L8" s="316" t="s">
        <v>598</v>
      </c>
      <c r="M8" s="319" t="s">
        <v>599</v>
      </c>
      <c r="N8" s="317">
        <v>70.739999999999995</v>
      </c>
      <c r="O8" s="315">
        <v>44543</v>
      </c>
      <c r="P8" s="318">
        <f>(F8+J8+N8)/3</f>
        <v>70.146666666666661</v>
      </c>
      <c r="Q8" s="313" t="s">
        <v>600</v>
      </c>
    </row>
    <row r="9" spans="1:17" ht="333" customHeight="1" x14ac:dyDescent="0.35">
      <c r="A9" s="312">
        <v>2</v>
      </c>
      <c r="B9" s="312" t="str">
        <f>'PLANILHA ORÇAMENTÁRIA'!A176</f>
        <v>18.1.4</v>
      </c>
      <c r="C9" s="439" t="s">
        <v>774</v>
      </c>
      <c r="D9" s="439" t="s">
        <v>776</v>
      </c>
      <c r="E9" s="440" t="s">
        <v>780</v>
      </c>
      <c r="F9" s="441">
        <v>58.7</v>
      </c>
      <c r="G9" s="442">
        <v>44552</v>
      </c>
      <c r="H9" s="443" t="s">
        <v>777</v>
      </c>
      <c r="I9" s="440" t="s">
        <v>778</v>
      </c>
      <c r="J9" s="441">
        <v>45.9</v>
      </c>
      <c r="K9" s="442">
        <v>44552</v>
      </c>
      <c r="L9" s="439" t="s">
        <v>779</v>
      </c>
      <c r="M9" s="440" t="s">
        <v>781</v>
      </c>
      <c r="N9" s="444">
        <v>46.5</v>
      </c>
      <c r="O9" s="442">
        <v>44552</v>
      </c>
      <c r="P9" s="445">
        <f t="shared" ref="P9" si="0">(F9+J9+N9)/3</f>
        <v>50.366666666666667</v>
      </c>
      <c r="Q9" s="439" t="s">
        <v>600</v>
      </c>
    </row>
  </sheetData>
  <mergeCells count="23">
    <mergeCell ref="M6:M7"/>
    <mergeCell ref="N6:N7"/>
    <mergeCell ref="O6:O7"/>
    <mergeCell ref="P6:P7"/>
    <mergeCell ref="Q6:Q7"/>
    <mergeCell ref="L6:L7"/>
    <mergeCell ref="A6:A7"/>
    <mergeCell ref="B6:B7"/>
    <mergeCell ref="C6:C7"/>
    <mergeCell ref="D6:D7"/>
    <mergeCell ref="E6:E7"/>
    <mergeCell ref="F6:F7"/>
    <mergeCell ref="G6:G7"/>
    <mergeCell ref="H6:H7"/>
    <mergeCell ref="I6:I7"/>
    <mergeCell ref="J6:J7"/>
    <mergeCell ref="K6:K7"/>
    <mergeCell ref="A1:A5"/>
    <mergeCell ref="B1:Q1"/>
    <mergeCell ref="B2:Q2"/>
    <mergeCell ref="B3:Q3"/>
    <mergeCell ref="B4:Q4"/>
    <mergeCell ref="B5:Q5"/>
  </mergeCells>
  <hyperlinks>
    <hyperlink ref="E8" r:id="rId1"/>
    <hyperlink ref="I8" r:id="rId2"/>
    <hyperlink ref="M8" r:id="rId3"/>
    <hyperlink ref="E9" display="https://www.americanas.com.br/produto/1685126465?pfm_carac=dispenser-p%252Fpapel-toalha-velox-premisse-branco&amp;pfm_page=search&amp;pfm_pos=grid&amp;pfm_type=search_page&amp;offerId=6081d5000c070442667b066f&amp;buyboxToken=smartbuybox-acom-v2-f63a070c-8d02-4ec5-89d2-190227"/>
    <hyperlink ref="I9" r:id="rId4"/>
    <hyperlink ref="M9" r:id="rId5"/>
  </hyperlinks>
  <pageMargins left="0.7" right="0.7" top="0.75" bottom="0.75" header="0.3" footer="0.3"/>
  <pageSetup paperSize="9" scale="30" orientation="landscape" r:id="rId6"/>
  <drawing r:id="rId7"/>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46"/>
  <sheetViews>
    <sheetView tabSelected="1" view="pageBreakPreview" topLeftCell="B13" zoomScale="60" zoomScaleNormal="70" workbookViewId="0">
      <selection activeCell="B4" sqref="B4:J4"/>
    </sheetView>
  </sheetViews>
  <sheetFormatPr defaultRowHeight="15" x14ac:dyDescent="0.25"/>
  <cols>
    <col min="1" max="1" width="16.140625" style="232" customWidth="1"/>
    <col min="2" max="2" width="59.5703125" style="232" customWidth="1"/>
    <col min="3" max="4" width="26.85546875" style="232" customWidth="1"/>
    <col min="5" max="5" width="27.42578125" style="232" customWidth="1"/>
    <col min="6" max="7" width="26.42578125" style="232" bestFit="1" customWidth="1"/>
    <col min="8" max="8" width="27" style="232" bestFit="1" customWidth="1"/>
    <col min="9" max="9" width="27.85546875" style="232" bestFit="1" customWidth="1"/>
    <col min="10" max="10" width="30.7109375" style="232" bestFit="1" customWidth="1"/>
    <col min="11" max="16384" width="9.140625" style="232"/>
  </cols>
  <sheetData>
    <row r="1" spans="1:10" ht="29.25" customHeight="1" x14ac:dyDescent="0.25">
      <c r="A1" s="724" t="s">
        <v>601</v>
      </c>
      <c r="B1" s="721" t="s">
        <v>0</v>
      </c>
      <c r="C1" s="722"/>
      <c r="D1" s="722"/>
      <c r="E1" s="722"/>
      <c r="F1" s="722"/>
      <c r="G1" s="722"/>
      <c r="H1" s="722"/>
      <c r="I1" s="722"/>
      <c r="J1" s="723"/>
    </row>
    <row r="2" spans="1:10" ht="29.25" customHeight="1" x14ac:dyDescent="0.25">
      <c r="A2" s="724"/>
      <c r="B2" s="718" t="s">
        <v>602</v>
      </c>
      <c r="C2" s="719"/>
      <c r="D2" s="719"/>
      <c r="E2" s="719"/>
      <c r="F2" s="719"/>
      <c r="G2" s="719"/>
      <c r="H2" s="719"/>
      <c r="I2" s="719"/>
      <c r="J2" s="720"/>
    </row>
    <row r="3" spans="1:10" ht="27" customHeight="1" x14ac:dyDescent="0.25">
      <c r="A3" s="724"/>
      <c r="B3" s="715" t="s">
        <v>2</v>
      </c>
      <c r="C3" s="716"/>
      <c r="D3" s="716"/>
      <c r="E3" s="716"/>
      <c r="F3" s="716"/>
      <c r="G3" s="716"/>
      <c r="H3" s="716"/>
      <c r="I3" s="716"/>
      <c r="J3" s="717"/>
    </row>
    <row r="4" spans="1:10" ht="29.25" customHeight="1" x14ac:dyDescent="0.25">
      <c r="A4" s="725"/>
      <c r="B4" s="712" t="s">
        <v>5</v>
      </c>
      <c r="C4" s="713"/>
      <c r="D4" s="713"/>
      <c r="E4" s="713"/>
      <c r="F4" s="713"/>
      <c r="G4" s="713"/>
      <c r="H4" s="713"/>
      <c r="I4" s="713"/>
      <c r="J4" s="714"/>
    </row>
    <row r="5" spans="1:10" ht="23.25" x14ac:dyDescent="0.25">
      <c r="A5" s="734" t="s">
        <v>10</v>
      </c>
      <c r="B5" s="736" t="s">
        <v>552</v>
      </c>
      <c r="C5" s="737"/>
      <c r="D5" s="740" t="s">
        <v>603</v>
      </c>
      <c r="E5" s="739" t="s">
        <v>604</v>
      </c>
      <c r="F5" s="739"/>
      <c r="G5" s="739"/>
      <c r="H5" s="739"/>
      <c r="I5" s="739"/>
      <c r="J5" s="742"/>
    </row>
    <row r="6" spans="1:10" ht="23.25" x14ac:dyDescent="0.25">
      <c r="A6" s="735"/>
      <c r="B6" s="738"/>
      <c r="C6" s="739"/>
      <c r="D6" s="741"/>
      <c r="E6" s="253">
        <v>1</v>
      </c>
      <c r="F6" s="253">
        <v>2</v>
      </c>
      <c r="G6" s="253">
        <v>3</v>
      </c>
      <c r="H6" s="253">
        <v>4</v>
      </c>
      <c r="I6" s="253">
        <v>5</v>
      </c>
      <c r="J6" s="253">
        <v>6</v>
      </c>
    </row>
    <row r="7" spans="1:10" ht="23.25" x14ac:dyDescent="0.25">
      <c r="A7" s="730">
        <v>1</v>
      </c>
      <c r="B7" s="732" t="str">
        <f>'PLANILHA ORÇAMENTÁRIA'!D8</f>
        <v>SERVIÇOS PRELIMINARES</v>
      </c>
      <c r="C7" s="254" t="s">
        <v>605</v>
      </c>
      <c r="D7" s="308">
        <f>'PLANILHA ORÇAMENTÁRIA'!I27</f>
        <v>11591.91</v>
      </c>
      <c r="E7" s="258">
        <f>D7/1</f>
        <v>11591.91</v>
      </c>
      <c r="F7" s="258"/>
      <c r="G7" s="254"/>
      <c r="H7" s="254"/>
      <c r="I7" s="254"/>
      <c r="J7" s="254"/>
    </row>
    <row r="8" spans="1:10" ht="23.25" x14ac:dyDescent="0.25">
      <c r="A8" s="731"/>
      <c r="B8" s="733"/>
      <c r="C8" s="254" t="s">
        <v>606</v>
      </c>
      <c r="D8" s="256">
        <f>D7/$D$45</f>
        <v>4.5181513227622122E-2</v>
      </c>
      <c r="E8" s="256">
        <f>E7/D7</f>
        <v>1</v>
      </c>
      <c r="F8" s="256"/>
      <c r="G8" s="257"/>
      <c r="H8" s="257"/>
      <c r="I8" s="257"/>
      <c r="J8" s="257"/>
    </row>
    <row r="9" spans="1:10" ht="23.25" x14ac:dyDescent="0.25">
      <c r="A9" s="726">
        <v>2</v>
      </c>
      <c r="B9" s="728" t="str">
        <f>'PLANILHA ORÇAMENTÁRIA'!D28</f>
        <v>INSTALAÇÃO DO CANTEIRO DE OBRAS</v>
      </c>
      <c r="C9" s="234" t="s">
        <v>605</v>
      </c>
      <c r="D9" s="309">
        <f>'PLANILHA ORÇAMENTÁRIA'!I33</f>
        <v>9254.68</v>
      </c>
      <c r="E9" s="259">
        <f>D9*0.7</f>
        <v>6478.2759999999998</v>
      </c>
      <c r="F9" s="259">
        <f>D9*0.3</f>
        <v>2776.404</v>
      </c>
      <c r="G9" s="259"/>
      <c r="H9" s="259"/>
      <c r="I9" s="259"/>
      <c r="J9" s="259"/>
    </row>
    <row r="10" spans="1:10" ht="23.25" x14ac:dyDescent="0.25">
      <c r="A10" s="727"/>
      <c r="B10" s="729"/>
      <c r="C10" s="234" t="s">
        <v>606</v>
      </c>
      <c r="D10" s="236">
        <f>D9/$D$45</f>
        <v>3.6071747178628016E-2</v>
      </c>
      <c r="E10" s="236">
        <v>0.7</v>
      </c>
      <c r="F10" s="236">
        <v>0.3</v>
      </c>
      <c r="G10" s="236"/>
      <c r="H10" s="236"/>
      <c r="I10" s="236"/>
      <c r="J10" s="236"/>
    </row>
    <row r="11" spans="1:10" ht="23.25" x14ac:dyDescent="0.25">
      <c r="A11" s="730">
        <v>3</v>
      </c>
      <c r="B11" s="732" t="str">
        <f>'PLANILHA ORÇAMENTÁRIA'!D34</f>
        <v>MOVIMENTO DE TERRA</v>
      </c>
      <c r="C11" s="254" t="s">
        <v>605</v>
      </c>
      <c r="D11" s="308">
        <f>'PLANILHA ORÇAMENTÁRIA'!I41</f>
        <v>2215.7399999999998</v>
      </c>
      <c r="E11" s="255"/>
      <c r="F11" s="258">
        <f>D11/1</f>
        <v>2215.7399999999998</v>
      </c>
      <c r="G11" s="255"/>
      <c r="H11" s="255"/>
      <c r="I11" s="255"/>
      <c r="J11" s="255"/>
    </row>
    <row r="12" spans="1:10" ht="23.25" x14ac:dyDescent="0.25">
      <c r="A12" s="731"/>
      <c r="B12" s="733"/>
      <c r="C12" s="254" t="s">
        <v>606</v>
      </c>
      <c r="D12" s="256">
        <f>D11/$D$45</f>
        <v>8.6362373516505418E-3</v>
      </c>
      <c r="E12" s="256"/>
      <c r="F12" s="256">
        <f>F11/D11</f>
        <v>1</v>
      </c>
      <c r="G12" s="256"/>
      <c r="H12" s="256"/>
      <c r="I12" s="256"/>
      <c r="J12" s="256"/>
    </row>
    <row r="13" spans="1:10" ht="23.25" x14ac:dyDescent="0.25">
      <c r="A13" s="726">
        <v>4</v>
      </c>
      <c r="B13" s="728" t="str">
        <f>'PLANILHA ORÇAMENTÁRIA'!D42</f>
        <v>ESTRUTURAS</v>
      </c>
      <c r="C13" s="234" t="s">
        <v>605</v>
      </c>
      <c r="D13" s="309">
        <f>'PLANILHA ORÇAMENTÁRIA'!I57</f>
        <v>18233.690000000002</v>
      </c>
      <c r="E13" s="235"/>
      <c r="F13" s="259">
        <f>D13*0.35</f>
        <v>6381.7915000000003</v>
      </c>
      <c r="G13" s="259">
        <f>D13*0.65</f>
        <v>11851.898500000001</v>
      </c>
      <c r="H13" s="259"/>
      <c r="I13" s="235"/>
      <c r="J13" s="235"/>
    </row>
    <row r="14" spans="1:10" ht="23.25" x14ac:dyDescent="0.25">
      <c r="A14" s="727"/>
      <c r="B14" s="729"/>
      <c r="C14" s="234" t="s">
        <v>606</v>
      </c>
      <c r="D14" s="236">
        <f>D13/$D$45</f>
        <v>7.1069021923338027E-2</v>
      </c>
      <c r="E14" s="236"/>
      <c r="F14" s="236">
        <v>0.35</v>
      </c>
      <c r="G14" s="236">
        <f>G13/D13</f>
        <v>0.65</v>
      </c>
      <c r="H14" s="236"/>
      <c r="I14" s="236"/>
      <c r="J14" s="236"/>
    </row>
    <row r="15" spans="1:10" ht="23.25" x14ac:dyDescent="0.25">
      <c r="A15" s="730">
        <v>5</v>
      </c>
      <c r="B15" s="732" t="str">
        <f>'PLANILHA ORÇAMENTÁRIA'!D58</f>
        <v>PAREDES E PAINÉIS</v>
      </c>
      <c r="C15" s="254" t="s">
        <v>605</v>
      </c>
      <c r="D15" s="308">
        <f>'PLANILHA ORÇAMENTÁRIA'!I61</f>
        <v>7747.95</v>
      </c>
      <c r="E15" s="258"/>
      <c r="F15" s="258"/>
      <c r="G15" s="258">
        <f>D15/2</f>
        <v>3873.9749999999999</v>
      </c>
      <c r="H15" s="258">
        <f>D15/2</f>
        <v>3873.9749999999999</v>
      </c>
      <c r="I15" s="258"/>
      <c r="J15" s="258"/>
    </row>
    <row r="16" spans="1:10" ht="23.25" x14ac:dyDescent="0.25">
      <c r="A16" s="731"/>
      <c r="B16" s="733"/>
      <c r="C16" s="254" t="s">
        <v>606</v>
      </c>
      <c r="D16" s="256">
        <f>D15/$D$45</f>
        <v>3.0199001321780002E-2</v>
      </c>
      <c r="E16" s="256"/>
      <c r="F16" s="256"/>
      <c r="G16" s="256">
        <f>G15/D15</f>
        <v>0.5</v>
      </c>
      <c r="H16" s="256">
        <f>H15/D15</f>
        <v>0.5</v>
      </c>
      <c r="I16" s="256"/>
      <c r="J16" s="256"/>
    </row>
    <row r="17" spans="1:10" ht="23.25" x14ac:dyDescent="0.25">
      <c r="A17" s="726">
        <v>6</v>
      </c>
      <c r="B17" s="728" t="str">
        <f>'PLANILHA ORÇAMENTÁRIA'!D62</f>
        <v>ESQUADRIAS METÁLICAS</v>
      </c>
      <c r="C17" s="234" t="s">
        <v>605</v>
      </c>
      <c r="D17" s="309">
        <f>'PLANILHA ORÇAMENTÁRIA'!I68</f>
        <v>15547.72</v>
      </c>
      <c r="E17" s="235"/>
      <c r="F17" s="235"/>
      <c r="G17" s="235"/>
      <c r="H17" s="235"/>
      <c r="I17" s="259">
        <f>D17/1</f>
        <v>15547.72</v>
      </c>
      <c r="J17" s="235"/>
    </row>
    <row r="18" spans="1:10" ht="23.25" x14ac:dyDescent="0.25">
      <c r="A18" s="727"/>
      <c r="B18" s="729"/>
      <c r="C18" s="234" t="s">
        <v>606</v>
      </c>
      <c r="D18" s="236">
        <f>D17/$D$45</f>
        <v>6.0599980230985659E-2</v>
      </c>
      <c r="E18" s="236"/>
      <c r="F18" s="236"/>
      <c r="G18" s="236"/>
      <c r="H18" s="236"/>
      <c r="I18" s="236">
        <f>I17/D17</f>
        <v>1</v>
      </c>
      <c r="J18" s="236"/>
    </row>
    <row r="19" spans="1:10" ht="23.25" x14ac:dyDescent="0.25">
      <c r="A19" s="730">
        <v>7</v>
      </c>
      <c r="B19" s="732" t="str">
        <f>'PLANILHA ORÇAMENTÁRIA'!D69</f>
        <v>VIDROS E ESPELHOS</v>
      </c>
      <c r="C19" s="254" t="s">
        <v>605</v>
      </c>
      <c r="D19" s="308">
        <f>'PLANILHA ORÇAMENTÁRIA'!I72</f>
        <v>634.11</v>
      </c>
      <c r="E19" s="255"/>
      <c r="F19" s="255"/>
      <c r="G19" s="255"/>
      <c r="H19" s="255"/>
      <c r="I19" s="301">
        <f>D19</f>
        <v>634.11</v>
      </c>
      <c r="J19" s="255"/>
    </row>
    <row r="20" spans="1:10" ht="23.25" x14ac:dyDescent="0.25">
      <c r="A20" s="731"/>
      <c r="B20" s="733"/>
      <c r="C20" s="254" t="s">
        <v>606</v>
      </c>
      <c r="D20" s="310">
        <f>D19/$D$45</f>
        <v>2.4715555376782139E-3</v>
      </c>
      <c r="E20" s="256"/>
      <c r="F20" s="256"/>
      <c r="G20" s="256"/>
      <c r="H20" s="256"/>
      <c r="I20" s="256">
        <f>I19/D19</f>
        <v>1</v>
      </c>
      <c r="J20" s="256"/>
    </row>
    <row r="21" spans="1:10" ht="23.25" x14ac:dyDescent="0.25">
      <c r="A21" s="726">
        <v>8</v>
      </c>
      <c r="B21" s="728" t="str">
        <f>'PLANILHA ORÇAMENTÁRIA'!D73</f>
        <v>COBERTURA</v>
      </c>
      <c r="C21" s="234" t="s">
        <v>605</v>
      </c>
      <c r="D21" s="309">
        <f>'PLANILHA ORÇAMENTÁRIA'!I80</f>
        <v>18927.36</v>
      </c>
      <c r="E21" s="259"/>
      <c r="F21" s="259">
        <f>D21/2</f>
        <v>9463.68</v>
      </c>
      <c r="G21" s="259">
        <f>D21/2</f>
        <v>9463.68</v>
      </c>
      <c r="H21" s="259"/>
      <c r="I21" s="259"/>
      <c r="J21" s="259"/>
    </row>
    <row r="22" spans="1:10" ht="23.25" x14ac:dyDescent="0.25">
      <c r="A22" s="727"/>
      <c r="B22" s="729"/>
      <c r="C22" s="234" t="s">
        <v>606</v>
      </c>
      <c r="D22" s="236">
        <f>D21/$D$45</f>
        <v>7.3772723063236845E-2</v>
      </c>
      <c r="E22" s="236"/>
      <c r="F22" s="236">
        <f>F21/D21</f>
        <v>0.5</v>
      </c>
      <c r="G22" s="236">
        <f>G21/D21</f>
        <v>0.5</v>
      </c>
      <c r="H22" s="236"/>
      <c r="I22" s="236"/>
      <c r="J22" s="236"/>
    </row>
    <row r="23" spans="1:10" ht="23.25" x14ac:dyDescent="0.25">
      <c r="A23" s="730">
        <v>9</v>
      </c>
      <c r="B23" s="732" t="str">
        <f>'PLANILHA ORÇAMENTÁRIA'!D81</f>
        <v>IMPERMEABILIZAÇÃO</v>
      </c>
      <c r="C23" s="254" t="s">
        <v>605</v>
      </c>
      <c r="D23" s="308">
        <f>'PLANILHA ORÇAMENTÁRIA'!I84</f>
        <v>1149.82</v>
      </c>
      <c r="E23" s="258"/>
      <c r="F23" s="258">
        <f>D23/2</f>
        <v>574.91</v>
      </c>
      <c r="G23" s="258">
        <f>D23/2</f>
        <v>574.91</v>
      </c>
      <c r="H23" s="258"/>
      <c r="I23" s="258"/>
      <c r="J23" s="258"/>
    </row>
    <row r="24" spans="1:10" ht="23.25" x14ac:dyDescent="0.25">
      <c r="A24" s="731"/>
      <c r="B24" s="733"/>
      <c r="C24" s="254" t="s">
        <v>606</v>
      </c>
      <c r="D24" s="256">
        <f>D23/$D$45</f>
        <v>4.4816261978728672E-3</v>
      </c>
      <c r="E24" s="256"/>
      <c r="F24" s="256">
        <f>F23/D23</f>
        <v>0.5</v>
      </c>
      <c r="G24" s="256">
        <f>G23/D23</f>
        <v>0.5</v>
      </c>
      <c r="H24" s="256"/>
      <c r="I24" s="256"/>
      <c r="J24" s="256"/>
    </row>
    <row r="25" spans="1:10" ht="23.25" x14ac:dyDescent="0.25">
      <c r="A25" s="726">
        <v>10</v>
      </c>
      <c r="B25" s="728" t="str">
        <f>'PLANILHA ORÇAMENTÁRIA'!D85</f>
        <v>REVESTIMENTO DE PAREDES</v>
      </c>
      <c r="C25" s="234" t="s">
        <v>605</v>
      </c>
      <c r="D25" s="309">
        <f>'PLANILHA ORÇAMENTÁRIA'!I90</f>
        <v>18096.66</v>
      </c>
      <c r="E25" s="235"/>
      <c r="F25" s="235"/>
      <c r="G25" s="235"/>
      <c r="H25" s="259">
        <f>D25/1</f>
        <v>18096.66</v>
      </c>
      <c r="I25" s="235"/>
      <c r="J25" s="235"/>
    </row>
    <row r="26" spans="1:10" ht="23.25" x14ac:dyDescent="0.25">
      <c r="A26" s="727"/>
      <c r="B26" s="729"/>
      <c r="C26" s="234" t="s">
        <v>606</v>
      </c>
      <c r="D26" s="236">
        <f>D25/$D$45</f>
        <v>7.0534923335824742E-2</v>
      </c>
      <c r="E26" s="236"/>
      <c r="F26" s="236"/>
      <c r="G26" s="236"/>
      <c r="H26" s="236">
        <f>H25/D25</f>
        <v>1</v>
      </c>
      <c r="I26" s="236"/>
      <c r="J26" s="236"/>
    </row>
    <row r="27" spans="1:10" ht="23.25" x14ac:dyDescent="0.25">
      <c r="A27" s="730">
        <v>11</v>
      </c>
      <c r="B27" s="732" t="str">
        <f>'PLANILHA ORÇAMENTÁRIA'!D91</f>
        <v>PISOS INTERNOS E EXTERNOS</v>
      </c>
      <c r="C27" s="254" t="s">
        <v>605</v>
      </c>
      <c r="D27" s="308">
        <f>'PLANILHA ORÇAMENTÁRIA'!I95</f>
        <v>8483.8700000000008</v>
      </c>
      <c r="E27" s="257"/>
      <c r="F27" s="255"/>
      <c r="G27" s="255"/>
      <c r="H27" s="258">
        <f>D27/1</f>
        <v>8483.8700000000008</v>
      </c>
      <c r="I27" s="255"/>
      <c r="J27" s="255"/>
    </row>
    <row r="28" spans="1:10" ht="23.25" x14ac:dyDescent="0.25">
      <c r="A28" s="731"/>
      <c r="B28" s="733"/>
      <c r="C28" s="254" t="s">
        <v>606</v>
      </c>
      <c r="D28" s="256">
        <f>D27/$D$45</f>
        <v>3.306737928662546E-2</v>
      </c>
      <c r="E28" s="256"/>
      <c r="F28" s="256"/>
      <c r="G28" s="256"/>
      <c r="H28" s="256">
        <f>H27/D27</f>
        <v>1</v>
      </c>
      <c r="I28" s="256"/>
      <c r="J28" s="256"/>
    </row>
    <row r="29" spans="1:10" ht="23.25" x14ac:dyDescent="0.25">
      <c r="A29" s="726">
        <v>12</v>
      </c>
      <c r="B29" s="728" t="str">
        <f>'PLANILHA ORÇAMENTÁRIA'!D96</f>
        <v>INSTALAÇÕES HIDRO-SANITÁRIAS</v>
      </c>
      <c r="C29" s="234" t="s">
        <v>605</v>
      </c>
      <c r="D29" s="309">
        <f>'PLANILHA ORÇAMENTÁRIA'!I104</f>
        <v>764.37</v>
      </c>
      <c r="E29" s="237"/>
      <c r="F29" s="237"/>
      <c r="G29" s="259">
        <f>D29/1</f>
        <v>764.37</v>
      </c>
      <c r="H29" s="235"/>
      <c r="I29" s="235"/>
      <c r="J29" s="235"/>
    </row>
    <row r="30" spans="1:10" ht="23.25" x14ac:dyDescent="0.25">
      <c r="A30" s="727"/>
      <c r="B30" s="729"/>
      <c r="C30" s="234" t="s">
        <v>606</v>
      </c>
      <c r="D30" s="236">
        <f>D29/$D$45</f>
        <v>2.9792668564367322E-3</v>
      </c>
      <c r="E30" s="236"/>
      <c r="F30" s="236"/>
      <c r="G30" s="236">
        <f>G29/D29</f>
        <v>1</v>
      </c>
      <c r="H30" s="236"/>
      <c r="I30" s="236"/>
      <c r="J30" s="236"/>
    </row>
    <row r="31" spans="1:10" ht="23.25" x14ac:dyDescent="0.25">
      <c r="A31" s="730">
        <v>13</v>
      </c>
      <c r="B31" s="732" t="str">
        <f>'PLANILHA ORÇAMENTÁRIA'!D105</f>
        <v>INSTALAÇÕES ELÉTRICAS</v>
      </c>
      <c r="C31" s="254" t="s">
        <v>605</v>
      </c>
      <c r="D31" s="308">
        <f>'PLANILHA ORÇAMENTÁRIA'!I135</f>
        <v>15499.800000000003</v>
      </c>
      <c r="E31" s="258"/>
      <c r="F31" s="258">
        <f>D31/2</f>
        <v>7749.9000000000015</v>
      </c>
      <c r="G31" s="258">
        <f>D31/2</f>
        <v>7749.9000000000015</v>
      </c>
      <c r="H31" s="258"/>
      <c r="I31" s="258"/>
      <c r="J31" s="258"/>
    </row>
    <row r="32" spans="1:10" ht="23.25" x14ac:dyDescent="0.25">
      <c r="A32" s="731"/>
      <c r="B32" s="733"/>
      <c r="C32" s="254" t="s">
        <v>606</v>
      </c>
      <c r="D32" s="256">
        <f>D31/$D$45</f>
        <v>6.0413203581247396E-2</v>
      </c>
      <c r="E32" s="256"/>
      <c r="F32" s="256">
        <f>F31/D31</f>
        <v>0.5</v>
      </c>
      <c r="G32" s="256">
        <f>G31/D31</f>
        <v>0.5</v>
      </c>
      <c r="H32" s="256"/>
      <c r="I32" s="256"/>
      <c r="J32" s="256"/>
    </row>
    <row r="33" spans="1:10" ht="23.25" x14ac:dyDescent="0.25">
      <c r="A33" s="726">
        <v>14</v>
      </c>
      <c r="B33" s="728" t="str">
        <f>'PLANILHA ORÇAMENTÁRIA'!D136</f>
        <v>APARELHOS HIDRO-SANITÁRIOS</v>
      </c>
      <c r="C33" s="234" t="s">
        <v>605</v>
      </c>
      <c r="D33" s="309">
        <f>'PLANILHA ORÇAMENTÁRIA'!I142</f>
        <v>10462.189999999999</v>
      </c>
      <c r="E33" s="259"/>
      <c r="F33" s="259"/>
      <c r="G33" s="259">
        <f>D33/1</f>
        <v>10462.189999999999</v>
      </c>
      <c r="H33" s="259"/>
      <c r="I33" s="307"/>
      <c r="J33" s="259"/>
    </row>
    <row r="34" spans="1:10" ht="23.25" x14ac:dyDescent="0.25">
      <c r="A34" s="727"/>
      <c r="B34" s="729"/>
      <c r="C34" s="234" t="s">
        <v>606</v>
      </c>
      <c r="D34" s="236">
        <f>D33/$D$45</f>
        <v>4.0778230323984213E-2</v>
      </c>
      <c r="E34" s="236"/>
      <c r="F34" s="236"/>
      <c r="G34" s="236">
        <f>G33/D33</f>
        <v>1</v>
      </c>
      <c r="H34" s="236"/>
      <c r="I34" s="307"/>
      <c r="J34" s="236"/>
    </row>
    <row r="35" spans="1:10" ht="23.25" x14ac:dyDescent="0.25">
      <c r="A35" s="730">
        <v>15</v>
      </c>
      <c r="B35" s="732" t="str">
        <f>'PLANILHA ORÇAMENTÁRIA'!D143</f>
        <v>APARELHOS ELÉTRICOS</v>
      </c>
      <c r="C35" s="254" t="s">
        <v>605</v>
      </c>
      <c r="D35" s="308">
        <f>'PLANILHA ORÇAMENTÁRIA'!I152</f>
        <v>3784.24</v>
      </c>
      <c r="E35" s="258"/>
      <c r="F35" s="258"/>
      <c r="G35" s="258"/>
      <c r="H35" s="258">
        <f>D35/1</f>
        <v>3784.24</v>
      </c>
      <c r="I35" s="258"/>
      <c r="J35" s="258"/>
    </row>
    <row r="36" spans="1:10" ht="23.25" x14ac:dyDescent="0.25">
      <c r="A36" s="731"/>
      <c r="B36" s="733"/>
      <c r="C36" s="254" t="s">
        <v>606</v>
      </c>
      <c r="D36" s="256">
        <f>D35/$D$45</f>
        <v>1.4749742675408689E-2</v>
      </c>
      <c r="E36" s="256"/>
      <c r="F36" s="256"/>
      <c r="G36" s="256"/>
      <c r="H36" s="256">
        <f>H35/D35</f>
        <v>1</v>
      </c>
      <c r="I36" s="256"/>
      <c r="J36" s="256"/>
    </row>
    <row r="37" spans="1:10" ht="23.25" x14ac:dyDescent="0.25">
      <c r="A37" s="726">
        <v>16</v>
      </c>
      <c r="B37" s="728" t="str">
        <f>'PLANILHA ORÇAMENTÁRIA'!D153</f>
        <v>PINTURA</v>
      </c>
      <c r="C37" s="234" t="s">
        <v>605</v>
      </c>
      <c r="D37" s="309">
        <f>'PLANILHA ORÇAMENTÁRIA'!I163</f>
        <v>93727.93</v>
      </c>
      <c r="E37" s="259"/>
      <c r="F37" s="259"/>
      <c r="G37" s="259"/>
      <c r="H37" s="259">
        <f>D37/3</f>
        <v>31242.64333333333</v>
      </c>
      <c r="I37" s="259">
        <f>D37/3</f>
        <v>31242.64333333333</v>
      </c>
      <c r="J37" s="259">
        <f>D37/3</f>
        <v>31242.64333333333</v>
      </c>
    </row>
    <row r="38" spans="1:10" ht="23.25" x14ac:dyDescent="0.25">
      <c r="A38" s="727"/>
      <c r="B38" s="729"/>
      <c r="C38" s="234" t="s">
        <v>606</v>
      </c>
      <c r="D38" s="236">
        <f>D37/$D$45</f>
        <v>0.36532113423004836</v>
      </c>
      <c r="E38" s="236"/>
      <c r="F38" s="236"/>
      <c r="G38" s="236"/>
      <c r="H38" s="236">
        <f>H37/D37</f>
        <v>0.33333333333333331</v>
      </c>
      <c r="I38" s="236">
        <f>I37/D37</f>
        <v>0.33333333333333331</v>
      </c>
      <c r="J38" s="236">
        <f>J37/D37</f>
        <v>0.33333333333333331</v>
      </c>
    </row>
    <row r="39" spans="1:10" ht="23.25" x14ac:dyDescent="0.25">
      <c r="A39" s="730">
        <v>17</v>
      </c>
      <c r="B39" s="732" t="str">
        <f>'PLANILHA ORÇAMENTÁRIA'!D164</f>
        <v>SERVIÇOS COMPLEMENTARES EXTERNOS</v>
      </c>
      <c r="C39" s="254" t="s">
        <v>605</v>
      </c>
      <c r="D39" s="308">
        <f>'PLANILHA ORÇAMENTÁRIA'!I170</f>
        <v>14076.310000000001</v>
      </c>
      <c r="E39" s="258"/>
      <c r="F39" s="258"/>
      <c r="G39" s="258"/>
      <c r="H39" s="258"/>
      <c r="I39" s="258">
        <f>D39/2</f>
        <v>7038.1550000000007</v>
      </c>
      <c r="J39" s="258">
        <f>D39/2</f>
        <v>7038.1550000000007</v>
      </c>
    </row>
    <row r="40" spans="1:10" ht="23.25" x14ac:dyDescent="0.25">
      <c r="A40" s="731"/>
      <c r="B40" s="733"/>
      <c r="C40" s="254" t="s">
        <v>606</v>
      </c>
      <c r="D40" s="256">
        <f>D39/$D$45</f>
        <v>5.4864900302116701E-2</v>
      </c>
      <c r="E40" s="256"/>
      <c r="F40" s="256"/>
      <c r="G40" s="256"/>
      <c r="H40" s="256"/>
      <c r="I40" s="256">
        <f>I39/D39</f>
        <v>0.5</v>
      </c>
      <c r="J40" s="256">
        <f>J39/D39</f>
        <v>0.5</v>
      </c>
    </row>
    <row r="41" spans="1:10" ht="27.75" customHeight="1" x14ac:dyDescent="0.25">
      <c r="A41" s="726">
        <v>18</v>
      </c>
      <c r="B41" s="728" t="str">
        <f>'PLANILHA ORÇAMENTÁRIA'!D171</f>
        <v>SERVIÇOS COMPLEMENTARES INTERNOS</v>
      </c>
      <c r="C41" s="234" t="s">
        <v>605</v>
      </c>
      <c r="D41" s="309">
        <f>'PLANILHA ORÇAMENTÁRIA'!I178</f>
        <v>6364.77</v>
      </c>
      <c r="E41" s="259"/>
      <c r="F41" s="259"/>
      <c r="G41" s="259"/>
      <c r="H41" s="259"/>
      <c r="I41" s="259"/>
      <c r="J41" s="259">
        <f>D41/1</f>
        <v>6364.77</v>
      </c>
    </row>
    <row r="42" spans="1:10" ht="27.75" customHeight="1" x14ac:dyDescent="0.25">
      <c r="A42" s="727"/>
      <c r="B42" s="729"/>
      <c r="C42" s="234" t="s">
        <v>606</v>
      </c>
      <c r="D42" s="236">
        <f>D41/$D$45</f>
        <v>2.4807813375515551E-2</v>
      </c>
      <c r="E42" s="236"/>
      <c r="F42" s="236"/>
      <c r="G42" s="236"/>
      <c r="H42" s="236"/>
      <c r="I42" s="236"/>
      <c r="J42" s="236">
        <f>J41/D41</f>
        <v>1</v>
      </c>
    </row>
    <row r="43" spans="1:10" ht="23.25" x14ac:dyDescent="0.25">
      <c r="A43" s="238" t="s">
        <v>601</v>
      </c>
      <c r="B43" s="239" t="s">
        <v>607</v>
      </c>
      <c r="C43" s="240" t="s">
        <v>601</v>
      </c>
      <c r="D43" s="241" t="s">
        <v>601</v>
      </c>
      <c r="E43" s="242">
        <f>E45/D45</f>
        <v>7.0431736252661734E-2</v>
      </c>
      <c r="F43" s="242">
        <f>F45/D45</f>
        <v>0.11366569559958581</v>
      </c>
      <c r="G43" s="242">
        <f>G45/D45</f>
        <v>0.17438563851265923</v>
      </c>
      <c r="H43" s="242">
        <f>H45/D45</f>
        <v>0.25522525736876495</v>
      </c>
      <c r="I43" s="242">
        <f>I45/D45</f>
        <v>0.21227769732973834</v>
      </c>
      <c r="J43" s="242">
        <f>J45/D45</f>
        <v>0.17401397493659002</v>
      </c>
    </row>
    <row r="44" spans="1:10" ht="23.25" x14ac:dyDescent="0.25">
      <c r="A44" s="238" t="s">
        <v>601</v>
      </c>
      <c r="B44" s="239" t="s">
        <v>608</v>
      </c>
      <c r="C44" s="241" t="s">
        <v>601</v>
      </c>
      <c r="D44" s="243" t="s">
        <v>601</v>
      </c>
      <c r="E44" s="242">
        <f>E43</f>
        <v>7.0431736252661734E-2</v>
      </c>
      <c r="F44" s="242">
        <f>F43+E44</f>
        <v>0.18409743185224753</v>
      </c>
      <c r="G44" s="242">
        <f>G43+F44</f>
        <v>0.35848307036490679</v>
      </c>
      <c r="H44" s="242">
        <f>H43+G44</f>
        <v>0.61370832773367168</v>
      </c>
      <c r="I44" s="242">
        <f>I43+H44</f>
        <v>0.82598602506341001</v>
      </c>
      <c r="J44" s="242">
        <f>J43+I44</f>
        <v>1</v>
      </c>
    </row>
    <row r="45" spans="1:10" ht="23.25" x14ac:dyDescent="0.25">
      <c r="A45" s="238" t="s">
        <v>601</v>
      </c>
      <c r="B45" s="239" t="s">
        <v>609</v>
      </c>
      <c r="C45" s="241" t="s">
        <v>601</v>
      </c>
      <c r="D45" s="303">
        <f t="shared" ref="D45:J45" si="0">D7+D9+D11+D13+D15+D17+D19+D21+D23+D25+D27+D29+D31+D33+D35+D37+D39+D41</f>
        <v>256563.11999999997</v>
      </c>
      <c r="E45" s="303">
        <f t="shared" si="0"/>
        <v>18070.186000000002</v>
      </c>
      <c r="F45" s="303">
        <f t="shared" si="0"/>
        <v>29162.425500000001</v>
      </c>
      <c r="G45" s="303">
        <f t="shared" si="0"/>
        <v>44740.923500000004</v>
      </c>
      <c r="H45" s="303">
        <f t="shared" si="0"/>
        <v>65481.388333333321</v>
      </c>
      <c r="I45" s="303">
        <f t="shared" si="0"/>
        <v>54462.628333333327</v>
      </c>
      <c r="J45" s="303">
        <f t="shared" si="0"/>
        <v>44645.568333333329</v>
      </c>
    </row>
    <row r="46" spans="1:10" ht="23.25" x14ac:dyDescent="0.25">
      <c r="A46" s="244" t="s">
        <v>601</v>
      </c>
      <c r="B46" s="245" t="s">
        <v>610</v>
      </c>
      <c r="C46" s="233" t="s">
        <v>601</v>
      </c>
      <c r="D46" s="233" t="s">
        <v>601</v>
      </c>
      <c r="E46" s="303">
        <f>E45</f>
        <v>18070.186000000002</v>
      </c>
      <c r="F46" s="303">
        <f>F45+E46</f>
        <v>47232.611499999999</v>
      </c>
      <c r="G46" s="303">
        <f>G45+F46</f>
        <v>91973.535000000003</v>
      </c>
      <c r="H46" s="303">
        <f>H45+G46</f>
        <v>157454.92333333334</v>
      </c>
      <c r="I46" s="303">
        <f>I45+H46</f>
        <v>211917.55166666667</v>
      </c>
      <c r="J46" s="303">
        <f>J45+I46</f>
        <v>256563.12</v>
      </c>
    </row>
  </sheetData>
  <mergeCells count="45">
    <mergeCell ref="A31:A32"/>
    <mergeCell ref="B31:B32"/>
    <mergeCell ref="A33:A34"/>
    <mergeCell ref="B33:B34"/>
    <mergeCell ref="A41:A42"/>
    <mergeCell ref="B41:B42"/>
    <mergeCell ref="A35:A36"/>
    <mergeCell ref="B35:B36"/>
    <mergeCell ref="A37:A38"/>
    <mergeCell ref="B37:B38"/>
    <mergeCell ref="A39:A40"/>
    <mergeCell ref="B39:B40"/>
    <mergeCell ref="A25:A26"/>
    <mergeCell ref="B25:B26"/>
    <mergeCell ref="A19:A20"/>
    <mergeCell ref="B19:B20"/>
    <mergeCell ref="A29:A30"/>
    <mergeCell ref="B29:B30"/>
    <mergeCell ref="A5:A6"/>
    <mergeCell ref="B5:C6"/>
    <mergeCell ref="D5:D6"/>
    <mergeCell ref="E5:J5"/>
    <mergeCell ref="A7:A8"/>
    <mergeCell ref="B7:B8"/>
    <mergeCell ref="A9:A10"/>
    <mergeCell ref="B9:B10"/>
    <mergeCell ref="A27:A28"/>
    <mergeCell ref="B27:B28"/>
    <mergeCell ref="A11:A12"/>
    <mergeCell ref="B11:B12"/>
    <mergeCell ref="A13:A14"/>
    <mergeCell ref="B13:B14"/>
    <mergeCell ref="A15:A16"/>
    <mergeCell ref="B15:B16"/>
    <mergeCell ref="A17:A18"/>
    <mergeCell ref="B17:B18"/>
    <mergeCell ref="A21:A22"/>
    <mergeCell ref="B21:B22"/>
    <mergeCell ref="A23:A24"/>
    <mergeCell ref="B23:B24"/>
    <mergeCell ref="B4:J4"/>
    <mergeCell ref="B3:J3"/>
    <mergeCell ref="B2:J2"/>
    <mergeCell ref="B1:J1"/>
    <mergeCell ref="A1:A4"/>
  </mergeCells>
  <pageMargins left="0.7" right="0.7" top="0.75" bottom="0.75" header="0.3" footer="0.3"/>
  <pageSetup paperSize="9" scale="44"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13</vt:i4>
      </vt:variant>
      <vt:variant>
        <vt:lpstr>Intervalos nomeados</vt:lpstr>
      </vt:variant>
      <vt:variant>
        <vt:i4>6</vt:i4>
      </vt:variant>
    </vt:vector>
  </HeadingPairs>
  <TitlesOfParts>
    <vt:vector size="19" baseType="lpstr">
      <vt:lpstr>PLANILHA ORÇAMENTÁRIA</vt:lpstr>
      <vt:lpstr>MEMÓRIA DE CÁLCULO</vt:lpstr>
      <vt:lpstr>LS</vt:lpstr>
      <vt:lpstr>BDI</vt:lpstr>
      <vt:lpstr>COMP - 01</vt:lpstr>
      <vt:lpstr>COMP - 02</vt:lpstr>
      <vt:lpstr>COMP - 03</vt:lpstr>
      <vt:lpstr>COMP-04</vt:lpstr>
      <vt:lpstr>COMP-05</vt:lpstr>
      <vt:lpstr>COMP-06</vt:lpstr>
      <vt:lpstr>COMP-07</vt:lpstr>
      <vt:lpstr>COTAÇÕES</vt:lpstr>
      <vt:lpstr>CRONOGRAMA</vt:lpstr>
      <vt:lpstr>BDI!Area_de_impressao</vt:lpstr>
      <vt:lpstr>'COMP - 02'!Area_de_impressao</vt:lpstr>
      <vt:lpstr>COTAÇÕES!Area_de_impressao</vt:lpstr>
      <vt:lpstr>LS!Area_de_impressao</vt:lpstr>
      <vt:lpstr>'MEMÓRIA DE CÁLCULO'!Area_de_impressao</vt:lpstr>
      <vt:lpstr>'PLANILHA ORÇAMENTÁRIA'!Titulos_de_impressao</vt:lpstr>
    </vt:vector>
  </TitlesOfParts>
  <Manager/>
  <Company/>
  <LinksUpToDate>false</LinksUpToDate>
  <SharedDoc>false</SharedDoc>
  <HyperlinkBase/>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thais.baptista</dc:creator>
  <cp:keywords/>
  <dc:description/>
  <cp:lastModifiedBy>Revisor</cp:lastModifiedBy>
  <cp:revision/>
  <cp:lastPrinted>2022-02-15T15:15:45Z</cp:lastPrinted>
  <dcterms:created xsi:type="dcterms:W3CDTF">2021-11-17T11:08:04Z</dcterms:created>
  <dcterms:modified xsi:type="dcterms:W3CDTF">2022-02-15T15:20:35Z</dcterms:modified>
  <cp:category/>
  <cp:contentStatus/>
</cp:coreProperties>
</file>