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Obras\Obras\ENGENHARIA\2.PROPOSTA - NOVAS OBRAS\37 - OBRAS EDUCAÇÃO\REFORMA DOS LIEDS\ORÇAMENTO\REV-01\"/>
    </mc:Choice>
  </mc:AlternateContent>
  <bookViews>
    <workbookView xWindow="0" yWindow="0" windowWidth="25200" windowHeight="11985" tabRatio="809" activeTab="1"/>
  </bookViews>
  <sheets>
    <sheet name="PLANILHA ORÇAMENTÁRIA" sheetId="1" r:id="rId1"/>
    <sheet name="CRONOGRAMA" sheetId="22" r:id="rId2"/>
    <sheet name="MC" sheetId="11" r:id="rId3"/>
    <sheet name="BDI" sheetId="4" r:id="rId4"/>
    <sheet name="LS" sheetId="5" r:id="rId5"/>
    <sheet name="COMP-01" sheetId="24" r:id="rId6"/>
    <sheet name="COMP-02" sheetId="25" r:id="rId7"/>
    <sheet name="COMP-03" sheetId="61" r:id="rId8"/>
    <sheet name="COMP-04" sheetId="27" r:id="rId9"/>
    <sheet name="COMP-05" sheetId="28" r:id="rId10"/>
    <sheet name="COMP-06" sheetId="62" r:id="rId11"/>
    <sheet name="COMP-07" sheetId="30" r:id="rId12"/>
    <sheet name="COMP-08" sheetId="63" r:id="rId13"/>
    <sheet name="COMP-09" sheetId="39" r:id="rId14"/>
    <sheet name="COMP-10" sheetId="64" r:id="rId15"/>
    <sheet name="COMP-11" sheetId="42" r:id="rId16"/>
    <sheet name="COMP-12" sheetId="65" r:id="rId17"/>
    <sheet name="COTAÇÕES " sheetId="23" r:id="rId18"/>
  </sheets>
  <definedNames>
    <definedName name="_xlnm.Print_Area" localSheetId="3">BDI!$B$2:$J$49</definedName>
    <definedName name="_xlnm.Print_Area" localSheetId="17">'COTAÇÕES '!$A$1:$Q$12</definedName>
    <definedName name="_xlnm.Print_Area" localSheetId="1">CRONOGRAMA!$A$1:$I$41</definedName>
    <definedName name="_xlnm.Print_Area" localSheetId="4">LS!$B$2:$E$50</definedName>
    <definedName name="_xlnm.Print_Area" localSheetId="2">MC!$A$1:$J$754</definedName>
    <definedName name="_xlnm.Print_Area" localSheetId="0">'PLANILHA ORÇAMENTÁRIA'!$A$1:$I$123</definedName>
    <definedName name="_xlnm.Print_Titles" localSheetId="17">'COTAÇÕES '!$1:$7</definedName>
    <definedName name="_xlnm.Print_Titles" localSheetId="1">CRONOGRAMA!$A:$D,CRONOGRAMA!$1:$7</definedName>
    <definedName name="_xlnm.Print_Titles" localSheetId="2">MC!$1:$5</definedName>
    <definedName name="_xlnm.Print_Titles" localSheetId="0">'PLANILHA ORÇAMENTÁRIA'!$1:$8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2" i="1" l="1"/>
  <c r="I37" i="22" l="1"/>
  <c r="I35" i="22"/>
  <c r="H35" i="22"/>
  <c r="I33" i="22"/>
  <c r="H33" i="22"/>
  <c r="G31" i="22"/>
  <c r="F31" i="22"/>
  <c r="I27" i="22"/>
  <c r="H27" i="22"/>
  <c r="G25" i="22"/>
  <c r="G40" i="22" s="1"/>
  <c r="H25" i="22"/>
  <c r="H23" i="22"/>
  <c r="G23" i="22"/>
  <c r="I28" i="1"/>
  <c r="I15" i="1"/>
  <c r="G17" i="22"/>
  <c r="F17" i="22"/>
  <c r="H19" i="22"/>
  <c r="G19" i="22"/>
  <c r="F19" i="22"/>
  <c r="H21" i="22"/>
  <c r="G21" i="22"/>
  <c r="D37" i="22"/>
  <c r="B36" i="22"/>
  <c r="D35" i="22"/>
  <c r="B34" i="22"/>
  <c r="D33" i="22"/>
  <c r="B32" i="22"/>
  <c r="D31" i="22"/>
  <c r="B30" i="22"/>
  <c r="B28" i="22"/>
  <c r="D27" i="22"/>
  <c r="B26" i="22"/>
  <c r="D25" i="22"/>
  <c r="B24" i="22"/>
  <c r="D23" i="22"/>
  <c r="B22" i="22"/>
  <c r="D21" i="22"/>
  <c r="B20" i="22"/>
  <c r="D19" i="22"/>
  <c r="B18" i="22"/>
  <c r="D17" i="22"/>
  <c r="B16" i="22"/>
  <c r="D15" i="22"/>
  <c r="B14" i="22"/>
  <c r="B12" i="22"/>
  <c r="D13" i="22"/>
  <c r="D11" i="22"/>
  <c r="I109" i="1"/>
  <c r="H107" i="1"/>
  <c r="H108" i="1"/>
  <c r="H106" i="1"/>
  <c r="F80" i="1"/>
  <c r="J17" i="11"/>
  <c r="J18" i="11" s="1"/>
  <c r="H17" i="11"/>
  <c r="I42" i="11"/>
  <c r="I54" i="11"/>
  <c r="J54" i="11" s="1"/>
  <c r="J55" i="11" s="1"/>
  <c r="H16" i="11"/>
  <c r="H15" i="11"/>
  <c r="H14" i="11"/>
  <c r="H13" i="11"/>
  <c r="H12" i="11"/>
  <c r="J437" i="11"/>
  <c r="J438" i="11"/>
  <c r="J439" i="11"/>
  <c r="J440" i="11"/>
  <c r="J441" i="11"/>
  <c r="J442" i="11"/>
  <c r="J443" i="11"/>
  <c r="J444" i="11"/>
  <c r="J436" i="11"/>
  <c r="B435" i="11"/>
  <c r="C435" i="11"/>
  <c r="H80" i="1"/>
  <c r="J518" i="11"/>
  <c r="J519" i="11"/>
  <c r="J520" i="11"/>
  <c r="J529" i="11" s="1"/>
  <c r="F92" i="1" s="1"/>
  <c r="J521" i="11"/>
  <c r="J522" i="11"/>
  <c r="J523" i="11"/>
  <c r="J524" i="11"/>
  <c r="J525" i="11"/>
  <c r="J517" i="11"/>
  <c r="J725" i="11"/>
  <c r="J727" i="11"/>
  <c r="J735" i="11"/>
  <c r="H737" i="11"/>
  <c r="J737" i="11" s="1"/>
  <c r="H736" i="11"/>
  <c r="J736" i="11" s="1"/>
  <c r="H735" i="11"/>
  <c r="H734" i="11"/>
  <c r="J734" i="11" s="1"/>
  <c r="H733" i="11"/>
  <c r="J733" i="11" s="1"/>
  <c r="H732" i="11"/>
  <c r="J732" i="11" s="1"/>
  <c r="H731" i="11"/>
  <c r="J731" i="11" s="1"/>
  <c r="H730" i="11"/>
  <c r="J730" i="11" s="1"/>
  <c r="H729" i="11"/>
  <c r="J729" i="11" s="1"/>
  <c r="H728" i="11"/>
  <c r="J728" i="11" s="1"/>
  <c r="H727" i="11"/>
  <c r="H726" i="11"/>
  <c r="J726" i="11" s="1"/>
  <c r="B740" i="11"/>
  <c r="B741" i="11"/>
  <c r="H724" i="11"/>
  <c r="J724" i="11" s="1"/>
  <c r="H723" i="11"/>
  <c r="J723" i="11" s="1"/>
  <c r="H722" i="11"/>
  <c r="J722" i="11" s="1"/>
  <c r="H721" i="11"/>
  <c r="J721" i="11" s="1"/>
  <c r="H720" i="11"/>
  <c r="J720" i="11" s="1"/>
  <c r="H719" i="11"/>
  <c r="J719" i="11" s="1"/>
  <c r="H718" i="11"/>
  <c r="J718" i="11" s="1"/>
  <c r="H717" i="11"/>
  <c r="J717" i="11" s="1"/>
  <c r="H716" i="11"/>
  <c r="J716" i="11" s="1"/>
  <c r="J703" i="11"/>
  <c r="J701" i="11"/>
  <c r="H709" i="11"/>
  <c r="J709" i="11" s="1"/>
  <c r="H708" i="11"/>
  <c r="J708" i="11" s="1"/>
  <c r="H707" i="11"/>
  <c r="J707" i="11" s="1"/>
  <c r="H706" i="11"/>
  <c r="J706" i="11" s="1"/>
  <c r="H705" i="11"/>
  <c r="J705" i="11" s="1"/>
  <c r="H704" i="11"/>
  <c r="J704" i="11" s="1"/>
  <c r="H703" i="11"/>
  <c r="H702" i="11"/>
  <c r="J702" i="11" s="1"/>
  <c r="H701" i="11"/>
  <c r="H744" i="11"/>
  <c r="J744" i="11" s="1"/>
  <c r="H745" i="11"/>
  <c r="J745" i="11" s="1"/>
  <c r="H746" i="11"/>
  <c r="J746" i="11" s="1"/>
  <c r="H747" i="11"/>
  <c r="J747" i="11" s="1"/>
  <c r="H748" i="11"/>
  <c r="J748" i="11" s="1"/>
  <c r="H749" i="11"/>
  <c r="J749" i="11" s="1"/>
  <c r="H750" i="11"/>
  <c r="J750" i="11" s="1"/>
  <c r="H751" i="11"/>
  <c r="J751" i="11" s="1"/>
  <c r="H743" i="11"/>
  <c r="J743" i="11" s="1"/>
  <c r="H695" i="11"/>
  <c r="J695" i="11" s="1"/>
  <c r="H694" i="11"/>
  <c r="J694" i="11" s="1"/>
  <c r="H693" i="11"/>
  <c r="J693" i="11" s="1"/>
  <c r="H692" i="11"/>
  <c r="J692" i="11" s="1"/>
  <c r="H691" i="11"/>
  <c r="J691" i="11" s="1"/>
  <c r="H690" i="11"/>
  <c r="J690" i="11" s="1"/>
  <c r="H689" i="11"/>
  <c r="J689" i="11" s="1"/>
  <c r="H688" i="11"/>
  <c r="J688" i="11" s="1"/>
  <c r="H687" i="11"/>
  <c r="J687" i="11" s="1"/>
  <c r="H685" i="11"/>
  <c r="J685" i="11" s="1"/>
  <c r="H684" i="11"/>
  <c r="J684" i="11" s="1"/>
  <c r="H683" i="11"/>
  <c r="J683" i="11" s="1"/>
  <c r="H682" i="11"/>
  <c r="J682" i="11" s="1"/>
  <c r="H681" i="11"/>
  <c r="J681" i="11" s="1"/>
  <c r="H680" i="11"/>
  <c r="J680" i="11" s="1"/>
  <c r="H679" i="11"/>
  <c r="J679" i="11" s="1"/>
  <c r="H678" i="11"/>
  <c r="J678" i="11" s="1"/>
  <c r="H677" i="11"/>
  <c r="J677" i="11" s="1"/>
  <c r="H654" i="11"/>
  <c r="J654" i="11" s="1"/>
  <c r="H655" i="11"/>
  <c r="J655" i="11" s="1"/>
  <c r="H656" i="11"/>
  <c r="J656" i="11" s="1"/>
  <c r="H657" i="11"/>
  <c r="J657" i="11" s="1"/>
  <c r="H658" i="11"/>
  <c r="J658" i="11" s="1"/>
  <c r="H659" i="11"/>
  <c r="J659" i="11" s="1"/>
  <c r="H660" i="11"/>
  <c r="J660" i="11" s="1"/>
  <c r="H661" i="11"/>
  <c r="J661" i="11" s="1"/>
  <c r="H653" i="11"/>
  <c r="J653" i="11" s="1"/>
  <c r="H664" i="11"/>
  <c r="J664" i="11" s="1"/>
  <c r="H665" i="11"/>
  <c r="J665" i="11" s="1"/>
  <c r="H666" i="11"/>
  <c r="J666" i="11" s="1"/>
  <c r="H667" i="11"/>
  <c r="J667" i="11" s="1"/>
  <c r="H668" i="11"/>
  <c r="J668" i="11" s="1"/>
  <c r="H669" i="11"/>
  <c r="J669" i="11" s="1"/>
  <c r="H670" i="11"/>
  <c r="J670" i="11" s="1"/>
  <c r="H671" i="11"/>
  <c r="J671" i="11" s="1"/>
  <c r="H663" i="11"/>
  <c r="J663" i="11" s="1"/>
  <c r="J638" i="11"/>
  <c r="J639" i="11"/>
  <c r="J640" i="11"/>
  <c r="J637" i="11"/>
  <c r="J645" i="11"/>
  <c r="J647" i="11" s="1"/>
  <c r="F108" i="1" s="1"/>
  <c r="J630" i="11"/>
  <c r="J631" i="11"/>
  <c r="J632" i="11"/>
  <c r="J629" i="11"/>
  <c r="B636" i="11"/>
  <c r="C636" i="11"/>
  <c r="B628" i="11"/>
  <c r="H607" i="11"/>
  <c r="J607" i="11" s="1"/>
  <c r="H608" i="11"/>
  <c r="J608" i="11" s="1"/>
  <c r="H609" i="11"/>
  <c r="J609" i="11" s="1"/>
  <c r="H610" i="11"/>
  <c r="J610" i="11" s="1"/>
  <c r="H611" i="11"/>
  <c r="J611" i="11" s="1"/>
  <c r="H612" i="11"/>
  <c r="J612" i="11" s="1"/>
  <c r="H613" i="11"/>
  <c r="J613" i="11" s="1"/>
  <c r="H614" i="11"/>
  <c r="J614" i="11" s="1"/>
  <c r="H615" i="11"/>
  <c r="J615" i="11" s="1"/>
  <c r="H616" i="11"/>
  <c r="J616" i="11" s="1"/>
  <c r="H617" i="11"/>
  <c r="J617" i="11" s="1"/>
  <c r="H618" i="11"/>
  <c r="J618" i="11" s="1"/>
  <c r="H619" i="11"/>
  <c r="J619" i="11" s="1"/>
  <c r="H620" i="11"/>
  <c r="J620" i="11" s="1"/>
  <c r="H621" i="11"/>
  <c r="J621" i="11" s="1"/>
  <c r="H622" i="11"/>
  <c r="J622" i="11" s="1"/>
  <c r="H623" i="11"/>
  <c r="J623" i="11" s="1"/>
  <c r="H606" i="11"/>
  <c r="J606" i="11" s="1"/>
  <c r="B626" i="11"/>
  <c r="B627" i="11"/>
  <c r="H588" i="11"/>
  <c r="J588" i="11" s="1"/>
  <c r="H589" i="11"/>
  <c r="J589" i="11" s="1"/>
  <c r="H590" i="11"/>
  <c r="J590" i="11" s="1"/>
  <c r="H591" i="11"/>
  <c r="J591" i="11" s="1"/>
  <c r="H592" i="11"/>
  <c r="J592" i="11" s="1"/>
  <c r="H593" i="11"/>
  <c r="J593" i="11" s="1"/>
  <c r="H594" i="11"/>
  <c r="J594" i="11" s="1"/>
  <c r="H595" i="11"/>
  <c r="J595" i="11" s="1"/>
  <c r="H596" i="11"/>
  <c r="J596" i="11" s="1"/>
  <c r="H597" i="11"/>
  <c r="J597" i="11" s="1"/>
  <c r="H598" i="11"/>
  <c r="J598" i="11" s="1"/>
  <c r="H599" i="11"/>
  <c r="J599" i="11" s="1"/>
  <c r="H600" i="11"/>
  <c r="J600" i="11" s="1"/>
  <c r="H601" i="11"/>
  <c r="J601" i="11" s="1"/>
  <c r="H602" i="11"/>
  <c r="J602" i="11" s="1"/>
  <c r="H603" i="11"/>
  <c r="J603" i="11" s="1"/>
  <c r="H604" i="11"/>
  <c r="J604" i="11" s="1"/>
  <c r="H587" i="11"/>
  <c r="J587" i="11" s="1"/>
  <c r="J570" i="11"/>
  <c r="J571" i="11"/>
  <c r="J572" i="11"/>
  <c r="J573" i="11"/>
  <c r="J574" i="11"/>
  <c r="J575" i="11"/>
  <c r="J576" i="11"/>
  <c r="J569" i="11"/>
  <c r="J580" i="11"/>
  <c r="J564" i="11"/>
  <c r="J563" i="11"/>
  <c r="J551" i="11"/>
  <c r="J552" i="11"/>
  <c r="J553" i="11"/>
  <c r="J554" i="11"/>
  <c r="J555" i="11"/>
  <c r="J556" i="11"/>
  <c r="J557" i="11"/>
  <c r="J558" i="11"/>
  <c r="J550" i="11"/>
  <c r="D565" i="11"/>
  <c r="J565" i="11" s="1"/>
  <c r="D559" i="11"/>
  <c r="J559" i="11" s="1"/>
  <c r="J545" i="11"/>
  <c r="J544" i="11"/>
  <c r="J533" i="11"/>
  <c r="J534" i="11"/>
  <c r="J535" i="11"/>
  <c r="J536" i="11"/>
  <c r="J537" i="11"/>
  <c r="J538" i="11"/>
  <c r="J532" i="11"/>
  <c r="J510" i="11"/>
  <c r="J511" i="11"/>
  <c r="J512" i="11"/>
  <c r="J498" i="11"/>
  <c r="J499" i="11"/>
  <c r="J500" i="11"/>
  <c r="J501" i="11"/>
  <c r="J502" i="11"/>
  <c r="J503" i="11"/>
  <c r="J504" i="11"/>
  <c r="J505" i="11"/>
  <c r="J497" i="11"/>
  <c r="J485" i="11"/>
  <c r="J486" i="11"/>
  <c r="J487" i="11"/>
  <c r="J488" i="11"/>
  <c r="J489" i="11"/>
  <c r="J490" i="11"/>
  <c r="J491" i="11"/>
  <c r="J492" i="11"/>
  <c r="J484" i="11"/>
  <c r="J476" i="11"/>
  <c r="J477" i="11"/>
  <c r="J478" i="11"/>
  <c r="J479" i="11"/>
  <c r="J475" i="11"/>
  <c r="J470" i="11"/>
  <c r="J469" i="11"/>
  <c r="J468" i="11"/>
  <c r="J467" i="11"/>
  <c r="J466" i="11"/>
  <c r="J465" i="11"/>
  <c r="J464" i="11"/>
  <c r="J463" i="11"/>
  <c r="J462" i="11"/>
  <c r="J449" i="11"/>
  <c r="J450" i="11"/>
  <c r="J451" i="11"/>
  <c r="J452" i="11"/>
  <c r="J453" i="11"/>
  <c r="J454" i="11"/>
  <c r="J455" i="11"/>
  <c r="J456" i="11"/>
  <c r="J448" i="11"/>
  <c r="J432" i="11"/>
  <c r="J425" i="11"/>
  <c r="J426" i="11"/>
  <c r="J427" i="11"/>
  <c r="J428" i="11"/>
  <c r="J429" i="11"/>
  <c r="J430" i="11"/>
  <c r="J431" i="11"/>
  <c r="J424" i="11"/>
  <c r="J416" i="11"/>
  <c r="J417" i="11"/>
  <c r="J418" i="11"/>
  <c r="J419" i="11"/>
  <c r="J415" i="11"/>
  <c r="J410" i="11"/>
  <c r="J409" i="11"/>
  <c r="J408" i="11"/>
  <c r="J407" i="11"/>
  <c r="J406" i="11"/>
  <c r="J405" i="11"/>
  <c r="J404" i="11"/>
  <c r="J403" i="11"/>
  <c r="J402" i="11"/>
  <c r="J390" i="11"/>
  <c r="J391" i="11"/>
  <c r="J392" i="11"/>
  <c r="J393" i="11"/>
  <c r="J394" i="11"/>
  <c r="J395" i="11"/>
  <c r="J396" i="11"/>
  <c r="J397" i="11"/>
  <c r="J389" i="11"/>
  <c r="J376" i="11"/>
  <c r="J377" i="11"/>
  <c r="J378" i="11"/>
  <c r="J379" i="11"/>
  <c r="J380" i="11"/>
  <c r="J381" i="11"/>
  <c r="J382" i="11"/>
  <c r="J383" i="11"/>
  <c r="J375" i="11"/>
  <c r="J363" i="11"/>
  <c r="J364" i="11"/>
  <c r="J365" i="11"/>
  <c r="J366" i="11"/>
  <c r="J367" i="11"/>
  <c r="J368" i="11"/>
  <c r="J369" i="11"/>
  <c r="J370" i="11"/>
  <c r="J362" i="11"/>
  <c r="J350" i="11"/>
  <c r="J351" i="11"/>
  <c r="J352" i="11"/>
  <c r="J353" i="11"/>
  <c r="J354" i="11"/>
  <c r="J355" i="11"/>
  <c r="J356" i="11"/>
  <c r="J357" i="11"/>
  <c r="J349" i="11"/>
  <c r="H328" i="11"/>
  <c r="J328" i="11" s="1"/>
  <c r="H327" i="11"/>
  <c r="J327" i="11" s="1"/>
  <c r="H326" i="11"/>
  <c r="J326" i="11" s="1"/>
  <c r="H325" i="11"/>
  <c r="J325" i="11" s="1"/>
  <c r="H324" i="11"/>
  <c r="J324" i="11" s="1"/>
  <c r="H323" i="11"/>
  <c r="J323" i="11" s="1"/>
  <c r="H322" i="11"/>
  <c r="J322" i="11" s="1"/>
  <c r="H321" i="11"/>
  <c r="J321" i="11" s="1"/>
  <c r="H320" i="11"/>
  <c r="J320" i="11" s="1"/>
  <c r="H307" i="11"/>
  <c r="J307" i="11" s="1"/>
  <c r="H308" i="11"/>
  <c r="J308" i="11" s="1"/>
  <c r="H309" i="11"/>
  <c r="J309" i="11" s="1"/>
  <c r="H310" i="11"/>
  <c r="J310" i="11" s="1"/>
  <c r="H311" i="11"/>
  <c r="J311" i="11" s="1"/>
  <c r="H312" i="11"/>
  <c r="J312" i="11" s="1"/>
  <c r="H313" i="11"/>
  <c r="J313" i="11" s="1"/>
  <c r="H314" i="11"/>
  <c r="J314" i="11" s="1"/>
  <c r="H306" i="11"/>
  <c r="J306" i="11" s="1"/>
  <c r="H103" i="11"/>
  <c r="J103" i="11" s="1"/>
  <c r="H300" i="11"/>
  <c r="J300" i="11" s="1"/>
  <c r="H299" i="11"/>
  <c r="J299" i="11" s="1"/>
  <c r="H298" i="11"/>
  <c r="J298" i="11" s="1"/>
  <c r="H297" i="11"/>
  <c r="J297" i="11" s="1"/>
  <c r="H296" i="11"/>
  <c r="J296" i="11" s="1"/>
  <c r="H295" i="11"/>
  <c r="J295" i="11" s="1"/>
  <c r="H294" i="11"/>
  <c r="J294" i="11" s="1"/>
  <c r="B293" i="11"/>
  <c r="H57" i="1"/>
  <c r="H290" i="11"/>
  <c r="J290" i="11" s="1"/>
  <c r="H289" i="11"/>
  <c r="J289" i="11" s="1"/>
  <c r="H288" i="11"/>
  <c r="J288" i="11" s="1"/>
  <c r="H287" i="11"/>
  <c r="J287" i="11" s="1"/>
  <c r="H286" i="11"/>
  <c r="J286" i="11" s="1"/>
  <c r="H285" i="11"/>
  <c r="J285" i="11" s="1"/>
  <c r="H284" i="11"/>
  <c r="J284" i="11" s="1"/>
  <c r="H22" i="1"/>
  <c r="H127" i="11"/>
  <c r="J127" i="11" s="1"/>
  <c r="H126" i="11"/>
  <c r="J126" i="11" s="1"/>
  <c r="H125" i="11"/>
  <c r="J125" i="11" s="1"/>
  <c r="H124" i="11"/>
  <c r="J124" i="11" s="1"/>
  <c r="H123" i="11"/>
  <c r="J123" i="11" s="1"/>
  <c r="H122" i="11"/>
  <c r="J122" i="11" s="1"/>
  <c r="H121" i="11"/>
  <c r="J121" i="11" s="1"/>
  <c r="H267" i="11"/>
  <c r="J267" i="11" s="1"/>
  <c r="H268" i="11"/>
  <c r="J268" i="11" s="1"/>
  <c r="H269" i="11"/>
  <c r="J269" i="11" s="1"/>
  <c r="H270" i="11"/>
  <c r="J270" i="11" s="1"/>
  <c r="H271" i="11"/>
  <c r="J271" i="11" s="1"/>
  <c r="H272" i="11"/>
  <c r="J272" i="11" s="1"/>
  <c r="H273" i="11"/>
  <c r="J273" i="11" s="1"/>
  <c r="H274" i="11"/>
  <c r="J274" i="11" s="1"/>
  <c r="H275" i="11"/>
  <c r="J275" i="11" s="1"/>
  <c r="H277" i="11"/>
  <c r="J277" i="11" s="1"/>
  <c r="H278" i="11"/>
  <c r="J278" i="11" s="1"/>
  <c r="H276" i="11"/>
  <c r="J276" i="11" s="1"/>
  <c r="H256" i="11"/>
  <c r="J256" i="11" s="1"/>
  <c r="H257" i="11"/>
  <c r="J257" i="11" s="1"/>
  <c r="H258" i="11"/>
  <c r="J258" i="11" s="1"/>
  <c r="H259" i="11"/>
  <c r="J259" i="11" s="1"/>
  <c r="H260" i="11"/>
  <c r="J260" i="11" s="1"/>
  <c r="H261" i="11"/>
  <c r="J261" i="11" s="1"/>
  <c r="H262" i="11"/>
  <c r="J262" i="11" s="1"/>
  <c r="H263" i="11"/>
  <c r="J263" i="11" s="1"/>
  <c r="H255" i="11"/>
  <c r="J255" i="11" s="1"/>
  <c r="H210" i="11"/>
  <c r="J210" i="11" s="1"/>
  <c r="H211" i="11"/>
  <c r="J211" i="11" s="1"/>
  <c r="H212" i="11"/>
  <c r="J212" i="11" s="1"/>
  <c r="H213" i="11"/>
  <c r="J213" i="11" s="1"/>
  <c r="H214" i="11"/>
  <c r="J214" i="11" s="1"/>
  <c r="J171" i="11"/>
  <c r="J172" i="11"/>
  <c r="J173" i="11"/>
  <c r="J174" i="11"/>
  <c r="H111" i="11"/>
  <c r="J111" i="11" s="1"/>
  <c r="H112" i="11"/>
  <c r="J112" i="11" s="1"/>
  <c r="H113" i="11"/>
  <c r="J113" i="11" s="1"/>
  <c r="H114" i="11"/>
  <c r="J114" i="11" s="1"/>
  <c r="H115" i="11"/>
  <c r="J115" i="11" s="1"/>
  <c r="H116" i="11"/>
  <c r="J116" i="11" s="1"/>
  <c r="H110" i="11"/>
  <c r="J110" i="11" s="1"/>
  <c r="H105" i="11"/>
  <c r="J105" i="11" s="1"/>
  <c r="H104" i="11"/>
  <c r="J104" i="11" s="1"/>
  <c r="H102" i="11"/>
  <c r="J102" i="11" s="1"/>
  <c r="H101" i="11"/>
  <c r="J101" i="11" s="1"/>
  <c r="H100" i="11"/>
  <c r="J100" i="11" s="1"/>
  <c r="H99" i="11"/>
  <c r="J99" i="11" s="1"/>
  <c r="H98" i="11"/>
  <c r="J98" i="11" s="1"/>
  <c r="H97" i="11"/>
  <c r="J97" i="11" s="1"/>
  <c r="I53" i="11"/>
  <c r="J53" i="11" s="1"/>
  <c r="I52" i="11"/>
  <c r="J52" i="11" s="1"/>
  <c r="I51" i="11"/>
  <c r="J51" i="11" s="1"/>
  <c r="I50" i="11"/>
  <c r="J50" i="11" s="1"/>
  <c r="I49" i="11"/>
  <c r="J49" i="11" s="1"/>
  <c r="I48" i="11"/>
  <c r="J48" i="11" s="1"/>
  <c r="I47" i="11"/>
  <c r="J47" i="11" s="1"/>
  <c r="I46" i="11"/>
  <c r="J46" i="11" s="1"/>
  <c r="I35" i="11"/>
  <c r="J35" i="11" s="1"/>
  <c r="I36" i="11"/>
  <c r="J36" i="11" s="1"/>
  <c r="I37" i="11"/>
  <c r="J37" i="11" s="1"/>
  <c r="I38" i="11"/>
  <c r="J38" i="11" s="1"/>
  <c r="I39" i="11"/>
  <c r="J39" i="11" s="1"/>
  <c r="I40" i="11"/>
  <c r="J40" i="11" s="1"/>
  <c r="I41" i="11"/>
  <c r="J41" i="11" s="1"/>
  <c r="I34" i="11"/>
  <c r="J34" i="11" s="1"/>
  <c r="H22" i="11"/>
  <c r="J22" i="11" s="1"/>
  <c r="H23" i="11"/>
  <c r="J23" i="11" s="1"/>
  <c r="H24" i="11"/>
  <c r="J24" i="11" s="1"/>
  <c r="H25" i="11"/>
  <c r="J25" i="11" s="1"/>
  <c r="H26" i="11"/>
  <c r="J26" i="11" s="1"/>
  <c r="H27" i="11"/>
  <c r="J27" i="11" s="1"/>
  <c r="H28" i="11"/>
  <c r="J28" i="11" s="1"/>
  <c r="H21" i="11"/>
  <c r="J21" i="11" s="1"/>
  <c r="I80" i="1" l="1"/>
  <c r="J445" i="11"/>
  <c r="J738" i="11"/>
  <c r="F117" i="1" s="1"/>
  <c r="J712" i="11"/>
  <c r="F115" i="1" s="1"/>
  <c r="I22" i="1"/>
  <c r="J753" i="11"/>
  <c r="F121" i="1" s="1"/>
  <c r="J697" i="11"/>
  <c r="F113" i="1" s="1"/>
  <c r="J642" i="11"/>
  <c r="F107" i="1" s="1"/>
  <c r="J673" i="11"/>
  <c r="F112" i="1" s="1"/>
  <c r="J634" i="11"/>
  <c r="F106" i="1" s="1"/>
  <c r="I106" i="1" s="1"/>
  <c r="J624" i="11"/>
  <c r="F102" i="1" s="1"/>
  <c r="J577" i="11"/>
  <c r="F97" i="1" s="1"/>
  <c r="J566" i="11"/>
  <c r="F96" i="1" s="1"/>
  <c r="J547" i="11"/>
  <c r="F94" i="1" s="1"/>
  <c r="J560" i="11"/>
  <c r="F95" i="1" s="1"/>
  <c r="J541" i="11"/>
  <c r="F93" i="1" s="1"/>
  <c r="J514" i="11"/>
  <c r="F91" i="1" s="1"/>
  <c r="J507" i="11"/>
  <c r="F90" i="1" s="1"/>
  <c r="J494" i="11"/>
  <c r="F89" i="1" s="1"/>
  <c r="J481" i="11"/>
  <c r="F88" i="1" s="1"/>
  <c r="J472" i="11"/>
  <c r="F86" i="1" s="1"/>
  <c r="J433" i="11"/>
  <c r="F79" i="1" s="1"/>
  <c r="J457" i="11"/>
  <c r="F82" i="1" s="1"/>
  <c r="J412" i="11"/>
  <c r="F76" i="1" s="1"/>
  <c r="J399" i="11"/>
  <c r="F75" i="1" s="1"/>
  <c r="J372" i="11"/>
  <c r="F72" i="1" s="1"/>
  <c r="J358" i="11"/>
  <c r="F70" i="1" s="1"/>
  <c r="J329" i="11"/>
  <c r="F65" i="1" s="1"/>
  <c r="J315" i="11"/>
  <c r="J301" i="11"/>
  <c r="F57" i="1" s="1"/>
  <c r="I57" i="1" s="1"/>
  <c r="J291" i="11"/>
  <c r="J129" i="11"/>
  <c r="F22" i="1" s="1"/>
  <c r="J264" i="11"/>
  <c r="J279" i="11"/>
  <c r="F52" i="1" s="1"/>
  <c r="J118" i="11"/>
  <c r="H198" i="11" s="1"/>
  <c r="I198" i="11" s="1"/>
  <c r="J198" i="11" s="1"/>
  <c r="J107" i="11"/>
  <c r="C20" i="11"/>
  <c r="B20" i="11"/>
  <c r="B193" i="11" s="1"/>
  <c r="A20" i="11"/>
  <c r="H12" i="1"/>
  <c r="H334" i="11"/>
  <c r="J334" i="11" s="1"/>
  <c r="H335" i="11"/>
  <c r="J335" i="11" s="1"/>
  <c r="H336" i="11"/>
  <c r="J336" i="11" s="1"/>
  <c r="H337" i="11"/>
  <c r="J337" i="11" s="1"/>
  <c r="H338" i="11"/>
  <c r="J338" i="11" s="1"/>
  <c r="H339" i="11"/>
  <c r="J339" i="11" s="1"/>
  <c r="H340" i="11"/>
  <c r="J340" i="11" s="1"/>
  <c r="H341" i="11"/>
  <c r="J341" i="11" s="1"/>
  <c r="J344" i="11" s="1"/>
  <c r="F66" i="1" s="1"/>
  <c r="H333" i="11"/>
  <c r="J333" i="11" s="1"/>
  <c r="H180" i="11"/>
  <c r="J180" i="11" s="1"/>
  <c r="H179" i="11"/>
  <c r="J179" i="11" s="1"/>
  <c r="C177" i="11"/>
  <c r="H178" i="11"/>
  <c r="J178" i="11" s="1"/>
  <c r="B177" i="11"/>
  <c r="B202" i="11" s="1"/>
  <c r="A177" i="11"/>
  <c r="G27" i="1"/>
  <c r="H27" i="1" s="1"/>
  <c r="I11" i="65"/>
  <c r="I25" i="65"/>
  <c r="I30" i="65" s="1"/>
  <c r="I10" i="65"/>
  <c r="I28" i="65"/>
  <c r="H142" i="11"/>
  <c r="J142" i="11" s="1"/>
  <c r="H144" i="11"/>
  <c r="J144" i="11" s="1"/>
  <c r="H145" i="11"/>
  <c r="J145" i="11" s="1"/>
  <c r="H146" i="11"/>
  <c r="J146" i="11" s="1"/>
  <c r="H147" i="11"/>
  <c r="J147" i="11" s="1"/>
  <c r="H148" i="11"/>
  <c r="J148" i="11" s="1"/>
  <c r="J149" i="11"/>
  <c r="J150" i="11"/>
  <c r="H143" i="11"/>
  <c r="J143" i="11" s="1"/>
  <c r="E93" i="11"/>
  <c r="J93" i="11" s="1"/>
  <c r="J94" i="11" s="1"/>
  <c r="C92" i="11"/>
  <c r="B92" i="11"/>
  <c r="B197" i="11" s="1"/>
  <c r="A92" i="11"/>
  <c r="H19" i="1"/>
  <c r="E138" i="11"/>
  <c r="J138" i="11" s="1"/>
  <c r="E137" i="11"/>
  <c r="J137" i="11" s="1"/>
  <c r="E136" i="11"/>
  <c r="J136" i="11" s="1"/>
  <c r="E135" i="11"/>
  <c r="J135" i="11" s="1"/>
  <c r="E134" i="11"/>
  <c r="J134" i="11" s="1"/>
  <c r="E133" i="11"/>
  <c r="J133" i="11" s="1"/>
  <c r="E132" i="11"/>
  <c r="J132" i="11" s="1"/>
  <c r="E131" i="11"/>
  <c r="J131" i="11" s="1"/>
  <c r="H77" i="11"/>
  <c r="J77" i="11" s="1"/>
  <c r="J78" i="11" s="1"/>
  <c r="C76" i="11"/>
  <c r="B76" i="11"/>
  <c r="B196" i="11" s="1"/>
  <c r="A76" i="11"/>
  <c r="A80" i="11"/>
  <c r="B80" i="11"/>
  <c r="C80" i="11"/>
  <c r="F81" i="11"/>
  <c r="G81" i="11"/>
  <c r="H82" i="11"/>
  <c r="J82" i="11" s="1"/>
  <c r="H83" i="11"/>
  <c r="J83" i="11" s="1"/>
  <c r="H84" i="11"/>
  <c r="J84" i="11" s="1"/>
  <c r="F85" i="11"/>
  <c r="G85" i="11"/>
  <c r="F86" i="11"/>
  <c r="G86" i="11"/>
  <c r="F87" i="11"/>
  <c r="G87" i="11"/>
  <c r="H88" i="11"/>
  <c r="J88" i="11" s="1"/>
  <c r="F89" i="11"/>
  <c r="G89" i="11"/>
  <c r="H17" i="1"/>
  <c r="H10" i="11"/>
  <c r="J10" i="11" s="1"/>
  <c r="H11" i="11"/>
  <c r="J11" i="11" s="1"/>
  <c r="J12" i="11"/>
  <c r="J13" i="11"/>
  <c r="J14" i="11"/>
  <c r="J15" i="11"/>
  <c r="J16" i="11"/>
  <c r="H9" i="11"/>
  <c r="J9" i="11" s="1"/>
  <c r="C130" i="11"/>
  <c r="B130" i="11"/>
  <c r="B199" i="11" s="1"/>
  <c r="A130" i="11"/>
  <c r="H23" i="1"/>
  <c r="C8" i="11"/>
  <c r="B8" i="11"/>
  <c r="B192" i="11" s="1"/>
  <c r="A8" i="11"/>
  <c r="H11" i="1"/>
  <c r="J421" i="11"/>
  <c r="F78" i="1" s="1"/>
  <c r="J385" i="11"/>
  <c r="F73" i="1" s="1"/>
  <c r="F51" i="1"/>
  <c r="F14" i="1"/>
  <c r="J249" i="11"/>
  <c r="J232" i="11"/>
  <c r="J226" i="11"/>
  <c r="J243" i="11"/>
  <c r="J162" i="11"/>
  <c r="J248" i="11"/>
  <c r="J231" i="11"/>
  <c r="J242" i="11"/>
  <c r="J225" i="11"/>
  <c r="J247" i="11"/>
  <c r="J230" i="11"/>
  <c r="J241" i="11"/>
  <c r="J224" i="11"/>
  <c r="J240" i="11"/>
  <c r="J223" i="11"/>
  <c r="J157" i="11"/>
  <c r="J222" i="11"/>
  <c r="J239" i="11"/>
  <c r="J156" i="11"/>
  <c r="J158" i="11"/>
  <c r="J159" i="11"/>
  <c r="J160" i="11"/>
  <c r="J161" i="11"/>
  <c r="J163" i="11"/>
  <c r="H58" i="11"/>
  <c r="J58" i="11" s="1"/>
  <c r="H59" i="11"/>
  <c r="J59" i="11" s="1"/>
  <c r="H60" i="11"/>
  <c r="J60" i="11" s="1"/>
  <c r="H61" i="11"/>
  <c r="J61" i="11" s="1"/>
  <c r="H62" i="11"/>
  <c r="J62" i="11" s="1"/>
  <c r="H63" i="11"/>
  <c r="J63" i="11" s="1"/>
  <c r="H64" i="11"/>
  <c r="J64" i="11" s="1"/>
  <c r="H65" i="11"/>
  <c r="J65" i="11" s="1"/>
  <c r="J238" i="11"/>
  <c r="J221" i="11"/>
  <c r="J155" i="11"/>
  <c r="H57" i="11"/>
  <c r="J57" i="11" s="1"/>
  <c r="I36" i="1"/>
  <c r="C586" i="11"/>
  <c r="B586" i="11"/>
  <c r="A586" i="11"/>
  <c r="B585" i="11"/>
  <c r="A585" i="11"/>
  <c r="B584" i="11"/>
  <c r="A584" i="11"/>
  <c r="C742" i="11"/>
  <c r="B742" i="11"/>
  <c r="A742" i="11"/>
  <c r="A741" i="11"/>
  <c r="A740" i="11"/>
  <c r="C714" i="11"/>
  <c r="B714" i="11"/>
  <c r="A714" i="11"/>
  <c r="B713" i="11"/>
  <c r="A713" i="11"/>
  <c r="C700" i="11"/>
  <c r="B700" i="11"/>
  <c r="A700" i="11"/>
  <c r="B699" i="11"/>
  <c r="A699" i="11"/>
  <c r="C675" i="11"/>
  <c r="B675" i="11"/>
  <c r="A675" i="11"/>
  <c r="C651" i="11"/>
  <c r="B651" i="11"/>
  <c r="A651" i="11"/>
  <c r="B650" i="11"/>
  <c r="A650" i="11"/>
  <c r="B649" i="11"/>
  <c r="A649" i="11"/>
  <c r="C644" i="11"/>
  <c r="B644" i="11"/>
  <c r="A644" i="11"/>
  <c r="A636" i="11"/>
  <c r="A627" i="11"/>
  <c r="A626" i="11"/>
  <c r="C579" i="11"/>
  <c r="B579" i="11"/>
  <c r="A579" i="11"/>
  <c r="C568" i="11"/>
  <c r="B568" i="11"/>
  <c r="A568" i="11"/>
  <c r="C562" i="11"/>
  <c r="B562" i="11"/>
  <c r="A562" i="11"/>
  <c r="C549" i="11"/>
  <c r="B549" i="11"/>
  <c r="A549" i="11"/>
  <c r="C543" i="11"/>
  <c r="B543" i="11"/>
  <c r="A543" i="11"/>
  <c r="C531" i="11"/>
  <c r="B531" i="11"/>
  <c r="A531" i="11"/>
  <c r="C516" i="11"/>
  <c r="B516" i="11"/>
  <c r="A516" i="11"/>
  <c r="C509" i="11"/>
  <c r="B509" i="11"/>
  <c r="A509" i="11"/>
  <c r="C496" i="11"/>
  <c r="B496" i="11"/>
  <c r="A496" i="11"/>
  <c r="C483" i="11"/>
  <c r="B483" i="11"/>
  <c r="A483" i="11"/>
  <c r="C474" i="11"/>
  <c r="B474" i="11"/>
  <c r="A474" i="11"/>
  <c r="B473" i="11"/>
  <c r="A473" i="11"/>
  <c r="C461" i="11"/>
  <c r="B461" i="11"/>
  <c r="A461" i="11"/>
  <c r="B460" i="11"/>
  <c r="A460" i="11"/>
  <c r="B459" i="11"/>
  <c r="A459" i="11"/>
  <c r="H86" i="1"/>
  <c r="C447" i="11"/>
  <c r="B447" i="11"/>
  <c r="A447" i="11"/>
  <c r="B446" i="11"/>
  <c r="A446" i="11"/>
  <c r="C423" i="11"/>
  <c r="B423" i="11"/>
  <c r="A423" i="11"/>
  <c r="C414" i="11"/>
  <c r="B414" i="11"/>
  <c r="A414" i="11"/>
  <c r="B413" i="11"/>
  <c r="A413" i="11"/>
  <c r="C401" i="11"/>
  <c r="B401" i="11"/>
  <c r="A401" i="11"/>
  <c r="C388" i="11"/>
  <c r="B388" i="11"/>
  <c r="A388" i="11"/>
  <c r="B387" i="11"/>
  <c r="A387" i="11"/>
  <c r="C374" i="11"/>
  <c r="B374" i="11"/>
  <c r="A374" i="11"/>
  <c r="C361" i="11"/>
  <c r="B361" i="11"/>
  <c r="A361" i="11"/>
  <c r="B360" i="11"/>
  <c r="A360" i="11"/>
  <c r="C348" i="11"/>
  <c r="B348" i="11"/>
  <c r="A348" i="11"/>
  <c r="B347" i="11"/>
  <c r="A347" i="11"/>
  <c r="B346" i="11"/>
  <c r="A346" i="11"/>
  <c r="C331" i="11"/>
  <c r="B331" i="11"/>
  <c r="A331" i="11"/>
  <c r="C319" i="11"/>
  <c r="B319" i="11"/>
  <c r="A319" i="11"/>
  <c r="B318" i="11"/>
  <c r="A318" i="11"/>
  <c r="B317" i="11"/>
  <c r="A317" i="11"/>
  <c r="C283" i="11"/>
  <c r="B283" i="11"/>
  <c r="A283" i="11"/>
  <c r="B282" i="11"/>
  <c r="A282" i="11"/>
  <c r="B281" i="11"/>
  <c r="A281" i="11"/>
  <c r="C305" i="11"/>
  <c r="B305" i="11"/>
  <c r="A305" i="11"/>
  <c r="B304" i="11"/>
  <c r="A304" i="11"/>
  <c r="B303" i="11"/>
  <c r="A303" i="11"/>
  <c r="C208" i="11"/>
  <c r="B208" i="11"/>
  <c r="A208" i="11"/>
  <c r="B207" i="11"/>
  <c r="A207" i="11"/>
  <c r="B206" i="11"/>
  <c r="A206" i="11"/>
  <c r="H209" i="11"/>
  <c r="C109" i="11"/>
  <c r="B109" i="11"/>
  <c r="B198" i="11" s="1"/>
  <c r="A109" i="11"/>
  <c r="C266" i="11"/>
  <c r="B266" i="11"/>
  <c r="A266" i="11"/>
  <c r="C254" i="11"/>
  <c r="B254" i="11"/>
  <c r="A254" i="11"/>
  <c r="B253" i="11"/>
  <c r="A253" i="11"/>
  <c r="B252" i="11"/>
  <c r="A252" i="11"/>
  <c r="C246" i="11"/>
  <c r="C237" i="11"/>
  <c r="B246" i="11"/>
  <c r="A246" i="11"/>
  <c r="B237" i="11"/>
  <c r="A237" i="11"/>
  <c r="B236" i="11"/>
  <c r="A236" i="11"/>
  <c r="C229" i="11"/>
  <c r="C220" i="11"/>
  <c r="B229" i="11"/>
  <c r="A229" i="11"/>
  <c r="B220" i="11"/>
  <c r="A220" i="11"/>
  <c r="B219" i="11"/>
  <c r="A219" i="11"/>
  <c r="B218" i="11"/>
  <c r="A218" i="11"/>
  <c r="C191" i="11"/>
  <c r="B191" i="11"/>
  <c r="A191" i="11"/>
  <c r="B190" i="11"/>
  <c r="A190" i="11"/>
  <c r="B189" i="11"/>
  <c r="A189" i="11"/>
  <c r="H35" i="1"/>
  <c r="H186" i="11"/>
  <c r="J186" i="11" s="1"/>
  <c r="C185" i="11"/>
  <c r="B185" i="11"/>
  <c r="A185" i="11"/>
  <c r="B184" i="11"/>
  <c r="A184" i="11"/>
  <c r="B183" i="11"/>
  <c r="A183" i="11"/>
  <c r="H170" i="11"/>
  <c r="J170" i="11" s="1"/>
  <c r="H169" i="11"/>
  <c r="J169" i="11" s="1"/>
  <c r="I86" i="1" l="1"/>
  <c r="F21" i="1"/>
  <c r="J209" i="11"/>
  <c r="J216" i="11" s="1"/>
  <c r="F39" i="1" s="1"/>
  <c r="J181" i="11"/>
  <c r="H202" i="11" s="1"/>
  <c r="I202" i="11" s="1"/>
  <c r="J202" i="11" s="1"/>
  <c r="F19" i="1"/>
  <c r="I19" i="1" s="1"/>
  <c r="F197" i="11"/>
  <c r="I197" i="11" s="1"/>
  <c r="J197" i="11" s="1"/>
  <c r="F17" i="1"/>
  <c r="I17" i="1" s="1"/>
  <c r="I196" i="11"/>
  <c r="J196" i="11" s="1"/>
  <c r="J227" i="11"/>
  <c r="F43" i="1" s="1"/>
  <c r="J250" i="11"/>
  <c r="F47" i="1" s="1"/>
  <c r="H89" i="11"/>
  <c r="J89" i="11" s="1"/>
  <c r="J139" i="11"/>
  <c r="H86" i="11"/>
  <c r="J86" i="11" s="1"/>
  <c r="H81" i="11"/>
  <c r="J81" i="11" s="1"/>
  <c r="J31" i="11"/>
  <c r="H85" i="11"/>
  <c r="J85" i="11" s="1"/>
  <c r="J151" i="11"/>
  <c r="H87" i="11"/>
  <c r="J87" i="11" s="1"/>
  <c r="J244" i="11"/>
  <c r="F46" i="1" s="1"/>
  <c r="J233" i="11"/>
  <c r="F44" i="1" s="1"/>
  <c r="I19" i="65"/>
  <c r="I29" i="65" s="1"/>
  <c r="I31" i="65" s="1"/>
  <c r="F61" i="1"/>
  <c r="F56" i="1"/>
  <c r="J66" i="11"/>
  <c r="F15" i="1" s="1"/>
  <c r="J164" i="11"/>
  <c r="H168" i="11"/>
  <c r="J168" i="11" s="1"/>
  <c r="J175" i="11" s="1"/>
  <c r="F26" i="1" s="1"/>
  <c r="F27" i="1" l="1"/>
  <c r="I27" i="1" s="1"/>
  <c r="F25" i="1"/>
  <c r="F201" i="11"/>
  <c r="I201" i="11" s="1"/>
  <c r="J201" i="11" s="1"/>
  <c r="F11" i="1"/>
  <c r="I11" i="1" s="1"/>
  <c r="H192" i="11"/>
  <c r="I192" i="11" s="1"/>
  <c r="J192" i="11" s="1"/>
  <c r="F23" i="1"/>
  <c r="I23" i="1" s="1"/>
  <c r="F199" i="11"/>
  <c r="I199" i="11" s="1"/>
  <c r="J199" i="11" s="1"/>
  <c r="F12" i="1"/>
  <c r="I12" i="1" s="1"/>
  <c r="H193" i="11"/>
  <c r="I193" i="11" s="1"/>
  <c r="J193" i="11" s="1"/>
  <c r="F24" i="1"/>
  <c r="H200" i="11"/>
  <c r="I200" i="11" s="1"/>
  <c r="J200" i="11" s="1"/>
  <c r="J90" i="11"/>
  <c r="F18" i="1" s="1"/>
  <c r="C56" i="11"/>
  <c r="C154" i="11"/>
  <c r="C141" i="11"/>
  <c r="C166" i="11"/>
  <c r="C96" i="11"/>
  <c r="C68" i="11"/>
  <c r="C45" i="11"/>
  <c r="C33" i="11"/>
  <c r="I73" i="11"/>
  <c r="J73" i="11" s="1"/>
  <c r="B56" i="11"/>
  <c r="A56" i="11"/>
  <c r="B154" i="11"/>
  <c r="B201" i="11" s="1"/>
  <c r="A154" i="11"/>
  <c r="B141" i="11"/>
  <c r="B200" i="11" s="1"/>
  <c r="A141" i="11"/>
  <c r="B166" i="11"/>
  <c r="A166" i="11"/>
  <c r="B96" i="11"/>
  <c r="A96" i="11"/>
  <c r="B68" i="11"/>
  <c r="A68" i="11"/>
  <c r="I72" i="11"/>
  <c r="J72" i="11" s="1"/>
  <c r="I71" i="11"/>
  <c r="J71" i="11" s="1"/>
  <c r="I70" i="11"/>
  <c r="J70" i="11" s="1"/>
  <c r="B45" i="11"/>
  <c r="B195" i="11" s="1"/>
  <c r="A45" i="11"/>
  <c r="B33" i="11"/>
  <c r="B194" i="11" s="1"/>
  <c r="A33" i="11"/>
  <c r="B7" i="11"/>
  <c r="A7" i="11"/>
  <c r="B6" i="11"/>
  <c r="A6" i="11"/>
  <c r="H16" i="1"/>
  <c r="J74" i="11" l="1"/>
  <c r="I195" i="11" s="1"/>
  <c r="J195" i="11" s="1"/>
  <c r="H21" i="1"/>
  <c r="I21" i="1" s="1"/>
  <c r="H56" i="1"/>
  <c r="I56" i="1" s="1"/>
  <c r="I58" i="1" s="1"/>
  <c r="H39" i="1"/>
  <c r="I39" i="1" s="1"/>
  <c r="I40" i="1" s="1"/>
  <c r="H61" i="1"/>
  <c r="I61" i="1" s="1"/>
  <c r="I62" i="1" s="1"/>
  <c r="F16" i="1" l="1"/>
  <c r="I16" i="1" s="1"/>
  <c r="I30" i="64"/>
  <c r="I35" i="64" s="1"/>
  <c r="I21" i="64"/>
  <c r="I20" i="64"/>
  <c r="I19" i="64"/>
  <c r="I18" i="64"/>
  <c r="I17" i="64"/>
  <c r="I16" i="64"/>
  <c r="I15" i="64"/>
  <c r="I10" i="64"/>
  <c r="I12" i="64" s="1"/>
  <c r="I33" i="64" s="1"/>
  <c r="P12" i="23"/>
  <c r="H22" i="64" l="1"/>
  <c r="I22" i="64" s="1"/>
  <c r="H22" i="39"/>
  <c r="I24" i="64"/>
  <c r="I34" i="64" s="1"/>
  <c r="I36" i="64" s="1"/>
  <c r="G98" i="1" s="1"/>
  <c r="H91" i="1"/>
  <c r="I91" i="1" s="1"/>
  <c r="H90" i="1"/>
  <c r="I90" i="1" s="1"/>
  <c r="J582" i="11"/>
  <c r="F98" i="1" s="1"/>
  <c r="I16" i="39" l="1"/>
  <c r="I17" i="39"/>
  <c r="I18" i="39"/>
  <c r="I19" i="39"/>
  <c r="I20" i="39"/>
  <c r="I21" i="39"/>
  <c r="I22" i="39"/>
  <c r="I15" i="39"/>
  <c r="I108" i="1" l="1"/>
  <c r="H121" i="1"/>
  <c r="I121" i="1" s="1"/>
  <c r="I107" i="1"/>
  <c r="P11" i="23"/>
  <c r="H16" i="63" s="1"/>
  <c r="I16" i="63" s="1"/>
  <c r="I29" i="63"/>
  <c r="I24" i="63"/>
  <c r="I17" i="63"/>
  <c r="I11" i="63"/>
  <c r="I10" i="63"/>
  <c r="I10" i="30"/>
  <c r="P9" i="23"/>
  <c r="H18" i="62" s="1"/>
  <c r="I18" i="62" s="1"/>
  <c r="I30" i="62"/>
  <c r="I17" i="62"/>
  <c r="I16" i="62"/>
  <c r="I11" i="62"/>
  <c r="I10" i="62"/>
  <c r="I12" i="62" s="1"/>
  <c r="I28" i="62" s="1"/>
  <c r="I11" i="27"/>
  <c r="I10" i="27"/>
  <c r="I31" i="61"/>
  <c r="I36" i="61" s="1"/>
  <c r="I23" i="61"/>
  <c r="I22" i="61"/>
  <c r="I21" i="61"/>
  <c r="I20" i="61"/>
  <c r="I19" i="61"/>
  <c r="I18" i="61"/>
  <c r="I17" i="61"/>
  <c r="I11" i="61"/>
  <c r="I10" i="61"/>
  <c r="I13" i="61" s="1"/>
  <c r="I34" i="61" s="1"/>
  <c r="I23" i="25"/>
  <c r="I22" i="25"/>
  <c r="I21" i="25"/>
  <c r="I18" i="42"/>
  <c r="I17" i="42"/>
  <c r="I11" i="42"/>
  <c r="I10" i="42"/>
  <c r="I12" i="63" l="1"/>
  <c r="I27" i="63" s="1"/>
  <c r="I18" i="63"/>
  <c r="I28" i="63" s="1"/>
  <c r="I20" i="62"/>
  <c r="I29" i="62" s="1"/>
  <c r="I31" i="62" s="1"/>
  <c r="G94" i="1" s="1"/>
  <c r="I30" i="63"/>
  <c r="G96" i="1" s="1"/>
  <c r="I25" i="61"/>
  <c r="I35" i="61" s="1"/>
  <c r="I37" i="61" s="1"/>
  <c r="G79" i="1" s="1"/>
  <c r="H98" i="1"/>
  <c r="I98" i="1" s="1"/>
  <c r="H24" i="1"/>
  <c r="I24" i="1" s="1"/>
  <c r="H25" i="1"/>
  <c r="I25" i="1" s="1"/>
  <c r="H15" i="1"/>
  <c r="H92" i="1" l="1"/>
  <c r="H72" i="1"/>
  <c r="I72" i="1" s="1"/>
  <c r="H73" i="1"/>
  <c r="H52" i="1"/>
  <c r="I52" i="1" s="1"/>
  <c r="H51" i="1"/>
  <c r="I51" i="1" s="1"/>
  <c r="I122" i="1"/>
  <c r="H66" i="1"/>
  <c r="I66" i="1" s="1"/>
  <c r="H65" i="1"/>
  <c r="I65" i="1" s="1"/>
  <c r="H46" i="1"/>
  <c r="I46" i="1" s="1"/>
  <c r="H47" i="1"/>
  <c r="I47" i="1" s="1"/>
  <c r="H44" i="1"/>
  <c r="I44" i="1" s="1"/>
  <c r="H20" i="1"/>
  <c r="I67" i="1" l="1"/>
  <c r="I53" i="1"/>
  <c r="H70" i="1"/>
  <c r="H96" i="1"/>
  <c r="H94" i="1"/>
  <c r="I94" i="1" s="1"/>
  <c r="I96" i="1" l="1"/>
  <c r="I70" i="1"/>
  <c r="H14" i="1" l="1"/>
  <c r="H18" i="1"/>
  <c r="I18" i="1" s="1"/>
  <c r="H31" i="1"/>
  <c r="H43" i="1"/>
  <c r="I43" i="1" s="1"/>
  <c r="I48" i="1" s="1"/>
  <c r="H75" i="1"/>
  <c r="H76" i="1"/>
  <c r="I73" i="1"/>
  <c r="H88" i="1"/>
  <c r="H89" i="1"/>
  <c r="H112" i="1"/>
  <c r="H113" i="1"/>
  <c r="H115" i="1"/>
  <c r="H117" i="1"/>
  <c r="H13" i="1"/>
  <c r="E31" i="4"/>
  <c r="E14" i="4"/>
  <c r="E28" i="4"/>
  <c r="E24" i="4"/>
  <c r="E21" i="4"/>
  <c r="E11" i="4"/>
  <c r="E33" i="4" l="1"/>
  <c r="B8" i="22"/>
  <c r="B10" i="22"/>
  <c r="I88" i="1" l="1"/>
  <c r="I89" i="1"/>
  <c r="I18" i="27" l="1"/>
  <c r="I17" i="27"/>
  <c r="I16" i="27"/>
  <c r="I12" i="27" l="1"/>
  <c r="I26" i="42"/>
  <c r="I31" i="42" s="1"/>
  <c r="I12" i="42" l="1"/>
  <c r="I29" i="42" s="1"/>
  <c r="I76" i="1" l="1"/>
  <c r="I75" i="1"/>
  <c r="I30" i="39"/>
  <c r="I35" i="39" s="1"/>
  <c r="I10" i="39"/>
  <c r="I12" i="39" l="1"/>
  <c r="I33" i="39" s="1"/>
  <c r="I24" i="39"/>
  <c r="I34" i="39" s="1"/>
  <c r="I36" i="39" l="1"/>
  <c r="G97" i="1" s="1"/>
  <c r="H97" i="1" s="1"/>
  <c r="I97" i="1" s="1"/>
  <c r="I29" i="30"/>
  <c r="I24" i="30"/>
  <c r="I17" i="30"/>
  <c r="I11" i="30"/>
  <c r="I12" i="30" s="1"/>
  <c r="I27" i="30" s="1"/>
  <c r="I30" i="28"/>
  <c r="I18" i="28"/>
  <c r="I17" i="28"/>
  <c r="I16" i="28"/>
  <c r="I11" i="28"/>
  <c r="I10" i="28"/>
  <c r="I31" i="27"/>
  <c r="I29" i="27"/>
  <c r="I26" i="27"/>
  <c r="I31" i="25"/>
  <c r="I36" i="25" s="1"/>
  <c r="I20" i="25"/>
  <c r="I19" i="25"/>
  <c r="I18" i="25"/>
  <c r="I17" i="25"/>
  <c r="I11" i="25"/>
  <c r="I10" i="25"/>
  <c r="I23" i="24"/>
  <c r="I28" i="24" s="1"/>
  <c r="I17" i="24"/>
  <c r="I27" i="24" s="1"/>
  <c r="I11" i="24"/>
  <c r="I10" i="24"/>
  <c r="P10" i="23"/>
  <c r="H16" i="30" s="1"/>
  <c r="I16" i="30" s="1"/>
  <c r="P8" i="23"/>
  <c r="H16" i="42" s="1"/>
  <c r="I16" i="42" s="1"/>
  <c r="I20" i="42" s="1"/>
  <c r="I30" i="42" s="1"/>
  <c r="I32" i="42" s="1"/>
  <c r="G102" i="1" s="1"/>
  <c r="H102" i="1" s="1"/>
  <c r="I12" i="28" l="1"/>
  <c r="I28" i="28" s="1"/>
  <c r="I13" i="25"/>
  <c r="I34" i="25" s="1"/>
  <c r="I12" i="24"/>
  <c r="I26" i="24" s="1"/>
  <c r="I29" i="24" s="1"/>
  <c r="G26" i="1" s="1"/>
  <c r="H26" i="1" s="1"/>
  <c r="I26" i="1" s="1"/>
  <c r="I18" i="30"/>
  <c r="I28" i="30" s="1"/>
  <c r="I30" i="30" s="1"/>
  <c r="G95" i="1" s="1"/>
  <c r="H95" i="1" s="1"/>
  <c r="I95" i="1" s="1"/>
  <c r="I20" i="28"/>
  <c r="I29" i="28" s="1"/>
  <c r="I20" i="27"/>
  <c r="I30" i="27" s="1"/>
  <c r="I32" i="27" s="1"/>
  <c r="G82" i="1" s="1"/>
  <c r="H82" i="1" s="1"/>
  <c r="I82" i="1" s="1"/>
  <c r="I25" i="25"/>
  <c r="I35" i="25" s="1"/>
  <c r="I31" i="28" l="1"/>
  <c r="G93" i="1" s="1"/>
  <c r="H93" i="1" s="1"/>
  <c r="I93" i="1" s="1"/>
  <c r="I99" i="1" s="1"/>
  <c r="D29" i="22" s="1"/>
  <c r="I37" i="25"/>
  <c r="H29" i="22" l="1"/>
  <c r="H40" i="22" s="1"/>
  <c r="I29" i="22"/>
  <c r="I40" i="22" s="1"/>
  <c r="H79" i="1"/>
  <c r="I79" i="1" s="1"/>
  <c r="G78" i="1"/>
  <c r="H78" i="1" s="1"/>
  <c r="I78" i="1" s="1"/>
  <c r="I83" i="1" l="1"/>
  <c r="F20" i="1"/>
  <c r="I20" i="1" s="1"/>
  <c r="J43" i="11" l="1"/>
  <c r="F13" i="1" l="1"/>
  <c r="I13" i="1" s="1"/>
  <c r="I194" i="11"/>
  <c r="J194" i="11" s="1"/>
  <c r="J204" i="11" s="1"/>
  <c r="F35" i="1" s="1"/>
  <c r="I14" i="1"/>
  <c r="D9" i="22" l="1"/>
  <c r="J187" i="11"/>
  <c r="F31" i="1" s="1"/>
  <c r="F9" i="22" l="1"/>
  <c r="F40" i="22" s="1"/>
  <c r="D38" i="22"/>
  <c r="E9" i="22"/>
  <c r="E40" i="22" s="1"/>
  <c r="D34" i="22" l="1"/>
  <c r="D36" i="22"/>
  <c r="D32" i="22"/>
  <c r="D30" i="22"/>
  <c r="I112" i="1"/>
  <c r="I113" i="1"/>
  <c r="I115" i="1"/>
  <c r="I117" i="1"/>
  <c r="I102" i="1"/>
  <c r="I103" i="1" s="1"/>
  <c r="I31" i="1"/>
  <c r="I32" i="1" s="1"/>
  <c r="E39" i="5"/>
  <c r="E30" i="5"/>
  <c r="E17" i="5"/>
  <c r="E41" i="5" s="1"/>
  <c r="E43" i="5" s="1"/>
  <c r="I118" i="1" l="1"/>
  <c r="E50" i="5"/>
  <c r="E11" i="22" l="1"/>
  <c r="J8" i="22"/>
  <c r="J21" i="22" l="1"/>
  <c r="H15" i="22"/>
  <c r="F15" i="22"/>
  <c r="J15" i="22" s="1"/>
  <c r="G15" i="22"/>
  <c r="F13" i="22"/>
  <c r="G13" i="22"/>
  <c r="E13" i="22"/>
  <c r="E41" i="22" s="1"/>
  <c r="J9" i="22"/>
  <c r="J12" i="22"/>
  <c r="F41" i="22" l="1"/>
  <c r="G41" i="22" s="1"/>
  <c r="J13" i="22"/>
  <c r="J18" i="22"/>
  <c r="J10" i="22"/>
  <c r="J11" i="22"/>
  <c r="J17" i="22"/>
  <c r="J16" i="22"/>
  <c r="J19" i="22"/>
  <c r="J20" i="22"/>
  <c r="J14" i="22"/>
  <c r="H41" i="22" l="1"/>
  <c r="I41" i="22" s="1"/>
  <c r="I123" i="1"/>
  <c r="I38" i="22" l="1"/>
  <c r="D26" i="22"/>
  <c r="D22" i="22"/>
  <c r="D28" i="22"/>
  <c r="D24" i="22"/>
  <c r="E38" i="22"/>
  <c r="E39" i="22" s="1"/>
  <c r="D12" i="22"/>
  <c r="G38" i="22"/>
  <c r="D16" i="22"/>
  <c r="F38" i="22"/>
  <c r="D18" i="22"/>
  <c r="D20" i="22"/>
  <c r="D14" i="22"/>
  <c r="D10" i="22"/>
  <c r="H38" i="22"/>
  <c r="D8" i="22"/>
  <c r="F39" i="22" l="1"/>
  <c r="G39" i="22" s="1"/>
  <c r="H39" i="22" s="1"/>
  <c r="I39" i="22" s="1"/>
</calcChain>
</file>

<file path=xl/sharedStrings.xml><?xml version="1.0" encoding="utf-8"?>
<sst xmlns="http://schemas.openxmlformats.org/spreadsheetml/2006/main" count="2365" uniqueCount="645">
  <si>
    <t>PREFEITURA MUNICIPAL DE JOÃO NEIVA</t>
  </si>
  <si>
    <t>PLANILHA ORÇAMENTÁRIA</t>
  </si>
  <si>
    <t>OBRA: REFORMA DOS LABORATÓRIOS DE INFORMÁTICA EDUCATIVA - LIED'S EM DIVERSAS ESCOLAS NO MUNICÍPIO DE JOÃO NEIVA-ES</t>
  </si>
  <si>
    <t>L. SOCIAIS:</t>
  </si>
  <si>
    <t>TABELA DE REFERÊNCIA: DER/ES</t>
  </si>
  <si>
    <t>LOCAL: JOÃO NEIVA-ES</t>
  </si>
  <si>
    <t>BDI:</t>
  </si>
  <si>
    <t>DATA-BASE:</t>
  </si>
  <si>
    <t>ORÇAMENTISTA: JEFTER DOS SANTOS LADISLAU   CREA ES: 0043139/D</t>
  </si>
  <si>
    <t xml:space="preserve">DATA DA PLANILHA: </t>
  </si>
  <si>
    <t>ITEM</t>
  </si>
  <si>
    <t>CÓDIGO</t>
  </si>
  <si>
    <t>ORGÃO</t>
  </si>
  <si>
    <t>DESCRIÇÃO SERVIÇO</t>
  </si>
  <si>
    <t>UNIDADE</t>
  </si>
  <si>
    <t>QUANTIDADE</t>
  </si>
  <si>
    <t>CUSTO (R$)</t>
  </si>
  <si>
    <t>UNITÁRIO</t>
  </si>
  <si>
    <t>UNITÁRIO C/ BDI</t>
  </si>
  <si>
    <t>TOTAL</t>
  </si>
  <si>
    <t>01</t>
  </si>
  <si>
    <t>SERVIÇOS PRELIMINARES</t>
  </si>
  <si>
    <t>1.1</t>
  </si>
  <si>
    <t>0102/0103</t>
  </si>
  <si>
    <t>DER-ES</t>
  </si>
  <si>
    <t>DEMOLIÇÕES E RETIRADAS</t>
  </si>
  <si>
    <t>1.1.1</t>
  </si>
  <si>
    <t>010202</t>
  </si>
  <si>
    <t>Demolição de piso revestido com cerâmica</t>
  </si>
  <si>
    <t xml:space="preserve">m2 </t>
  </si>
  <si>
    <t>1.1.2</t>
  </si>
  <si>
    <t>010206</t>
  </si>
  <si>
    <t>Demolição de revestimento com azulejos</t>
  </si>
  <si>
    <t>1.1.3</t>
  </si>
  <si>
    <t>010209</t>
  </si>
  <si>
    <t xml:space="preserve">Demolição de alvenaria </t>
  </si>
  <si>
    <t xml:space="preserve">m3 </t>
  </si>
  <si>
    <t>1.1.4</t>
  </si>
  <si>
    <t>010210</t>
  </si>
  <si>
    <t xml:space="preserve">Demolição manual de concreto simples (EMOP 05.001.001) </t>
  </si>
  <si>
    <t>1.1.5</t>
  </si>
  <si>
    <t>010214</t>
  </si>
  <si>
    <t xml:space="preserve">Retirada de portas e janelas de madeira, inclusive batentes </t>
  </si>
  <si>
    <t>1.1.6</t>
  </si>
  <si>
    <t>010219</t>
  </si>
  <si>
    <t>Demolição manual de concreto armado (EMOP 05.001.033)</t>
  </si>
  <si>
    <t>1.1.7</t>
  </si>
  <si>
    <t>010220</t>
  </si>
  <si>
    <t>Demolição de piso cimentado, exclusive lastro de concreto</t>
  </si>
  <si>
    <t>1.1.8</t>
  </si>
  <si>
    <t>010224</t>
  </si>
  <si>
    <t xml:space="preserve">Retirada de grades, gradis, alambrados, cercas e portões </t>
  </si>
  <si>
    <t>m2</t>
  </si>
  <si>
    <t>1.1.9</t>
  </si>
  <si>
    <t>010244</t>
  </si>
  <si>
    <t>Retirada de rodapé em argamassa de cimento e areia</t>
  </si>
  <si>
    <t>m</t>
  </si>
  <si>
    <t>1.1.10</t>
  </si>
  <si>
    <t xml:space="preserve">010246 </t>
  </si>
  <si>
    <t xml:space="preserve">Lixamento de parede com pintura antiga PVA para recebimento de nova camada de tinta </t>
  </si>
  <si>
    <t>1.1.11</t>
  </si>
  <si>
    <t xml:space="preserve">010256 </t>
  </si>
  <si>
    <t xml:space="preserve">Remoção de telha ondulada de fibrocimento, inclusive cumeeira </t>
  </si>
  <si>
    <t>1.1.12</t>
  </si>
  <si>
    <t>010259</t>
  </si>
  <si>
    <t>Retirada de rodapé de madeira ou cerâmica</t>
  </si>
  <si>
    <t>1.1.13</t>
  </si>
  <si>
    <t>010331</t>
  </si>
  <si>
    <t xml:space="preserve">Demolição de piso, soleira, peitoris e escadas em mármore ou granito, exclusive regularização </t>
  </si>
  <si>
    <t>1.1.14</t>
  </si>
  <si>
    <t>010327</t>
  </si>
  <si>
    <t xml:space="preserve">Retirada de marco de madeira </t>
  </si>
  <si>
    <t>1.1.15</t>
  </si>
  <si>
    <t>COMP-01</t>
  </si>
  <si>
    <t>Retirada de bancada de granito para reaproveitamento</t>
  </si>
  <si>
    <t>1.1.16</t>
  </si>
  <si>
    <t>COMP-12</t>
  </si>
  <si>
    <t>Retirada de forro em pvc</t>
  </si>
  <si>
    <t>SUB-TOTAL 01</t>
  </si>
  <si>
    <t>02</t>
  </si>
  <si>
    <t>INSTALAÇÃO DO CANTEIRO DE OBRAS</t>
  </si>
  <si>
    <t>2.1</t>
  </si>
  <si>
    <t>0203</t>
  </si>
  <si>
    <t>TAPUMES, BARRACÕES E COBERTURAS</t>
  </si>
  <si>
    <t>2.1.1</t>
  </si>
  <si>
    <t>020305</t>
  </si>
  <si>
    <t>Placa de obra nas dimensões de 2.0 x 4.0 m, padrão IOPES</t>
  </si>
  <si>
    <t>SUB-TOTAL 02</t>
  </si>
  <si>
    <t>03</t>
  </si>
  <si>
    <t>MOVIMENTO DE TERRA</t>
  </si>
  <si>
    <t>3.1</t>
  </si>
  <si>
    <t>0303</t>
  </si>
  <si>
    <t>TRANSPORTES</t>
  </si>
  <si>
    <t>3.1.1</t>
  </si>
  <si>
    <t>030304</t>
  </si>
  <si>
    <t>Índice de preço para remoção de entulho decorrente da execução de obras (Classe A CONAMA - NBR10.004 - Classe II-B), incluindo aluguel da caçamba, carga, transporte e descarga em área licenciada</t>
  </si>
  <si>
    <t>SUB-TOTAL 03</t>
  </si>
  <si>
    <t>04</t>
  </si>
  <si>
    <t>ESTRUTURAS</t>
  </si>
  <si>
    <t>4.1</t>
  </si>
  <si>
    <t>0406</t>
  </si>
  <si>
    <t>LAJES PRÉ-MOLDADAS</t>
  </si>
  <si>
    <t>4.1.1</t>
  </si>
  <si>
    <t>040602</t>
  </si>
  <si>
    <t xml:space="preserve">Laje pré-fabricada treliçada, sobrecarga 300 Kg/m2, vão de 3.5m a 4.3m, capeamento 4cm, esp. 12cm, Fck= 150 Kg/cm2 m2 </t>
  </si>
  <si>
    <t>SUB-TOTAL 04</t>
  </si>
  <si>
    <t>06</t>
  </si>
  <si>
    <t>ESQUADRIAS DE MADEIRA</t>
  </si>
  <si>
    <t>5.1</t>
  </si>
  <si>
    <t>0601</t>
  </si>
  <si>
    <t>MARCOS E ALIZARES</t>
  </si>
  <si>
    <t>5.1.1</t>
  </si>
  <si>
    <t xml:space="preserve">060103 </t>
  </si>
  <si>
    <t>Marco de madeira de lei de 1ª (Peroba, Ipê, Angelim Pedra ou equivalente) com 15x3 cm de batente, nas dimensões de 0.80 x 2.10 m</t>
  </si>
  <si>
    <t>und</t>
  </si>
  <si>
    <t>5.1.2</t>
  </si>
  <si>
    <t>060108</t>
  </si>
  <si>
    <t>Marco de madeira de lei de 1ª (Peroba, Ipê, Angelim Pedra ou equivalente) com 15 x 3 cm de batente, nas dimensões de 0.90 x 2.10 m</t>
  </si>
  <si>
    <t>5.2</t>
  </si>
  <si>
    <t>0619</t>
  </si>
  <si>
    <t>PORTA EM MADEIRA DE LEI TIPO ANGELIM PEDRA OU EQUIV. C/ ENCHIMENTO EM MADEIRA DE 1ª QUALIDADE ESP 30MM, COM VISOR DE VIDRO, INCL. ALIZARES, DOBRADIÇAS E FECHADURAS EXT EM LATÃO CROMADO LAFONTE/EQUIV , EXCL. MARCO, NAS DIMENSÕES:</t>
  </si>
  <si>
    <t>5.2.1</t>
  </si>
  <si>
    <t>061902</t>
  </si>
  <si>
    <t>Porta em madeira de Lei tipo Angelim Pedra ou equiv. c/ enchimento em madeira de 1ª qualidade esp. 30mm, com visor de vidro, inclusive alizares, dobradiças e fechaduras externas em latão cromado La Fonte/equiv. exclusive marco, nas dimensões: 0.80 x 2.10m</t>
  </si>
  <si>
    <t xml:space="preserve">und </t>
  </si>
  <si>
    <t>5.2.2</t>
  </si>
  <si>
    <t xml:space="preserve">061903 </t>
  </si>
  <si>
    <t>Porta em madeira de Lei tipo Angelim Pedra ou equiv. c/ enchimento em madeira de 1ª qualidade esp. 30mm, com visor de vidro, inclusive alizares, dobradiças e fechaduras externas em latão cromado La Fonte/equiv. exclusive marco, nas dimensões: 0.90 x 2.10m</t>
  </si>
  <si>
    <t>SUB-TOTAL 05</t>
  </si>
  <si>
    <t>07</t>
  </si>
  <si>
    <t>ESQUADRIAS METÁLICAS</t>
  </si>
  <si>
    <t>6.1</t>
  </si>
  <si>
    <t>0711</t>
  </si>
  <si>
    <t>GRADES E PORTÕES</t>
  </si>
  <si>
    <t>6.1.1</t>
  </si>
  <si>
    <t>071104</t>
  </si>
  <si>
    <t xml:space="preserve">Portão de ferro de abrir em barra chata, inclusive chumbamento  </t>
  </si>
  <si>
    <t>6.1.2</t>
  </si>
  <si>
    <t>071105</t>
  </si>
  <si>
    <t xml:space="preserve">Grade de ferro em barra chata, inclusive chumbamento </t>
  </si>
  <si>
    <t>SUB-TOTAL 06</t>
  </si>
  <si>
    <t>09</t>
  </si>
  <si>
    <t>COBERTURA</t>
  </si>
  <si>
    <t>7.1</t>
  </si>
  <si>
    <t>7.1.1</t>
  </si>
  <si>
    <t>SUB-TOTAL 07</t>
  </si>
  <si>
    <t>TETOS E FORROS</t>
  </si>
  <si>
    <t>8.1</t>
  </si>
  <si>
    <t>REBAIXAMENTOS</t>
  </si>
  <si>
    <t>8.1.1</t>
  </si>
  <si>
    <t>110201</t>
  </si>
  <si>
    <t xml:space="preserve">Forro de gesso acabamento tipo liso </t>
  </si>
  <si>
    <t>SUB-TOTAL 08</t>
  </si>
  <si>
    <t>PISOS INTERNOS E EXTERNOS</t>
  </si>
  <si>
    <t>9.1</t>
  </si>
  <si>
    <t>ACABAMENTOS</t>
  </si>
  <si>
    <t>9.1.1</t>
  </si>
  <si>
    <t>130230</t>
  </si>
  <si>
    <t>Piso argamassa alta resistência tipo granilite ou equiv de qualidade comprovada, esp de 10mm, com juntas plástica em quadros de 1m, na cor natural, com acabamento anti-derrapante mecanizado, inclusive regularização e=3.0cm</t>
  </si>
  <si>
    <t>9.1.2</t>
  </si>
  <si>
    <t>130234</t>
  </si>
  <si>
    <t>Porcelanato natural, acabamento acetinado, dim. 60x60cm, ref. PLATINA NA Eliane/equiv, utilizando dupla colagem de argamassa colante para porcelanato tipo ACIII e rejunte 1mm para porcelanato</t>
  </si>
  <si>
    <t>SUB-TOTAL 09</t>
  </si>
  <si>
    <t>INSTALAÇÕES ELÉTRICAS</t>
  </si>
  <si>
    <t>10.1</t>
  </si>
  <si>
    <t>CAIXAS DE PASSAGEM</t>
  </si>
  <si>
    <t>10.1.1</t>
  </si>
  <si>
    <t xml:space="preserve">Caixa de passagem 200x200x100mm, chapa 18, com tampa parafusada </t>
  </si>
  <si>
    <t>10.2</t>
  </si>
  <si>
    <t>INSTALAÇÕES APARENTES</t>
  </si>
  <si>
    <t>10.2.1</t>
  </si>
  <si>
    <t xml:space="preserve">Eletroduto aparente de PVC rígido roscável diâmetro 3/4", inclusive abraçadeira de fixação </t>
  </si>
  <si>
    <t>10.2.2</t>
  </si>
  <si>
    <t>Caixa de ligação de alumínio silício, tipo CONDULETES, sem rosca, no formato LR, inclusive tampa com vedação, diâmetro 3/4"</t>
  </si>
  <si>
    <t>10.3</t>
  </si>
  <si>
    <t>FIOS E CABOS</t>
  </si>
  <si>
    <t>10.3.1</t>
  </si>
  <si>
    <t xml:space="preserve">Fio de cobre termoplástico, com isolamento para 750V, seção de 2.5 mm2 </t>
  </si>
  <si>
    <t xml:space="preserve">m </t>
  </si>
  <si>
    <t>10.3.2</t>
  </si>
  <si>
    <t xml:space="preserve">Fio ou cabo de cobre termoplástico, com isolamento para 750V, seção de 4.0 mm2  </t>
  </si>
  <si>
    <t>10.4</t>
  </si>
  <si>
    <t>PONTOS ELÉTRICOS</t>
  </si>
  <si>
    <t>10.4.1</t>
  </si>
  <si>
    <t>COMP-02</t>
  </si>
  <si>
    <t>Ponto padrão de tomada 2 pólos mais terra - considerando eletroduto PVC rígido de 3/4" inclusive conexões (5.0m), fio isolado PVC de 2.5mm2 (16.5m) e caixa pvc 4x2" (1 und)</t>
  </si>
  <si>
    <t>10.4.2</t>
  </si>
  <si>
    <t>COMP-03</t>
  </si>
  <si>
    <t xml:space="preserve">Ponto padrão de tomada dupla 2 pólos mais terra - considerando eletroduto PVC rígido de 3/4" inclusive conexões (5.0m), fio isolado PVC de 2.5mm2 (16.5m) e caixa pvc 4x2" </t>
  </si>
  <si>
    <t>10.5</t>
  </si>
  <si>
    <t>QUADROS DE DISTRIBUIÇÃO</t>
  </si>
  <si>
    <t>10.5.1</t>
  </si>
  <si>
    <t>COMP-04</t>
  </si>
  <si>
    <t>Quadro de entrada para alimentação</t>
  </si>
  <si>
    <t>SUB-TOTAL 10</t>
  </si>
  <si>
    <t>OUTRAS INSTALAÇÕES</t>
  </si>
  <si>
    <t>11.1</t>
  </si>
  <si>
    <t>11.1.1</t>
  </si>
  <si>
    <t>11.2</t>
  </si>
  <si>
    <t>INSTALAÇÕES DE REDE LOGICA</t>
  </si>
  <si>
    <t>11.2.1</t>
  </si>
  <si>
    <t xml:space="preserve">Espelho 4" x 2" com conector RJ 45 fêmea CAT. 5e </t>
  </si>
  <si>
    <t>11.2.2</t>
  </si>
  <si>
    <t>Fornecimento e instalação de Cabo de rede par trançado 4 pares Categoria 5e</t>
  </si>
  <si>
    <t xml:space="preserve"> m </t>
  </si>
  <si>
    <t>11.2.3</t>
  </si>
  <si>
    <t xml:space="preserve">Patch Cord Multilan Extra Flexível CAT 5e U/UTP RJ-45 - 1,50 m </t>
  </si>
  <si>
    <t>11.2.4</t>
  </si>
  <si>
    <t xml:space="preserve">Patch Cord Multilan Extra Flexível CAT 5e U/UTP RJ-45 - 3,00 m </t>
  </si>
  <si>
    <t>11.2.5</t>
  </si>
  <si>
    <t xml:space="preserve">Espelho 4" x 4" com 2 conector RJ 45 fêmea CAT. 5e und </t>
  </si>
  <si>
    <t>11.2.6</t>
  </si>
  <si>
    <t>COMP-05</t>
  </si>
  <si>
    <t xml:space="preserve">Eletroduto aparente de PVC rígido roscável diâmetro 1 1/2", inclusive abraçadeira de fixação </t>
  </si>
  <si>
    <t>11.2.7</t>
  </si>
  <si>
    <t>COMP-06</t>
  </si>
  <si>
    <t xml:space="preserve">Eletroduto aparente de PVC rígido roscável diâmetro 2", inclusive abraçadeira de fixação </t>
  </si>
  <si>
    <t>11.2.8</t>
  </si>
  <si>
    <t>COMP-07</t>
  </si>
  <si>
    <t>Caixa de ligação de alumínio silício, tipo CONDULETES, sem rosca, inclusive tampa com vedação, diâmetro 1 1/2"</t>
  </si>
  <si>
    <t>11.2.9</t>
  </si>
  <si>
    <t>COMP-08</t>
  </si>
  <si>
    <t>Caixa de ligação de alumínio silício, tipo CONDULETES, sem rosca,inclusive tampa com vedação, diâmetro 2"</t>
  </si>
  <si>
    <t>11.2.10</t>
  </si>
  <si>
    <t>COMP-09</t>
  </si>
  <si>
    <t>Fornecimento e instalação de Mini Rack de Parede Padrão 19" - 08 U´s x 470mm (completo)</t>
  </si>
  <si>
    <t>11.2.11</t>
  </si>
  <si>
    <t>COMP-10</t>
  </si>
  <si>
    <t>Fornecimento e instalação de Mini Rack de Parede Padrão 19" - 12 U´s x 570mm  (completo)</t>
  </si>
  <si>
    <t>SUB-TOTAL 11</t>
  </si>
  <si>
    <t>12.1</t>
  </si>
  <si>
    <t>BANCADAS</t>
  </si>
  <si>
    <t>COMP-11</t>
  </si>
  <si>
    <t>SUB-TOTAL 12</t>
  </si>
  <si>
    <t>APARELHOS ELÉTRICOS</t>
  </si>
  <si>
    <t>13.1</t>
  </si>
  <si>
    <t>AR REFRIGERADO</t>
  </si>
  <si>
    <t>13.1.1</t>
  </si>
  <si>
    <t>180604</t>
  </si>
  <si>
    <t>13.1.2</t>
  </si>
  <si>
    <t>180606</t>
  </si>
  <si>
    <t>SUB-TOTAL 13</t>
  </si>
  <si>
    <t>PINTURA</t>
  </si>
  <si>
    <t>14.1</t>
  </si>
  <si>
    <t>SOBRE PAREDES E FORROS</t>
  </si>
  <si>
    <t>14.1.1</t>
  </si>
  <si>
    <t xml:space="preserve">Emassamento de paredes e forros, com duas demãos de massa acrílica, marcas de referência Suvinil, Coral ou Metalatex </t>
  </si>
  <si>
    <t>14.1.2</t>
  </si>
  <si>
    <t xml:space="preserve">Pintura com tinta acrílica, marcas de referência Suvinil, Coral ou Metalatex, inclusive selador acrílico, em paredes e forros, a três demãos </t>
  </si>
  <si>
    <t>14.2</t>
  </si>
  <si>
    <t>SOBRE MADEIRA</t>
  </si>
  <si>
    <t>14.2.1</t>
  </si>
  <si>
    <t>Pintura com verniz filtro solar fosco, linha Premium, em madeira, a três demãos, marcas de referência Suvinil, Coral ou Metalatex</t>
  </si>
  <si>
    <t>14.3</t>
  </si>
  <si>
    <t>SOBRE METAL</t>
  </si>
  <si>
    <t>14.3.1</t>
  </si>
  <si>
    <t>Pintura com tinta esmalte sintético, marcas de referência Suvinil, Coral ou Metalatex, a duas demãos, inclusive fundo anticorrosivo a uma demão, em metal</t>
  </si>
  <si>
    <t>SUB-TOTAL 14</t>
  </si>
  <si>
    <t>SERVIÇOS COMPLEMENTARES EXTERNOS</t>
  </si>
  <si>
    <t>15.1</t>
  </si>
  <si>
    <t>TRATAMENTO, CONSERVAÇÃO E LIMPEZA</t>
  </si>
  <si>
    <t>15.1.1</t>
  </si>
  <si>
    <t xml:space="preserve">200401 </t>
  </si>
  <si>
    <t xml:space="preserve">Limpeza geral da obra (edificação) </t>
  </si>
  <si>
    <t>SUB-TOTAL 15</t>
  </si>
  <si>
    <t>MEMÓRIA DE CÁLCULO</t>
  </si>
  <si>
    <t>TABELA DE REFERÊNCIA:DER/ES</t>
  </si>
  <si>
    <t>ABR/21</t>
  </si>
  <si>
    <t>Qnt</t>
  </si>
  <si>
    <t>C (m)</t>
  </si>
  <si>
    <t>L (m)</t>
  </si>
  <si>
    <t>H (m)</t>
  </si>
  <si>
    <t>A(m2)</t>
  </si>
  <si>
    <t>V(m3)</t>
  </si>
  <si>
    <t>QUANT.  DO SERVIÇO</t>
  </si>
  <si>
    <t xml:space="preserve">EMPEIF Barra do Triunfo </t>
  </si>
  <si>
    <t>EMEF Missionários Combonianos</t>
  </si>
  <si>
    <t>EMEIF Guilherme Baptista</t>
  </si>
  <si>
    <t>EMEIF José Rebuzzi Sarcinelli</t>
  </si>
  <si>
    <t>EMPEIF Cavalinho</t>
  </si>
  <si>
    <t>EMPEIF Santo Afonso</t>
  </si>
  <si>
    <t>EMEIF Dr. Orlindo Francisco Borges</t>
  </si>
  <si>
    <t>EMEF Professora Maria Olíria Sarcinelli Campagnaro</t>
  </si>
  <si>
    <t>Total</t>
  </si>
  <si>
    <t>EMEF Pedro Nolasco</t>
  </si>
  <si>
    <t>Prateleiras</t>
  </si>
  <si>
    <t>Pilares</t>
  </si>
  <si>
    <t>Bancada Central</t>
  </si>
  <si>
    <t>EMPEIF Barra do Triunfo</t>
  </si>
  <si>
    <t>Bancada janela (considerando pés)</t>
  </si>
  <si>
    <t>Bancada central (considerando pés)</t>
  </si>
  <si>
    <t>Bancada porta (considerando pés)</t>
  </si>
  <si>
    <t>Considerando revestir todas as paredes dos lieds até a altura de 1,20m</t>
  </si>
  <si>
    <t>Área vãos a descontar (m2)</t>
  </si>
  <si>
    <t>CRONOGRAMA FÍSICO-FINANCEIRO</t>
  </si>
  <si>
    <t>OBRA:REFORMA DOS LABORATÓRIOS DE INFORMÁTICA EDUCATIVA - LIED'S EM DIVERSAS ESCOLAS NO MUNICÍPIO DE JOÃO NEIVA-ES</t>
  </si>
  <si>
    <t>ORÇAMENTISTA: JEFTER DOS SANTOS LADISLAU - ENGENHEIRO CIVIL - CREA/ES 0043139/D</t>
  </si>
  <si>
    <t>ETAPAS</t>
  </si>
  <si>
    <t xml:space="preserve">VALORES </t>
  </si>
  <si>
    <t>PERÍODO (MESES)</t>
  </si>
  <si>
    <t xml:space="preserve">Físico (%) </t>
  </si>
  <si>
    <t>Financeiro (R$)</t>
  </si>
  <si>
    <t>05</t>
  </si>
  <si>
    <t>Total Parcial (%)</t>
  </si>
  <si>
    <t>Metas (%)</t>
  </si>
  <si>
    <t>Total Financeiro (R$)</t>
  </si>
  <si>
    <t>Total Acumulado (R$)</t>
  </si>
  <si>
    <t>COMPOSIÇÃO BDI</t>
  </si>
  <si>
    <t>Para Serviços</t>
  </si>
  <si>
    <t>GRUPO A</t>
  </si>
  <si>
    <t>Administração Central</t>
  </si>
  <si>
    <t>Total Grupo A</t>
  </si>
  <si>
    <t>GRUPO B</t>
  </si>
  <si>
    <t>Administração Local</t>
  </si>
  <si>
    <t>Total Grupo B</t>
  </si>
  <si>
    <t>GRUPO C</t>
  </si>
  <si>
    <t>Impostos/Tributos</t>
  </si>
  <si>
    <t>ISS</t>
  </si>
  <si>
    <t>PIS</t>
  </si>
  <si>
    <t>COFINS</t>
  </si>
  <si>
    <t>CPRB</t>
  </si>
  <si>
    <t>Total Grupo C</t>
  </si>
  <si>
    <t>GRUPO D</t>
  </si>
  <si>
    <t>Custos Financeiros</t>
  </si>
  <si>
    <t>Total Grupo D</t>
  </si>
  <si>
    <t>GRUPO E</t>
  </si>
  <si>
    <t>Seguros / Garantia</t>
  </si>
  <si>
    <t>Riscos</t>
  </si>
  <si>
    <t>Total Grupo E</t>
  </si>
  <si>
    <t>GRUPO F</t>
  </si>
  <si>
    <t>Lucro</t>
  </si>
  <si>
    <t>Total Grupo F</t>
  </si>
  <si>
    <t>BDI Total</t>
  </si>
  <si>
    <t>OBS:</t>
  </si>
  <si>
    <t>1</t>
  </si>
  <si>
    <t>- A fórmula para cálculo da taxa a ser acrescida aos custos diretos de um</t>
  </si>
  <si>
    <t>empreendimento a título de Benefícios e Despesas Indiretas é:</t>
  </si>
  <si>
    <r>
      <t>BDI = {</t>
    </r>
    <r>
      <rPr>
        <b/>
        <u/>
        <sz val="10"/>
        <rFont val="Arial"/>
        <family val="2"/>
      </rPr>
      <t>(1 + D)*(1 + A+B+E)*(1 + F)}</t>
    </r>
    <r>
      <rPr>
        <b/>
        <sz val="10"/>
        <rFont val="Arial"/>
        <family val="2"/>
      </rPr>
      <t xml:space="preserve">  -1, onde:</t>
    </r>
  </si>
  <si>
    <t>(1 – C)</t>
  </si>
  <si>
    <t>A = ADMINISTRAÇÃO CENTRAL;</t>
  </si>
  <si>
    <t>B = ADMINISTRAÇÃO LOCAL;</t>
  </si>
  <si>
    <t>C = ISS + PIS + COFINS+INSS;</t>
  </si>
  <si>
    <t>D = CUSTOS FINANCEIROS;</t>
  </si>
  <si>
    <t>E = RISCOS, SEGUROS E GARANTIAS;</t>
  </si>
  <si>
    <t>F = BENEFÍCIO/LUCRO;</t>
  </si>
  <si>
    <t>JUSTIFICATIVA MODIFICAÇÃO DOS PERCENTUAIS:</t>
  </si>
  <si>
    <r>
      <t xml:space="preserve">ADMINISTRAÇÃO LOCAL: </t>
    </r>
    <r>
      <rPr>
        <sz val="10"/>
        <rFont val="Arial"/>
        <family val="2"/>
      </rPr>
      <t>FOI CONSIDERADO PERCENTUAL INFERIOR AO DA TABELA DE TAXA DE BDI PADRÃO APLICÁVEL, CONFORME RESOLUÇÃO Nº329, DE 24 DE SETEMBRO DE 2019, VISANDO NÃO ULTRAPASSAR O PERCENTUAL DO BDI TOTAL, CONSIDERANDO QUE HOUVE A NECESSIDADE DE AUMENTO DO ISSQN, DE ACORDO COM A LEI MUNICIPAL N° 3.203, DE 27 DE SETEMBRO DE 2019</t>
    </r>
  </si>
  <si>
    <r>
      <t xml:space="preserve">ISSQN: </t>
    </r>
    <r>
      <rPr>
        <sz val="10"/>
        <rFont val="Arial"/>
        <family val="2"/>
      </rPr>
      <t>FOI CONSIDERADO PERCENTUAL SUPERIOR AO DA TABELA DE TAXA DE BDI PADRÃO APLICÁVEL, CONFORME RESOLUÇÃO Nº329, DE 24 DE SETEMBRO DE 2019, CONSIDERANDO QUE HOUVE A NECESSIDADE DE AUMENTO DO ISSQN, DE ACORDO COM A LEI MUNICIPAL N° 3.203, DE 27 DE SETEMBRO DE 2019.</t>
    </r>
  </si>
  <si>
    <t>2</t>
  </si>
  <si>
    <t>- Discriminação do BDI</t>
  </si>
  <si>
    <t xml:space="preserve">A – Despesas financeiras: </t>
  </si>
  <si>
    <t>são aquelas decorrentes do custo do capital de giro para fazer frente às despesas realizadas antes do efetivo recebimento das devidas receitas. Foi apropriada por estimativa com base na média proposta no ACÓRDÃO Nº 2.622/2013, PLENÁRIO de 25 set.2013.</t>
  </si>
  <si>
    <t xml:space="preserve">B – Administração Central: </t>
  </si>
  <si>
    <t>são as despesas relativas à manutenção de parcela do custo do escritório central da empresa, tais como: instalações do imóvel/sede (custo de propriedade ou de locação de imóveis); aquisição e manutenção dos equipamentos da sede (computadores, ar condicionado, veículos e correlatos); despesas administrativas (secretária, vigilante, auxiliar de escritório, contínuo, assessorias tercerizadas - ex. contadoria); despesas com consumo (água, luz, telefone, material para escritório, material para limpeza, alimentos, etc). Foi apropriada por estimativa com base na média proposta noACÓRDÃO Nº 2.622/2013, PLENÁRIO de 25 set.2013.</t>
  </si>
  <si>
    <t xml:space="preserve"> C – Benefício/Lucro: </t>
  </si>
  <si>
    <t>é a parcela que contempla a remuneração do construtor, definidos com base em valor percentual sobre o total dos custos diretos e despesas indiretas, excluídas aquelas referentes às parcelas tributárias. A taxa adotada como benefício deve ser entendida como uma provisão de onde será retirado o lucro do construtor, após desconto de todos os encargos decorrentes de inúmeras incertezas que podem ocorrer durante as obras, difíceis de serem mensuradas no seu conjunto com base no ACÓRDÃO Nº 2.622/2013, PLENÁRIO de 25 set.2013.</t>
  </si>
  <si>
    <t xml:space="preserve">D – Riscos Imprevistos, Garantias e Seguros: </t>
  </si>
  <si>
    <t>valores para cobertura de despesas imprevisíveis e os seguros e garantias estabelecidos no Projeto Básico e orientação contante no ACÓRDÃO Nº 2.622/2013, PLENÁRIO de 25 set.2013.</t>
  </si>
  <si>
    <t xml:space="preserve">E – Valores Relativos aos Tributos:                                                                                                   </t>
  </si>
  <si>
    <r>
      <t xml:space="preserve"> – Impostos sobre serviços de qualquer natureza – ISS, </t>
    </r>
    <r>
      <rPr>
        <sz val="10"/>
        <rFont val="Arial"/>
        <family val="2"/>
      </rPr>
      <t>é imposto de competência municipal, consoante art. 156, inciso III, da Constituição Federal. Alíquota de 4% sobre o valor total da nota fiscal.</t>
    </r>
    <r>
      <rPr>
        <b/>
        <sz val="10"/>
        <rFont val="Arial"/>
        <family val="2"/>
      </rPr>
      <t>(Os 4% consideram a redução de 20% da base de cálculo, conforme previsto no art. 9 do Decreto 13314/2007 e Lei Municipal 6075/2003).</t>
    </r>
  </si>
  <si>
    <r>
      <t xml:space="preserve"> – Contribuição para o Programa de Integração Social – PIS. </t>
    </r>
    <r>
      <rPr>
        <sz val="10"/>
        <rFont val="Arial"/>
        <family val="2"/>
      </rPr>
      <t>A taxa do PIS, definida pelos Decretos-Lei nº 2.445 e 2.449/88, é de 0,65% sobre a receita operacional bruta.</t>
    </r>
  </si>
  <si>
    <r>
      <t xml:space="preserve"> – Contribuição para o Programa de Financiamento da Seguridade Social – COFINS, </t>
    </r>
    <r>
      <rPr>
        <sz val="10"/>
        <rFont val="Arial"/>
        <family val="2"/>
      </rPr>
      <t>definida pela Lei 9.718/98, é de 3%, sobre a receita operacional bruta.</t>
    </r>
  </si>
  <si>
    <r>
      <t xml:space="preserve"> – Contribuição Patronal sobre a Receita Bruta,</t>
    </r>
    <r>
      <rPr>
        <sz val="10"/>
        <rFont val="Arial"/>
        <family val="2"/>
      </rPr>
      <t xml:space="preserve"> definida pela Lei 13.161, de 31 de agosto de 2015, é de 4,5%, sobre a receita operacional bruta.</t>
    </r>
  </si>
  <si>
    <t>COMPOSIÇÃO LEIS SOCIAIS</t>
  </si>
  <si>
    <t>GRUPO A - Encargos Sociais Básicos</t>
  </si>
  <si>
    <t>% IOPES</t>
  </si>
  <si>
    <t>A.1</t>
  </si>
  <si>
    <t>INSS (Art. 22 da Lei 8.212/91)</t>
  </si>
  <si>
    <t>A.2</t>
  </si>
  <si>
    <t>FGTS (Art. 27 do Decreto 99.684/90)</t>
  </si>
  <si>
    <t>A.3</t>
  </si>
  <si>
    <t>SESI/SESC (Lei 8.029/90 e Lei 8.036/90)</t>
  </si>
  <si>
    <t>A.4</t>
  </si>
  <si>
    <t>SENAI/SENAC (Lei 8.029/90 e Decreto-Lei 6246/44)</t>
  </si>
  <si>
    <t>A.5</t>
  </si>
  <si>
    <t>SEBRAE (já considerado no item A.3 e A.4)</t>
  </si>
  <si>
    <t>-</t>
  </si>
  <si>
    <t>A.6</t>
  </si>
  <si>
    <t>INCRA (Lei 2.613/55 e Decreto 1.146/70)</t>
  </si>
  <si>
    <t>A.7</t>
  </si>
  <si>
    <t>SALÁRIO-EDUCAÇÃO (Decreto 87.043/82)</t>
  </si>
  <si>
    <t>A.8</t>
  </si>
  <si>
    <t>SEGURO ACIDENTE DO TRABALHO (Lei 8.212/91 e Decreto 3.048/99)</t>
  </si>
  <si>
    <t>A.9</t>
  </si>
  <si>
    <t>SECONCI/Medicina do Trabalho</t>
  </si>
  <si>
    <t>TOTAL GRUPO A</t>
  </si>
  <si>
    <t>GRUPO B - Encargos Sociais que recebem a incidência do grupo A</t>
  </si>
  <si>
    <t>B.1</t>
  </si>
  <si>
    <t>Descanso Semanal Remunerado (Art. 66 da CLT e Art. 7º da CF/88)</t>
  </si>
  <si>
    <t>B.2</t>
  </si>
  <si>
    <t>Feriados (Art. 70 da CLT e Lei 605/49)</t>
  </si>
  <si>
    <t>B.3</t>
  </si>
  <si>
    <t>Auxílio doença e acidente do trabalho (Lei 3.607/60 e Art. 131 da CLT)</t>
  </si>
  <si>
    <t>B.4</t>
  </si>
  <si>
    <t>Licença Paternidade (Art. 7º da CF/88)</t>
  </si>
  <si>
    <t>B.5</t>
  </si>
  <si>
    <t>Faltas Legais (Art. 473 da CLT)</t>
  </si>
  <si>
    <t>B.6</t>
  </si>
  <si>
    <t>13º Salário (Lei nº 4090/62)</t>
  </si>
  <si>
    <t>B.7</t>
  </si>
  <si>
    <t>Aviso Prévio Trabalhado (Art. 7º, inciso XXI da CF/88)</t>
  </si>
  <si>
    <t>B.8</t>
  </si>
  <si>
    <t>Dias de Chuvas</t>
  </si>
  <si>
    <t>B.9</t>
  </si>
  <si>
    <t>Férias Gozadas</t>
  </si>
  <si>
    <t>B.10</t>
  </si>
  <si>
    <t>Salário Maternidade</t>
  </si>
  <si>
    <t>B.11</t>
  </si>
  <si>
    <t>Auxílio - Enfermidade</t>
  </si>
  <si>
    <t>TOTAL GRUPO B</t>
  </si>
  <si>
    <t>GRUPO C - Encargos Sociais que não recebem a incidência do grupo A</t>
  </si>
  <si>
    <t>C.1</t>
  </si>
  <si>
    <t>Dispensa sem justa causa (LC 110/01)</t>
  </si>
  <si>
    <t>C.2</t>
  </si>
  <si>
    <t>Férias indenizadas (Art. 129 a 148 da CLT)</t>
  </si>
  <si>
    <t>C.3</t>
  </si>
  <si>
    <t>Aviso prévio indenizado (Art. 7º, inciso XXI da CF/88)</t>
  </si>
  <si>
    <t>C.4</t>
  </si>
  <si>
    <t>FGTS sobre aviso prévio indenizado (Súmula 305 TST)</t>
  </si>
  <si>
    <t>C.5</t>
  </si>
  <si>
    <t>INSS sobre aviso prévio indenizado (Decreto 6.727/09)</t>
  </si>
  <si>
    <t>C.6</t>
  </si>
  <si>
    <t>Aviso prévio trabalhado</t>
  </si>
  <si>
    <t>C.7</t>
  </si>
  <si>
    <t>Indenização Adicional</t>
  </si>
  <si>
    <t>TOTAL GRUPO C</t>
  </si>
  <si>
    <t>GRUPO D - Reincidência dos encargos sociais básicos</t>
  </si>
  <si>
    <t>D.1</t>
  </si>
  <si>
    <t>Incidência do grupo A sobre o grupo B</t>
  </si>
  <si>
    <t>D.2</t>
  </si>
  <si>
    <r>
      <rPr>
        <sz val="10"/>
        <rFont val="Arial"/>
        <family val="2"/>
      </rPr>
      <t>Reincidência de Grupo A sobre Aviso Prévio Trabalho e Reincidência
do FGTS sobre Aviso Prévio Indenizado</t>
    </r>
  </si>
  <si>
    <t>TOTAL GRUPO D</t>
  </si>
  <si>
    <t>GRUPO E - Encargos complementares</t>
  </si>
  <si>
    <t>E.1</t>
  </si>
  <si>
    <t>Refeição/alimentação (Convenção Coletiva do Trabalho 2012/2013)</t>
  </si>
  <si>
    <t>E.2</t>
  </si>
  <si>
    <t>Vale Transporte (Lei nº 7418/85 e Decreto 95.247/87)</t>
  </si>
  <si>
    <t>E.3</t>
  </si>
  <si>
    <r>
      <rPr>
        <sz val="10"/>
        <rFont val="Arial"/>
        <family val="2"/>
      </rPr>
      <t>Uniforme/equipamento de segurança (Art. 166 da CLT e NR-18 da Lei nº 6.514/77 e
Convenção Coletiva do Trabalho 2012/2013)</t>
    </r>
  </si>
  <si>
    <t>E.4</t>
  </si>
  <si>
    <t>Plano de Saúde (Convenção Coletiva do Trabalho 2012/2013</t>
  </si>
  <si>
    <t>TOTAL GRUPO E</t>
  </si>
  <si>
    <t>TOTAL DOS GRUPO (A+B+C+D+E)</t>
  </si>
  <si>
    <t>COMPOSIÇÃO ANALÍTICA DE PREÇO UNITÁRIO</t>
  </si>
  <si>
    <t>Data-base</t>
  </si>
  <si>
    <t>SERVIÇO: Retirada de bancada de granito para reaproveitamento</t>
  </si>
  <si>
    <t>UND: m2</t>
  </si>
  <si>
    <t>REFERÊNCIA: DER-ES 010331</t>
  </si>
  <si>
    <t>MÃO-DE-OBRA</t>
  </si>
  <si>
    <t>CÓD.</t>
  </si>
  <si>
    <t>DESCRIÇÃO</t>
  </si>
  <si>
    <t>UND</t>
  </si>
  <si>
    <t>COEF</t>
  </si>
  <si>
    <t>R$ UNIT.</t>
  </si>
  <si>
    <t>R$ PARCIAL</t>
  </si>
  <si>
    <t>010139</t>
  </si>
  <si>
    <t xml:space="preserve">PEDREIRO - (OFICIAL - SINDUSCON) (LABOR) H </t>
  </si>
  <si>
    <t>Encargo: 157,27%</t>
  </si>
  <si>
    <t>h</t>
  </si>
  <si>
    <t>010146</t>
  </si>
  <si>
    <t>SERVENTE (AUXILIAR DE OBRAS - SINDUSCON)
(LABOR)</t>
  </si>
  <si>
    <t>TOTAL A</t>
  </si>
  <si>
    <t>MATERIAIS/ SERVIÇOS</t>
  </si>
  <si>
    <t>TOTAL B</t>
  </si>
  <si>
    <t>EQUIPAMENTOS</t>
  </si>
  <si>
    <t>TOTAL C</t>
  </si>
  <si>
    <t>RESUMO</t>
  </si>
  <si>
    <t>TOTAL  A</t>
  </si>
  <si>
    <t>TOTAL  B</t>
  </si>
  <si>
    <t>TOTAL  C</t>
  </si>
  <si>
    <r>
      <rPr>
        <b/>
        <sz val="11"/>
        <color indexed="8"/>
        <rFont val="Calibri"/>
        <family val="2"/>
        <scheme val="minor"/>
      </rPr>
      <t>PREÇO DE VENDA</t>
    </r>
    <r>
      <rPr>
        <sz val="11"/>
        <color indexed="8"/>
        <rFont val="Calibri"/>
        <family val="2"/>
        <scheme val="minor"/>
      </rPr>
      <t xml:space="preserve"> = TOTAL (A+B+C)</t>
    </r>
  </si>
  <si>
    <t xml:space="preserve">SERVIÇO:  Ponto padrão de tomada dupla 2 pólos mais terra - considerando eletroduto PVC rígido de 3/4" inclusive conexões (5.0m), fio isolado PVC de 2.5mm2 (16.5m) e caixa pvc 4x2" </t>
  </si>
  <si>
    <t xml:space="preserve">UND: und </t>
  </si>
  <si>
    <t>REFERÊNCIA: DER-ES 151803</t>
  </si>
  <si>
    <t>010115</t>
  </si>
  <si>
    <t xml:space="preserve">ELETRICISTA (OFICIAL - SINDUSCON) (LABOR) </t>
  </si>
  <si>
    <t xml:space="preserve"> 010101</t>
  </si>
  <si>
    <t>AJUDANTE (AJUDANTE PRATICO - SINDUSCON) (LABOR)</t>
  </si>
  <si>
    <t>048516</t>
  </si>
  <si>
    <t xml:space="preserve">ARRUELA DE ALUMINIO FUNDIDO 3/4" - WETZEL OU
EQUIVALENTE (LABOR)
 </t>
  </si>
  <si>
    <t>048502</t>
  </si>
  <si>
    <t>BUCHA DE ALUMINIO FUNDIDO 3/4" C/ ROSCA BSPWETZEL
OU EQUIVALENTE (LABOR)</t>
  </si>
  <si>
    <t>043005</t>
  </si>
  <si>
    <t xml:space="preserve">CABO FLEX ISOL. TERMOPLAST. 750V - 2,50 MM2 - 70º
(LABOR)
</t>
  </si>
  <si>
    <t xml:space="preserve">M </t>
  </si>
  <si>
    <t>045104</t>
  </si>
  <si>
    <t xml:space="preserve">CAIXA PVC 4 X 2" - IP40 - TIGRE OU EQUIVALENTE
(LABOR) </t>
  </si>
  <si>
    <t>042502</t>
  </si>
  <si>
    <t xml:space="preserve">ELETRODUTO DE PVC RIGIDO 3/4" - ROSCAVEL SEM
LUVA (LABOR)
</t>
  </si>
  <si>
    <t>045525</t>
  </si>
  <si>
    <t xml:space="preserve">ESPELHO 4X2", LINHA BRANCA (LABOR)  </t>
  </si>
  <si>
    <t>045520</t>
  </si>
  <si>
    <t xml:space="preserve">TOMADA (MODULO) PAD BRAS 2 P+T 10A/250V NBR
14136 S/ ESPELH (LABOR)
</t>
  </si>
  <si>
    <t>SERVIÇO: Quadro de entrada para  alimentação</t>
  </si>
  <si>
    <t>UND: und</t>
  </si>
  <si>
    <t>REFERÊNCIA: DER-ES 150302</t>
  </si>
  <si>
    <t>150310</t>
  </si>
  <si>
    <t xml:space="preserve"> Caixa de distribuição 20x20x15 cm </t>
  </si>
  <si>
    <t>151303</t>
  </si>
  <si>
    <t xml:space="preserve"> Mini-Disjuntor monopolar 25 A, curva C - 5KA 220/127VCA (NBR IEC 60947-2), Ref. Siemens, GE, Schneider ou equivalente </t>
  </si>
  <si>
    <t xml:space="preserve">151403 </t>
  </si>
  <si>
    <t xml:space="preserve">Fio ou cabo de cobre termoplástico, com isolamento para 750V, seção de 4.0 mm2 </t>
  </si>
  <si>
    <t xml:space="preserve">SERVIÇO: Eletroduto aparente de PVC rígido roscável diâmetro 1 1/2", inclusive abraçadeira de fixação </t>
  </si>
  <si>
    <t>UND: m</t>
  </si>
  <si>
    <t>REFERÊNCIA: DER-ES 150806</t>
  </si>
  <si>
    <t>026548</t>
  </si>
  <si>
    <t xml:space="preserve">BUCHA PLASTICA COM PARAFUSO - 8MM (LABOR) </t>
  </si>
  <si>
    <t xml:space="preserve">UN </t>
  </si>
  <si>
    <t xml:space="preserve">042505 </t>
  </si>
  <si>
    <t xml:space="preserve">ELETRODUTO DE PVC RIGIDO 1 1/2" - ROSCAVEL SEM LUVA  </t>
  </si>
  <si>
    <t>M</t>
  </si>
  <si>
    <t>048538</t>
  </si>
  <si>
    <t xml:space="preserve"> ABRACADEIRA ACO GALV TIPO U DIAM. 1.1/2" UN </t>
  </si>
  <si>
    <t xml:space="preserve">SERVIÇO: Eletroduto aparente de PVC rígido roscável diâmetro 2", inclusive abraçadeira de fixação </t>
  </si>
  <si>
    <t xml:space="preserve">042506 </t>
  </si>
  <si>
    <t xml:space="preserve"> ELETRODUTO DE PVC RIGIDO 2" - ROSCAVEL SEM LUVA</t>
  </si>
  <si>
    <t>COTAÇÃO 02</t>
  </si>
  <si>
    <t xml:space="preserve"> ABRACADEIRA ACO GALV TIPO U DIAM. 2" </t>
  </si>
  <si>
    <t>SERVIÇO: Caixa de ligação de alumínio silício, tipo CONDULETES, sem rosca, inclusive tampa com vedação, diâmetro 1 1/2"</t>
  </si>
  <si>
    <t>UND: M</t>
  </si>
  <si>
    <t>REFERÊNCIA: DER-ES 150804</t>
  </si>
  <si>
    <t>COTAÇÃO 04</t>
  </si>
  <si>
    <t xml:space="preserve">Condulete 1.1/2'' Alumínio c/ Tampa s/ Rosca </t>
  </si>
  <si>
    <t>COTAÇÃO 05</t>
  </si>
  <si>
    <t xml:space="preserve">Condulete 2'' Alumínio c/ Tampa s/ Rosca </t>
  </si>
  <si>
    <t>SERVIÇO: Fornecimento e instalação de Mini Rack de Parede Padrão 19" - 08 U´s x 470mm (completo)</t>
  </si>
  <si>
    <t>REFERÊNCIA: DER-ES 160810</t>
  </si>
  <si>
    <t>010117</t>
  </si>
  <si>
    <t xml:space="preserve">ELETROTECNICO MONTADOR - SINTRACONST (LABOR)  </t>
  </si>
  <si>
    <t>H</t>
  </si>
  <si>
    <t xml:space="preserve">Fornecimento e instalação de Mini Rack de Parede Padrão 19" - 08 U´s x 470mm </t>
  </si>
  <si>
    <t xml:space="preserve">Calha com 8 Tomadas 20A, inclusive fixação em rack padrão 19", com chicote de 2 metros de comprimento </t>
  </si>
  <si>
    <t xml:space="preserve">Guia de Cabos Fechado Horizontal Padrão 19" - 1 U´s, inclusive fixação em Rack 19" </t>
  </si>
  <si>
    <t>Painel de Fechamento Frontal 1 U, inclusive fixação em Rack 19"</t>
  </si>
  <si>
    <t xml:space="preserve"> und </t>
  </si>
  <si>
    <t xml:space="preserve">Bandeja Simples Fixa 1 U x 290mm carga máxima 20kg, inclusive fixação em Rack 19" </t>
  </si>
  <si>
    <t xml:space="preserve">Patch Panel 48 Portas RJ45/IDC Cat.5e, inclusive fixação em Rack 19"  </t>
  </si>
  <si>
    <t xml:space="preserve"> Patch Cord Multilan Extra Flexível CAT 5e U/UTP RJ-45 - 1,50 m  </t>
  </si>
  <si>
    <t>COTAÇÃO</t>
  </si>
  <si>
    <t xml:space="preserve">Switch 48 portas RJ-45 10/100/1000 + 2 10/100/1000, inclusive fixação em Rack 19" </t>
  </si>
  <si>
    <t>SERVIÇO: Fornecimento e instalação de Mini Rack de Parede Padrão 19" - 12 U´s x 570mm   (completo)</t>
  </si>
  <si>
    <t>REFERÊNCIA: DER-ES 160811</t>
  </si>
  <si>
    <t xml:space="preserve">Fornecimento e instalação de Mini Rack de Parede Padrão 19" - 12 U´s x 570mm  </t>
  </si>
  <si>
    <t xml:space="preserve">Patch Cord Multilan Extra Flexível CAT 5e U/UTP RJ-45 - 1,50 m  </t>
  </si>
  <si>
    <t>REFERÊNCIA: DER-ES 170220</t>
  </si>
  <si>
    <t>COTAÇÃO 01</t>
  </si>
  <si>
    <t>Granito Preto São Gabriel esp=2cm</t>
  </si>
  <si>
    <t>020503</t>
  </si>
  <si>
    <t xml:space="preserve">AREIA LAVADA MEDIA (LABOR) </t>
  </si>
  <si>
    <t xml:space="preserve">M3 </t>
  </si>
  <si>
    <t>020508</t>
  </si>
  <si>
    <t>CIMENTO PORTLAND CP III - 40 (LABOR)</t>
  </si>
  <si>
    <t xml:space="preserve"> KG </t>
  </si>
  <si>
    <t>SERVIÇO: Retirada de forro em pvc</t>
  </si>
  <si>
    <t>REFERÊNCIA: DER-ES 010318</t>
  </si>
  <si>
    <t>AJUDANTE</t>
  </si>
  <si>
    <t>COTAÇÕES</t>
  </si>
  <si>
    <t>OBRA: CONSTRUÇÃO DO CRAS NO MUNICÍPIO DE JOÃO NEIVA</t>
  </si>
  <si>
    <t>NÚMERO</t>
  </si>
  <si>
    <t>ITEM PLANILHA</t>
  </si>
  <si>
    <t>FORNECEDOR 1</t>
  </si>
  <si>
    <t>CONTATO</t>
  </si>
  <si>
    <t>PREÇO</t>
  </si>
  <si>
    <t xml:space="preserve">DATA </t>
  </si>
  <si>
    <t>FORNECEDOR 2</t>
  </si>
  <si>
    <t>DATA</t>
  </si>
  <si>
    <t>FORNECEDOR 3</t>
  </si>
  <si>
    <t>MÉDIA</t>
  </si>
  <si>
    <t>OBSERVAÇÕES</t>
  </si>
  <si>
    <t>Granito Preto São Gabriel</t>
  </si>
  <si>
    <t>L&amp;L Marmoraria</t>
  </si>
  <si>
    <t>(27) 99896-4716
Atendente: Lucas
Local: Colatina (ES)</t>
  </si>
  <si>
    <t>Decorart Granitos</t>
  </si>
  <si>
    <t>(27) 99868-9311
Atendente: Wesley
Local: João Neiva (ES)</t>
  </si>
  <si>
    <t>Gold Stone</t>
  </si>
  <si>
    <t>(27) 99826-7617
Atendente: Celso Mandelli
Local: Ibiraçu (ES)</t>
  </si>
  <si>
    <t>Não foi considerado frete</t>
  </si>
  <si>
    <t>5.5</t>
  </si>
  <si>
    <t>ABRAÇADEIRA TIPO U 2"</t>
  </si>
  <si>
    <t>plastolandia.com.br</t>
  </si>
  <si>
    <t>https://www.plastolandia.com.br/abracadeira-tipo-u-2</t>
  </si>
  <si>
    <t>ferragemspigolon.com.br</t>
  </si>
  <si>
    <t>https://ferragemspigolon.com.br/produto/abracadeira-tipo-u-2/</t>
  </si>
  <si>
    <t>anhangueraferramentas.com.br</t>
  </si>
  <si>
    <t>https://www.anhangueraferramentas.com.br/produto/abracadeira-de-aco-tipo-u-comum-2-susl2z-supera-108773?utm_source=google&amp;utm_medium=cpc&amp;utm_campaign=https://www.anhangueraferramentas.com.br/produto/abracadeira-de-aco-tipo-u-comum-2-susl2z-supera-108773?utm_source=google&amp;utm_medium=cpc&amp;utm_campaign=merchant&amp;gclid=Cj0KCQjw5-WRBhCKARIsAAId9FkSo0-4xd8hjKosWxjNI9tTviHznk_SPMEp3BlvQuE3sNKjDSamR90aAtMREALw_wcB</t>
  </si>
  <si>
    <t>5.6</t>
  </si>
  <si>
    <t xml:space="preserve">
Condulete 1.1/2'' Alumínio c/ Tampa s/ Rosca </t>
  </si>
  <si>
    <t>energiacompleta.com.br</t>
  </si>
  <si>
    <t>https://www.energiacompleta.com.br/condulete-1-1-2-aluminio-c-tampa-s-rosca-wetzel</t>
  </si>
  <si>
    <t>lojadomecanico.com.br</t>
  </si>
  <si>
    <t>https://www.lojadomecanico.com.br/produto/221361/69/885/Condulete-Fixo-Tipo-TB-112-Pol-com-Tampa-sem-Rosca-/153/?utm_source=googleshopping&amp;utm_campaign=xmlshopping&amp;utm_medium=cpc&amp;utm_content=221361</t>
  </si>
  <si>
    <t>dimensional.com.br</t>
  </si>
  <si>
    <t>https://www.dimensional.com.br/condulete-aluminio-t-1-1-2-sem-rosca-cinza-com-tampa-e012072060-wetzel/p?idsku=952701</t>
  </si>
  <si>
    <t>5.7</t>
  </si>
  <si>
    <t xml:space="preserve">
Condulete 2'' Alumínio c/ Tampa s/ Rosca </t>
  </si>
  <si>
    <t>https://www.energiacompleta.com.br/condulete-2-aluminio-c-vedacao-e-rosca-npt-wetzel</t>
  </si>
  <si>
    <t>https://www.lojadomecanico.com.br/produto/221257/69/885/condulete-fixo-tipo-lb-2-pol--tramontina-56103086-</t>
  </si>
  <si>
    <t>https://www.dimensional.com.br/condulete-aluminio-t-2-sem-rosca-cinza-com-tampa-sem-vedacao-e012070070-wetzel/p</t>
  </si>
  <si>
    <t>5.9
5.10</t>
  </si>
  <si>
    <t>kabum.com.br</t>
  </si>
  <si>
    <t>https://www.kabum.com.br/produto/192531/switch-gerenciavel-gigabit-l2-de-48-portas-com-4-slots-sfp-jetstream-tl-sg3452-smb?srsltid=AWLEVJye49VSh8EtQanyJLW8bJunToJLbcyGUq8td_nWPa4Aiy3Nh08fT24</t>
  </si>
  <si>
    <t>americanas.com.br</t>
  </si>
  <si>
    <t>https://www.americanas.com.br/produto/4704075490?opn=YSMESP&amp;srsltid=AWLEVJzsqT6EMchGJl68q5AzFRA-a4KAjwhpl6G1iFx389rqXa-rd5Lyi-w</t>
  </si>
  <si>
    <t>casasbahia.com.br</t>
  </si>
  <si>
    <t>https://www.casasbahia.com.br/switch-48-portas-ubiquiti-us-48-br-gb-rj45-2p-sfp-125-2-sfp-1531242198/p/1531242198?utm_medium=Cpc&amp;utm_source=google_freelisting&amp;IdSku=1531242198&amp;idLojista=192053&amp;tipoLojista=3P</t>
  </si>
  <si>
    <t>Considerado frete R$ 230,00</t>
  </si>
  <si>
    <t>ABRIL/2022</t>
  </si>
  <si>
    <t>ABRIL/22</t>
  </si>
  <si>
    <t>ABR/22</t>
  </si>
  <si>
    <t>010101</t>
  </si>
  <si>
    <t>010326</t>
  </si>
  <si>
    <t xml:space="preserve">Retirada de estrutura em madeira do telhado </t>
  </si>
  <si>
    <t>1.1.17</t>
  </si>
  <si>
    <t>obs: 60% para reparos além da área dos lieds</t>
  </si>
  <si>
    <t>7.1.2</t>
  </si>
  <si>
    <t>090202</t>
  </si>
  <si>
    <t>Cobertura nova de telhas onduladas de fibrocimento 6.0mm, inclusive cumeeiras e acessórios de fixação</t>
  </si>
  <si>
    <t>TELHADO</t>
  </si>
  <si>
    <t>090102</t>
  </si>
  <si>
    <t>Estrutura de madeira de lei tipo Paraju, peroba mica, angelim pedra ou equivalente para telhado de telha ondulada de fibrocimento esp. 6mm, com pontaletes e caibros, inclusive tratamento com cupinicida, exclusive telhas</t>
  </si>
  <si>
    <t>Alimentação</t>
  </si>
  <si>
    <t>Para as bancadas</t>
  </si>
  <si>
    <t>passagens</t>
  </si>
  <si>
    <t>SERVIÇO: Fornecimento e instalação de Bancada de granito preto  São gabriel espessura = 2cm com
  borda de 6 cm</t>
  </si>
  <si>
    <t>Fornecimento e instalação de Bancada de granito preto  São gabriel espessura = 2cm com borda de 6cm</t>
  </si>
  <si>
    <t xml:space="preserve">APOIO VERTICAL </t>
  </si>
  <si>
    <t>13.1.3</t>
  </si>
  <si>
    <t>PAREDE</t>
  </si>
  <si>
    <t>FORROS</t>
  </si>
  <si>
    <t>PORTÃO</t>
  </si>
  <si>
    <t>GRADE JANELA</t>
  </si>
  <si>
    <t>10.4.3</t>
  </si>
  <si>
    <t xml:space="preserve">Luminaria sobrepor compl., corpo ch. aço pintada branca, refletor, aletas parabólicas alum.alta pureza e refletância inclusive 2 lâmpadas LED T8 9W temp. de cor 5000k c/ 60cm - Ref. CS216AL-N - AMES, 663 - LUMAVI OU EQUIVALENTE
</t>
  </si>
  <si>
    <t>BDI DIFERENCIADO</t>
  </si>
  <si>
    <r>
      <t xml:space="preserve"> Fornecimento e Instalação de Unidade Evaporadora e Condensadora de Ar Condicionado tipo Split Inverter
Hi-Wall (Parede) de 12.000 BTU´s 220V - Ciclo Frio - Classificação A (Selo PROCEL), inclusive amortecedores vibra-stop </t>
    </r>
    <r>
      <rPr>
        <sz val="10"/>
        <color rgb="FFFF0000"/>
        <rFont val="Arial"/>
        <family val="2"/>
      </rPr>
      <t xml:space="preserve"> (BDI =15,57%)</t>
    </r>
    <r>
      <rPr>
        <sz val="10"/>
        <rFont val="Arial"/>
        <family val="2"/>
      </rPr>
      <t xml:space="preserve">
</t>
    </r>
  </si>
  <si>
    <r>
      <t xml:space="preserve">Fornecimento e Instalação de Unidade Evaporadora e Condensadora de Ar Condicionado tipo Split Inverter Hi-Wall (Parede) de 18.000 BTU´s 220V - Ciclo Frio - Classificação A (Selo PROCEL), inclusive amortecedores vibra-stop </t>
    </r>
    <r>
      <rPr>
        <sz val="10"/>
        <color rgb="FFFF0000"/>
        <rFont val="Arial"/>
        <family val="2"/>
      </rPr>
      <t xml:space="preserve"> (BDI =15,57%)</t>
    </r>
  </si>
  <si>
    <r>
      <t xml:space="preserve">Fornecimento e Instalação de Unidade Evaporadora e Condensadora de Ar Condicionado tipo Split Inverter Hi-Wall (Parede) de 24.000 BTU´s 220V - Ciclo Frio - Classificação A (Selo PROCEL), inclusive amortecedores vibra-stop  </t>
    </r>
    <r>
      <rPr>
        <sz val="10"/>
        <color rgb="FFFF0000"/>
        <rFont val="Arial"/>
        <family val="2"/>
      </rPr>
      <t>(BDI =15,57%)</t>
    </r>
  </si>
  <si>
    <t>08</t>
  </si>
  <si>
    <t>10</t>
  </si>
  <si>
    <t>11</t>
  </si>
  <si>
    <t>12</t>
  </si>
  <si>
    <t>13</t>
  </si>
  <si>
    <t>14</t>
  </si>
  <si>
    <t>15</t>
  </si>
  <si>
    <t>APARELHOS FIXOS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</si>
</sst>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R$&quot;\ * #,##0.00_-;\-&quot;R$&quot;\ * #,##0.00_-;_-&quot;R$&quot;\ * &quot;-&quot;??_-;_-@_-"/>
    <numFmt numFmtId="43" formatCode="_-* #,##0.00_-;\-* #,##0.00_-;_-* &quot;-&quot;??_-;_-@_-"/>
    <numFmt numFmtId="164" formatCode="_-[$R$-416]\ * #,##0.00_-;\-[$R$-416]\ * #,##0.00_-;_-[$R$-416]\ * &quot;-&quot;??_-;_-@_-"/>
    <numFmt numFmtId="165" formatCode="0.000"/>
    <numFmt numFmtId="166" formatCode="&quot;R$ &quot;#,##0.00"/>
    <numFmt numFmtId="167" formatCode="_(* #,##0.00_);_(* \(#,##0.00\);_(* &quot;-&quot;??_);_(@_)"/>
    <numFmt numFmtId="168" formatCode="_(&quot;R$ &quot;* #,##0.00_);_(&quot;R$ &quot;* \(#,##0.00\);_(&quot;R$ &quot;* &quot;-&quot;??_);_(@_)"/>
    <numFmt numFmtId="169" formatCode="0.00000"/>
    <numFmt numFmtId="170" formatCode="&quot;R$ &quot;#,##0.000"/>
    <numFmt numFmtId="171" formatCode="0.0000"/>
    <numFmt numFmtId="172" formatCode="&quot;R$&quot;\ #,##0.00"/>
  </numFmts>
  <fonts count="42"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10"/>
      <color indexed="8"/>
      <name val="Arial"/>
      <family val="2"/>
    </font>
    <font>
      <b/>
      <u/>
      <sz val="10"/>
      <name val="Arial"/>
      <family val="2"/>
    </font>
    <font>
      <i/>
      <sz val="10"/>
      <color theme="1"/>
      <name val="Arial"/>
      <family val="2"/>
    </font>
    <font>
      <b/>
      <i/>
      <sz val="10"/>
      <color theme="1"/>
      <name val="Arial"/>
      <family val="2"/>
    </font>
    <font>
      <b/>
      <sz val="11"/>
      <color theme="1"/>
      <name val="Calibri"/>
      <family val="2"/>
      <scheme val="minor"/>
    </font>
    <font>
      <b/>
      <sz val="16"/>
      <color indexed="8"/>
      <name val="Calibri"/>
      <family val="2"/>
      <scheme val="minor"/>
    </font>
    <font>
      <b/>
      <sz val="11"/>
      <color indexed="8"/>
      <name val="Calibri"/>
      <family val="2"/>
      <scheme val="minor"/>
    </font>
    <font>
      <b/>
      <sz val="11"/>
      <color indexed="8"/>
      <name val="Calibri"/>
      <family val="2"/>
    </font>
    <font>
      <sz val="11"/>
      <color indexed="8"/>
      <name val="Calibri"/>
      <family val="2"/>
      <scheme val="minor"/>
    </font>
    <font>
      <sz val="11"/>
      <name val="Calibri"/>
      <family val="2"/>
      <scheme val="minor"/>
    </font>
    <font>
      <sz val="11"/>
      <color indexed="8"/>
      <name val="Calibri"/>
      <family val="2"/>
    </font>
    <font>
      <sz val="11"/>
      <color theme="1"/>
      <name val="Calibri"/>
      <family val="2"/>
    </font>
    <font>
      <sz val="10"/>
      <name val="Times New Roman"/>
      <family val="1"/>
    </font>
    <font>
      <u/>
      <sz val="11"/>
      <color indexed="12"/>
      <name val="Arial"/>
      <family val="2"/>
    </font>
    <font>
      <i/>
      <sz val="10"/>
      <name val="Arial"/>
      <family val="2"/>
    </font>
    <font>
      <sz val="10"/>
      <name val="Arial"/>
    </font>
    <font>
      <b/>
      <sz val="12"/>
      <name val="Arial"/>
      <family val="2"/>
    </font>
    <font>
      <sz val="12"/>
      <name val="Arial"/>
      <family val="2"/>
    </font>
    <font>
      <sz val="13"/>
      <color theme="1"/>
      <name val="Arial"/>
      <family val="2"/>
    </font>
    <font>
      <b/>
      <sz val="13"/>
      <name val="Arial"/>
      <family val="2"/>
    </font>
    <font>
      <sz val="13"/>
      <name val="Arial"/>
      <family val="2"/>
    </font>
    <font>
      <sz val="10"/>
      <color rgb="FFFF0000"/>
      <name val="Arial"/>
      <family val="2"/>
    </font>
    <font>
      <b/>
      <i/>
      <sz val="10"/>
      <name val="Arial"/>
      <family val="2"/>
    </font>
    <font>
      <sz val="10"/>
      <color rgb="FF000000"/>
      <name val="Arial"/>
      <family val="2"/>
    </font>
    <font>
      <b/>
      <i/>
      <sz val="10"/>
      <color rgb="FF000000"/>
      <name val="Arial"/>
      <family val="2"/>
    </font>
    <font>
      <sz val="10"/>
      <color theme="1"/>
      <name val="Arial"/>
    </font>
    <font>
      <b/>
      <i/>
      <sz val="10"/>
      <color rgb="FF000000"/>
      <name val="Arial"/>
    </font>
    <font>
      <b/>
      <sz val="10"/>
      <color theme="1"/>
      <name val="Arial"/>
    </font>
    <font>
      <b/>
      <i/>
      <sz val="10"/>
      <name val="Arial"/>
    </font>
    <font>
      <b/>
      <sz val="10"/>
      <name val="Arial"/>
    </font>
    <font>
      <b/>
      <i/>
      <sz val="10"/>
      <color theme="1"/>
      <name val="Arial"/>
    </font>
    <font>
      <sz val="10"/>
      <color rgb="FF000000"/>
      <name val="Arial"/>
    </font>
    <font>
      <i/>
      <sz val="10"/>
      <name val="Arial"/>
    </font>
    <font>
      <b/>
      <sz val="11"/>
      <color indexed="8"/>
      <name val="Calibri"/>
    </font>
    <font>
      <sz val="11"/>
      <color theme="1"/>
      <name val="Calibri"/>
    </font>
    <font>
      <sz val="11"/>
      <color indexed="8"/>
      <name val="Calibri"/>
    </font>
  </fonts>
  <fills count="1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9"/>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rgb="FFFF000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s>
  <cellStyleXfs count="2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0" fontId="4" fillId="0" borderId="0"/>
    <xf numFmtId="2" fontId="4" fillId="0" borderId="0">
      <alignment vertical="center"/>
    </xf>
    <xf numFmtId="0" fontId="4" fillId="0" borderId="0"/>
    <xf numFmtId="0" fontId="1" fillId="0" borderId="0"/>
    <xf numFmtId="168" fontId="16" fillId="0" borderId="0" applyFont="0" applyFill="0" applyBorder="0" applyAlignment="0" applyProtection="0"/>
    <xf numFmtId="0" fontId="4" fillId="0" borderId="0"/>
    <xf numFmtId="167" fontId="4" fillId="0" borderId="0" applyFont="0" applyFill="0" applyBorder="0" applyAlignment="0" applyProtection="0"/>
    <xf numFmtId="44" fontId="4" fillId="0" borderId="0" applyFont="0" applyFill="0" applyBorder="0" applyAlignment="0" applyProtection="0"/>
    <xf numFmtId="0" fontId="18" fillId="0" borderId="0"/>
    <xf numFmtId="0" fontId="19" fillId="0" borderId="0" applyNumberFormat="0" applyFill="0" applyBorder="0" applyAlignment="0" applyProtection="0">
      <alignment vertical="top"/>
      <protection locked="0"/>
    </xf>
    <xf numFmtId="0" fontId="21" fillId="0" borderId="0"/>
    <xf numFmtId="9"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cellStyleXfs>
  <cellXfs count="528">
    <xf numFmtId="0" fontId="0" fillId="0" borderId="0" xfId="0"/>
    <xf numFmtId="4" fontId="2" fillId="2" borderId="1" xfId="0" applyNumberFormat="1" applyFont="1" applyFill="1" applyBorder="1" applyAlignment="1">
      <alignment horizontal="center" vertical="center"/>
    </xf>
    <xf numFmtId="4" fontId="2" fillId="2" borderId="4" xfId="0" applyNumberFormat="1" applyFont="1" applyFill="1" applyBorder="1" applyAlignment="1">
      <alignment horizontal="center" vertical="center"/>
    </xf>
    <xf numFmtId="4" fontId="2"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3" borderId="9" xfId="0" applyFont="1" applyFill="1" applyBorder="1" applyAlignment="1">
      <alignment horizontal="center" vertical="center"/>
    </xf>
    <xf numFmtId="43" fontId="3" fillId="3" borderId="9" xfId="1" applyFont="1" applyFill="1" applyBorder="1" applyAlignment="1">
      <alignment horizontal="center" vertical="center"/>
    </xf>
    <xf numFmtId="0" fontId="3" fillId="3" borderId="9" xfId="0" applyFont="1" applyFill="1" applyBorder="1" applyAlignment="1">
      <alignment horizontal="justify" vertical="center" wrapText="1"/>
    </xf>
    <xf numFmtId="43" fontId="3" fillId="3" borderId="9" xfId="1" applyFont="1" applyFill="1" applyBorder="1" applyAlignment="1">
      <alignment horizontal="right" vertical="center"/>
    </xf>
    <xf numFmtId="0" fontId="4" fillId="0" borderId="9" xfId="0" applyFont="1" applyBorder="1" applyAlignment="1">
      <alignment horizontal="center" vertical="center"/>
    </xf>
    <xf numFmtId="164" fontId="4" fillId="0" borderId="9" xfId="1" applyNumberFormat="1" applyFont="1" applyFill="1" applyBorder="1" applyAlignment="1">
      <alignment horizontal="right" vertical="center"/>
    </xf>
    <xf numFmtId="0" fontId="3" fillId="3" borderId="9" xfId="0" quotePrefix="1" applyFont="1" applyFill="1" applyBorder="1" applyAlignment="1">
      <alignment horizontal="center" vertical="center"/>
    </xf>
    <xf numFmtId="0" fontId="3" fillId="0" borderId="9" xfId="0" applyFont="1" applyBorder="1" applyAlignment="1">
      <alignment horizontal="center" vertical="center"/>
    </xf>
    <xf numFmtId="0" fontId="2" fillId="0" borderId="0" xfId="0" applyFont="1"/>
    <xf numFmtId="49" fontId="3" fillId="2" borderId="8" xfId="1" applyNumberFormat="1" applyFont="1" applyFill="1" applyBorder="1" applyAlignment="1">
      <alignment horizontal="left" vertical="center" wrapText="1"/>
    </xf>
    <xf numFmtId="0" fontId="2" fillId="0" borderId="0" xfId="0" applyFont="1" applyAlignment="1">
      <alignment vertical="center"/>
    </xf>
    <xf numFmtId="0" fontId="5" fillId="0" borderId="9" xfId="0" applyFont="1" applyBorder="1" applyAlignment="1">
      <alignment vertical="center" wrapText="1"/>
    </xf>
    <xf numFmtId="0" fontId="2" fillId="0" borderId="9" xfId="0" applyFont="1" applyBorder="1" applyAlignment="1">
      <alignment horizontal="center" vertical="center"/>
    </xf>
    <xf numFmtId="0" fontId="2" fillId="0" borderId="9" xfId="0" applyFont="1" applyBorder="1" applyAlignment="1">
      <alignment vertical="center" wrapText="1"/>
    </xf>
    <xf numFmtId="0" fontId="5" fillId="0" borderId="9" xfId="0" quotePrefix="1" applyFont="1" applyBorder="1" applyAlignment="1">
      <alignment horizontal="center" vertical="center"/>
    </xf>
    <xf numFmtId="0" fontId="5" fillId="0" borderId="9" xfId="0" applyFont="1" applyBorder="1" applyAlignment="1">
      <alignment horizontal="center" vertical="center"/>
    </xf>
    <xf numFmtId="0" fontId="2" fillId="0" borderId="0" xfId="0" applyFont="1" applyAlignment="1">
      <alignment horizontal="center" vertical="center"/>
    </xf>
    <xf numFmtId="10" fontId="3" fillId="2" borderId="0" xfId="1" applyNumberFormat="1" applyFont="1" applyFill="1" applyBorder="1" applyAlignment="1">
      <alignment horizontal="center" vertical="center" wrapText="1"/>
    </xf>
    <xf numFmtId="43" fontId="3" fillId="2" borderId="7" xfId="1" applyFont="1" applyFill="1" applyBorder="1" applyAlignment="1">
      <alignment horizontal="center" vertical="center" wrapText="1"/>
    </xf>
    <xf numFmtId="10" fontId="3" fillId="2" borderId="7" xfId="1" applyNumberFormat="1" applyFont="1" applyFill="1" applyBorder="1" applyAlignment="1">
      <alignment horizontal="center" vertical="center" wrapText="1"/>
    </xf>
    <xf numFmtId="0" fontId="3" fillId="2" borderId="7" xfId="1" applyNumberFormat="1" applyFont="1" applyFill="1" applyBorder="1" applyAlignment="1">
      <alignment horizontal="center" vertical="center" wrapText="1"/>
    </xf>
    <xf numFmtId="4" fontId="2" fillId="3" borderId="9" xfId="1" applyNumberFormat="1" applyFont="1" applyFill="1" applyBorder="1" applyAlignment="1">
      <alignment horizontal="center" vertical="center"/>
    </xf>
    <xf numFmtId="4" fontId="4" fillId="0" borderId="9" xfId="0" applyNumberFormat="1" applyFont="1" applyBorder="1" applyAlignment="1">
      <alignment horizontal="center" vertical="center"/>
    </xf>
    <xf numFmtId="164" fontId="4" fillId="0" borderId="9" xfId="2" applyNumberFormat="1" applyFont="1" applyFill="1" applyBorder="1" applyAlignment="1">
      <alignment horizontal="center" vertical="center"/>
    </xf>
    <xf numFmtId="4" fontId="2" fillId="2" borderId="7"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1" applyNumberFormat="1" applyFont="1" applyFill="1" applyBorder="1" applyAlignment="1">
      <alignment horizontal="right" vertical="center" wrapText="1"/>
    </xf>
    <xf numFmtId="0" fontId="4" fillId="0" borderId="9" xfId="0" quotePrefix="1" applyFont="1" applyBorder="1" applyAlignment="1">
      <alignment horizontal="center" vertical="center"/>
    </xf>
    <xf numFmtId="4" fontId="5" fillId="2" borderId="9" xfId="0" applyNumberFormat="1" applyFont="1" applyFill="1" applyBorder="1" applyAlignment="1">
      <alignment horizontal="center" vertical="center" wrapText="1"/>
    </xf>
    <xf numFmtId="4" fontId="5" fillId="0" borderId="9" xfId="0" applyNumberFormat="1" applyFont="1" applyBorder="1" applyAlignment="1">
      <alignment horizontal="center" vertical="center" wrapText="1"/>
    </xf>
    <xf numFmtId="0" fontId="3" fillId="3" borderId="9" xfId="0" applyFont="1" applyFill="1" applyBorder="1" applyAlignment="1">
      <alignment horizontal="right" vertical="center" wrapText="1"/>
    </xf>
    <xf numFmtId="0" fontId="2" fillId="0" borderId="9" xfId="0" applyFont="1" applyBorder="1"/>
    <xf numFmtId="2" fontId="6" fillId="4" borderId="0" xfId="7" applyFont="1" applyFill="1">
      <alignment vertical="center"/>
    </xf>
    <xf numFmtId="0" fontId="4" fillId="0" borderId="0" xfId="5"/>
    <xf numFmtId="0" fontId="2" fillId="0" borderId="0" xfId="0" applyFont="1" applyAlignment="1">
      <alignment horizontal="left" vertical="center"/>
    </xf>
    <xf numFmtId="0" fontId="4" fillId="4" borderId="9" xfId="6" applyFill="1" applyBorder="1"/>
    <xf numFmtId="0" fontId="3" fillId="4" borderId="9" xfId="6" applyFont="1" applyFill="1" applyBorder="1" applyAlignment="1">
      <alignment horizontal="center" vertical="center" wrapText="1"/>
    </xf>
    <xf numFmtId="10" fontId="4" fillId="0" borderId="0" xfId="5" applyNumberFormat="1"/>
    <xf numFmtId="49" fontId="3" fillId="4" borderId="0" xfId="7" applyNumberFormat="1" applyFont="1" applyFill="1" applyAlignment="1">
      <alignment horizontal="left" vertical="top" wrapText="1"/>
    </xf>
    <xf numFmtId="49" fontId="3" fillId="4" borderId="15" xfId="7" applyNumberFormat="1" applyFont="1" applyFill="1" applyBorder="1" applyAlignment="1">
      <alignment horizontal="left" vertical="top" wrapText="1"/>
    </xf>
    <xf numFmtId="49" fontId="3" fillId="4" borderId="15" xfId="7" applyNumberFormat="1" applyFont="1" applyFill="1" applyBorder="1" applyAlignment="1">
      <alignment horizontal="right" vertical="top" wrapText="1"/>
    </xf>
    <xf numFmtId="49" fontId="3" fillId="4" borderId="0" xfId="7" applyNumberFormat="1" applyFont="1" applyFill="1" applyAlignment="1">
      <alignment horizontal="left" vertical="top"/>
    </xf>
    <xf numFmtId="49" fontId="3" fillId="4" borderId="15" xfId="7" applyNumberFormat="1" applyFont="1" applyFill="1" applyBorder="1" applyAlignment="1">
      <alignment horizontal="right" wrapText="1"/>
    </xf>
    <xf numFmtId="0" fontId="4" fillId="4" borderId="0" xfId="8" applyFill="1" applyAlignment="1">
      <alignment horizontal="left" vertical="top" wrapText="1"/>
    </xf>
    <xf numFmtId="0" fontId="4" fillId="4" borderId="16" xfId="8" applyFill="1" applyBorder="1" applyAlignment="1">
      <alignment horizontal="left" vertical="top" wrapText="1"/>
    </xf>
    <xf numFmtId="49" fontId="3" fillId="4" borderId="17" xfId="7" applyNumberFormat="1" applyFont="1" applyFill="1" applyBorder="1" applyAlignment="1">
      <alignment horizontal="left" vertical="top" wrapText="1"/>
    </xf>
    <xf numFmtId="0" fontId="4" fillId="4" borderId="18" xfId="8" applyFill="1" applyBorder="1" applyAlignment="1">
      <alignment horizontal="left" vertical="top" wrapText="1"/>
    </xf>
    <xf numFmtId="0" fontId="4" fillId="4" borderId="19" xfId="8" applyFill="1" applyBorder="1" applyAlignment="1">
      <alignment horizontal="left" vertical="top" wrapText="1"/>
    </xf>
    <xf numFmtId="49" fontId="3" fillId="4" borderId="15" xfId="7" applyNumberFormat="1" applyFont="1" applyFill="1" applyBorder="1" applyAlignment="1">
      <alignment vertical="top" wrapText="1"/>
    </xf>
    <xf numFmtId="0" fontId="4" fillId="4" borderId="17" xfId="5" applyFill="1" applyBorder="1"/>
    <xf numFmtId="0" fontId="3" fillId="4" borderId="9" xfId="6" applyFont="1" applyFill="1" applyBorder="1"/>
    <xf numFmtId="10" fontId="4" fillId="4" borderId="9" xfId="6" applyNumberFormat="1" applyFill="1" applyBorder="1"/>
    <xf numFmtId="10" fontId="4" fillId="0" borderId="9" xfId="6" applyNumberFormat="1" applyBorder="1" applyAlignment="1">
      <alignment horizontal="center"/>
    </xf>
    <xf numFmtId="10" fontId="3" fillId="0" borderId="9" xfId="6" applyNumberFormat="1" applyFont="1" applyBorder="1" applyAlignment="1">
      <alignment horizontal="center"/>
    </xf>
    <xf numFmtId="10" fontId="4" fillId="4" borderId="9" xfId="6" applyNumberFormat="1" applyFill="1" applyBorder="1" applyAlignment="1">
      <alignment horizontal="center"/>
    </xf>
    <xf numFmtId="10" fontId="3" fillId="4" borderId="9" xfId="6" applyNumberFormat="1" applyFont="1" applyFill="1" applyBorder="1" applyAlignment="1">
      <alignment horizontal="center"/>
    </xf>
    <xf numFmtId="2" fontId="3" fillId="4" borderId="0" xfId="7" applyFont="1" applyFill="1" applyAlignment="1">
      <alignment horizontal="justify" vertical="top" wrapText="1"/>
    </xf>
    <xf numFmtId="4" fontId="3" fillId="4" borderId="0" xfId="7" applyNumberFormat="1" applyFont="1" applyFill="1" applyAlignment="1">
      <alignment vertical="top" wrapText="1"/>
    </xf>
    <xf numFmtId="2" fontId="3" fillId="4" borderId="16" xfId="7" applyFont="1" applyFill="1" applyBorder="1" applyAlignment="1">
      <alignment vertical="top" wrapText="1"/>
    </xf>
    <xf numFmtId="4" fontId="3" fillId="4" borderId="0" xfId="7" applyNumberFormat="1" applyFont="1" applyFill="1" applyAlignment="1">
      <alignment wrapText="1"/>
    </xf>
    <xf numFmtId="2" fontId="3" fillId="4" borderId="16" xfId="7" applyFont="1" applyFill="1" applyBorder="1" applyAlignment="1">
      <alignment wrapText="1"/>
    </xf>
    <xf numFmtId="4" fontId="3" fillId="4" borderId="0" xfId="8" applyNumberFormat="1" applyFont="1" applyFill="1" applyAlignment="1">
      <alignment vertical="top" wrapText="1"/>
    </xf>
    <xf numFmtId="0" fontId="3" fillId="4" borderId="16" xfId="8" applyFont="1" applyFill="1" applyBorder="1" applyAlignment="1">
      <alignment vertical="top" wrapText="1"/>
    </xf>
    <xf numFmtId="44" fontId="2" fillId="0" borderId="9" xfId="2" applyFont="1" applyBorder="1" applyAlignment="1">
      <alignment horizontal="center" vertical="center"/>
    </xf>
    <xf numFmtId="44" fontId="3" fillId="3" borderId="9" xfId="2" applyFont="1" applyFill="1" applyBorder="1" applyAlignment="1">
      <alignment horizontal="center" vertical="center"/>
    </xf>
    <xf numFmtId="0" fontId="2" fillId="3" borderId="9" xfId="0" applyFont="1" applyFill="1" applyBorder="1"/>
    <xf numFmtId="0" fontId="8" fillId="0" borderId="9" xfId="0" applyFont="1" applyBorder="1" applyAlignment="1">
      <alignment horizontal="right" vertical="center" wrapText="1"/>
    </xf>
    <xf numFmtId="164" fontId="4" fillId="0" borderId="9" xfId="1" applyNumberFormat="1" applyFont="1" applyFill="1" applyBorder="1" applyAlignment="1">
      <alignment horizontal="center" vertical="center"/>
    </xf>
    <xf numFmtId="2" fontId="2" fillId="0" borderId="9" xfId="0" applyNumberFormat="1" applyFont="1" applyBorder="1" applyAlignment="1">
      <alignment horizontal="center" vertical="center"/>
    </xf>
    <xf numFmtId="0" fontId="9" fillId="0" borderId="9" xfId="0" applyFont="1" applyBorder="1" applyAlignment="1">
      <alignment horizontal="right" vertical="center" wrapText="1"/>
    </xf>
    <xf numFmtId="0" fontId="9" fillId="5" borderId="9" xfId="0" applyFont="1" applyFill="1" applyBorder="1" applyAlignment="1">
      <alignment horizontal="right" vertical="center"/>
    </xf>
    <xf numFmtId="2" fontId="5" fillId="5" borderId="9" xfId="0" applyNumberFormat="1" applyFont="1" applyFill="1" applyBorder="1" applyAlignment="1">
      <alignment horizontal="center" vertical="center"/>
    </xf>
    <xf numFmtId="2" fontId="9" fillId="5" borderId="9" xfId="0" applyNumberFormat="1" applyFont="1" applyFill="1" applyBorder="1" applyAlignment="1">
      <alignment horizontal="right" vertical="center"/>
    </xf>
    <xf numFmtId="0" fontId="8" fillId="0" borderId="9" xfId="0" applyFont="1" applyBorder="1" applyAlignment="1">
      <alignment horizontal="right" vertical="center"/>
    </xf>
    <xf numFmtId="4" fontId="2" fillId="2" borderId="9" xfId="0" applyNumberFormat="1" applyFont="1" applyFill="1" applyBorder="1" applyAlignment="1">
      <alignment horizontal="center" vertical="center" wrapText="1"/>
    </xf>
    <xf numFmtId="4" fontId="2" fillId="0" borderId="9" xfId="0" applyNumberFormat="1" applyFont="1" applyBorder="1" applyAlignment="1">
      <alignment horizontal="center" vertical="center" wrapText="1"/>
    </xf>
    <xf numFmtId="164" fontId="3" fillId="3" borderId="9" xfId="0" applyNumberFormat="1" applyFont="1" applyFill="1" applyBorder="1" applyAlignment="1">
      <alignment horizontal="center" vertical="center"/>
    </xf>
    <xf numFmtId="2" fontId="4" fillId="0" borderId="9" xfId="1" applyNumberFormat="1" applyFont="1" applyFill="1" applyBorder="1" applyAlignment="1">
      <alignment horizontal="center" vertical="center"/>
    </xf>
    <xf numFmtId="0" fontId="2" fillId="0" borderId="9" xfId="0" applyFont="1" applyBorder="1" applyAlignment="1">
      <alignment horizontal="center"/>
    </xf>
    <xf numFmtId="2" fontId="9" fillId="0" borderId="9" xfId="0" applyNumberFormat="1" applyFont="1" applyBorder="1" applyAlignment="1">
      <alignment horizontal="right" vertical="center"/>
    </xf>
    <xf numFmtId="2" fontId="5" fillId="0" borderId="9" xfId="0" applyNumberFormat="1" applyFont="1" applyBorder="1" applyAlignment="1">
      <alignment horizontal="center" vertical="center"/>
    </xf>
    <xf numFmtId="0" fontId="2" fillId="2" borderId="9"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9" xfId="0" applyFont="1" applyFill="1" applyBorder="1" applyAlignment="1">
      <alignment vertical="center" wrapText="1"/>
    </xf>
    <xf numFmtId="44" fontId="2" fillId="2" borderId="9" xfId="2" applyFont="1" applyFill="1" applyBorder="1" applyAlignment="1">
      <alignment horizontal="center" vertical="center"/>
    </xf>
    <xf numFmtId="164" fontId="4" fillId="2" borderId="9" xfId="1" applyNumberFormat="1" applyFont="1" applyFill="1" applyBorder="1" applyAlignment="1">
      <alignment horizontal="right" vertical="center"/>
    </xf>
    <xf numFmtId="0" fontId="2" fillId="2" borderId="0" xfId="0" applyFont="1" applyFill="1"/>
    <xf numFmtId="17" fontId="13" fillId="2" borderId="9" xfId="9" applyNumberFormat="1" applyFont="1" applyFill="1" applyBorder="1" applyAlignment="1">
      <alignment horizontal="center" vertical="center" wrapText="1"/>
    </xf>
    <xf numFmtId="1" fontId="14" fillId="2" borderId="9" xfId="9" applyNumberFormat="1" applyFont="1" applyFill="1" applyBorder="1" applyAlignment="1">
      <alignment horizontal="center" vertical="center"/>
    </xf>
    <xf numFmtId="165" fontId="14" fillId="2" borderId="9" xfId="9" applyNumberFormat="1" applyFont="1" applyFill="1" applyBorder="1" applyAlignment="1">
      <alignment horizontal="center" vertical="center"/>
    </xf>
    <xf numFmtId="166" fontId="14" fillId="2" borderId="9" xfId="9" applyNumberFormat="1" applyFont="1" applyFill="1" applyBorder="1" applyAlignment="1">
      <alignment vertical="center"/>
    </xf>
    <xf numFmtId="0" fontId="14" fillId="2" borderId="9" xfId="9" applyFont="1" applyFill="1" applyBorder="1" applyAlignment="1">
      <alignment vertical="center"/>
    </xf>
    <xf numFmtId="1" fontId="16" fillId="2" borderId="9" xfId="9" applyNumberFormat="1" applyFont="1" applyFill="1" applyBorder="1" applyAlignment="1">
      <alignment horizontal="center" vertical="center" wrapText="1"/>
    </xf>
    <xf numFmtId="165" fontId="17" fillId="2" borderId="9" xfId="9" applyNumberFormat="1" applyFont="1" applyFill="1" applyBorder="1" applyAlignment="1">
      <alignment horizontal="center" vertical="center" wrapText="1"/>
    </xf>
    <xf numFmtId="2" fontId="17" fillId="2" borderId="9" xfId="9" applyNumberFormat="1" applyFont="1" applyFill="1" applyBorder="1" applyAlignment="1">
      <alignment horizontal="right" vertical="center" wrapText="1"/>
    </xf>
    <xf numFmtId="1" fontId="1" fillId="2" borderId="9" xfId="9" applyNumberFormat="1" applyFill="1" applyBorder="1" applyAlignment="1">
      <alignment horizontal="center" vertical="center" wrapText="1"/>
    </xf>
    <xf numFmtId="49" fontId="1" fillId="2" borderId="9" xfId="9" applyNumberFormat="1" applyFill="1" applyBorder="1" applyAlignment="1">
      <alignment vertical="center"/>
    </xf>
    <xf numFmtId="4" fontId="1" fillId="2" borderId="9" xfId="9" applyNumberFormat="1" applyFill="1" applyBorder="1" applyAlignment="1">
      <alignment horizontal="right" vertical="center" wrapText="1"/>
    </xf>
    <xf numFmtId="166" fontId="1" fillId="2" borderId="9" xfId="9" applyNumberFormat="1" applyFill="1" applyBorder="1" applyAlignment="1">
      <alignment horizontal="right" vertical="center" wrapText="1"/>
    </xf>
    <xf numFmtId="167" fontId="12" fillId="2" borderId="9" xfId="9" applyNumberFormat="1" applyFont="1" applyFill="1" applyBorder="1" applyAlignment="1">
      <alignment horizontal="right" vertical="center"/>
    </xf>
    <xf numFmtId="165" fontId="1" fillId="2" borderId="9" xfId="9" applyNumberFormat="1" applyFill="1" applyBorder="1" applyAlignment="1">
      <alignment horizontal="center" vertical="center" wrapText="1"/>
    </xf>
    <xf numFmtId="0" fontId="1" fillId="0" borderId="9" xfId="9" applyBorder="1" applyAlignment="1">
      <alignment horizontal="center" vertical="center"/>
    </xf>
    <xf numFmtId="0" fontId="1" fillId="0" borderId="9" xfId="9" applyBorder="1" applyAlignment="1">
      <alignment vertical="center"/>
    </xf>
    <xf numFmtId="167" fontId="1" fillId="0" borderId="9" xfId="9" applyNumberFormat="1" applyBorder="1" applyAlignment="1">
      <alignment vertical="center"/>
    </xf>
    <xf numFmtId="43" fontId="1" fillId="0" borderId="9" xfId="9" applyNumberFormat="1" applyBorder="1" applyAlignment="1">
      <alignment vertical="center"/>
    </xf>
    <xf numFmtId="43" fontId="12" fillId="2" borderId="9" xfId="9" applyNumberFormat="1" applyFont="1" applyFill="1" applyBorder="1" applyAlignment="1">
      <alignment horizontal="right" vertical="center"/>
    </xf>
    <xf numFmtId="49" fontId="17" fillId="2" borderId="9" xfId="9" applyNumberFormat="1" applyFont="1" applyFill="1" applyBorder="1" applyAlignment="1">
      <alignment horizontal="center" vertical="center" wrapText="1"/>
    </xf>
    <xf numFmtId="4" fontId="17" fillId="2" borderId="9" xfId="9" applyNumberFormat="1" applyFont="1" applyFill="1" applyBorder="1" applyAlignment="1">
      <alignment horizontal="right" vertical="center" wrapText="1"/>
    </xf>
    <xf numFmtId="1" fontId="16" fillId="0" borderId="9" xfId="9" applyNumberFormat="1" applyFont="1" applyBorder="1" applyAlignment="1">
      <alignment horizontal="center" vertical="center" wrapText="1"/>
    </xf>
    <xf numFmtId="1" fontId="15" fillId="0" borderId="9" xfId="9" applyNumberFormat="1" applyFont="1" applyBorder="1" applyAlignment="1">
      <alignment horizontal="center" vertical="center" wrapText="1"/>
    </xf>
    <xf numFmtId="165" fontId="16" fillId="0" borderId="9" xfId="9" applyNumberFormat="1" applyFont="1" applyBorder="1" applyAlignment="1">
      <alignment horizontal="center" vertical="center" wrapText="1"/>
    </xf>
    <xf numFmtId="4" fontId="16" fillId="0" borderId="9" xfId="9" applyNumberFormat="1" applyFont="1" applyBorder="1" applyAlignment="1">
      <alignment vertical="center" wrapText="1"/>
    </xf>
    <xf numFmtId="1" fontId="15" fillId="2" borderId="9" xfId="9" applyNumberFormat="1" applyFont="1" applyFill="1" applyBorder="1" applyAlignment="1">
      <alignment horizontal="center" vertical="center" wrapText="1"/>
    </xf>
    <xf numFmtId="166" fontId="15" fillId="2" borderId="9" xfId="9" applyNumberFormat="1" applyFont="1" applyFill="1" applyBorder="1" applyAlignment="1">
      <alignment horizontal="center" vertical="center" wrapText="1"/>
    </xf>
    <xf numFmtId="165" fontId="15" fillId="2" borderId="9" xfId="9" applyNumberFormat="1" applyFont="1" applyFill="1" applyBorder="1" applyAlignment="1">
      <alignment horizontal="center" vertical="center" wrapText="1"/>
    </xf>
    <xf numFmtId="4" fontId="15" fillId="2" borderId="9" xfId="9" applyNumberFormat="1" applyFont="1" applyFill="1" applyBorder="1" applyAlignment="1">
      <alignment vertical="center" wrapText="1"/>
    </xf>
    <xf numFmtId="166" fontId="15" fillId="2" borderId="9" xfId="9" applyNumberFormat="1" applyFont="1" applyFill="1" applyBorder="1" applyAlignment="1">
      <alignment vertical="center" wrapText="1"/>
    </xf>
    <xf numFmtId="166" fontId="12" fillId="2" borderId="9" xfId="9" applyNumberFormat="1" applyFont="1" applyFill="1" applyBorder="1" applyAlignment="1">
      <alignment vertical="center" wrapText="1"/>
    </xf>
    <xf numFmtId="167" fontId="14" fillId="2" borderId="9" xfId="9" applyNumberFormat="1" applyFont="1" applyFill="1" applyBorder="1" applyAlignment="1">
      <alignment vertical="center"/>
    </xf>
    <xf numFmtId="0" fontId="1" fillId="0" borderId="0" xfId="9" applyAlignment="1">
      <alignment horizontal="center" vertical="center"/>
    </xf>
    <xf numFmtId="0" fontId="1" fillId="0" borderId="0" xfId="9" applyAlignment="1">
      <alignment vertical="center"/>
    </xf>
    <xf numFmtId="49" fontId="0" fillId="2" borderId="9" xfId="9" applyNumberFormat="1" applyFont="1" applyFill="1" applyBorder="1" applyAlignment="1">
      <alignment horizontal="center" vertical="center" wrapText="1"/>
    </xf>
    <xf numFmtId="169" fontId="17" fillId="2" borderId="9" xfId="9" applyNumberFormat="1" applyFont="1" applyFill="1" applyBorder="1" applyAlignment="1">
      <alignment horizontal="center" vertical="center" wrapText="1"/>
    </xf>
    <xf numFmtId="49" fontId="16" fillId="0" borderId="9" xfId="9" applyNumberFormat="1" applyFont="1" applyBorder="1" applyAlignment="1">
      <alignment horizontal="center" vertical="center" wrapText="1"/>
    </xf>
    <xf numFmtId="49" fontId="15" fillId="2" borderId="9" xfId="9" applyNumberFormat="1" applyFont="1" applyFill="1" applyBorder="1" applyAlignment="1">
      <alignment horizontal="center" vertical="center" wrapText="1"/>
    </xf>
    <xf numFmtId="167" fontId="12" fillId="2" borderId="9" xfId="9" applyNumberFormat="1" applyFont="1" applyFill="1" applyBorder="1" applyAlignment="1">
      <alignment vertical="center"/>
    </xf>
    <xf numFmtId="49" fontId="14" fillId="2" borderId="9" xfId="9" applyNumberFormat="1" applyFont="1" applyFill="1" applyBorder="1" applyAlignment="1">
      <alignment horizontal="center" vertical="center"/>
    </xf>
    <xf numFmtId="170" fontId="1" fillId="2" borderId="9" xfId="9" applyNumberFormat="1" applyFill="1" applyBorder="1" applyAlignment="1">
      <alignment horizontal="right" vertical="center" wrapText="1"/>
    </xf>
    <xf numFmtId="165" fontId="17" fillId="2" borderId="9" xfId="9" applyNumberFormat="1" applyFont="1" applyFill="1" applyBorder="1" applyAlignment="1">
      <alignment horizontal="right" vertical="center" wrapText="1"/>
    </xf>
    <xf numFmtId="165" fontId="17" fillId="0" borderId="9" xfId="9" applyNumberFormat="1" applyFont="1" applyBorder="1" applyAlignment="1">
      <alignment horizontal="right" vertical="center" wrapText="1"/>
    </xf>
    <xf numFmtId="171" fontId="17" fillId="2" borderId="9" xfId="9" applyNumberFormat="1" applyFont="1" applyFill="1" applyBorder="1" applyAlignment="1">
      <alignment horizontal="center" vertical="center" wrapText="1"/>
    </xf>
    <xf numFmtId="171" fontId="15" fillId="2" borderId="9" xfId="9" applyNumberFormat="1" applyFont="1" applyFill="1" applyBorder="1" applyAlignment="1">
      <alignment horizontal="center" vertical="center" wrapText="1"/>
    </xf>
    <xf numFmtId="0" fontId="3" fillId="2" borderId="0" xfId="1" applyNumberFormat="1" applyFont="1" applyFill="1" applyBorder="1" applyAlignment="1">
      <alignment horizontal="center" vertical="center" wrapText="1"/>
    </xf>
    <xf numFmtId="2" fontId="17" fillId="2" borderId="9" xfId="9" applyNumberFormat="1" applyFont="1" applyFill="1" applyBorder="1" applyAlignment="1">
      <alignment horizontal="center" vertical="center" wrapText="1"/>
    </xf>
    <xf numFmtId="0" fontId="9" fillId="0" borderId="9" xfId="0" applyFont="1" applyBorder="1" applyAlignment="1">
      <alignment horizontal="right" vertical="center"/>
    </xf>
    <xf numFmtId="2" fontId="8" fillId="0" borderId="9" xfId="0" applyNumberFormat="1" applyFont="1" applyBorder="1" applyAlignment="1">
      <alignment horizontal="right" vertical="center" wrapText="1"/>
    </xf>
    <xf numFmtId="2" fontId="2" fillId="2" borderId="9" xfId="0" applyNumberFormat="1" applyFont="1" applyFill="1" applyBorder="1" applyAlignment="1">
      <alignment horizontal="center" vertical="center"/>
    </xf>
    <xf numFmtId="2" fontId="14" fillId="2" borderId="9" xfId="9" applyNumberFormat="1" applyFont="1" applyFill="1" applyBorder="1" applyAlignment="1">
      <alignment horizontal="center" vertical="center"/>
    </xf>
    <xf numFmtId="165" fontId="17" fillId="0" borderId="9" xfId="9" applyNumberFormat="1" applyFont="1" applyBorder="1" applyAlignment="1">
      <alignment horizontal="center" vertical="center" wrapText="1"/>
    </xf>
    <xf numFmtId="166" fontId="14" fillId="2" borderId="9" xfId="9" applyNumberFormat="1" applyFont="1" applyFill="1" applyBorder="1" applyAlignment="1">
      <alignment horizontal="center" vertical="center"/>
    </xf>
    <xf numFmtId="170" fontId="1" fillId="2" borderId="9" xfId="9" applyNumberFormat="1" applyFill="1" applyBorder="1" applyAlignment="1">
      <alignment horizontal="center" vertical="center" wrapText="1"/>
    </xf>
    <xf numFmtId="4" fontId="1" fillId="2" borderId="9" xfId="9" applyNumberFormat="1" applyFill="1" applyBorder="1" applyAlignment="1">
      <alignment horizontal="center" vertical="center" wrapText="1"/>
    </xf>
    <xf numFmtId="167" fontId="12" fillId="2" borderId="9" xfId="9" applyNumberFormat="1" applyFont="1" applyFill="1" applyBorder="1" applyAlignment="1">
      <alignment horizontal="center" vertical="center"/>
    </xf>
    <xf numFmtId="4" fontId="17" fillId="2" borderId="9" xfId="9" applyNumberFormat="1" applyFont="1" applyFill="1" applyBorder="1" applyAlignment="1">
      <alignment horizontal="center" vertical="center" wrapText="1"/>
    </xf>
    <xf numFmtId="4" fontId="15" fillId="2" borderId="9" xfId="9" applyNumberFormat="1" applyFont="1" applyFill="1" applyBorder="1" applyAlignment="1">
      <alignment horizontal="center" vertical="center" wrapText="1"/>
    </xf>
    <xf numFmtId="166" fontId="12" fillId="2" borderId="9" xfId="9" applyNumberFormat="1" applyFont="1" applyFill="1" applyBorder="1" applyAlignment="1">
      <alignment horizontal="center" vertical="center" wrapText="1"/>
    </xf>
    <xf numFmtId="166" fontId="1" fillId="2" borderId="9" xfId="9" applyNumberFormat="1" applyFill="1" applyBorder="1" applyAlignment="1">
      <alignment horizontal="center" vertical="center" wrapText="1"/>
    </xf>
    <xf numFmtId="167" fontId="1" fillId="0" borderId="9" xfId="9" applyNumberFormat="1" applyBorder="1" applyAlignment="1">
      <alignment horizontal="center" vertical="center"/>
    </xf>
    <xf numFmtId="43" fontId="1" fillId="0" borderId="9" xfId="9" applyNumberFormat="1" applyBorder="1" applyAlignment="1">
      <alignment horizontal="center" vertical="center"/>
    </xf>
    <xf numFmtId="43" fontId="12" fillId="2" borderId="9" xfId="9" applyNumberFormat="1" applyFont="1" applyFill="1" applyBorder="1" applyAlignment="1">
      <alignment horizontal="center" vertical="center"/>
    </xf>
    <xf numFmtId="167" fontId="14" fillId="2" borderId="9" xfId="9" applyNumberFormat="1" applyFont="1" applyFill="1" applyBorder="1" applyAlignment="1">
      <alignment horizontal="center" vertical="center"/>
    </xf>
    <xf numFmtId="0" fontId="4" fillId="0" borderId="9" xfId="0" applyFont="1" applyBorder="1" applyAlignment="1">
      <alignment horizontal="justify" vertical="center" wrapText="1"/>
    </xf>
    <xf numFmtId="0" fontId="5" fillId="0" borderId="9" xfId="0" applyFont="1" applyBorder="1"/>
    <xf numFmtId="0" fontId="20" fillId="0" borderId="9" xfId="0" applyFont="1" applyBorder="1" applyAlignment="1">
      <alignment horizontal="right" vertical="center" wrapText="1"/>
    </xf>
    <xf numFmtId="2" fontId="4" fillId="0" borderId="9" xfId="2" applyNumberFormat="1" applyFont="1" applyFill="1" applyBorder="1" applyAlignment="1">
      <alignment horizontal="center" vertical="center"/>
    </xf>
    <xf numFmtId="2" fontId="4" fillId="0" borderId="9" xfId="0" applyNumberFormat="1" applyFont="1" applyBorder="1" applyAlignment="1">
      <alignment horizontal="center" vertical="center"/>
    </xf>
    <xf numFmtId="4" fontId="2" fillId="0" borderId="0" xfId="0" applyNumberFormat="1" applyFont="1"/>
    <xf numFmtId="0" fontId="12" fillId="2" borderId="9" xfId="9" applyFont="1" applyFill="1" applyBorder="1" applyAlignment="1">
      <alignment horizontal="right" vertical="center"/>
    </xf>
    <xf numFmtId="49" fontId="1" fillId="2" borderId="9" xfId="9" applyNumberFormat="1" applyFill="1" applyBorder="1" applyAlignment="1">
      <alignment horizontal="center" vertical="center" wrapText="1"/>
    </xf>
    <xf numFmtId="0" fontId="12" fillId="2" borderId="9" xfId="9" applyFont="1" applyFill="1" applyBorder="1" applyAlignment="1">
      <alignment horizontal="center" vertical="center"/>
    </xf>
    <xf numFmtId="0" fontId="14" fillId="2" borderId="9" xfId="9" applyFont="1" applyFill="1" applyBorder="1" applyAlignment="1">
      <alignment horizontal="center" vertical="center"/>
    </xf>
    <xf numFmtId="0" fontId="12" fillId="2" borderId="9" xfId="9" applyFont="1" applyFill="1" applyBorder="1" applyAlignment="1">
      <alignment horizontal="center" vertical="center" wrapText="1"/>
    </xf>
    <xf numFmtId="1" fontId="14" fillId="2" borderId="9" xfId="9" applyNumberFormat="1" applyFont="1" applyFill="1" applyBorder="1" applyAlignment="1">
      <alignment horizontal="center" vertical="center" wrapText="1"/>
    </xf>
    <xf numFmtId="0" fontId="14" fillId="2" borderId="9" xfId="9" applyFont="1" applyFill="1" applyBorder="1" applyAlignment="1">
      <alignment horizontal="center" vertical="center" wrapText="1"/>
    </xf>
    <xf numFmtId="0" fontId="2" fillId="0" borderId="0" xfId="0" applyFont="1" applyAlignment="1">
      <alignment horizontal="center"/>
    </xf>
    <xf numFmtId="0" fontId="2" fillId="3" borderId="9" xfId="0" applyFont="1" applyFill="1" applyBorder="1" applyAlignment="1">
      <alignment horizontal="center"/>
    </xf>
    <xf numFmtId="9" fontId="2" fillId="0" borderId="0" xfId="4" applyFont="1"/>
    <xf numFmtId="0" fontId="4" fillId="4" borderId="11" xfId="6" applyFill="1" applyBorder="1"/>
    <xf numFmtId="44" fontId="2" fillId="0" borderId="0" xfId="2" applyFont="1" applyAlignment="1">
      <alignment vertical="center"/>
    </xf>
    <xf numFmtId="0" fontId="3" fillId="2" borderId="0" xfId="0" applyFont="1" applyFill="1" applyAlignment="1">
      <alignment horizontal="left" vertical="center" wrapText="1"/>
    </xf>
    <xf numFmtId="0" fontId="3" fillId="0" borderId="9" xfId="0" applyFont="1" applyBorder="1" applyAlignment="1">
      <alignment horizontal="center" vertical="top" wrapText="1"/>
    </xf>
    <xf numFmtId="0" fontId="4" fillId="0" borderId="9" xfId="0" applyFont="1" applyBorder="1" applyAlignment="1">
      <alignment horizontal="left" vertical="top" wrapText="1"/>
    </xf>
    <xf numFmtId="10" fontId="4" fillId="0" borderId="9" xfId="4" applyNumberFormat="1" applyFont="1" applyFill="1" applyBorder="1" applyAlignment="1">
      <alignment horizontal="center" vertical="top" wrapText="1"/>
    </xf>
    <xf numFmtId="10" fontId="3" fillId="0" borderId="9" xfId="4" applyNumberFormat="1" applyFont="1" applyFill="1" applyBorder="1" applyAlignment="1">
      <alignment horizontal="center" vertical="top" wrapText="1"/>
    </xf>
    <xf numFmtId="0" fontId="3" fillId="0" borderId="9" xfId="0" applyFont="1" applyBorder="1" applyAlignment="1">
      <alignment horizontal="left" vertical="top" wrapText="1" indent="5"/>
    </xf>
    <xf numFmtId="9" fontId="3" fillId="0" borderId="9" xfId="4" applyFont="1" applyFill="1" applyBorder="1" applyAlignment="1">
      <alignment horizontal="left" vertical="top" wrapText="1" indent="1"/>
    </xf>
    <xf numFmtId="9" fontId="4" fillId="0" borderId="9" xfId="4" applyFont="1" applyFill="1" applyBorder="1" applyAlignment="1">
      <alignment horizontal="center" vertical="top" wrapText="1"/>
    </xf>
    <xf numFmtId="10" fontId="3" fillId="0" borderId="9" xfId="4" applyNumberFormat="1" applyFont="1" applyFill="1" applyBorder="1" applyAlignment="1">
      <alignment horizontal="left" vertical="top" wrapText="1" indent="1"/>
    </xf>
    <xf numFmtId="0" fontId="3" fillId="0" borderId="9" xfId="0" applyFont="1" applyBorder="1" applyAlignment="1">
      <alignment horizontal="left" vertical="top" wrapText="1" indent="4"/>
    </xf>
    <xf numFmtId="10" fontId="4" fillId="0" borderId="9" xfId="4" applyNumberFormat="1" applyFont="1" applyFill="1" applyBorder="1" applyAlignment="1">
      <alignment horizontal="center" vertical="center" wrapText="1"/>
    </xf>
    <xf numFmtId="9" fontId="4" fillId="0" borderId="9" xfId="4" applyFont="1" applyFill="1" applyBorder="1" applyAlignment="1">
      <alignment horizontal="center" vertical="center" wrapText="1"/>
    </xf>
    <xf numFmtId="0" fontId="3" fillId="0" borderId="9" xfId="0" applyFont="1" applyBorder="1" applyAlignment="1">
      <alignment horizontal="left" vertical="top" wrapText="1" indent="8"/>
    </xf>
    <xf numFmtId="9" fontId="3" fillId="0" borderId="9" xfId="4" applyFont="1" applyFill="1" applyBorder="1" applyAlignment="1">
      <alignment horizontal="center" vertical="top" wrapText="1"/>
    </xf>
    <xf numFmtId="0" fontId="2" fillId="0" borderId="9" xfId="0" applyFont="1" applyBorder="1" applyAlignment="1">
      <alignment horizontal="left" vertical="top" wrapText="1"/>
    </xf>
    <xf numFmtId="0" fontId="3" fillId="0" borderId="9" xfId="0" applyFont="1" applyBorder="1" applyAlignment="1">
      <alignment horizontal="left" vertical="top" wrapText="1" indent="11"/>
    </xf>
    <xf numFmtId="43" fontId="3" fillId="2" borderId="0" xfId="1" applyFont="1" applyFill="1" applyBorder="1" applyAlignment="1">
      <alignment horizontal="center" vertical="center" wrapText="1"/>
    </xf>
    <xf numFmtId="0" fontId="3" fillId="2" borderId="0" xfId="1" applyNumberFormat="1" applyFont="1" applyFill="1" applyBorder="1" applyAlignment="1">
      <alignment horizontal="right" vertical="center" wrapText="1"/>
    </xf>
    <xf numFmtId="49" fontId="3" fillId="2" borderId="5" xfId="1" applyNumberFormat="1" applyFont="1" applyFill="1" applyBorder="1" applyAlignment="1">
      <alignment horizontal="left" vertical="center" wrapText="1"/>
    </xf>
    <xf numFmtId="0" fontId="4" fillId="4" borderId="0" xfId="6" applyFill="1"/>
    <xf numFmtId="2" fontId="3" fillId="4" borderId="0" xfId="7" applyFont="1" applyFill="1" applyAlignment="1">
      <alignment vertical="top" wrapText="1"/>
    </xf>
    <xf numFmtId="4" fontId="2" fillId="2" borderId="6" xfId="0" applyNumberFormat="1" applyFont="1" applyFill="1" applyBorder="1" applyAlignment="1">
      <alignment horizontal="center" vertical="center"/>
    </xf>
    <xf numFmtId="10" fontId="3" fillId="2" borderId="0" xfId="1" applyNumberFormat="1" applyFont="1" applyFill="1" applyBorder="1" applyAlignment="1">
      <alignment horizontal="left" vertical="center" wrapText="1"/>
    </xf>
    <xf numFmtId="43" fontId="3" fillId="2" borderId="0" xfId="1" applyFont="1" applyFill="1" applyBorder="1" applyAlignment="1">
      <alignment horizontal="right" vertical="center" wrapText="1"/>
    </xf>
    <xf numFmtId="0" fontId="3" fillId="2" borderId="5" xfId="1" applyNumberFormat="1" applyFont="1" applyFill="1" applyBorder="1" applyAlignment="1">
      <alignment horizontal="right" vertical="center" wrapText="1"/>
    </xf>
    <xf numFmtId="0" fontId="4" fillId="4" borderId="4" xfId="6" applyFill="1" applyBorder="1"/>
    <xf numFmtId="0" fontId="4" fillId="4" borderId="5" xfId="6" applyFill="1" applyBorder="1"/>
    <xf numFmtId="2" fontId="4" fillId="4" borderId="0" xfId="6" applyNumberFormat="1" applyFill="1"/>
    <xf numFmtId="0" fontId="3" fillId="4" borderId="0" xfId="6" applyFont="1" applyFill="1" applyAlignment="1">
      <alignment horizontal="right"/>
    </xf>
    <xf numFmtId="10" fontId="3" fillId="4" borderId="0" xfId="6" applyNumberFormat="1" applyFont="1" applyFill="1" applyAlignment="1">
      <alignment horizontal="center"/>
    </xf>
    <xf numFmtId="10" fontId="4" fillId="4" borderId="0" xfId="4" applyNumberFormat="1" applyFont="1" applyFill="1" applyBorder="1"/>
    <xf numFmtId="49" fontId="3" fillId="4" borderId="4" xfId="7" applyNumberFormat="1" applyFont="1" applyFill="1" applyBorder="1" applyAlignment="1">
      <alignment horizontal="left" vertical="top"/>
    </xf>
    <xf numFmtId="2" fontId="3" fillId="4" borderId="5" xfId="7" applyFont="1" applyFill="1" applyBorder="1" applyAlignment="1">
      <alignment vertical="top" wrapText="1"/>
    </xf>
    <xf numFmtId="49" fontId="3" fillId="4" borderId="4" xfId="7" applyNumberFormat="1" applyFont="1" applyFill="1" applyBorder="1" applyAlignment="1">
      <alignment horizontal="left" vertical="top" wrapText="1"/>
    </xf>
    <xf numFmtId="49" fontId="3" fillId="4" borderId="4" xfId="7" applyNumberFormat="1" applyFont="1" applyFill="1" applyBorder="1" applyAlignment="1">
      <alignment horizontal="right" vertical="top" wrapText="1"/>
    </xf>
    <xf numFmtId="49" fontId="3" fillId="4" borderId="0" xfId="7" applyNumberFormat="1" applyFont="1" applyFill="1" applyAlignment="1">
      <alignment horizontal="left"/>
    </xf>
    <xf numFmtId="1" fontId="23" fillId="2" borderId="9" xfId="0" applyNumberFormat="1" applyFont="1" applyFill="1" applyBorder="1" applyAlignment="1">
      <alignment horizontal="center" vertical="center"/>
    </xf>
    <xf numFmtId="2" fontId="23" fillId="2" borderId="9" xfId="0" applyNumberFormat="1" applyFont="1" applyFill="1" applyBorder="1" applyAlignment="1">
      <alignment horizontal="center" vertical="center" wrapText="1"/>
    </xf>
    <xf numFmtId="2" fontId="23" fillId="2" borderId="9" xfId="0" applyNumberFormat="1" applyFont="1" applyFill="1" applyBorder="1" applyAlignment="1">
      <alignment horizontal="center" vertical="center"/>
    </xf>
    <xf numFmtId="44" fontId="23" fillId="2" borderId="9" xfId="2" applyFont="1" applyFill="1" applyBorder="1" applyAlignment="1">
      <alignment horizontal="center" vertical="center"/>
    </xf>
    <xf numFmtId="14" fontId="23" fillId="2" borderId="9" xfId="0" applyNumberFormat="1" applyFont="1" applyFill="1" applyBorder="1" applyAlignment="1">
      <alignment horizontal="center" vertical="center"/>
    </xf>
    <xf numFmtId="172" fontId="23" fillId="2" borderId="9" xfId="0" applyNumberFormat="1" applyFont="1" applyFill="1" applyBorder="1" applyAlignment="1">
      <alignment horizontal="center" vertical="center"/>
    </xf>
    <xf numFmtId="164" fontId="23" fillId="2" borderId="9" xfId="0" applyNumberFormat="1" applyFont="1" applyFill="1" applyBorder="1" applyAlignment="1">
      <alignment horizontal="center" vertical="center"/>
    </xf>
    <xf numFmtId="2" fontId="23" fillId="2" borderId="9" xfId="15" applyNumberFormat="1" applyFont="1" applyFill="1" applyBorder="1" applyAlignment="1" applyProtection="1">
      <alignment horizontal="center" vertical="center" wrapText="1"/>
    </xf>
    <xf numFmtId="1" fontId="23" fillId="2" borderId="9" xfId="0" applyNumberFormat="1" applyFont="1" applyFill="1" applyBorder="1" applyAlignment="1">
      <alignment horizontal="center" vertical="center" wrapText="1"/>
    </xf>
    <xf numFmtId="2" fontId="19" fillId="2" borderId="9" xfId="15" applyNumberFormat="1" applyFill="1" applyBorder="1" applyAlignment="1" applyProtection="1">
      <alignment horizontal="center" vertical="center" wrapText="1"/>
    </xf>
    <xf numFmtId="4" fontId="24" fillId="2" borderId="1" xfId="0" applyNumberFormat="1" applyFont="1" applyFill="1" applyBorder="1" applyAlignment="1">
      <alignment horizontal="center" vertical="center"/>
    </xf>
    <xf numFmtId="4" fontId="26" fillId="0" borderId="0" xfId="16" applyNumberFormat="1" applyFont="1" applyAlignment="1">
      <alignment horizontal="center" vertical="center"/>
    </xf>
    <xf numFmtId="4" fontId="24" fillId="2" borderId="4" xfId="0" applyNumberFormat="1" applyFont="1" applyFill="1" applyBorder="1" applyAlignment="1">
      <alignment horizontal="center" vertical="center"/>
    </xf>
    <xf numFmtId="0" fontId="25" fillId="2" borderId="0" xfId="0" applyFont="1" applyFill="1" applyAlignment="1">
      <alignment horizontal="center" vertical="center" wrapText="1"/>
    </xf>
    <xf numFmtId="4" fontId="24" fillId="2" borderId="0" xfId="0" applyNumberFormat="1" applyFont="1" applyFill="1" applyAlignment="1">
      <alignment horizontal="center" vertical="center" wrapText="1"/>
    </xf>
    <xf numFmtId="0" fontId="25" fillId="2" borderId="0" xfId="1" applyNumberFormat="1" applyFont="1" applyFill="1" applyBorder="1" applyAlignment="1">
      <alignment horizontal="center" vertical="center" wrapText="1"/>
    </xf>
    <xf numFmtId="10" fontId="25" fillId="2" borderId="0" xfId="1" applyNumberFormat="1" applyFont="1" applyFill="1" applyBorder="1" applyAlignment="1">
      <alignment horizontal="center" vertical="center" wrapText="1"/>
    </xf>
    <xf numFmtId="43" fontId="25" fillId="2" borderId="0" xfId="1" applyFont="1" applyFill="1" applyBorder="1" applyAlignment="1">
      <alignment horizontal="center" vertical="center" wrapText="1"/>
    </xf>
    <xf numFmtId="0" fontId="24" fillId="0" borderId="0" xfId="0" applyFont="1"/>
    <xf numFmtId="0" fontId="25" fillId="2" borderId="0" xfId="1" applyNumberFormat="1" applyFont="1" applyFill="1" applyBorder="1" applyAlignment="1">
      <alignment horizontal="right" vertical="center" wrapText="1"/>
    </xf>
    <xf numFmtId="49" fontId="25" fillId="2" borderId="0" xfId="1" applyNumberFormat="1" applyFont="1" applyFill="1" applyBorder="1" applyAlignment="1">
      <alignment horizontal="left" vertical="center" wrapText="1"/>
    </xf>
    <xf numFmtId="3" fontId="25" fillId="9" borderId="12" xfId="12" applyNumberFormat="1" applyFont="1" applyFill="1" applyBorder="1" applyAlignment="1">
      <alignment horizontal="center" vertical="center"/>
    </xf>
    <xf numFmtId="0" fontId="26" fillId="10" borderId="12" xfId="16" applyFont="1" applyFill="1" applyBorder="1" applyAlignment="1">
      <alignment horizontal="left" vertical="center"/>
    </xf>
    <xf numFmtId="10" fontId="26" fillId="10" borderId="12" xfId="4" applyNumberFormat="1" applyFont="1" applyFill="1" applyBorder="1" applyAlignment="1">
      <alignment horizontal="center" vertical="center"/>
    </xf>
    <xf numFmtId="10" fontId="25" fillId="10" borderId="24" xfId="17" applyNumberFormat="1" applyFont="1" applyFill="1" applyBorder="1" applyAlignment="1">
      <alignment horizontal="center" vertical="center"/>
    </xf>
    <xf numFmtId="0" fontId="26" fillId="0" borderId="27" xfId="16" applyFont="1" applyBorder="1" applyAlignment="1">
      <alignment horizontal="left" vertical="center"/>
    </xf>
    <xf numFmtId="44" fontId="26" fillId="0" borderId="27" xfId="2" applyFont="1" applyBorder="1" applyAlignment="1">
      <alignment horizontal="left" vertical="center"/>
    </xf>
    <xf numFmtId="44" fontId="25" fillId="0" borderId="27" xfId="2" applyFont="1" applyBorder="1" applyAlignment="1">
      <alignment horizontal="center" vertical="center"/>
    </xf>
    <xf numFmtId="10" fontId="25" fillId="10" borderId="12" xfId="17" applyNumberFormat="1" applyFont="1" applyFill="1" applyBorder="1" applyAlignment="1">
      <alignment horizontal="center" vertical="center"/>
    </xf>
    <xf numFmtId="10" fontId="25" fillId="10" borderId="24" xfId="16" applyNumberFormat="1" applyFont="1" applyFill="1" applyBorder="1" applyAlignment="1">
      <alignment horizontal="center" vertical="center"/>
    </xf>
    <xf numFmtId="10" fontId="25" fillId="11" borderId="13" xfId="17" applyNumberFormat="1" applyFont="1" applyFill="1" applyBorder="1" applyAlignment="1">
      <alignment horizontal="center" vertical="center"/>
    </xf>
    <xf numFmtId="10" fontId="25" fillId="11" borderId="9" xfId="16" applyNumberFormat="1" applyFont="1" applyFill="1" applyBorder="1" applyAlignment="1">
      <alignment horizontal="center" vertical="center"/>
    </xf>
    <xf numFmtId="44" fontId="25" fillId="11" borderId="9" xfId="2" applyFont="1" applyFill="1" applyBorder="1" applyAlignment="1">
      <alignment horizontal="center" vertical="center"/>
    </xf>
    <xf numFmtId="14" fontId="3" fillId="2" borderId="0" xfId="1" applyNumberFormat="1" applyFont="1" applyFill="1" applyBorder="1" applyAlignment="1">
      <alignment horizontal="left" vertical="center" wrapText="1"/>
    </xf>
    <xf numFmtId="4" fontId="24" fillId="2" borderId="20" xfId="0" applyNumberFormat="1" applyFont="1" applyFill="1" applyBorder="1" applyAlignment="1">
      <alignment horizontal="center" vertical="center"/>
    </xf>
    <xf numFmtId="14" fontId="3" fillId="2" borderId="0" xfId="0" applyNumberFormat="1" applyFont="1" applyFill="1" applyAlignment="1">
      <alignment horizontal="left" vertical="center" wrapText="1"/>
    </xf>
    <xf numFmtId="2" fontId="17" fillId="0" borderId="9" xfId="9" applyNumberFormat="1" applyFont="1" applyBorder="1" applyAlignment="1">
      <alignment horizontal="center" vertical="center" wrapText="1"/>
    </xf>
    <xf numFmtId="2" fontId="19" fillId="0" borderId="9" xfId="15" applyNumberFormat="1" applyFill="1" applyBorder="1" applyAlignment="1" applyProtection="1">
      <alignment horizontal="center" vertical="center" wrapText="1"/>
    </xf>
    <xf numFmtId="44" fontId="4" fillId="0" borderId="9" xfId="2" applyFont="1" applyFill="1" applyBorder="1" applyAlignment="1">
      <alignment horizontal="center" vertical="center"/>
    </xf>
    <xf numFmtId="2" fontId="2" fillId="0" borderId="9" xfId="0" applyNumberFormat="1" applyFont="1" applyBorder="1" applyAlignment="1">
      <alignment horizontal="right" vertical="center"/>
    </xf>
    <xf numFmtId="0" fontId="28" fillId="0" borderId="9" xfId="0" applyFont="1" applyBorder="1" applyAlignment="1">
      <alignment horizontal="right" vertical="center" wrapText="1"/>
    </xf>
    <xf numFmtId="0" fontId="3" fillId="2" borderId="9" xfId="0" applyFont="1" applyFill="1" applyBorder="1" applyAlignment="1">
      <alignment horizontal="center" vertical="center"/>
    </xf>
    <xf numFmtId="0" fontId="3" fillId="2" borderId="9" xfId="0" applyFont="1" applyFill="1" applyBorder="1" applyAlignment="1">
      <alignment horizontal="justify" vertical="center" wrapText="1"/>
    </xf>
    <xf numFmtId="43" fontId="3" fillId="2" borderId="9" xfId="1" applyFont="1" applyFill="1" applyBorder="1" applyAlignment="1">
      <alignment horizontal="center" vertical="center"/>
    </xf>
    <xf numFmtId="43" fontId="3" fillId="2" borderId="9" xfId="1" applyFont="1" applyFill="1" applyBorder="1" applyAlignment="1">
      <alignment horizontal="right" vertical="center"/>
    </xf>
    <xf numFmtId="0" fontId="27" fillId="0" borderId="9" xfId="0" applyFont="1" applyBorder="1" applyAlignment="1">
      <alignment horizontal="center" vertical="center"/>
    </xf>
    <xf numFmtId="0" fontId="27" fillId="0" borderId="9" xfId="0" applyFont="1" applyBorder="1" applyAlignment="1">
      <alignment vertical="center" wrapText="1"/>
    </xf>
    <xf numFmtId="4" fontId="27" fillId="2" borderId="9" xfId="0" applyNumberFormat="1" applyFont="1" applyFill="1" applyBorder="1" applyAlignment="1">
      <alignment horizontal="center" vertical="center" wrapText="1"/>
    </xf>
    <xf numFmtId="4" fontId="27" fillId="0" borderId="9" xfId="0" applyNumberFormat="1" applyFont="1" applyBorder="1" applyAlignment="1">
      <alignment horizontal="center" vertical="center" wrapText="1"/>
    </xf>
    <xf numFmtId="0" fontId="27" fillId="0" borderId="0" xfId="0" applyFont="1"/>
    <xf numFmtId="0" fontId="3" fillId="2" borderId="9" xfId="0" quotePrefix="1" applyFont="1" applyFill="1" applyBorder="1" applyAlignment="1">
      <alignment horizontal="center" vertical="center"/>
    </xf>
    <xf numFmtId="4" fontId="5" fillId="2" borderId="9" xfId="1" applyNumberFormat="1" applyFont="1" applyFill="1" applyBorder="1" applyAlignment="1">
      <alignment horizontal="center" vertical="center"/>
    </xf>
    <xf numFmtId="0" fontId="5" fillId="2" borderId="0" xfId="0" applyFont="1" applyFill="1"/>
    <xf numFmtId="0" fontId="27" fillId="2" borderId="0" xfId="0" applyFont="1" applyFill="1"/>
    <xf numFmtId="0" fontId="30" fillId="0" borderId="9" xfId="0" applyFont="1" applyBorder="1" applyAlignment="1">
      <alignment horizontal="right" vertical="center" wrapText="1"/>
    </xf>
    <xf numFmtId="0" fontId="29" fillId="12" borderId="0" xfId="0" applyFont="1" applyFill="1"/>
    <xf numFmtId="0" fontId="21" fillId="2" borderId="9" xfId="0" quotePrefix="1" applyFont="1" applyFill="1" applyBorder="1" applyAlignment="1">
      <alignment horizontal="center" vertical="center"/>
    </xf>
    <xf numFmtId="0" fontId="21" fillId="0" borderId="9" xfId="0" applyFont="1" applyBorder="1" applyAlignment="1">
      <alignment horizontal="justify" vertical="center" wrapText="1"/>
    </xf>
    <xf numFmtId="0" fontId="21" fillId="0" borderId="9" xfId="0" applyFont="1" applyBorder="1" applyAlignment="1">
      <alignment horizontal="center" vertical="center"/>
    </xf>
    <xf numFmtId="2" fontId="31" fillId="0" borderId="9" xfId="0" applyNumberFormat="1" applyFont="1" applyBorder="1" applyAlignment="1">
      <alignment horizontal="center" vertical="center"/>
    </xf>
    <xf numFmtId="44" fontId="31" fillId="0" borderId="9" xfId="2" applyFont="1" applyBorder="1" applyAlignment="1">
      <alignment horizontal="center" vertical="center"/>
    </xf>
    <xf numFmtId="164" fontId="21" fillId="0" borderId="9" xfId="2" applyNumberFormat="1" applyFont="1" applyBorder="1" applyAlignment="1">
      <alignment horizontal="center" vertical="center"/>
    </xf>
    <xf numFmtId="0" fontId="31" fillId="0" borderId="9" xfId="0" applyFont="1" applyBorder="1" applyAlignment="1">
      <alignment horizontal="center" vertical="center"/>
    </xf>
    <xf numFmtId="4" fontId="31" fillId="2" borderId="9" xfId="0" applyNumberFormat="1" applyFont="1" applyFill="1" applyBorder="1" applyAlignment="1">
      <alignment horizontal="center" vertical="center" wrapText="1"/>
    </xf>
    <xf numFmtId="4" fontId="31" fillId="0" borderId="9" xfId="0" applyNumberFormat="1" applyFont="1" applyBorder="1" applyAlignment="1">
      <alignment horizontal="center" vertical="center" wrapText="1"/>
    </xf>
    <xf numFmtId="0" fontId="32" fillId="0" borderId="9" xfId="0" applyFont="1" applyBorder="1" applyAlignment="1">
      <alignment horizontal="right" vertical="center" wrapText="1"/>
    </xf>
    <xf numFmtId="2" fontId="21" fillId="0" borderId="9" xfId="2" applyNumberFormat="1" applyFont="1" applyBorder="1" applyAlignment="1">
      <alignment horizontal="center" vertical="center"/>
    </xf>
    <xf numFmtId="2" fontId="21" fillId="0" borderId="9" xfId="0" applyNumberFormat="1" applyFont="1" applyBorder="1" applyAlignment="1">
      <alignment horizontal="center" vertical="center"/>
    </xf>
    <xf numFmtId="4" fontId="21" fillId="0" borderId="9" xfId="0" applyNumberFormat="1" applyFont="1" applyBorder="1" applyAlignment="1">
      <alignment horizontal="center" vertical="center"/>
    </xf>
    <xf numFmtId="0" fontId="34" fillId="0" borderId="9" xfId="0" applyFont="1" applyBorder="1" applyAlignment="1">
      <alignment horizontal="right" vertical="center" wrapText="1"/>
    </xf>
    <xf numFmtId="0" fontId="31" fillId="0" borderId="9" xfId="0" applyFont="1" applyBorder="1" applyAlignment="1">
      <alignment vertical="center" wrapText="1"/>
    </xf>
    <xf numFmtId="0" fontId="35" fillId="0" borderId="9" xfId="0" applyFont="1" applyBorder="1" applyAlignment="1">
      <alignment horizontal="center" vertical="center"/>
    </xf>
    <xf numFmtId="164" fontId="21" fillId="0" borderId="9" xfId="1" applyNumberFormat="1" applyFont="1" applyBorder="1" applyAlignment="1">
      <alignment horizontal="center" vertical="center"/>
    </xf>
    <xf numFmtId="0" fontId="36" fillId="5" borderId="9" xfId="0" applyFont="1" applyFill="1" applyBorder="1" applyAlignment="1">
      <alignment horizontal="right" vertical="center"/>
    </xf>
    <xf numFmtId="2" fontId="33" fillId="5" borderId="9" xfId="0" applyNumberFormat="1" applyFont="1" applyFill="1" applyBorder="1" applyAlignment="1">
      <alignment horizontal="center" vertical="center"/>
    </xf>
    <xf numFmtId="0" fontId="31" fillId="0" borderId="0" xfId="0" applyFont="1"/>
    <xf numFmtId="0" fontId="33" fillId="0" borderId="9" xfId="0" applyFont="1" applyBorder="1" applyAlignment="1">
      <alignment horizontal="center" vertical="center"/>
    </xf>
    <xf numFmtId="0" fontId="36" fillId="0" borderId="9" xfId="0" applyFont="1" applyBorder="1" applyAlignment="1">
      <alignment horizontal="right" vertical="center"/>
    </xf>
    <xf numFmtId="2" fontId="33" fillId="0" borderId="9" xfId="0" applyNumberFormat="1" applyFont="1" applyBorder="1" applyAlignment="1">
      <alignment horizontal="center" vertical="center"/>
    </xf>
    <xf numFmtId="164" fontId="37" fillId="0" borderId="9" xfId="1" applyNumberFormat="1" applyFont="1" applyBorder="1" applyAlignment="1">
      <alignment horizontal="right" vertical="center"/>
    </xf>
    <xf numFmtId="0" fontId="2" fillId="12" borderId="0" xfId="0" applyFont="1" applyFill="1"/>
    <xf numFmtId="0" fontId="38" fillId="0" borderId="9" xfId="0" applyFont="1" applyBorder="1" applyAlignment="1">
      <alignment horizontal="right" vertical="center" wrapText="1"/>
    </xf>
    <xf numFmtId="0" fontId="36" fillId="13" borderId="9" xfId="0" applyFont="1" applyFill="1" applyBorder="1" applyAlignment="1">
      <alignment horizontal="right" vertical="center"/>
    </xf>
    <xf numFmtId="2" fontId="33" fillId="13" borderId="9" xfId="0" applyNumberFormat="1" applyFont="1" applyFill="1" applyBorder="1" applyAlignment="1">
      <alignment horizontal="center" vertical="center"/>
    </xf>
    <xf numFmtId="0" fontId="34" fillId="14" borderId="9" xfId="0" applyFont="1" applyFill="1" applyBorder="1" applyAlignment="1">
      <alignment horizontal="right" vertical="center" wrapText="1"/>
    </xf>
    <xf numFmtId="0" fontId="21" fillId="14" borderId="9" xfId="0" applyFont="1" applyFill="1" applyBorder="1" applyAlignment="1">
      <alignment horizontal="center" vertical="center"/>
    </xf>
    <xf numFmtId="0" fontId="31" fillId="14" borderId="9" xfId="0" applyFont="1" applyFill="1" applyBorder="1" applyAlignment="1">
      <alignment horizontal="center" vertical="center"/>
    </xf>
    <xf numFmtId="2" fontId="21" fillId="14" borderId="9" xfId="0" applyNumberFormat="1" applyFont="1" applyFill="1" applyBorder="1" applyAlignment="1">
      <alignment horizontal="center" vertical="center"/>
    </xf>
    <xf numFmtId="4" fontId="21" fillId="14" borderId="9" xfId="0" applyNumberFormat="1" applyFont="1" applyFill="1" applyBorder="1" applyAlignment="1">
      <alignment horizontal="center" vertical="center"/>
    </xf>
    <xf numFmtId="0" fontId="0" fillId="0" borderId="0" xfId="9" applyFont="1" applyAlignment="1">
      <alignment horizontal="center" vertical="center"/>
    </xf>
    <xf numFmtId="0" fontId="0" fillId="0" borderId="0" xfId="9" applyFont="1" applyAlignment="1">
      <alignment vertical="center"/>
    </xf>
    <xf numFmtId="17" fontId="39" fillId="2" borderId="9" xfId="9" applyNumberFormat="1" applyFont="1" applyFill="1" applyBorder="1" applyAlignment="1">
      <alignment horizontal="center" vertical="center" wrapText="1"/>
    </xf>
    <xf numFmtId="49" fontId="0" fillId="2" borderId="9" xfId="9" applyNumberFormat="1" applyFont="1" applyFill="1" applyBorder="1" applyAlignment="1">
      <alignment vertical="center"/>
    </xf>
    <xf numFmtId="165" fontId="40" fillId="2" borderId="9" xfId="9" applyNumberFormat="1" applyFont="1" applyFill="1" applyBorder="1" applyAlignment="1">
      <alignment horizontal="center" vertical="center" wrapText="1"/>
    </xf>
    <xf numFmtId="4" fontId="0" fillId="2" borderId="9" xfId="9" applyNumberFormat="1" applyFont="1" applyFill="1" applyBorder="1" applyAlignment="1">
      <alignment horizontal="right" vertical="center" wrapText="1"/>
    </xf>
    <xf numFmtId="170" fontId="0" fillId="2" borderId="9" xfId="9" applyNumberFormat="1" applyFont="1" applyFill="1" applyBorder="1" applyAlignment="1">
      <alignment horizontal="right" vertical="center" wrapText="1"/>
    </xf>
    <xf numFmtId="49" fontId="40" fillId="2" borderId="9" xfId="9" applyNumberFormat="1" applyFont="1" applyFill="1" applyBorder="1" applyAlignment="1">
      <alignment horizontal="center" vertical="center" wrapText="1"/>
    </xf>
    <xf numFmtId="1" fontId="41" fillId="2" borderId="9" xfId="9" applyNumberFormat="1" applyFont="1" applyFill="1" applyBorder="1" applyAlignment="1">
      <alignment horizontal="center" vertical="center" wrapText="1"/>
    </xf>
    <xf numFmtId="2" fontId="40" fillId="2" borderId="9" xfId="9" applyNumberFormat="1" applyFont="1" applyFill="1" applyBorder="1" applyAlignment="1">
      <alignment horizontal="center" vertical="center" wrapText="1"/>
    </xf>
    <xf numFmtId="4" fontId="40" fillId="2" borderId="9" xfId="9" applyNumberFormat="1" applyFont="1" applyFill="1" applyBorder="1" applyAlignment="1">
      <alignment horizontal="right" vertical="center" wrapText="1"/>
    </xf>
    <xf numFmtId="2" fontId="40" fillId="2" borderId="9" xfId="9" applyNumberFormat="1" applyFont="1" applyFill="1" applyBorder="1" applyAlignment="1">
      <alignment horizontal="right" vertical="center" wrapText="1"/>
    </xf>
    <xf numFmtId="171" fontId="40" fillId="2" borderId="9" xfId="9" applyNumberFormat="1" applyFont="1" applyFill="1" applyBorder="1" applyAlignment="1">
      <alignment horizontal="center" vertical="center" wrapText="1"/>
    </xf>
    <xf numFmtId="1" fontId="0" fillId="2" borderId="9" xfId="9" applyNumberFormat="1" applyFont="1" applyFill="1" applyBorder="1" applyAlignment="1">
      <alignment horizontal="center" vertical="center" wrapText="1"/>
    </xf>
    <xf numFmtId="165" fontId="0" fillId="2" borderId="9" xfId="9" applyNumberFormat="1" applyFont="1" applyFill="1" applyBorder="1" applyAlignment="1">
      <alignment horizontal="center" vertical="center" wrapText="1"/>
    </xf>
    <xf numFmtId="166" fontId="0" fillId="2" borderId="9" xfId="9" applyNumberFormat="1" applyFont="1" applyFill="1" applyBorder="1" applyAlignment="1">
      <alignment horizontal="right" vertical="center" wrapText="1"/>
    </xf>
    <xf numFmtId="0" fontId="0" fillId="0" borderId="9" xfId="9" applyFont="1" applyBorder="1" applyAlignment="1">
      <alignment horizontal="center" vertical="center"/>
    </xf>
    <xf numFmtId="0" fontId="0" fillId="0" borderId="9" xfId="9" applyFont="1" applyBorder="1" applyAlignment="1">
      <alignment vertical="center"/>
    </xf>
    <xf numFmtId="167" fontId="0" fillId="0" borderId="9" xfId="9" applyNumberFormat="1" applyFont="1" applyBorder="1" applyAlignment="1">
      <alignment vertical="center"/>
    </xf>
    <xf numFmtId="43" fontId="0" fillId="0" borderId="9" xfId="9" applyNumberFormat="1" applyFont="1" applyBorder="1" applyAlignment="1">
      <alignment vertical="center"/>
    </xf>
    <xf numFmtId="44" fontId="2" fillId="0" borderId="9" xfId="2" applyFont="1" applyFill="1" applyBorder="1" applyAlignment="1">
      <alignment horizontal="center" vertical="center"/>
    </xf>
    <xf numFmtId="4" fontId="8" fillId="2" borderId="9" xfId="0" applyNumberFormat="1" applyFont="1" applyFill="1" applyBorder="1" applyAlignment="1">
      <alignment horizontal="center" vertical="center" wrapText="1"/>
    </xf>
    <xf numFmtId="49" fontId="31" fillId="0" borderId="9" xfId="0" applyNumberFormat="1" applyFont="1" applyBorder="1" applyAlignment="1">
      <alignment horizontal="center" vertical="center"/>
    </xf>
    <xf numFmtId="49" fontId="21" fillId="0" borderId="9" xfId="0" quotePrefix="1" applyNumberFormat="1" applyFont="1" applyFill="1" applyBorder="1" applyAlignment="1">
      <alignment horizontal="center" vertical="center"/>
    </xf>
    <xf numFmtId="49" fontId="4" fillId="0" borderId="9" xfId="0" quotePrefix="1"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3" fillId="0" borderId="9" xfId="0" quotePrefix="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quotePrefix="1" applyFont="1" applyFill="1" applyBorder="1" applyAlignment="1">
      <alignment horizontal="center" vertical="center"/>
    </xf>
    <xf numFmtId="0" fontId="5" fillId="0" borderId="9" xfId="0" applyFont="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justify" vertical="center" wrapText="1"/>
    </xf>
    <xf numFmtId="2" fontId="4" fillId="0" borderId="9" xfId="0" applyNumberFormat="1" applyFont="1" applyFill="1" applyBorder="1" applyAlignment="1">
      <alignment horizontal="center" vertical="center"/>
    </xf>
    <xf numFmtId="0" fontId="34" fillId="0" borderId="9" xfId="0" applyFont="1" applyFill="1" applyBorder="1" applyAlignment="1">
      <alignment horizontal="right" vertical="center" wrapText="1"/>
    </xf>
    <xf numFmtId="0" fontId="21" fillId="0" borderId="9" xfId="0" applyFont="1" applyFill="1" applyBorder="1" applyAlignment="1">
      <alignment horizontal="center" vertical="center"/>
    </xf>
    <xf numFmtId="0" fontId="31" fillId="0" borderId="9" xfId="0" applyFont="1" applyFill="1" applyBorder="1" applyAlignment="1">
      <alignment horizontal="center" vertical="center"/>
    </xf>
    <xf numFmtId="2" fontId="21" fillId="0" borderId="9" xfId="0" applyNumberFormat="1" applyFont="1" applyFill="1" applyBorder="1" applyAlignment="1">
      <alignment horizontal="center" vertical="center"/>
    </xf>
    <xf numFmtId="4" fontId="21" fillId="0" borderId="9" xfId="0" applyNumberFormat="1" applyFont="1" applyFill="1" applyBorder="1" applyAlignment="1">
      <alignment horizontal="center" vertical="center"/>
    </xf>
    <xf numFmtId="2" fontId="21" fillId="0" borderId="9" xfId="2" applyNumberFormat="1" applyFont="1" applyFill="1" applyBorder="1" applyAlignment="1">
      <alignment horizontal="center" vertical="center"/>
    </xf>
    <xf numFmtId="2" fontId="31" fillId="0" borderId="9" xfId="0" applyNumberFormat="1" applyFont="1" applyFill="1" applyBorder="1" applyAlignment="1">
      <alignment horizontal="center" vertical="center"/>
    </xf>
    <xf numFmtId="0" fontId="4" fillId="0" borderId="9" xfId="0" applyFont="1" applyBorder="1" applyAlignment="1">
      <alignment vertical="center" wrapText="1"/>
    </xf>
    <xf numFmtId="4" fontId="4" fillId="2" borderId="9" xfId="0" applyNumberFormat="1" applyFont="1" applyFill="1" applyBorder="1" applyAlignment="1">
      <alignment horizontal="center" vertical="center" wrapText="1"/>
    </xf>
    <xf numFmtId="4" fontId="4" fillId="0" borderId="9" xfId="0" applyNumberFormat="1" applyFont="1" applyBorder="1" applyAlignment="1">
      <alignment horizontal="center" vertical="center" wrapText="1"/>
    </xf>
    <xf numFmtId="2" fontId="5" fillId="0" borderId="9" xfId="0" applyNumberFormat="1" applyFont="1" applyFill="1" applyBorder="1" applyAlignment="1">
      <alignment horizontal="center" vertical="center"/>
    </xf>
    <xf numFmtId="0" fontId="29" fillId="0" borderId="9" xfId="0" applyFont="1" applyFill="1" applyBorder="1" applyAlignment="1">
      <alignment horizontal="center" vertical="center"/>
    </xf>
    <xf numFmtId="0" fontId="29" fillId="0" borderId="9" xfId="0" applyFont="1" applyFill="1" applyBorder="1" applyAlignment="1">
      <alignment horizontal="justify" vertical="center" wrapText="1"/>
    </xf>
    <xf numFmtId="4" fontId="29" fillId="0" borderId="9" xfId="0" applyNumberFormat="1" applyFont="1" applyFill="1" applyBorder="1" applyAlignment="1">
      <alignment horizontal="center" vertical="center" wrapText="1"/>
    </xf>
    <xf numFmtId="0" fontId="32" fillId="0" borderId="9" xfId="0" applyFont="1" applyFill="1" applyBorder="1" applyAlignment="1">
      <alignment horizontal="right" vertical="center" wrapText="1"/>
    </xf>
    <xf numFmtId="4" fontId="31"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xf>
    <xf numFmtId="0" fontId="9" fillId="0" borderId="9" xfId="0" applyFont="1" applyFill="1" applyBorder="1" applyAlignment="1">
      <alignment horizontal="right" vertical="center"/>
    </xf>
    <xf numFmtId="0" fontId="4" fillId="2" borderId="9" xfId="0" quotePrefix="1" applyFont="1" applyFill="1" applyBorder="1" applyAlignment="1">
      <alignment horizontal="center" vertical="center"/>
    </xf>
    <xf numFmtId="49" fontId="2" fillId="0" borderId="9" xfId="0" quotePrefix="1" applyNumberFormat="1" applyFont="1" applyFill="1" applyBorder="1" applyAlignment="1">
      <alignment horizontal="center" vertical="center"/>
    </xf>
    <xf numFmtId="0" fontId="2" fillId="0" borderId="9" xfId="0" applyFont="1" applyBorder="1" applyAlignment="1">
      <alignment horizontal="justify" vertical="center" wrapText="1"/>
    </xf>
    <xf numFmtId="164" fontId="2" fillId="0" borderId="9" xfId="2" applyNumberFormat="1" applyFont="1" applyFill="1" applyBorder="1" applyAlignment="1">
      <alignment horizontal="center" vertical="center"/>
    </xf>
    <xf numFmtId="164" fontId="2" fillId="0" borderId="9" xfId="1" applyNumberFormat="1" applyFont="1" applyFill="1" applyBorder="1" applyAlignment="1">
      <alignment horizontal="right" vertical="center"/>
    </xf>
    <xf numFmtId="0" fontId="2" fillId="0" borderId="9" xfId="0" applyFont="1" applyFill="1" applyBorder="1" applyAlignment="1">
      <alignment horizontal="justify" vertical="center" wrapText="1"/>
    </xf>
    <xf numFmtId="2" fontId="2" fillId="0" borderId="9" xfId="0" applyNumberFormat="1" applyFont="1" applyFill="1" applyBorder="1" applyAlignment="1">
      <alignment horizontal="center" vertical="center"/>
    </xf>
    <xf numFmtId="0" fontId="20" fillId="0" borderId="9" xfId="0" applyFont="1" applyBorder="1" applyAlignment="1">
      <alignment horizontal="left" vertical="center" wrapText="1"/>
    </xf>
    <xf numFmtId="0" fontId="8" fillId="0" borderId="9" xfId="0" applyFont="1" applyBorder="1" applyAlignment="1">
      <alignment horizontal="left" vertical="center" wrapText="1"/>
    </xf>
    <xf numFmtId="2" fontId="27" fillId="0" borderId="9" xfId="2" applyNumberFormat="1" applyFont="1" applyBorder="1" applyAlignment="1">
      <alignment horizontal="center" vertical="center"/>
    </xf>
    <xf numFmtId="0" fontId="4" fillId="0" borderId="9" xfId="0" applyFont="1" applyBorder="1" applyAlignment="1">
      <alignment horizontal="left" vertical="center" wrapText="1"/>
    </xf>
    <xf numFmtId="0" fontId="2" fillId="0" borderId="9" xfId="0" applyFont="1" applyFill="1" applyBorder="1" applyAlignment="1">
      <alignment horizontal="right" vertical="center"/>
    </xf>
    <xf numFmtId="2" fontId="2" fillId="0" borderId="9" xfId="0" applyNumberFormat="1" applyFont="1" applyBorder="1" applyAlignment="1">
      <alignment horizontal="center"/>
    </xf>
    <xf numFmtId="0" fontId="3" fillId="2" borderId="0" xfId="1" applyNumberFormat="1" applyFont="1" applyFill="1" applyBorder="1" applyAlignment="1">
      <alignment horizontal="center" vertical="center" wrapText="1"/>
    </xf>
    <xf numFmtId="0" fontId="3" fillId="2" borderId="5"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43" fontId="3" fillId="2" borderId="7" xfId="1" applyFont="1" applyFill="1" applyBorder="1" applyAlignment="1">
      <alignment horizontal="right" vertical="center" wrapText="1"/>
    </xf>
    <xf numFmtId="2" fontId="25" fillId="0" borderId="21" xfId="16" applyNumberFormat="1" applyFont="1" applyBorder="1" applyAlignment="1">
      <alignment horizontal="center" vertical="center"/>
    </xf>
    <xf numFmtId="2" fontId="25" fillId="0" borderId="25" xfId="16" applyNumberFormat="1" applyFont="1" applyBorder="1" applyAlignment="1">
      <alignment horizontal="center" vertical="center"/>
    </xf>
    <xf numFmtId="4" fontId="25" fillId="0" borderId="22" xfId="16" applyNumberFormat="1" applyFont="1" applyBorder="1" applyAlignment="1">
      <alignment horizontal="center" vertical="center" wrapText="1"/>
    </xf>
    <xf numFmtId="4" fontId="25" fillId="0" borderId="26" xfId="16" applyNumberFormat="1" applyFont="1" applyBorder="1" applyAlignment="1">
      <alignment horizontal="center" vertical="center" wrapText="1"/>
    </xf>
    <xf numFmtId="167" fontId="25" fillId="9" borderId="1" xfId="12" applyFont="1" applyFill="1" applyBorder="1" applyAlignment="1">
      <alignment horizontal="center" vertical="center"/>
    </xf>
    <xf numFmtId="167" fontId="25" fillId="9" borderId="3" xfId="12" applyFont="1" applyFill="1" applyBorder="1" applyAlignment="1">
      <alignment horizontal="center" vertical="center"/>
    </xf>
    <xf numFmtId="167" fontId="25" fillId="9" borderId="6" xfId="12" applyFont="1" applyFill="1" applyBorder="1" applyAlignment="1">
      <alignment horizontal="center" vertical="center"/>
    </xf>
    <xf numFmtId="167" fontId="25" fillId="9" borderId="8" xfId="12" applyFont="1" applyFill="1" applyBorder="1" applyAlignment="1">
      <alignment horizontal="center" vertical="center"/>
    </xf>
    <xf numFmtId="0" fontId="25" fillId="2" borderId="0" xfId="0" applyFont="1" applyFill="1" applyAlignment="1">
      <alignment horizontal="left" vertical="center" wrapText="1"/>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4" xfId="0" applyFont="1" applyFill="1" applyBorder="1" applyAlignment="1">
      <alignment horizontal="left" vertical="center" wrapText="1"/>
    </xf>
    <xf numFmtId="0" fontId="25" fillId="2" borderId="0" xfId="1" applyNumberFormat="1" applyFont="1" applyFill="1" applyBorder="1" applyAlignment="1">
      <alignment horizontal="center" vertical="center" wrapText="1"/>
    </xf>
    <xf numFmtId="0" fontId="25" fillId="9" borderId="9" xfId="16" applyFont="1" applyFill="1" applyBorder="1" applyAlignment="1">
      <alignment horizontal="center" vertical="center"/>
    </xf>
    <xf numFmtId="0" fontId="25" fillId="9" borderId="12" xfId="16" applyFont="1" applyFill="1" applyBorder="1" applyAlignment="1">
      <alignment horizontal="center" vertical="center"/>
    </xf>
    <xf numFmtId="0" fontId="25" fillId="9" borderId="20" xfId="16" applyFont="1" applyFill="1" applyBorder="1" applyAlignment="1">
      <alignment horizontal="center" vertical="center"/>
    </xf>
    <xf numFmtId="0" fontId="25" fillId="11" borderId="6" xfId="16" applyFont="1" applyFill="1" applyBorder="1" applyAlignment="1">
      <alignment horizontal="center" vertical="center"/>
    </xf>
    <xf numFmtId="0" fontId="25" fillId="11" borderId="7" xfId="16" applyFont="1" applyFill="1" applyBorder="1" applyAlignment="1">
      <alignment horizontal="center" vertical="center"/>
    </xf>
    <xf numFmtId="172" fontId="25" fillId="11" borderId="4" xfId="12" applyNumberFormat="1" applyFont="1" applyFill="1" applyBorder="1" applyAlignment="1">
      <alignment horizontal="center" vertical="center"/>
    </xf>
    <xf numFmtId="172" fontId="25" fillId="11" borderId="6" xfId="12" applyNumberFormat="1" applyFont="1" applyFill="1" applyBorder="1" applyAlignment="1">
      <alignment horizontal="center" vertical="center"/>
    </xf>
    <xf numFmtId="0" fontId="25" fillId="11" borderId="10" xfId="16" applyFont="1" applyFill="1" applyBorder="1" applyAlignment="1">
      <alignment horizontal="center" vertical="center"/>
    </xf>
    <xf numFmtId="0" fontId="25" fillId="11" borderId="14" xfId="16" applyFont="1" applyFill="1" applyBorder="1" applyAlignment="1">
      <alignment horizontal="center" vertical="center"/>
    </xf>
    <xf numFmtId="4" fontId="25" fillId="0" borderId="23" xfId="16" applyNumberFormat="1" applyFont="1" applyBorder="1" applyAlignment="1">
      <alignment horizontal="center" vertical="center" wrapText="1"/>
    </xf>
    <xf numFmtId="4" fontId="25" fillId="0" borderId="28" xfId="16" applyNumberFormat="1" applyFont="1" applyBorder="1" applyAlignment="1">
      <alignment horizontal="center" vertical="center" wrapText="1"/>
    </xf>
    <xf numFmtId="0" fontId="20" fillId="0" borderId="12" xfId="0" applyFont="1" applyBorder="1" applyAlignment="1">
      <alignment horizontal="right" vertical="center" wrapText="1"/>
    </xf>
    <xf numFmtId="0" fontId="20" fillId="0" borderId="13" xfId="0" applyFont="1" applyBorder="1" applyAlignment="1">
      <alignment horizontal="righ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34" fillId="0" borderId="12" xfId="0" applyFont="1" applyBorder="1" applyAlignment="1">
      <alignment horizontal="right" vertical="center" wrapText="1"/>
    </xf>
    <xf numFmtId="0" fontId="34" fillId="0" borderId="13" xfId="0" applyFont="1" applyBorder="1" applyAlignment="1">
      <alignment horizontal="right" vertical="center" wrapTex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 fillId="4" borderId="0" xfId="8" applyFont="1" applyFill="1" applyAlignment="1">
      <alignment horizontal="left" vertical="top" wrapText="1"/>
    </xf>
    <xf numFmtId="0" fontId="3" fillId="4" borderId="16" xfId="8" applyFont="1" applyFill="1" applyBorder="1" applyAlignment="1">
      <alignment horizontal="left" vertical="top" wrapText="1"/>
    </xf>
    <xf numFmtId="0" fontId="3" fillId="4" borderId="18" xfId="8" applyFont="1" applyFill="1" applyBorder="1" applyAlignment="1">
      <alignment horizontal="left" vertical="top" wrapText="1"/>
    </xf>
    <xf numFmtId="0" fontId="3" fillId="4" borderId="19" xfId="8" applyFont="1" applyFill="1" applyBorder="1" applyAlignment="1">
      <alignment horizontal="left" vertical="top" wrapText="1"/>
    </xf>
    <xf numFmtId="0" fontId="3" fillId="4" borderId="0" xfId="8" applyFont="1" applyFill="1" applyAlignment="1">
      <alignment horizontal="center" vertical="top" wrapText="1"/>
    </xf>
    <xf numFmtId="0" fontId="4" fillId="4" borderId="0" xfId="8" applyFill="1" applyAlignment="1">
      <alignment horizontal="left" vertical="top" wrapText="1"/>
    </xf>
    <xf numFmtId="0" fontId="4" fillId="4" borderId="16" xfId="8" applyFill="1" applyBorder="1" applyAlignment="1">
      <alignment horizontal="left" vertical="top" wrapText="1"/>
    </xf>
    <xf numFmtId="0" fontId="3" fillId="4" borderId="10" xfId="6" applyFont="1" applyFill="1" applyBorder="1" applyAlignment="1">
      <alignment horizontal="right"/>
    </xf>
    <xf numFmtId="0" fontId="3" fillId="4" borderId="11" xfId="6" applyFont="1" applyFill="1" applyBorder="1" applyAlignment="1">
      <alignment horizontal="right"/>
    </xf>
    <xf numFmtId="0" fontId="3" fillId="4" borderId="10" xfId="6" applyFont="1" applyFill="1" applyBorder="1" applyAlignment="1">
      <alignment horizontal="center"/>
    </xf>
    <xf numFmtId="0" fontId="3" fillId="4" borderId="11" xfId="6" applyFont="1" applyFill="1" applyBorder="1" applyAlignment="1">
      <alignment horizontal="center"/>
    </xf>
    <xf numFmtId="49" fontId="3" fillId="4" borderId="0" xfId="7" applyNumberFormat="1" applyFont="1" applyFill="1" applyAlignment="1">
      <alignment horizontal="center" vertical="top" wrapText="1"/>
    </xf>
    <xf numFmtId="49" fontId="3" fillId="4" borderId="0" xfId="7" applyNumberFormat="1" applyFont="1" applyFill="1" applyAlignment="1">
      <alignment horizontal="center" wrapText="1"/>
    </xf>
    <xf numFmtId="0" fontId="3" fillId="4" borderId="0" xfId="8" applyFont="1" applyFill="1" applyAlignment="1">
      <alignment horizontal="center" vertical="center" wrapText="1"/>
    </xf>
    <xf numFmtId="49" fontId="3" fillId="4" borderId="4" xfId="7" applyNumberFormat="1" applyFont="1" applyFill="1" applyBorder="1" applyAlignment="1">
      <alignment horizontal="center" vertical="center" wrapText="1"/>
    </xf>
    <xf numFmtId="49" fontId="3" fillId="4" borderId="0" xfId="7" applyNumberFormat="1" applyFont="1" applyFill="1" applyAlignment="1">
      <alignment horizontal="center" vertical="center" wrapText="1"/>
    </xf>
    <xf numFmtId="49" fontId="3" fillId="4" borderId="5" xfId="7" applyNumberFormat="1" applyFont="1" applyFill="1" applyBorder="1" applyAlignment="1">
      <alignment horizontal="center" vertical="center" wrapText="1"/>
    </xf>
    <xf numFmtId="49" fontId="3" fillId="4" borderId="4" xfId="7" applyNumberFormat="1" applyFont="1" applyFill="1" applyBorder="1" applyAlignment="1">
      <alignment horizontal="left" vertical="top" wrapText="1"/>
    </xf>
    <xf numFmtId="49" fontId="3" fillId="4" borderId="0" xfId="7" applyNumberFormat="1" applyFont="1" applyFill="1" applyAlignment="1">
      <alignment horizontal="left" vertical="top" wrapText="1"/>
    </xf>
    <xf numFmtId="49" fontId="3" fillId="4" borderId="5" xfId="7" applyNumberFormat="1" applyFont="1" applyFill="1" applyBorder="1" applyAlignment="1">
      <alignment horizontal="left" vertical="top" wrapText="1"/>
    </xf>
    <xf numFmtId="49" fontId="3" fillId="4" borderId="6" xfId="7" applyNumberFormat="1" applyFont="1" applyFill="1" applyBorder="1" applyAlignment="1">
      <alignment horizontal="left" vertical="top" wrapText="1"/>
    </xf>
    <xf numFmtId="49" fontId="3" fillId="4" borderId="7" xfId="7" applyNumberFormat="1" applyFont="1" applyFill="1" applyBorder="1" applyAlignment="1">
      <alignment horizontal="left" vertical="top" wrapText="1"/>
    </xf>
    <xf numFmtId="49" fontId="3" fillId="4" borderId="8" xfId="7" applyNumberFormat="1" applyFont="1" applyFill="1" applyBorder="1" applyAlignment="1">
      <alignment horizontal="left" vertical="top" wrapText="1"/>
    </xf>
    <xf numFmtId="0" fontId="3" fillId="2" borderId="0" xfId="1" applyNumberFormat="1" applyFont="1" applyFill="1" applyBorder="1" applyAlignment="1">
      <alignment horizontal="right" vertical="center" wrapText="1"/>
    </xf>
    <xf numFmtId="0" fontId="4" fillId="4" borderId="10" xfId="6" applyFill="1" applyBorder="1" applyAlignment="1">
      <alignment horizontal="left"/>
    </xf>
    <xf numFmtId="0" fontId="4" fillId="4" borderId="11" xfId="6" applyFill="1" applyBorder="1" applyAlignment="1">
      <alignment horizontal="left"/>
    </xf>
    <xf numFmtId="0" fontId="3" fillId="0" borderId="9" xfId="0" applyFont="1" applyBorder="1" applyAlignment="1">
      <alignment horizontal="center" vertical="top" wrapText="1"/>
    </xf>
    <xf numFmtId="0" fontId="3" fillId="0" borderId="9" xfId="0" applyFont="1" applyBorder="1" applyAlignment="1">
      <alignment horizontal="left" vertical="top" wrapText="1" indent="4"/>
    </xf>
    <xf numFmtId="0" fontId="3" fillId="0" borderId="9" xfId="0" applyFont="1" applyBorder="1" applyAlignment="1">
      <alignment horizontal="left" vertical="top" wrapText="1" indent="8"/>
    </xf>
    <xf numFmtId="0" fontId="3" fillId="0" borderId="9" xfId="0" applyFont="1" applyBorder="1" applyAlignment="1">
      <alignment horizontal="left" vertical="top" wrapText="1" indent="11"/>
    </xf>
    <xf numFmtId="0" fontId="3" fillId="2" borderId="10"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1" xfId="0" applyFont="1" applyFill="1" applyBorder="1" applyAlignment="1">
      <alignment horizontal="left" vertical="center" wrapText="1"/>
    </xf>
    <xf numFmtId="4" fontId="2" fillId="2" borderId="12" xfId="0" applyNumberFormat="1" applyFont="1" applyFill="1" applyBorder="1" applyAlignment="1">
      <alignment horizontal="center" vertical="center"/>
    </xf>
    <xf numFmtId="4" fontId="2" fillId="2" borderId="20" xfId="0" applyNumberFormat="1" applyFont="1" applyFill="1" applyBorder="1" applyAlignment="1">
      <alignment horizontal="center" vertical="center"/>
    </xf>
    <xf numFmtId="4" fontId="2" fillId="2" borderId="13" xfId="0" applyNumberFormat="1" applyFont="1" applyFill="1" applyBorder="1" applyAlignment="1">
      <alignment horizontal="center" vertical="center"/>
    </xf>
    <xf numFmtId="0" fontId="5" fillId="0" borderId="9" xfId="0" applyFont="1" applyBorder="1" applyAlignment="1">
      <alignment horizontal="center" vertical="center"/>
    </xf>
    <xf numFmtId="0" fontId="3" fillId="0" borderId="9" xfId="0" applyFont="1" applyBorder="1" applyAlignment="1">
      <alignment horizontal="left" vertical="top" wrapText="1" indent="5"/>
    </xf>
    <xf numFmtId="0" fontId="12" fillId="2" borderId="9" xfId="9" applyFont="1" applyFill="1" applyBorder="1" applyAlignment="1">
      <alignment horizontal="center" vertical="center"/>
    </xf>
    <xf numFmtId="0" fontId="11" fillId="2" borderId="9" xfId="9" applyFont="1" applyFill="1" applyBorder="1" applyAlignment="1">
      <alignment horizontal="center" vertical="center" wrapText="1"/>
    </xf>
    <xf numFmtId="0" fontId="12" fillId="2" borderId="9" xfId="9" applyFont="1" applyFill="1" applyBorder="1" applyAlignment="1">
      <alignment horizontal="center" vertical="center" wrapText="1"/>
    </xf>
    <xf numFmtId="1" fontId="14" fillId="2" borderId="9" xfId="9" applyNumberFormat="1" applyFont="1" applyFill="1" applyBorder="1" applyAlignment="1">
      <alignment horizontal="center" vertical="center" wrapText="1"/>
    </xf>
    <xf numFmtId="0" fontId="14" fillId="2" borderId="9" xfId="9" applyFont="1" applyFill="1" applyBorder="1" applyAlignment="1">
      <alignment horizontal="center" vertical="center" wrapText="1"/>
    </xf>
    <xf numFmtId="2" fontId="15" fillId="2" borderId="9" xfId="9" applyNumberFormat="1" applyFont="1" applyFill="1" applyBorder="1" applyAlignment="1">
      <alignment horizontal="center" vertical="center" wrapText="1"/>
    </xf>
    <xf numFmtId="0" fontId="1" fillId="0" borderId="10" xfId="9" applyBorder="1" applyAlignment="1">
      <alignment horizontal="left" vertical="center"/>
    </xf>
    <xf numFmtId="0" fontId="1" fillId="0" borderId="14" xfId="9" applyBorder="1" applyAlignment="1">
      <alignment horizontal="left" vertical="center"/>
    </xf>
    <xf numFmtId="0" fontId="1" fillId="0" borderId="11" xfId="9" applyBorder="1" applyAlignment="1">
      <alignment horizontal="left" vertical="center"/>
    </xf>
    <xf numFmtId="0" fontId="14" fillId="2" borderId="9" xfId="9" applyFont="1" applyFill="1" applyBorder="1" applyAlignment="1">
      <alignment horizontal="center" vertical="center"/>
    </xf>
    <xf numFmtId="49" fontId="0" fillId="2" borderId="9" xfId="9" applyNumberFormat="1" applyFont="1" applyFill="1" applyBorder="1" applyAlignment="1">
      <alignment horizontal="left" vertical="center"/>
    </xf>
    <xf numFmtId="49" fontId="1" fillId="2" borderId="9" xfId="9" applyNumberFormat="1" applyFill="1" applyBorder="1" applyAlignment="1">
      <alignment horizontal="left" vertical="center"/>
    </xf>
    <xf numFmtId="49" fontId="0" fillId="2" borderId="9" xfId="9" applyNumberFormat="1" applyFont="1" applyFill="1" applyBorder="1" applyAlignment="1">
      <alignment horizontal="left" vertical="center" wrapText="1"/>
    </xf>
    <xf numFmtId="0" fontId="12" fillId="2" borderId="9" xfId="9" applyFont="1" applyFill="1" applyBorder="1" applyAlignment="1">
      <alignment horizontal="right" vertical="center"/>
    </xf>
    <xf numFmtId="166" fontId="15" fillId="2" borderId="9" xfId="9" applyNumberFormat="1" applyFont="1" applyFill="1" applyBorder="1" applyAlignment="1">
      <alignment horizontal="left" vertical="center" wrapText="1"/>
    </xf>
    <xf numFmtId="1" fontId="10" fillId="2" borderId="9" xfId="9" applyNumberFormat="1" applyFont="1" applyFill="1" applyBorder="1" applyAlignment="1">
      <alignment horizontal="center" vertical="center"/>
    </xf>
    <xf numFmtId="49" fontId="1" fillId="2" borderId="9" xfId="9" applyNumberFormat="1" applyFill="1" applyBorder="1" applyAlignment="1">
      <alignment horizontal="center" vertical="center" wrapText="1"/>
    </xf>
    <xf numFmtId="0" fontId="14" fillId="2" borderId="9" xfId="9" applyFont="1" applyFill="1" applyBorder="1" applyAlignment="1">
      <alignment horizontal="right" vertical="center"/>
    </xf>
    <xf numFmtId="0" fontId="14" fillId="2" borderId="10" xfId="9" applyFont="1" applyFill="1" applyBorder="1" applyAlignment="1">
      <alignment horizontal="center" vertical="center"/>
    </xf>
    <xf numFmtId="0" fontId="14" fillId="2" borderId="14" xfId="9" applyFont="1" applyFill="1" applyBorder="1" applyAlignment="1">
      <alignment horizontal="center" vertical="center"/>
    </xf>
    <xf numFmtId="0" fontId="14" fillId="2" borderId="11" xfId="9" applyFont="1" applyFill="1" applyBorder="1" applyAlignment="1">
      <alignment horizontal="center" vertical="center"/>
    </xf>
    <xf numFmtId="0" fontId="14" fillId="2" borderId="10" xfId="9" applyFont="1" applyFill="1" applyBorder="1" applyAlignment="1">
      <alignment horizontal="left" vertical="center" wrapText="1"/>
    </xf>
    <xf numFmtId="0" fontId="14" fillId="2" borderId="11" xfId="9" applyFont="1" applyFill="1" applyBorder="1" applyAlignment="1">
      <alignment horizontal="left" vertical="center" wrapText="1"/>
    </xf>
    <xf numFmtId="0" fontId="14" fillId="2" borderId="11" xfId="9" applyFont="1" applyFill="1" applyBorder="1" applyAlignment="1">
      <alignment horizontal="left" vertical="center"/>
    </xf>
    <xf numFmtId="49" fontId="17" fillId="2" borderId="9" xfId="9" applyNumberFormat="1" applyFont="1" applyFill="1" applyBorder="1" applyAlignment="1">
      <alignment horizontal="left" vertical="top" wrapText="1"/>
    </xf>
    <xf numFmtId="49" fontId="17" fillId="2" borderId="9" xfId="9" applyNumberFormat="1" applyFont="1" applyFill="1" applyBorder="1" applyAlignment="1">
      <alignment horizontal="left" vertical="center" wrapText="1"/>
    </xf>
    <xf numFmtId="49" fontId="17" fillId="2" borderId="10" xfId="9" applyNumberFormat="1" applyFont="1" applyFill="1" applyBorder="1" applyAlignment="1">
      <alignment horizontal="left" vertical="top" wrapText="1"/>
    </xf>
    <xf numFmtId="49" fontId="17" fillId="2" borderId="14" xfId="9" applyNumberFormat="1" applyFont="1" applyFill="1" applyBorder="1" applyAlignment="1">
      <alignment horizontal="left" vertical="top" wrapText="1"/>
    </xf>
    <xf numFmtId="49" fontId="17" fillId="2" borderId="11" xfId="9" applyNumberFormat="1" applyFont="1" applyFill="1" applyBorder="1" applyAlignment="1">
      <alignment horizontal="left" vertical="top" wrapText="1"/>
    </xf>
    <xf numFmtId="49" fontId="17" fillId="2" borderId="10" xfId="9" applyNumberFormat="1" applyFont="1" applyFill="1" applyBorder="1" applyAlignment="1">
      <alignment horizontal="left" vertical="center" wrapText="1"/>
    </xf>
    <xf numFmtId="49" fontId="17" fillId="2" borderId="14" xfId="9" applyNumberFormat="1" applyFont="1" applyFill="1" applyBorder="1" applyAlignment="1">
      <alignment horizontal="left" vertical="center" wrapText="1"/>
    </xf>
    <xf numFmtId="49" fontId="17" fillId="2" borderId="11" xfId="9" applyNumberFormat="1" applyFont="1" applyFill="1" applyBorder="1" applyAlignment="1">
      <alignment horizontal="left" vertical="center" wrapText="1"/>
    </xf>
    <xf numFmtId="166" fontId="15" fillId="2" borderId="10" xfId="9" applyNumberFormat="1" applyFont="1" applyFill="1" applyBorder="1" applyAlignment="1">
      <alignment horizontal="left" vertical="center" wrapText="1"/>
    </xf>
    <xf numFmtId="166" fontId="15" fillId="2" borderId="14" xfId="9" applyNumberFormat="1" applyFont="1" applyFill="1" applyBorder="1" applyAlignment="1">
      <alignment horizontal="left" vertical="center" wrapText="1"/>
    </xf>
    <xf numFmtId="166" fontId="15" fillId="2" borderId="11" xfId="9" applyNumberFormat="1" applyFont="1" applyFill="1" applyBorder="1" applyAlignment="1">
      <alignment horizontal="left" vertical="center" wrapText="1"/>
    </xf>
    <xf numFmtId="166" fontId="16" fillId="0" borderId="9" xfId="9" applyNumberFormat="1" applyFont="1" applyBorder="1" applyAlignment="1">
      <alignment horizontal="left" vertical="center" wrapText="1"/>
    </xf>
    <xf numFmtId="49" fontId="0" fillId="2" borderId="10" xfId="9" applyNumberFormat="1" applyFont="1" applyFill="1" applyBorder="1" applyAlignment="1">
      <alignment horizontal="center" vertical="center" wrapText="1"/>
    </xf>
    <xf numFmtId="49" fontId="0" fillId="2" borderId="14" xfId="9" applyNumberFormat="1" applyFont="1" applyFill="1" applyBorder="1" applyAlignment="1">
      <alignment horizontal="center" vertical="center" wrapText="1"/>
    </xf>
    <xf numFmtId="49" fontId="0" fillId="2" borderId="11" xfId="9" applyNumberFormat="1" applyFont="1" applyFill="1" applyBorder="1" applyAlignment="1">
      <alignment horizontal="center" vertical="center" wrapText="1"/>
    </xf>
    <xf numFmtId="49" fontId="0" fillId="2" borderId="10" xfId="9" applyNumberFormat="1" applyFont="1" applyFill="1" applyBorder="1" applyAlignment="1">
      <alignment horizontal="center" vertical="center"/>
    </xf>
    <xf numFmtId="49" fontId="0" fillId="2" borderId="14" xfId="9" applyNumberFormat="1" applyFont="1" applyFill="1" applyBorder="1" applyAlignment="1">
      <alignment horizontal="center" vertical="center"/>
    </xf>
    <xf numFmtId="49" fontId="0" fillId="2" borderId="11" xfId="9" applyNumberFormat="1" applyFont="1" applyFill="1" applyBorder="1" applyAlignment="1">
      <alignment horizontal="center" vertical="center"/>
    </xf>
    <xf numFmtId="49" fontId="17" fillId="2" borderId="10" xfId="9" applyNumberFormat="1" applyFont="1" applyFill="1" applyBorder="1" applyAlignment="1">
      <alignment horizontal="center" vertical="center" wrapText="1"/>
    </xf>
    <xf numFmtId="49" fontId="17" fillId="2" borderId="14" xfId="9" applyNumberFormat="1" applyFont="1" applyFill="1" applyBorder="1" applyAlignment="1">
      <alignment horizontal="center" vertical="center" wrapText="1"/>
    </xf>
    <xf numFmtId="49" fontId="17" fillId="2" borderId="11" xfId="9" applyNumberFormat="1" applyFont="1" applyFill="1" applyBorder="1" applyAlignment="1">
      <alignment horizontal="center" vertical="center" wrapText="1"/>
    </xf>
    <xf numFmtId="49" fontId="40" fillId="2" borderId="9" xfId="9" applyNumberFormat="1" applyFont="1" applyFill="1" applyBorder="1" applyAlignment="1">
      <alignment horizontal="left" vertical="center" wrapText="1"/>
    </xf>
    <xf numFmtId="49" fontId="40" fillId="2" borderId="10" xfId="9" applyNumberFormat="1" applyFont="1" applyFill="1" applyBorder="1" applyAlignment="1">
      <alignment horizontal="center" vertical="center" wrapText="1"/>
    </xf>
    <xf numFmtId="49" fontId="40" fillId="2" borderId="14" xfId="9" applyNumberFormat="1" applyFont="1" applyFill="1" applyBorder="1" applyAlignment="1">
      <alignment horizontal="center" vertical="center" wrapText="1"/>
    </xf>
    <xf numFmtId="49" fontId="40" fillId="2" borderId="11" xfId="9" applyNumberFormat="1" applyFont="1" applyFill="1" applyBorder="1" applyAlignment="1">
      <alignment horizontal="center" vertical="center" wrapText="1"/>
    </xf>
    <xf numFmtId="49" fontId="0" fillId="2" borderId="9" xfId="9" applyNumberFormat="1" applyFont="1" applyFill="1" applyBorder="1" applyAlignment="1">
      <alignment horizontal="center" vertical="center" wrapText="1"/>
    </xf>
    <xf numFmtId="0" fontId="0" fillId="0" borderId="10" xfId="9" applyFont="1" applyBorder="1" applyAlignment="1">
      <alignment horizontal="left" vertical="center"/>
    </xf>
    <xf numFmtId="0" fontId="0" fillId="0" borderId="14" xfId="9" applyFont="1" applyBorder="1" applyAlignment="1">
      <alignment horizontal="left" vertical="center"/>
    </xf>
    <xf numFmtId="0" fontId="0" fillId="0" borderId="11" xfId="9" applyFont="1" applyBorder="1" applyAlignment="1">
      <alignment horizontal="left" vertical="center"/>
    </xf>
    <xf numFmtId="2" fontId="23" fillId="2" borderId="12" xfId="0" applyNumberFormat="1" applyFont="1" applyFill="1" applyBorder="1" applyAlignment="1">
      <alignment horizontal="center" vertical="center"/>
    </xf>
    <xf numFmtId="2" fontId="23" fillId="2" borderId="20" xfId="0" applyNumberFormat="1" applyFont="1" applyFill="1" applyBorder="1" applyAlignment="1">
      <alignment horizontal="center" vertical="center"/>
    </xf>
    <xf numFmtId="2" fontId="23" fillId="2" borderId="13" xfId="0" applyNumberFormat="1" applyFont="1" applyFill="1" applyBorder="1" applyAlignment="1">
      <alignment horizontal="center" vertical="center"/>
    </xf>
    <xf numFmtId="0" fontId="22" fillId="2" borderId="10" xfId="0" applyFont="1" applyFill="1" applyBorder="1" applyAlignment="1">
      <alignment horizontal="left" vertical="center" wrapText="1"/>
    </xf>
    <xf numFmtId="0" fontId="22" fillId="2" borderId="14" xfId="0" applyFont="1" applyFill="1" applyBorder="1" applyAlignment="1">
      <alignment horizontal="left" vertical="center" wrapText="1"/>
    </xf>
    <xf numFmtId="0" fontId="22" fillId="2" borderId="11" xfId="0" applyFont="1" applyFill="1" applyBorder="1" applyAlignment="1">
      <alignment horizontal="left" vertical="center" wrapText="1"/>
    </xf>
    <xf numFmtId="2" fontId="22" fillId="8" borderId="20" xfId="14" applyNumberFormat="1" applyFont="1" applyFill="1" applyBorder="1" applyAlignment="1">
      <alignment horizontal="center" vertical="center"/>
    </xf>
    <xf numFmtId="2" fontId="22" fillId="3" borderId="9" xfId="14" applyNumberFormat="1" applyFont="1" applyFill="1" applyBorder="1" applyAlignment="1">
      <alignment horizontal="center" vertical="center" wrapText="1"/>
    </xf>
    <xf numFmtId="2" fontId="22" fillId="3" borderId="20" xfId="14" applyNumberFormat="1" applyFont="1" applyFill="1" applyBorder="1" applyAlignment="1">
      <alignment horizontal="center" vertical="center" wrapText="1"/>
    </xf>
    <xf numFmtId="2" fontId="22" fillId="3" borderId="13" xfId="14" applyNumberFormat="1" applyFont="1" applyFill="1" applyBorder="1" applyAlignment="1">
      <alignment horizontal="center" vertical="center" wrapText="1"/>
    </xf>
    <xf numFmtId="2" fontId="22" fillId="6" borderId="20" xfId="14" applyNumberFormat="1" applyFont="1" applyFill="1" applyBorder="1" applyAlignment="1">
      <alignment horizontal="center" vertical="center"/>
    </xf>
    <xf numFmtId="2" fontId="22" fillId="6" borderId="13" xfId="14" applyNumberFormat="1" applyFont="1" applyFill="1" applyBorder="1" applyAlignment="1">
      <alignment horizontal="center" vertical="center"/>
    </xf>
    <xf numFmtId="2" fontId="22" fillId="6" borderId="20" xfId="1" applyNumberFormat="1" applyFont="1" applyFill="1" applyBorder="1" applyAlignment="1">
      <alignment horizontal="center" vertical="center" wrapText="1"/>
    </xf>
    <xf numFmtId="14" fontId="22" fillId="6" borderId="20" xfId="1" applyNumberFormat="1" applyFont="1" applyFill="1" applyBorder="1" applyAlignment="1">
      <alignment horizontal="center" vertical="center" wrapText="1"/>
    </xf>
    <xf numFmtId="2" fontId="22" fillId="7" borderId="13" xfId="14" applyNumberFormat="1" applyFont="1" applyFill="1" applyBorder="1" applyAlignment="1">
      <alignment horizontal="center" vertical="center"/>
    </xf>
    <xf numFmtId="2" fontId="22" fillId="7" borderId="9" xfId="14" applyNumberFormat="1" applyFont="1" applyFill="1" applyBorder="1" applyAlignment="1">
      <alignment horizontal="center" vertical="center"/>
    </xf>
    <xf numFmtId="2" fontId="22" fillId="7" borderId="20" xfId="14" applyNumberFormat="1" applyFont="1" applyFill="1" applyBorder="1" applyAlignment="1">
      <alignment horizontal="center" vertical="center"/>
    </xf>
    <xf numFmtId="2" fontId="22" fillId="7" borderId="13" xfId="1" applyNumberFormat="1" applyFont="1" applyFill="1" applyBorder="1" applyAlignment="1">
      <alignment horizontal="center" vertical="center" wrapText="1"/>
    </xf>
    <xf numFmtId="2" fontId="22" fillId="7" borderId="9" xfId="1" applyNumberFormat="1" applyFont="1" applyFill="1" applyBorder="1" applyAlignment="1">
      <alignment horizontal="center" vertical="center" wrapText="1"/>
    </xf>
    <xf numFmtId="2" fontId="22" fillId="7" borderId="20" xfId="1" applyNumberFormat="1" applyFont="1" applyFill="1" applyBorder="1" applyAlignment="1">
      <alignment horizontal="center" vertical="center" wrapText="1"/>
    </xf>
    <xf numFmtId="2" fontId="22" fillId="8" borderId="13" xfId="14" applyNumberFormat="1" applyFont="1" applyFill="1" applyBorder="1" applyAlignment="1">
      <alignment horizontal="center" vertical="center"/>
    </xf>
    <xf numFmtId="2" fontId="22" fillId="8" borderId="20" xfId="14" applyNumberFormat="1" applyFont="1" applyFill="1" applyBorder="1" applyAlignment="1">
      <alignment horizontal="center" vertical="center" wrapText="1"/>
    </xf>
    <xf numFmtId="14" fontId="22" fillId="8" borderId="13" xfId="1" applyNumberFormat="1" applyFont="1" applyFill="1" applyBorder="1" applyAlignment="1">
      <alignment horizontal="center" vertical="center" wrapText="1"/>
    </xf>
    <xf numFmtId="14" fontId="22" fillId="8" borderId="9" xfId="1" applyNumberFormat="1" applyFont="1" applyFill="1" applyBorder="1" applyAlignment="1">
      <alignment horizontal="center" vertical="center" wrapText="1"/>
    </xf>
    <xf numFmtId="2" fontId="22" fillId="3" borderId="13" xfId="14" applyNumberFormat="1" applyFont="1" applyFill="1" applyBorder="1" applyAlignment="1">
      <alignment horizontal="center" vertical="center"/>
    </xf>
    <xf numFmtId="2" fontId="22" fillId="3" borderId="9" xfId="14" applyNumberFormat="1" applyFont="1" applyFill="1" applyBorder="1" applyAlignment="1">
      <alignment horizontal="center" vertical="center"/>
    </xf>
  </cellXfs>
  <cellStyles count="26">
    <cellStyle name="Hiperlink" xfId="15" builtinId="8"/>
    <cellStyle name="Moeda" xfId="2" builtinId="4"/>
    <cellStyle name="Moeda 2" xfId="10"/>
    <cellStyle name="Moeda 3" xfId="13"/>
    <cellStyle name="Moeda 3 2" xfId="21"/>
    <cellStyle name="Moeda 3 3" xfId="24"/>
    <cellStyle name="Moeda 4" xfId="19"/>
    <cellStyle name="Moeda 5" xfId="23"/>
    <cellStyle name="Normal" xfId="0" builtinId="0"/>
    <cellStyle name="Normal 2" xfId="5"/>
    <cellStyle name="Normal 2 3" xfId="11"/>
    <cellStyle name="Normal 3" xfId="3"/>
    <cellStyle name="Normal 4" xfId="16"/>
    <cellStyle name="Normal 4 2" xfId="25"/>
    <cellStyle name="Normal 6" xfId="9"/>
    <cellStyle name="Normal 61 2" xfId="8"/>
    <cellStyle name="Normal_Composição BDI" xfId="7"/>
    <cellStyle name="Normal_Composição do BDI - final" xfId="6"/>
    <cellStyle name="Normal_Replanilhamento T-1 - 18-02-08" xfId="14"/>
    <cellStyle name="Porcentagem" xfId="4" builtinId="5"/>
    <cellStyle name="Porcentagem 2" xfId="17"/>
    <cellStyle name="Vírgula" xfId="1" builtinId="3"/>
    <cellStyle name="Vírgula 2" xfId="12"/>
    <cellStyle name="Vírgula 2 2" xfId="20"/>
    <cellStyle name="Vírgula 3" xfId="18"/>
    <cellStyle name="Vírgula 4" xfId="22"/>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1</xdr:row>
      <xdr:rowOff>104775</xdr:rowOff>
    </xdr:from>
    <xdr:to>
      <xdr:col>0</xdr:col>
      <xdr:colOff>652865</xdr:colOff>
      <xdr:row>3</xdr:row>
      <xdr:rowOff>130175</xdr:rowOff>
    </xdr:to>
    <xdr:pic>
      <xdr:nvPicPr>
        <xdr:cNvPr id="2" name="Imagem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371475"/>
          <a:ext cx="576664" cy="6381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134471</xdr:colOff>
      <xdr:row>0</xdr:row>
      <xdr:rowOff>56029</xdr:rowOff>
    </xdr:from>
    <xdr:ext cx="576664" cy="638175"/>
    <xdr:pic>
      <xdr:nvPicPr>
        <xdr:cNvPr id="2" name="Imagem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56029"/>
          <a:ext cx="576664" cy="638175"/>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134471</xdr:colOff>
      <xdr:row>0</xdr:row>
      <xdr:rowOff>56029</xdr:rowOff>
    </xdr:from>
    <xdr:ext cx="576664" cy="638175"/>
    <xdr:pic>
      <xdr:nvPicPr>
        <xdr:cNvPr id="2" name="Imagem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56029"/>
          <a:ext cx="576664" cy="638175"/>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134471</xdr:colOff>
      <xdr:row>0</xdr:row>
      <xdr:rowOff>56029</xdr:rowOff>
    </xdr:from>
    <xdr:ext cx="576664" cy="638175"/>
    <xdr:pic>
      <xdr:nvPicPr>
        <xdr:cNvPr id="2" name="Imagem 1">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56029"/>
          <a:ext cx="576664" cy="638175"/>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134471</xdr:colOff>
      <xdr:row>0</xdr:row>
      <xdr:rowOff>56029</xdr:rowOff>
    </xdr:from>
    <xdr:ext cx="576664" cy="638175"/>
    <xdr:pic>
      <xdr:nvPicPr>
        <xdr:cNvPr id="2" name="Imagem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56029"/>
          <a:ext cx="576664" cy="638175"/>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134471</xdr:colOff>
      <xdr:row>0</xdr:row>
      <xdr:rowOff>56029</xdr:rowOff>
    </xdr:from>
    <xdr:ext cx="576664" cy="638175"/>
    <xdr:pic>
      <xdr:nvPicPr>
        <xdr:cNvPr id="2" name="Imagem 1">
          <a:extLst>
            <a:ext uri="{FF2B5EF4-FFF2-40B4-BE49-F238E27FC236}">
              <a16:creationId xmlns=""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56029"/>
          <a:ext cx="576664" cy="638175"/>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134471</xdr:colOff>
      <xdr:row>0</xdr:row>
      <xdr:rowOff>56029</xdr:rowOff>
    </xdr:from>
    <xdr:ext cx="576664" cy="638175"/>
    <xdr:pic>
      <xdr:nvPicPr>
        <xdr:cNvPr id="2" name="Imagem 1">
          <a:extLst>
            <a:ext uri="{FF2B5EF4-FFF2-40B4-BE49-F238E27FC236}">
              <a16:creationId xmlns=""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56029"/>
          <a:ext cx="576664" cy="638175"/>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134471</xdr:colOff>
      <xdr:row>0</xdr:row>
      <xdr:rowOff>56029</xdr:rowOff>
    </xdr:from>
    <xdr:ext cx="576664" cy="638175"/>
    <xdr:pic>
      <xdr:nvPicPr>
        <xdr:cNvPr id="2" name="Imagem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56029"/>
          <a:ext cx="576664" cy="638175"/>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134471</xdr:colOff>
      <xdr:row>0</xdr:row>
      <xdr:rowOff>56029</xdr:rowOff>
    </xdr:from>
    <xdr:ext cx="576664" cy="638175"/>
    <xdr:pic>
      <xdr:nvPicPr>
        <xdr:cNvPr id="2" name="Imagem 1">
          <a:extLst>
            <a:ext uri="{FF2B5EF4-FFF2-40B4-BE49-F238E27FC236}">
              <a16:creationId xmlns="" xmlns:a16="http://schemas.microsoft.com/office/drawing/2014/main" id="{24A8C541-97BC-4B10-87D7-BCE366C7D5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56029"/>
          <a:ext cx="576664" cy="638175"/>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94172</xdr:colOff>
      <xdr:row>0</xdr:row>
      <xdr:rowOff>178818</xdr:rowOff>
    </xdr:from>
    <xdr:to>
      <xdr:col>0</xdr:col>
      <xdr:colOff>670836</xdr:colOff>
      <xdr:row>4</xdr:row>
      <xdr:rowOff>52531</xdr:rowOff>
    </xdr:to>
    <xdr:pic>
      <xdr:nvPicPr>
        <xdr:cNvPr id="2" name="Imagem 1">
          <a:extLst>
            <a:ext uri="{FF2B5EF4-FFF2-40B4-BE49-F238E27FC236}">
              <a16:creationId xmlns=""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72" y="178818"/>
          <a:ext cx="576664" cy="64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114301</xdr:colOff>
      <xdr:row>1</xdr:row>
      <xdr:rowOff>151039</xdr:rowOff>
    </xdr:from>
    <xdr:to>
      <xdr:col>0</xdr:col>
      <xdr:colOff>661060</xdr:colOff>
      <xdr:row>2</xdr:row>
      <xdr:rowOff>571500</xdr:rowOff>
    </xdr:to>
    <xdr:pic>
      <xdr:nvPicPr>
        <xdr:cNvPr id="3" name="Imagem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341539"/>
          <a:ext cx="546759" cy="6109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133351</xdr:colOff>
      <xdr:row>0</xdr:row>
      <xdr:rowOff>66676</xdr:rowOff>
    </xdr:from>
    <xdr:to>
      <xdr:col>0</xdr:col>
      <xdr:colOff>628650</xdr:colOff>
      <xdr:row>3</xdr:row>
      <xdr:rowOff>65775</xdr:rowOff>
    </xdr:to>
    <xdr:pic>
      <xdr:nvPicPr>
        <xdr:cNvPr id="3" name="Imagem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66676"/>
          <a:ext cx="495299" cy="5420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230980</xdr:colOff>
      <xdr:row>1</xdr:row>
      <xdr:rowOff>247650</xdr:rowOff>
    </xdr:from>
    <xdr:to>
      <xdr:col>1</xdr:col>
      <xdr:colOff>1012029</xdr:colOff>
      <xdr:row>4</xdr:row>
      <xdr:rowOff>183324</xdr:rowOff>
    </xdr:to>
    <xdr:pic>
      <xdr:nvPicPr>
        <xdr:cNvPr id="3" name="Imagem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199" y="414338"/>
          <a:ext cx="781049" cy="8643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114301</xdr:colOff>
      <xdr:row>2</xdr:row>
      <xdr:rowOff>0</xdr:rowOff>
    </xdr:from>
    <xdr:to>
      <xdr:col>1</xdr:col>
      <xdr:colOff>690965</xdr:colOff>
      <xdr:row>3</xdr:row>
      <xdr:rowOff>257175</xdr:rowOff>
    </xdr:to>
    <xdr:pic>
      <xdr:nvPicPr>
        <xdr:cNvPr id="2" name="Imagem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1" y="438150"/>
          <a:ext cx="576664" cy="6381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134471</xdr:colOff>
      <xdr:row>0</xdr:row>
      <xdr:rowOff>56029</xdr:rowOff>
    </xdr:from>
    <xdr:ext cx="576664" cy="638175"/>
    <xdr:pic>
      <xdr:nvPicPr>
        <xdr:cNvPr id="2" name="Imagem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56029"/>
          <a:ext cx="576664" cy="63817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134471</xdr:colOff>
      <xdr:row>0</xdr:row>
      <xdr:rowOff>56029</xdr:rowOff>
    </xdr:from>
    <xdr:ext cx="576664" cy="638175"/>
    <xdr:pic>
      <xdr:nvPicPr>
        <xdr:cNvPr id="2" name="Imagem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56029"/>
          <a:ext cx="576664" cy="63817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134471</xdr:colOff>
      <xdr:row>0</xdr:row>
      <xdr:rowOff>56029</xdr:rowOff>
    </xdr:from>
    <xdr:ext cx="576664" cy="638175"/>
    <xdr:pic>
      <xdr:nvPicPr>
        <xdr:cNvPr id="2" name="Imagem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56029"/>
          <a:ext cx="576664" cy="6381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134471</xdr:colOff>
      <xdr:row>0</xdr:row>
      <xdr:rowOff>56029</xdr:rowOff>
    </xdr:from>
    <xdr:ext cx="576664" cy="638175"/>
    <xdr:pic>
      <xdr:nvPicPr>
        <xdr:cNvPr id="2" name="Imagem 1">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56029"/>
          <a:ext cx="576664" cy="638175"/>
        </a:xfrm>
        <a:prstGeom prst="rect">
          <a:avLst/>
        </a:prstGeom>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hyperlink" Target="https://www.energiacompleta.com.br/condulete-2-aluminio-c-vedacao-e-rosca-npt-wetzel" TargetMode="External"/><Relationship Id="rId13" Type="http://schemas.openxmlformats.org/officeDocument/2006/relationships/printerSettings" Target="../printerSettings/printerSettings18.bin"/><Relationship Id="rId3" Type="http://schemas.openxmlformats.org/officeDocument/2006/relationships/hyperlink" Target="https://www.energiacompleta.com.br/condulete-1-1-2-aluminio-c-tampa-s-rosca-wetzel" TargetMode="External"/><Relationship Id="rId7" Type="http://schemas.openxmlformats.org/officeDocument/2006/relationships/hyperlink" Target="http://www.dimensional.com.br/" TargetMode="External"/><Relationship Id="rId12" Type="http://schemas.openxmlformats.org/officeDocument/2006/relationships/hyperlink" Target="https://www.casasbahia.com.br/switch-48-portas-ubiquiti-us-48-br-gb-rj45-2p-sfp-125-2-sfp-1531242198/p/1531242198?utm_medium=Cpc&amp;utm_source=google_freelisting&amp;IdSku=1531242198&amp;idLojista=192053&amp;tipoLojista=3P" TargetMode="External"/><Relationship Id="rId2" Type="http://schemas.openxmlformats.org/officeDocument/2006/relationships/hyperlink" Target="https://ferragemspigolon.com.br/produto/abracadeira-tipo-u-2/" TargetMode="External"/><Relationship Id="rId1" Type="http://schemas.openxmlformats.org/officeDocument/2006/relationships/hyperlink" Target="https://www.plastolandia.com.br/abracadeira-tipo-u-2" TargetMode="External"/><Relationship Id="rId6" Type="http://schemas.openxmlformats.org/officeDocument/2006/relationships/hyperlink" Target="https://www.dimensional.com.br/condulete-aluminio-t-2-sem-rosca-cinza-com-tampa-sem-vedacao-e012070070-wetzel/p" TargetMode="External"/><Relationship Id="rId11" Type="http://schemas.openxmlformats.org/officeDocument/2006/relationships/hyperlink" Target="https://www.americanas.com.br/produto/4704075490?opn=YSMESP&amp;srsltid=AWLEVJzsqT6EMchGJl68q5AzFRA-a4KAjwhpl6G1iFx389rqXa-rd5Lyi-w" TargetMode="External"/><Relationship Id="rId5" Type="http://schemas.openxmlformats.org/officeDocument/2006/relationships/hyperlink" Target="https://www.dimensional.com.br/condulete-aluminio-t-1-1-2-sem-rosca-cinza-com-tampa-e012072060-wetzel/p?idsku=952701" TargetMode="External"/><Relationship Id="rId10" Type="http://schemas.openxmlformats.org/officeDocument/2006/relationships/hyperlink" Target="https://www.kabum.com.br/produto/192531/switch-gerenciavel-gigabit-l2-de-48-portas-com-4-slots-sfp-jetstream-tl-sg3452-smb?srsltid=AWLEVJye49VSh8EtQanyJLW8bJunToJLbcyGUq8td_nWPa4Aiy3Nh08fT24" TargetMode="External"/><Relationship Id="rId4" Type="http://schemas.openxmlformats.org/officeDocument/2006/relationships/hyperlink" Target="https://www.lojadomecanico.com.br/produto/221361/69/885/Condulete-Fixo-Tipo-TB-112-Pol-com-Tampa-sem-Rosca-/153/?utm_source=googleshopping&amp;utm_campaign=xmlshopping&amp;utm_medium=cpc&amp;utm_content=221361" TargetMode="External"/><Relationship Id="rId9" Type="http://schemas.openxmlformats.org/officeDocument/2006/relationships/hyperlink" Target="https://www.lojadomecanico.com.br/produto/221257/69/885/condulete-fixo-tipo-lb-2-pol--tramontina-56103086-" TargetMode="External"/><Relationship Id="rId14"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30"/>
  <sheetViews>
    <sheetView view="pageBreakPreview" topLeftCell="A4" zoomScale="84" zoomScaleNormal="84" zoomScaleSheetLayoutView="84" workbookViewId="0">
      <selection activeCell="D24" sqref="D24"/>
    </sheetView>
  </sheetViews>
  <sheetFormatPr defaultRowHeight="12.75" x14ac:dyDescent="0.2"/>
  <cols>
    <col min="1" max="1" width="10.140625" style="15" customWidth="1"/>
    <col min="2" max="2" width="12.5703125" style="21" bestFit="1" customWidth="1"/>
    <col min="3" max="3" width="11.42578125" style="15" customWidth="1"/>
    <col min="4" max="4" width="76.28515625" style="15" customWidth="1"/>
    <col min="5" max="5" width="16.7109375" style="21" customWidth="1"/>
    <col min="6" max="6" width="12.7109375" style="21" customWidth="1"/>
    <col min="7" max="7" width="14" style="21" bestFit="1" customWidth="1"/>
    <col min="8" max="8" width="17.42578125" style="21" customWidth="1"/>
    <col min="9" max="9" width="18" style="15" bestFit="1" customWidth="1"/>
    <col min="10" max="10" width="12.28515625" style="13" bestFit="1" customWidth="1"/>
    <col min="11" max="11" width="14" style="13" customWidth="1"/>
    <col min="12" max="16384" width="9.140625" style="13"/>
  </cols>
  <sheetData>
    <row r="1" spans="1:10" ht="21" customHeight="1" x14ac:dyDescent="0.2">
      <c r="A1" s="1"/>
      <c r="B1" s="366" t="s">
        <v>0</v>
      </c>
      <c r="C1" s="367"/>
      <c r="D1" s="367"/>
      <c r="E1" s="367"/>
      <c r="F1" s="367"/>
      <c r="G1" s="367"/>
      <c r="H1" s="367"/>
      <c r="I1" s="368"/>
    </row>
    <row r="2" spans="1:10" ht="21" customHeight="1" x14ac:dyDescent="0.2">
      <c r="A2" s="2"/>
      <c r="B2" s="374" t="s">
        <v>1</v>
      </c>
      <c r="C2" s="375"/>
      <c r="D2" s="375"/>
      <c r="E2" s="4"/>
      <c r="F2" s="3"/>
      <c r="G2" s="4"/>
      <c r="H2" s="4"/>
      <c r="I2" s="30"/>
    </row>
    <row r="3" spans="1:10" ht="27.75" customHeight="1" x14ac:dyDescent="0.2">
      <c r="A3" s="2"/>
      <c r="B3" s="374" t="s">
        <v>2</v>
      </c>
      <c r="C3" s="375"/>
      <c r="D3" s="375"/>
      <c r="E3" s="137" t="s">
        <v>3</v>
      </c>
      <c r="F3" s="22">
        <v>1.5727</v>
      </c>
      <c r="G3" s="364" t="s">
        <v>4</v>
      </c>
      <c r="H3" s="364"/>
      <c r="I3" s="365"/>
      <c r="J3" s="4"/>
    </row>
    <row r="4" spans="1:10" ht="21" customHeight="1" x14ac:dyDescent="0.2">
      <c r="A4" s="2"/>
      <c r="B4" s="374" t="s">
        <v>5</v>
      </c>
      <c r="C4" s="375"/>
      <c r="D4" s="375"/>
      <c r="E4" s="190" t="s">
        <v>6</v>
      </c>
      <c r="F4" s="22">
        <v>0.3196</v>
      </c>
      <c r="G4" s="13"/>
      <c r="H4" s="191" t="s">
        <v>7</v>
      </c>
      <c r="I4" s="192" t="s">
        <v>606</v>
      </c>
    </row>
    <row r="5" spans="1:10" ht="25.5" x14ac:dyDescent="0.2">
      <c r="A5" s="2"/>
      <c r="B5" s="374" t="s">
        <v>8</v>
      </c>
      <c r="C5" s="375"/>
      <c r="D5" s="375"/>
      <c r="E5" s="190" t="s">
        <v>633</v>
      </c>
      <c r="F5" s="22">
        <v>0.15570000000000001</v>
      </c>
      <c r="G5" s="191"/>
      <c r="H5" s="191"/>
      <c r="I5" s="192"/>
    </row>
    <row r="6" spans="1:10" x14ac:dyDescent="0.2">
      <c r="A6" s="2"/>
      <c r="B6" s="376" t="s">
        <v>9</v>
      </c>
      <c r="C6" s="377"/>
      <c r="D6" s="245">
        <v>44743</v>
      </c>
      <c r="E6" s="378"/>
      <c r="F6" s="378"/>
      <c r="G6" s="243"/>
      <c r="H6" s="191"/>
      <c r="I6" s="192"/>
    </row>
    <row r="7" spans="1:10" x14ac:dyDescent="0.2">
      <c r="A7" s="369" t="s">
        <v>10</v>
      </c>
      <c r="B7" s="369" t="s">
        <v>11</v>
      </c>
      <c r="C7" s="369" t="s">
        <v>12</v>
      </c>
      <c r="D7" s="369" t="s">
        <v>13</v>
      </c>
      <c r="E7" s="369" t="s">
        <v>14</v>
      </c>
      <c r="F7" s="369" t="s">
        <v>15</v>
      </c>
      <c r="G7" s="371" t="s">
        <v>16</v>
      </c>
      <c r="H7" s="372"/>
      <c r="I7" s="373"/>
    </row>
    <row r="8" spans="1:10" x14ac:dyDescent="0.2">
      <c r="A8" s="370"/>
      <c r="B8" s="370"/>
      <c r="C8" s="370"/>
      <c r="D8" s="370"/>
      <c r="E8" s="370"/>
      <c r="F8" s="370"/>
      <c r="G8" s="6" t="s">
        <v>17</v>
      </c>
      <c r="H8" s="6" t="s">
        <v>18</v>
      </c>
      <c r="I8" s="6" t="s">
        <v>19</v>
      </c>
    </row>
    <row r="9" spans="1:10" x14ac:dyDescent="0.2">
      <c r="A9" s="11">
        <v>1</v>
      </c>
      <c r="B9" s="11" t="s">
        <v>20</v>
      </c>
      <c r="C9" s="5"/>
      <c r="D9" s="7" t="s">
        <v>21</v>
      </c>
      <c r="E9" s="5"/>
      <c r="F9" s="6"/>
      <c r="G9" s="26"/>
      <c r="H9" s="26"/>
      <c r="I9" s="8"/>
    </row>
    <row r="10" spans="1:10" s="262" customFormat="1" x14ac:dyDescent="0.2">
      <c r="A10" s="260" t="s">
        <v>22</v>
      </c>
      <c r="B10" s="260" t="s">
        <v>23</v>
      </c>
      <c r="C10" s="9" t="s">
        <v>24</v>
      </c>
      <c r="D10" s="252" t="s">
        <v>25</v>
      </c>
      <c r="E10" s="251"/>
      <c r="F10" s="253"/>
      <c r="G10" s="261"/>
      <c r="H10" s="261"/>
      <c r="I10" s="254"/>
    </row>
    <row r="11" spans="1:10" s="262" customFormat="1" x14ac:dyDescent="0.2">
      <c r="A11" s="266" t="s">
        <v>26</v>
      </c>
      <c r="B11" s="322" t="s">
        <v>27</v>
      </c>
      <c r="C11" s="9" t="s">
        <v>24</v>
      </c>
      <c r="D11" s="267" t="s">
        <v>28</v>
      </c>
      <c r="E11" s="268" t="s">
        <v>29</v>
      </c>
      <c r="F11" s="269">
        <f>MC!J18</f>
        <v>298.42400000000004</v>
      </c>
      <c r="G11" s="270">
        <v>11.26</v>
      </c>
      <c r="H11" s="271">
        <f>TRUNC(ROUND(G11*1.3196,2),2)</f>
        <v>14.86</v>
      </c>
      <c r="I11" s="289">
        <f>TRUNC(ROUND(F11*H11,2),2)</f>
        <v>4434.58</v>
      </c>
    </row>
    <row r="12" spans="1:10" s="262" customFormat="1" x14ac:dyDescent="0.2">
      <c r="A12" s="266" t="s">
        <v>30</v>
      </c>
      <c r="B12" s="322" t="s">
        <v>31</v>
      </c>
      <c r="C12" s="9" t="s">
        <v>24</v>
      </c>
      <c r="D12" s="267" t="s">
        <v>32</v>
      </c>
      <c r="E12" s="268" t="s">
        <v>29</v>
      </c>
      <c r="F12" s="269">
        <f>MC!J31</f>
        <v>188.57999999999998</v>
      </c>
      <c r="G12" s="270">
        <v>40.229999999999997</v>
      </c>
      <c r="H12" s="271">
        <f>TRUNC(ROUND(G12*1.3196,2),2)</f>
        <v>53.09</v>
      </c>
      <c r="I12" s="289">
        <f>TRUNC(ROUND(F12*H12,2),2)</f>
        <v>10011.709999999999</v>
      </c>
    </row>
    <row r="13" spans="1:10" s="259" customFormat="1" x14ac:dyDescent="0.2">
      <c r="A13" s="266" t="s">
        <v>33</v>
      </c>
      <c r="B13" s="352" t="s">
        <v>34</v>
      </c>
      <c r="C13" s="17" t="s">
        <v>24</v>
      </c>
      <c r="D13" s="353" t="s">
        <v>35</v>
      </c>
      <c r="E13" s="17" t="s">
        <v>36</v>
      </c>
      <c r="F13" s="73">
        <f>MC!J43</f>
        <v>5.3984999999999994</v>
      </c>
      <c r="G13" s="68">
        <v>48.28</v>
      </c>
      <c r="H13" s="354">
        <f>TRUNC(ROUND(G13*1.3196,2),2)</f>
        <v>63.71</v>
      </c>
      <c r="I13" s="355">
        <f t="shared" ref="I13:I25" si="0">TRUNC(ROUND(F13*H13,2),2)</f>
        <v>343.94</v>
      </c>
    </row>
    <row r="14" spans="1:10" s="259" customFormat="1" x14ac:dyDescent="0.2">
      <c r="A14" s="266" t="s">
        <v>37</v>
      </c>
      <c r="B14" s="352" t="s">
        <v>38</v>
      </c>
      <c r="C14" s="17" t="s">
        <v>24</v>
      </c>
      <c r="D14" s="353" t="s">
        <v>39</v>
      </c>
      <c r="E14" s="17" t="s">
        <v>36</v>
      </c>
      <c r="F14" s="73">
        <f>MC!J52</f>
        <v>0.12</v>
      </c>
      <c r="G14" s="68">
        <v>226.88</v>
      </c>
      <c r="H14" s="354">
        <f t="shared" ref="H14:H31" si="1">TRUNC(ROUND(G14*1.3196,2),2)</f>
        <v>299.39</v>
      </c>
      <c r="I14" s="355">
        <f t="shared" si="0"/>
        <v>35.93</v>
      </c>
    </row>
    <row r="15" spans="1:10" x14ac:dyDescent="0.2">
      <c r="A15" s="266" t="s">
        <v>40</v>
      </c>
      <c r="B15" s="352" t="s">
        <v>41</v>
      </c>
      <c r="C15" s="17" t="s">
        <v>24</v>
      </c>
      <c r="D15" s="353" t="s">
        <v>42</v>
      </c>
      <c r="E15" s="17" t="s">
        <v>29</v>
      </c>
      <c r="F15" s="73">
        <f>MC!J66</f>
        <v>15.750000000000002</v>
      </c>
      <c r="G15" s="68">
        <v>12.87</v>
      </c>
      <c r="H15" s="354">
        <f>TRUNC(ROUND(G15*1.3196,2),2)</f>
        <v>16.98</v>
      </c>
      <c r="I15" s="355">
        <f t="shared" si="0"/>
        <v>267.44</v>
      </c>
    </row>
    <row r="16" spans="1:10" x14ac:dyDescent="0.2">
      <c r="A16" s="266" t="s">
        <v>43</v>
      </c>
      <c r="B16" s="352" t="s">
        <v>44</v>
      </c>
      <c r="C16" s="17" t="s">
        <v>24</v>
      </c>
      <c r="D16" s="353" t="s">
        <v>45</v>
      </c>
      <c r="E16" s="17" t="s">
        <v>36</v>
      </c>
      <c r="F16" s="73">
        <f>MC!J74</f>
        <v>2.4854999999999996</v>
      </c>
      <c r="G16" s="68">
        <v>265.89</v>
      </c>
      <c r="H16" s="354">
        <f t="shared" ref="H16" si="2">TRUNC(ROUND(G16*1.3196,2),2)</f>
        <v>350.87</v>
      </c>
      <c r="I16" s="355">
        <f t="shared" ref="I16" si="3">TRUNC(ROUND(F16*H16,2),2)</f>
        <v>872.09</v>
      </c>
    </row>
    <row r="17" spans="1:9" x14ac:dyDescent="0.2">
      <c r="A17" s="266" t="s">
        <v>46</v>
      </c>
      <c r="B17" s="352" t="s">
        <v>47</v>
      </c>
      <c r="C17" s="17" t="s">
        <v>24</v>
      </c>
      <c r="D17" s="353" t="s">
        <v>48</v>
      </c>
      <c r="E17" s="17" t="s">
        <v>29</v>
      </c>
      <c r="F17" s="73">
        <f>MC!J78</f>
        <v>25.98</v>
      </c>
      <c r="G17" s="68">
        <v>9.93</v>
      </c>
      <c r="H17" s="354">
        <f>TRUNC(ROUND(G17*1.3196,2),2)</f>
        <v>13.1</v>
      </c>
      <c r="I17" s="355">
        <f>TRUNC(ROUND(F17*H17,2),2)</f>
        <v>340.34</v>
      </c>
    </row>
    <row r="18" spans="1:9" x14ac:dyDescent="0.2">
      <c r="A18" s="266" t="s">
        <v>49</v>
      </c>
      <c r="B18" s="352" t="s">
        <v>50</v>
      </c>
      <c r="C18" s="17" t="s">
        <v>24</v>
      </c>
      <c r="D18" s="353" t="s">
        <v>51</v>
      </c>
      <c r="E18" s="17" t="s">
        <v>52</v>
      </c>
      <c r="F18" s="73">
        <f>MC!J90</f>
        <v>32.9</v>
      </c>
      <c r="G18" s="68">
        <v>14.18</v>
      </c>
      <c r="H18" s="354">
        <f t="shared" si="1"/>
        <v>18.71</v>
      </c>
      <c r="I18" s="355">
        <f>TRUNC(ROUND(F18*H18,2),2)</f>
        <v>615.55999999999995</v>
      </c>
    </row>
    <row r="19" spans="1:9" x14ac:dyDescent="0.2">
      <c r="A19" s="266" t="s">
        <v>53</v>
      </c>
      <c r="B19" s="352" t="s">
        <v>54</v>
      </c>
      <c r="C19" s="17" t="s">
        <v>24</v>
      </c>
      <c r="D19" s="353" t="s">
        <v>55</v>
      </c>
      <c r="E19" s="17" t="s">
        <v>56</v>
      </c>
      <c r="F19" s="73">
        <f>MC!J94</f>
        <v>18.760000000000002</v>
      </c>
      <c r="G19" s="68">
        <v>11.6</v>
      </c>
      <c r="H19" s="354">
        <f>TRUNC(ROUND(G19*1.3196,2),2)</f>
        <v>15.31</v>
      </c>
      <c r="I19" s="355">
        <f>TRUNC(ROUND(F19*H19,2),2)</f>
        <v>287.22000000000003</v>
      </c>
    </row>
    <row r="20" spans="1:9" ht="25.5" x14ac:dyDescent="0.2">
      <c r="A20" s="266" t="s">
        <v>57</v>
      </c>
      <c r="B20" s="352" t="s">
        <v>58</v>
      </c>
      <c r="C20" s="17" t="s">
        <v>24</v>
      </c>
      <c r="D20" s="353" t="s">
        <v>59</v>
      </c>
      <c r="E20" s="17" t="s">
        <v>29</v>
      </c>
      <c r="F20" s="73">
        <f>MC!J107</f>
        <v>606.79600000000005</v>
      </c>
      <c r="G20" s="68">
        <v>3.07</v>
      </c>
      <c r="H20" s="354">
        <f t="shared" si="1"/>
        <v>4.05</v>
      </c>
      <c r="I20" s="355">
        <f t="shared" si="0"/>
        <v>2457.52</v>
      </c>
    </row>
    <row r="21" spans="1:9" s="290" customFormat="1" x14ac:dyDescent="0.2">
      <c r="A21" s="266" t="s">
        <v>60</v>
      </c>
      <c r="B21" s="325" t="s">
        <v>61</v>
      </c>
      <c r="C21" s="327" t="s">
        <v>24</v>
      </c>
      <c r="D21" s="356" t="s">
        <v>62</v>
      </c>
      <c r="E21" s="327" t="s">
        <v>29</v>
      </c>
      <c r="F21" s="357">
        <f>MC!J118</f>
        <v>315.45312000000001</v>
      </c>
      <c r="G21" s="319">
        <v>6.14</v>
      </c>
      <c r="H21" s="354">
        <f>TRUNC(ROUND(G21*1.3196,2),2)</f>
        <v>8.1</v>
      </c>
      <c r="I21" s="355">
        <f>TRUNC(ROUND(F21*H21,2),2)</f>
        <v>2555.17</v>
      </c>
    </row>
    <row r="22" spans="1:9" s="290" customFormat="1" x14ac:dyDescent="0.2">
      <c r="A22" s="266" t="s">
        <v>63</v>
      </c>
      <c r="B22" s="324" t="s">
        <v>610</v>
      </c>
      <c r="C22" s="330" t="s">
        <v>24</v>
      </c>
      <c r="D22" s="331" t="s">
        <v>611</v>
      </c>
      <c r="E22" s="327" t="s">
        <v>52</v>
      </c>
      <c r="F22" s="332">
        <f>MC!J129</f>
        <v>197.15820000000002</v>
      </c>
      <c r="G22" s="248">
        <v>23.46</v>
      </c>
      <c r="H22" s="28">
        <f>TRUNC(ROUND(G22*1.3196,2),2)</f>
        <v>30.96</v>
      </c>
      <c r="I22" s="10">
        <f>TRUNC(ROUND(F22*H22,2),2)</f>
        <v>6104.02</v>
      </c>
    </row>
    <row r="23" spans="1:9" x14ac:dyDescent="0.2">
      <c r="A23" s="351" t="s">
        <v>66</v>
      </c>
      <c r="B23" s="324" t="s">
        <v>64</v>
      </c>
      <c r="C23" s="268" t="s">
        <v>24</v>
      </c>
      <c r="D23" s="156" t="s">
        <v>65</v>
      </c>
      <c r="E23" s="17" t="s">
        <v>56</v>
      </c>
      <c r="F23" s="160">
        <f>MC!J139</f>
        <v>181.57999999999998</v>
      </c>
      <c r="G23" s="248">
        <v>1.87</v>
      </c>
      <c r="H23" s="28">
        <f>TRUNC(ROUND(G23*1.3196,2),2)</f>
        <v>2.4700000000000002</v>
      </c>
      <c r="I23" s="10">
        <f>TRUNC(ROUND(F23*H23,2),2)</f>
        <v>448.5</v>
      </c>
    </row>
    <row r="24" spans="1:9" ht="25.5" x14ac:dyDescent="0.2">
      <c r="A24" s="351" t="s">
        <v>69</v>
      </c>
      <c r="B24" s="323" t="s">
        <v>67</v>
      </c>
      <c r="C24" s="9" t="s">
        <v>24</v>
      </c>
      <c r="D24" s="156" t="s">
        <v>68</v>
      </c>
      <c r="E24" s="9" t="s">
        <v>29</v>
      </c>
      <c r="F24" s="73">
        <f>MC!J151</f>
        <v>0.39</v>
      </c>
      <c r="G24" s="68">
        <v>8.6199999999999992</v>
      </c>
      <c r="H24" s="28">
        <f t="shared" si="1"/>
        <v>11.37</v>
      </c>
      <c r="I24" s="10">
        <f t="shared" si="0"/>
        <v>4.43</v>
      </c>
    </row>
    <row r="25" spans="1:9" x14ac:dyDescent="0.2">
      <c r="A25" s="351" t="s">
        <v>72</v>
      </c>
      <c r="B25" s="323" t="s">
        <v>70</v>
      </c>
      <c r="C25" s="9" t="s">
        <v>24</v>
      </c>
      <c r="D25" s="156" t="s">
        <v>71</v>
      </c>
      <c r="E25" s="9" t="s">
        <v>56</v>
      </c>
      <c r="F25" s="73">
        <f>MC!J164</f>
        <v>45.300000000000004</v>
      </c>
      <c r="G25" s="68">
        <v>2</v>
      </c>
      <c r="H25" s="28">
        <f t="shared" si="1"/>
        <v>2.64</v>
      </c>
      <c r="I25" s="10">
        <f t="shared" si="0"/>
        <v>119.59</v>
      </c>
    </row>
    <row r="26" spans="1:9" x14ac:dyDescent="0.2">
      <c r="A26" s="351" t="s">
        <v>75</v>
      </c>
      <c r="B26" s="323" t="s">
        <v>73</v>
      </c>
      <c r="C26" s="9"/>
      <c r="D26" s="156" t="s">
        <v>74</v>
      </c>
      <c r="E26" s="9" t="s">
        <v>29</v>
      </c>
      <c r="F26" s="73">
        <f>MC!J175</f>
        <v>72.762500000000003</v>
      </c>
      <c r="G26" s="68">
        <f>'COMP-01'!I29</f>
        <v>22.386000000000003</v>
      </c>
      <c r="H26" s="28">
        <f>TRUNC(ROUND(G26*1.3196,2),2)</f>
        <v>29.54</v>
      </c>
      <c r="I26" s="10">
        <f>TRUNC(ROUND(F26*H26,2),2)</f>
        <v>2149.4</v>
      </c>
    </row>
    <row r="27" spans="1:9" x14ac:dyDescent="0.2">
      <c r="A27" s="351" t="s">
        <v>612</v>
      </c>
      <c r="B27" s="323" t="s">
        <v>76</v>
      </c>
      <c r="C27" s="9"/>
      <c r="D27" s="156" t="s">
        <v>77</v>
      </c>
      <c r="E27" s="268" t="s">
        <v>29</v>
      </c>
      <c r="F27" s="73">
        <f>MC!J181</f>
        <v>77.013599999999997</v>
      </c>
      <c r="G27" s="319">
        <f>'COMP-12'!I31</f>
        <v>11.290999999999999</v>
      </c>
      <c r="H27" s="28">
        <f>TRUNC(ROUND(G27*1.3196,2),2)</f>
        <v>14.9</v>
      </c>
      <c r="I27" s="10">
        <f>TRUNC(ROUND(F27*H27,2),2)</f>
        <v>1147.5</v>
      </c>
    </row>
    <row r="28" spans="1:9" x14ac:dyDescent="0.2">
      <c r="A28" s="11"/>
      <c r="B28" s="11"/>
      <c r="C28" s="5"/>
      <c r="D28" s="35" t="s">
        <v>78</v>
      </c>
      <c r="E28" s="5"/>
      <c r="F28" s="5"/>
      <c r="G28" s="69"/>
      <c r="H28" s="69"/>
      <c r="I28" s="81">
        <f>SUM(I11:I27)</f>
        <v>32194.940000000002</v>
      </c>
    </row>
    <row r="29" spans="1:9" x14ac:dyDescent="0.2">
      <c r="A29" s="11">
        <v>2</v>
      </c>
      <c r="B29" s="11" t="s">
        <v>79</v>
      </c>
      <c r="C29" s="5"/>
      <c r="D29" s="7" t="s">
        <v>80</v>
      </c>
      <c r="E29" s="5"/>
      <c r="F29" s="5"/>
      <c r="G29" s="69"/>
      <c r="H29" s="69"/>
      <c r="I29" s="5"/>
    </row>
    <row r="30" spans="1:9" s="262" customFormat="1" x14ac:dyDescent="0.2">
      <c r="A30" s="260" t="s">
        <v>81</v>
      </c>
      <c r="B30" s="260" t="s">
        <v>82</v>
      </c>
      <c r="C30" s="9" t="s">
        <v>24</v>
      </c>
      <c r="D30" s="252" t="s">
        <v>83</v>
      </c>
      <c r="E30" s="251"/>
      <c r="F30" s="253"/>
      <c r="G30" s="261"/>
      <c r="H30" s="261"/>
      <c r="I30" s="254"/>
    </row>
    <row r="31" spans="1:9" x14ac:dyDescent="0.2">
      <c r="A31" s="17" t="s">
        <v>84</v>
      </c>
      <c r="B31" s="325" t="s">
        <v>85</v>
      </c>
      <c r="C31" s="9" t="s">
        <v>24</v>
      </c>
      <c r="D31" s="18" t="s">
        <v>86</v>
      </c>
      <c r="E31" s="17" t="s">
        <v>52</v>
      </c>
      <c r="F31" s="73">
        <f>MC!J187</f>
        <v>8</v>
      </c>
      <c r="G31" s="68">
        <v>273.81</v>
      </c>
      <c r="H31" s="28">
        <f t="shared" si="1"/>
        <v>361.32</v>
      </c>
      <c r="I31" s="10">
        <f t="shared" ref="I31" si="4">TRUNC(ROUND(F31*H31,2),2)</f>
        <v>2890.56</v>
      </c>
    </row>
    <row r="32" spans="1:9" x14ac:dyDescent="0.2">
      <c r="A32" s="11"/>
      <c r="B32" s="11"/>
      <c r="C32" s="5"/>
      <c r="D32" s="35" t="s">
        <v>87</v>
      </c>
      <c r="E32" s="5"/>
      <c r="F32" s="5"/>
      <c r="G32" s="69"/>
      <c r="H32" s="69"/>
      <c r="I32" s="81">
        <f>SUM(I30:I31)</f>
        <v>2890.56</v>
      </c>
    </row>
    <row r="33" spans="1:76" x14ac:dyDescent="0.2">
      <c r="A33" s="11">
        <v>3</v>
      </c>
      <c r="B33" s="11" t="s">
        <v>88</v>
      </c>
      <c r="C33" s="5"/>
      <c r="D33" s="7" t="s">
        <v>89</v>
      </c>
      <c r="E33" s="5"/>
      <c r="F33" s="5"/>
      <c r="G33" s="69"/>
      <c r="H33" s="69"/>
      <c r="I33" s="5"/>
    </row>
    <row r="34" spans="1:76" s="262" customFormat="1" x14ac:dyDescent="0.2">
      <c r="A34" s="260" t="s">
        <v>90</v>
      </c>
      <c r="B34" s="260" t="s">
        <v>91</v>
      </c>
      <c r="C34" s="9" t="s">
        <v>24</v>
      </c>
      <c r="D34" s="252" t="s">
        <v>92</v>
      </c>
      <c r="E34" s="251"/>
      <c r="F34" s="253"/>
      <c r="G34" s="261"/>
      <c r="H34" s="261"/>
      <c r="I34" s="254"/>
    </row>
    <row r="35" spans="1:76" ht="38.25" x14ac:dyDescent="0.2">
      <c r="A35" s="32" t="s">
        <v>93</v>
      </c>
      <c r="B35" s="323" t="s">
        <v>94</v>
      </c>
      <c r="C35" s="9" t="s">
        <v>24</v>
      </c>
      <c r="D35" s="156" t="s">
        <v>95</v>
      </c>
      <c r="E35" s="9" t="s">
        <v>36</v>
      </c>
      <c r="F35" s="73">
        <f>MC!J204</f>
        <v>74.433843999999993</v>
      </c>
      <c r="G35" s="68">
        <v>62.93</v>
      </c>
      <c r="H35" s="28">
        <f t="shared" ref="H35" si="5">TRUNC(ROUND(G35*1.3196,2),2)</f>
        <v>83.04</v>
      </c>
      <c r="I35" s="10">
        <v>9797.31</v>
      </c>
    </row>
    <row r="36" spans="1:76" x14ac:dyDescent="0.2">
      <c r="A36" s="11"/>
      <c r="B36" s="11"/>
      <c r="C36" s="5"/>
      <c r="D36" s="35" t="s">
        <v>96</v>
      </c>
      <c r="E36" s="5"/>
      <c r="F36" s="5"/>
      <c r="G36" s="69"/>
      <c r="H36" s="69"/>
      <c r="I36" s="81">
        <f>SUM(I34:I35)</f>
        <v>9797.31</v>
      </c>
    </row>
    <row r="37" spans="1:76" x14ac:dyDescent="0.2">
      <c r="A37" s="11">
        <v>4</v>
      </c>
      <c r="B37" s="11" t="s">
        <v>97</v>
      </c>
      <c r="C37" s="5"/>
      <c r="D37" s="7" t="s">
        <v>98</v>
      </c>
      <c r="E37" s="5"/>
      <c r="F37" s="5"/>
      <c r="G37" s="69"/>
      <c r="H37" s="69"/>
      <c r="I37" s="5"/>
    </row>
    <row r="38" spans="1:76" s="262" customFormat="1" x14ac:dyDescent="0.2">
      <c r="A38" s="260" t="s">
        <v>99</v>
      </c>
      <c r="B38" s="260" t="s">
        <v>100</v>
      </c>
      <c r="C38" s="9" t="s">
        <v>24</v>
      </c>
      <c r="D38" s="252" t="s">
        <v>101</v>
      </c>
      <c r="E38" s="251"/>
      <c r="F38" s="253"/>
      <c r="G38" s="261"/>
      <c r="H38" s="261"/>
      <c r="I38" s="254"/>
    </row>
    <row r="39" spans="1:76" s="91" customFormat="1" ht="25.5" x14ac:dyDescent="0.2">
      <c r="A39" s="32" t="s">
        <v>102</v>
      </c>
      <c r="B39" s="324" t="s">
        <v>103</v>
      </c>
      <c r="C39" s="87" t="s">
        <v>24</v>
      </c>
      <c r="D39" s="156" t="s">
        <v>104</v>
      </c>
      <c r="E39" s="86" t="s">
        <v>29</v>
      </c>
      <c r="F39" s="160">
        <f>MC!J216</f>
        <v>174.05820000000003</v>
      </c>
      <c r="G39" s="248">
        <v>127.78</v>
      </c>
      <c r="H39" s="28">
        <f>TRUNC(ROUND(G39*1.3196,2),2)</f>
        <v>168.62</v>
      </c>
      <c r="I39" s="10">
        <f>TRUNC(ROUND(F39*H39,2),2)</f>
        <v>29349.69</v>
      </c>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row>
    <row r="40" spans="1:76" x14ac:dyDescent="0.2">
      <c r="A40" s="11"/>
      <c r="B40" s="11"/>
      <c r="C40" s="5"/>
      <c r="D40" s="35" t="s">
        <v>105</v>
      </c>
      <c r="E40" s="5"/>
      <c r="F40" s="5"/>
      <c r="G40" s="69"/>
      <c r="H40" s="69"/>
      <c r="I40" s="81">
        <f>SUM(I38:I39)</f>
        <v>29349.69</v>
      </c>
    </row>
    <row r="41" spans="1:76" x14ac:dyDescent="0.2">
      <c r="A41" s="11">
        <v>5</v>
      </c>
      <c r="B41" s="11" t="s">
        <v>106</v>
      </c>
      <c r="C41" s="5"/>
      <c r="D41" s="7" t="s">
        <v>107</v>
      </c>
      <c r="E41" s="5"/>
      <c r="F41" s="5"/>
      <c r="G41" s="69"/>
      <c r="H41" s="69"/>
      <c r="I41" s="5"/>
    </row>
    <row r="42" spans="1:76" s="262" customFormat="1" x14ac:dyDescent="0.2">
      <c r="A42" s="260" t="s">
        <v>108</v>
      </c>
      <c r="B42" s="260" t="s">
        <v>109</v>
      </c>
      <c r="C42" s="9" t="s">
        <v>24</v>
      </c>
      <c r="D42" s="252" t="s">
        <v>110</v>
      </c>
      <c r="E42" s="251"/>
      <c r="F42" s="253"/>
      <c r="G42" s="261"/>
      <c r="H42" s="261"/>
      <c r="I42" s="254"/>
    </row>
    <row r="43" spans="1:76" ht="25.5" x14ac:dyDescent="0.2">
      <c r="A43" s="17" t="s">
        <v>111</v>
      </c>
      <c r="B43" s="325" t="s">
        <v>112</v>
      </c>
      <c r="C43" s="9" t="s">
        <v>24</v>
      </c>
      <c r="D43" s="18" t="s">
        <v>113</v>
      </c>
      <c r="E43" s="17" t="s">
        <v>114</v>
      </c>
      <c r="F43" s="73">
        <f>MC!J227</f>
        <v>6</v>
      </c>
      <c r="G43" s="68">
        <v>379.79</v>
      </c>
      <c r="H43" s="28">
        <f>TRUNC(ROUND(G43*1.3196,2),2)</f>
        <v>501.17</v>
      </c>
      <c r="I43" s="10">
        <f>TRUNC(ROUND(F43*H43,2),2)</f>
        <v>3007.02</v>
      </c>
      <c r="K43" s="171"/>
    </row>
    <row r="44" spans="1:76" ht="25.5" x14ac:dyDescent="0.2">
      <c r="A44" s="17" t="s">
        <v>115</v>
      </c>
      <c r="B44" s="325" t="s">
        <v>116</v>
      </c>
      <c r="C44" s="9" t="s">
        <v>24</v>
      </c>
      <c r="D44" s="18" t="s">
        <v>117</v>
      </c>
      <c r="E44" s="17" t="s">
        <v>114</v>
      </c>
      <c r="F44" s="73">
        <f>MC!J233</f>
        <v>3</v>
      </c>
      <c r="G44" s="68">
        <v>379.79</v>
      </c>
      <c r="H44" s="28">
        <f>TRUNC(ROUND(G44*1.3196,2),2)</f>
        <v>501.17</v>
      </c>
      <c r="I44" s="10">
        <f>TRUNC(ROUND(F44*H44,2),2)</f>
        <v>1503.51</v>
      </c>
      <c r="K44" s="171"/>
    </row>
    <row r="45" spans="1:76" s="262" customFormat="1" ht="51" x14ac:dyDescent="0.2">
      <c r="A45" s="260" t="s">
        <v>118</v>
      </c>
      <c r="B45" s="326" t="s">
        <v>119</v>
      </c>
      <c r="C45" s="9" t="s">
        <v>24</v>
      </c>
      <c r="D45" s="252" t="s">
        <v>120</v>
      </c>
      <c r="E45" s="251"/>
      <c r="F45" s="253"/>
      <c r="G45" s="261"/>
      <c r="H45" s="261"/>
      <c r="I45" s="254"/>
    </row>
    <row r="46" spans="1:76" ht="54" customHeight="1" x14ac:dyDescent="0.2">
      <c r="A46" s="17" t="s">
        <v>121</v>
      </c>
      <c r="B46" s="325" t="s">
        <v>122</v>
      </c>
      <c r="C46" s="9" t="s">
        <v>24</v>
      </c>
      <c r="D46" s="18" t="s">
        <v>123</v>
      </c>
      <c r="E46" s="17" t="s">
        <v>124</v>
      </c>
      <c r="F46" s="73">
        <f>MC!J244</f>
        <v>6</v>
      </c>
      <c r="G46" s="68">
        <v>1298.49</v>
      </c>
      <c r="H46" s="28">
        <f>TRUNC(ROUND(G46*1.3196,2),2)</f>
        <v>1713.49</v>
      </c>
      <c r="I46" s="10">
        <f>TRUNC(ROUND(F46*H46,2),2)</f>
        <v>10280.94</v>
      </c>
      <c r="K46" s="171"/>
    </row>
    <row r="47" spans="1:76" ht="56.25" customHeight="1" x14ac:dyDescent="0.2">
      <c r="A47" s="17" t="s">
        <v>125</v>
      </c>
      <c r="B47" s="325" t="s">
        <v>126</v>
      </c>
      <c r="C47" s="9" t="s">
        <v>24</v>
      </c>
      <c r="D47" s="18" t="s">
        <v>127</v>
      </c>
      <c r="E47" s="17" t="s">
        <v>124</v>
      </c>
      <c r="F47" s="73">
        <f>MC!J250</f>
        <v>3</v>
      </c>
      <c r="G47" s="68">
        <v>1401.82</v>
      </c>
      <c r="H47" s="28">
        <f>TRUNC(ROUND(G47*1.3196,2),2)</f>
        <v>1849.84</v>
      </c>
      <c r="I47" s="10">
        <f>TRUNC(ROUND(F47*H47,2),2)</f>
        <v>5549.52</v>
      </c>
      <c r="K47" s="171"/>
    </row>
    <row r="48" spans="1:76" x14ac:dyDescent="0.2">
      <c r="A48" s="11"/>
      <c r="B48" s="11"/>
      <c r="C48" s="5"/>
      <c r="D48" s="35" t="s">
        <v>128</v>
      </c>
      <c r="E48" s="5"/>
      <c r="F48" s="5"/>
      <c r="G48" s="69"/>
      <c r="H48" s="69"/>
      <c r="I48" s="81">
        <f>SUM(I43:I47)</f>
        <v>20340.990000000002</v>
      </c>
    </row>
    <row r="49" spans="1:76" x14ac:dyDescent="0.2">
      <c r="A49" s="11">
        <v>6</v>
      </c>
      <c r="B49" s="11" t="s">
        <v>129</v>
      </c>
      <c r="C49" s="5"/>
      <c r="D49" s="7" t="s">
        <v>130</v>
      </c>
      <c r="E49" s="5"/>
      <c r="F49" s="5"/>
      <c r="G49" s="69"/>
      <c r="H49" s="69"/>
      <c r="I49" s="5"/>
    </row>
    <row r="50" spans="1:76" s="262" customFormat="1" x14ac:dyDescent="0.2">
      <c r="A50" s="260" t="s">
        <v>131</v>
      </c>
      <c r="B50" s="260" t="s">
        <v>132</v>
      </c>
      <c r="C50" s="9" t="s">
        <v>24</v>
      </c>
      <c r="D50" s="252" t="s">
        <v>133</v>
      </c>
      <c r="E50" s="251"/>
      <c r="F50" s="253"/>
      <c r="G50" s="261"/>
      <c r="H50" s="261"/>
      <c r="I50" s="254"/>
    </row>
    <row r="51" spans="1:76" x14ac:dyDescent="0.2">
      <c r="A51" s="17" t="s">
        <v>134</v>
      </c>
      <c r="B51" s="325" t="s">
        <v>135</v>
      </c>
      <c r="C51" s="9" t="s">
        <v>24</v>
      </c>
      <c r="D51" s="18" t="s">
        <v>136</v>
      </c>
      <c r="E51" s="17" t="s">
        <v>29</v>
      </c>
      <c r="F51" s="73">
        <f>MC!J262</f>
        <v>1.8900000000000001</v>
      </c>
      <c r="G51" s="68">
        <v>568.29</v>
      </c>
      <c r="H51" s="28">
        <f>TRUNC(ROUND(G51*1.3196,2),2)</f>
        <v>749.92</v>
      </c>
      <c r="I51" s="10">
        <f>TRUNC(ROUND(F51*H51,2),2)</f>
        <v>1417.35</v>
      </c>
      <c r="K51" s="171"/>
    </row>
    <row r="52" spans="1:76" x14ac:dyDescent="0.2">
      <c r="A52" s="17" t="s">
        <v>137</v>
      </c>
      <c r="B52" s="325" t="s">
        <v>138</v>
      </c>
      <c r="C52" s="9" t="s">
        <v>24</v>
      </c>
      <c r="D52" s="18" t="s">
        <v>139</v>
      </c>
      <c r="E52" s="17" t="s">
        <v>29</v>
      </c>
      <c r="F52" s="73">
        <f>MC!J279</f>
        <v>41.727499999999992</v>
      </c>
      <c r="G52" s="68">
        <v>337.2</v>
      </c>
      <c r="H52" s="28">
        <f>TRUNC(ROUND(G52*1.3196,2),2)</f>
        <v>444.97</v>
      </c>
      <c r="I52" s="10">
        <f>TRUNC(ROUND(F52*H52,2),2)</f>
        <v>18567.490000000002</v>
      </c>
      <c r="K52" s="171"/>
    </row>
    <row r="53" spans="1:76" x14ac:dyDescent="0.2">
      <c r="A53" s="11"/>
      <c r="B53" s="11"/>
      <c r="C53" s="5"/>
      <c r="D53" s="35" t="s">
        <v>140</v>
      </c>
      <c r="E53" s="5"/>
      <c r="F53" s="5"/>
      <c r="G53" s="69"/>
      <c r="H53" s="69"/>
      <c r="I53" s="81">
        <f>SUM(I50:I52)</f>
        <v>19984.84</v>
      </c>
    </row>
    <row r="54" spans="1:76" x14ac:dyDescent="0.2">
      <c r="A54" s="11">
        <v>7</v>
      </c>
      <c r="B54" s="11" t="s">
        <v>141</v>
      </c>
      <c r="C54" s="5"/>
      <c r="D54" s="7" t="s">
        <v>142</v>
      </c>
      <c r="E54" s="5"/>
      <c r="F54" s="5"/>
      <c r="G54" s="69"/>
      <c r="H54" s="69"/>
      <c r="I54" s="5"/>
    </row>
    <row r="55" spans="1:76" s="262" customFormat="1" x14ac:dyDescent="0.2">
      <c r="A55" s="260" t="s">
        <v>143</v>
      </c>
      <c r="B55" s="260">
        <v>902</v>
      </c>
      <c r="C55" s="9" t="s">
        <v>24</v>
      </c>
      <c r="D55" s="252" t="s">
        <v>617</v>
      </c>
      <c r="E55" s="251"/>
      <c r="F55" s="253"/>
      <c r="G55" s="261"/>
      <c r="H55" s="261"/>
      <c r="I55" s="254"/>
    </row>
    <row r="56" spans="1:76" s="91" customFormat="1" ht="25.5" x14ac:dyDescent="0.2">
      <c r="A56" s="32" t="s">
        <v>144</v>
      </c>
      <c r="B56" s="324" t="s">
        <v>615</v>
      </c>
      <c r="C56" s="87" t="s">
        <v>24</v>
      </c>
      <c r="D56" s="156" t="s">
        <v>616</v>
      </c>
      <c r="E56" s="86" t="s">
        <v>29</v>
      </c>
      <c r="F56" s="160">
        <f>MC!J315</f>
        <v>298.42400000000004</v>
      </c>
      <c r="G56" s="248">
        <v>51.54</v>
      </c>
      <c r="H56" s="28">
        <f t="shared" ref="H56" si="6">TRUNC(ROUND(G56*1.3196,2),2)</f>
        <v>68.010000000000005</v>
      </c>
      <c r="I56" s="10">
        <f t="shared" ref="I56" si="7">TRUNC(ROUND(F56*H56,2),2)</f>
        <v>20295.82</v>
      </c>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row>
    <row r="57" spans="1:76" s="91" customFormat="1" ht="38.25" x14ac:dyDescent="0.2">
      <c r="A57" s="32" t="s">
        <v>614</v>
      </c>
      <c r="B57" s="324" t="s">
        <v>618</v>
      </c>
      <c r="C57" s="87" t="s">
        <v>24</v>
      </c>
      <c r="D57" s="156" t="s">
        <v>619</v>
      </c>
      <c r="E57" s="86" t="s">
        <v>52</v>
      </c>
      <c r="F57" s="160">
        <f>MC!J301</f>
        <v>197.15820000000002</v>
      </c>
      <c r="G57" s="248">
        <v>109.33</v>
      </c>
      <c r="H57" s="28">
        <f t="shared" ref="H57" si="8">TRUNC(ROUND(G57*1.3196,2),2)</f>
        <v>144.27000000000001</v>
      </c>
      <c r="I57" s="10">
        <f t="shared" ref="I57" si="9">TRUNC(ROUND(F57*H57,2),2)</f>
        <v>28444.01</v>
      </c>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row>
    <row r="58" spans="1:76" x14ac:dyDescent="0.2">
      <c r="A58" s="11"/>
      <c r="B58" s="11"/>
      <c r="C58" s="5"/>
      <c r="D58" s="35" t="s">
        <v>145</v>
      </c>
      <c r="E58" s="5"/>
      <c r="F58" s="5"/>
      <c r="G58" s="69"/>
      <c r="H58" s="69"/>
      <c r="I58" s="81">
        <f>SUM(I56:I57)</f>
        <v>48739.83</v>
      </c>
    </row>
    <row r="59" spans="1:76" x14ac:dyDescent="0.2">
      <c r="A59" s="11">
        <v>8</v>
      </c>
      <c r="B59" s="11">
        <v>11</v>
      </c>
      <c r="C59" s="5"/>
      <c r="D59" s="7" t="s">
        <v>146</v>
      </c>
      <c r="E59" s="5"/>
      <c r="F59" s="5"/>
      <c r="G59" s="69"/>
      <c r="H59" s="69"/>
      <c r="I59" s="5"/>
    </row>
    <row r="60" spans="1:76" s="262" customFormat="1" x14ac:dyDescent="0.2">
      <c r="A60" s="260" t="s">
        <v>147</v>
      </c>
      <c r="B60" s="260">
        <v>1102</v>
      </c>
      <c r="C60" s="9" t="s">
        <v>24</v>
      </c>
      <c r="D60" s="252" t="s">
        <v>148</v>
      </c>
      <c r="E60" s="251"/>
      <c r="F60" s="253"/>
      <c r="G60" s="261"/>
      <c r="H60" s="261"/>
      <c r="I60" s="254"/>
    </row>
    <row r="61" spans="1:76" s="91" customFormat="1" x14ac:dyDescent="0.2">
      <c r="A61" s="32" t="s">
        <v>149</v>
      </c>
      <c r="B61" s="324" t="s">
        <v>150</v>
      </c>
      <c r="C61" s="87" t="s">
        <v>24</v>
      </c>
      <c r="D61" s="156" t="s">
        <v>151</v>
      </c>
      <c r="E61" s="86" t="s">
        <v>29</v>
      </c>
      <c r="F61" s="160">
        <f>MC!J315</f>
        <v>298.42400000000004</v>
      </c>
      <c r="G61" s="248">
        <v>53.33</v>
      </c>
      <c r="H61" s="28">
        <f>TRUNC(ROUND(G61*1.3196,2),2)</f>
        <v>70.37</v>
      </c>
      <c r="I61" s="10">
        <f>TRUNC(ROUND(F61*H61,2),2)</f>
        <v>21000.1</v>
      </c>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row>
    <row r="62" spans="1:76" x14ac:dyDescent="0.2">
      <c r="A62" s="11"/>
      <c r="B62" s="11"/>
      <c r="C62" s="5"/>
      <c r="D62" s="35" t="s">
        <v>152</v>
      </c>
      <c r="E62" s="5"/>
      <c r="F62" s="5"/>
      <c r="G62" s="69"/>
      <c r="H62" s="69"/>
      <c r="I62" s="81">
        <f>SUM(I60:I61)</f>
        <v>21000.1</v>
      </c>
    </row>
    <row r="63" spans="1:76" x14ac:dyDescent="0.2">
      <c r="A63" s="11">
        <v>9</v>
      </c>
      <c r="B63" s="11">
        <v>13</v>
      </c>
      <c r="C63" s="5"/>
      <c r="D63" s="7" t="s">
        <v>153</v>
      </c>
      <c r="E63" s="5"/>
      <c r="F63" s="5"/>
      <c r="G63" s="69"/>
      <c r="H63" s="69"/>
      <c r="I63" s="5"/>
    </row>
    <row r="64" spans="1:76" s="262" customFormat="1" x14ac:dyDescent="0.2">
      <c r="A64" s="260" t="s">
        <v>154</v>
      </c>
      <c r="B64" s="260">
        <v>1302</v>
      </c>
      <c r="C64" s="9" t="s">
        <v>24</v>
      </c>
      <c r="D64" s="252" t="s">
        <v>155</v>
      </c>
      <c r="E64" s="251"/>
      <c r="F64" s="253"/>
      <c r="G64" s="261"/>
      <c r="H64" s="261"/>
      <c r="I64" s="254"/>
    </row>
    <row r="65" spans="1:11" ht="38.25" x14ac:dyDescent="0.2">
      <c r="A65" s="17" t="s">
        <v>156</v>
      </c>
      <c r="B65" s="325" t="s">
        <v>157</v>
      </c>
      <c r="C65" s="9" t="s">
        <v>24</v>
      </c>
      <c r="D65" s="18" t="s">
        <v>158</v>
      </c>
      <c r="E65" s="17" t="s">
        <v>29</v>
      </c>
      <c r="F65" s="73">
        <f>MC!J329</f>
        <v>298.42400000000004</v>
      </c>
      <c r="G65" s="68">
        <v>111.13</v>
      </c>
      <c r="H65" s="28">
        <f>TRUNC(ROUND(G65*1.3196,2),2)</f>
        <v>146.65</v>
      </c>
      <c r="I65" s="10">
        <f>TRUNC(ROUND(F65*H65,2),2)</f>
        <v>43763.88</v>
      </c>
      <c r="K65" s="171"/>
    </row>
    <row r="66" spans="1:11" ht="38.25" x14ac:dyDescent="0.2">
      <c r="A66" s="17" t="s">
        <v>159</v>
      </c>
      <c r="B66" s="325" t="s">
        <v>160</v>
      </c>
      <c r="C66" s="9" t="s">
        <v>24</v>
      </c>
      <c r="D66" s="18" t="s">
        <v>161</v>
      </c>
      <c r="E66" s="17" t="s">
        <v>29</v>
      </c>
      <c r="F66" s="73">
        <f>MC!J344</f>
        <v>42.984000000000002</v>
      </c>
      <c r="G66" s="68">
        <v>149.68</v>
      </c>
      <c r="H66" s="28">
        <f>TRUNC(ROUND(G66*1.3196,2),2)</f>
        <v>197.52</v>
      </c>
      <c r="I66" s="10">
        <f>TRUNC(ROUND(F66*H66,2),2)</f>
        <v>8490.2000000000007</v>
      </c>
      <c r="K66" s="171"/>
    </row>
    <row r="67" spans="1:11" x14ac:dyDescent="0.2">
      <c r="A67" s="11"/>
      <c r="B67" s="11"/>
      <c r="C67" s="5"/>
      <c r="D67" s="35" t="s">
        <v>162</v>
      </c>
      <c r="E67" s="5"/>
      <c r="F67" s="5"/>
      <c r="G67" s="69"/>
      <c r="H67" s="69"/>
      <c r="I67" s="81">
        <f>SUM(I64:I66)</f>
        <v>52254.080000000002</v>
      </c>
    </row>
    <row r="68" spans="1:11" x14ac:dyDescent="0.2">
      <c r="A68" s="11">
        <v>10</v>
      </c>
      <c r="B68" s="11">
        <v>15</v>
      </c>
      <c r="C68" s="5"/>
      <c r="D68" s="7" t="s">
        <v>163</v>
      </c>
      <c r="E68" s="5"/>
      <c r="F68" s="5"/>
      <c r="G68" s="69"/>
      <c r="H68" s="69"/>
      <c r="I68" s="5"/>
    </row>
    <row r="69" spans="1:11" s="262" customFormat="1" x14ac:dyDescent="0.2">
      <c r="A69" s="260" t="s">
        <v>164</v>
      </c>
      <c r="B69" s="260">
        <v>1506</v>
      </c>
      <c r="C69" s="9" t="s">
        <v>24</v>
      </c>
      <c r="D69" s="252" t="s">
        <v>165</v>
      </c>
      <c r="E69" s="251"/>
      <c r="F69" s="253"/>
      <c r="G69" s="261"/>
      <c r="H69" s="261"/>
      <c r="I69" s="254"/>
    </row>
    <row r="70" spans="1:11" s="263" customFormat="1" x14ac:dyDescent="0.2">
      <c r="A70" s="86" t="s">
        <v>166</v>
      </c>
      <c r="B70" s="328">
        <v>150633</v>
      </c>
      <c r="C70" s="17" t="s">
        <v>24</v>
      </c>
      <c r="D70" s="88" t="s">
        <v>167</v>
      </c>
      <c r="E70" s="86" t="s">
        <v>124</v>
      </c>
      <c r="F70" s="141">
        <f>MC!J358</f>
        <v>9</v>
      </c>
      <c r="G70" s="68">
        <v>105.02</v>
      </c>
      <c r="H70" s="354">
        <f t="shared" ref="H70" si="10">TRUNC(ROUND(G70*1.3196,2),2)</f>
        <v>138.58000000000001</v>
      </c>
      <c r="I70" s="355">
        <f>TRUNC(ROUND(F70*H70,2),2)</f>
        <v>1247.22</v>
      </c>
    </row>
    <row r="71" spans="1:11" s="262" customFormat="1" x14ac:dyDescent="0.2">
      <c r="A71" s="260" t="s">
        <v>168</v>
      </c>
      <c r="B71" s="326">
        <v>1508</v>
      </c>
      <c r="C71" s="9" t="s">
        <v>24</v>
      </c>
      <c r="D71" s="252" t="s">
        <v>169</v>
      </c>
      <c r="E71" s="251"/>
      <c r="F71" s="253"/>
      <c r="G71" s="261"/>
      <c r="H71" s="261"/>
      <c r="I71" s="254"/>
    </row>
    <row r="72" spans="1:11" ht="25.5" x14ac:dyDescent="0.2">
      <c r="A72" s="17" t="s">
        <v>170</v>
      </c>
      <c r="B72" s="327">
        <v>150801</v>
      </c>
      <c r="C72" s="9" t="s">
        <v>24</v>
      </c>
      <c r="D72" s="18" t="s">
        <v>171</v>
      </c>
      <c r="E72" s="17" t="s">
        <v>56</v>
      </c>
      <c r="F72" s="73">
        <f>MC!J372</f>
        <v>245.75</v>
      </c>
      <c r="G72" s="68">
        <v>15.86</v>
      </c>
      <c r="H72" s="28">
        <f>TRUNC(ROUND(G72*1.3196,2),2)</f>
        <v>20.93</v>
      </c>
      <c r="I72" s="90">
        <f>TRUNC(ROUND(F72*H72,2),2)</f>
        <v>5143.55</v>
      </c>
    </row>
    <row r="73" spans="1:11" ht="25.5" x14ac:dyDescent="0.2">
      <c r="A73" s="17" t="s">
        <v>172</v>
      </c>
      <c r="B73" s="328">
        <v>150804</v>
      </c>
      <c r="C73" s="9" t="s">
        <v>24</v>
      </c>
      <c r="D73" s="18" t="s">
        <v>173</v>
      </c>
      <c r="E73" s="17" t="s">
        <v>124</v>
      </c>
      <c r="F73" s="73">
        <f>MC!J385</f>
        <v>45</v>
      </c>
      <c r="G73" s="68">
        <v>28.52</v>
      </c>
      <c r="H73" s="28">
        <f>TRUNC(ROUND(G73*1.3196,2),2)</f>
        <v>37.630000000000003</v>
      </c>
      <c r="I73" s="90">
        <f>TRUNC(ROUND(F73*H73,2),2)</f>
        <v>1693.35</v>
      </c>
    </row>
    <row r="74" spans="1:11" s="262" customFormat="1" x14ac:dyDescent="0.2">
      <c r="A74" s="260" t="s">
        <v>174</v>
      </c>
      <c r="B74" s="326">
        <v>1514</v>
      </c>
      <c r="C74" s="9" t="s">
        <v>24</v>
      </c>
      <c r="D74" s="252" t="s">
        <v>175</v>
      </c>
      <c r="E74" s="251"/>
      <c r="F74" s="253"/>
      <c r="G74" s="261"/>
      <c r="H74" s="261"/>
      <c r="I74" s="254"/>
    </row>
    <row r="75" spans="1:11" x14ac:dyDescent="0.2">
      <c r="A75" s="17" t="s">
        <v>176</v>
      </c>
      <c r="B75" s="327">
        <v>151402</v>
      </c>
      <c r="C75" s="9" t="s">
        <v>24</v>
      </c>
      <c r="D75" s="18" t="s">
        <v>177</v>
      </c>
      <c r="E75" s="17" t="s">
        <v>178</v>
      </c>
      <c r="F75" s="73">
        <f>MC!J399</f>
        <v>420.5</v>
      </c>
      <c r="G75" s="68">
        <v>6.67</v>
      </c>
      <c r="H75" s="28">
        <f>TRUNC(ROUND(G75*1.3196,2),2)</f>
        <v>8.8000000000000007</v>
      </c>
      <c r="I75" s="90">
        <f>TRUNC(ROUND(F75*H75,2),2)</f>
        <v>3700.4</v>
      </c>
    </row>
    <row r="76" spans="1:11" x14ac:dyDescent="0.2">
      <c r="A76" s="17" t="s">
        <v>179</v>
      </c>
      <c r="B76" s="327">
        <v>151403</v>
      </c>
      <c r="C76" s="9" t="s">
        <v>24</v>
      </c>
      <c r="D76" s="18" t="s">
        <v>180</v>
      </c>
      <c r="E76" s="17" t="s">
        <v>56</v>
      </c>
      <c r="F76" s="73">
        <f>MC!J412</f>
        <v>270</v>
      </c>
      <c r="G76" s="68">
        <v>8.82</v>
      </c>
      <c r="H76" s="28">
        <f>TRUNC(ROUND(G76*1.3196,2),2)</f>
        <v>11.64</v>
      </c>
      <c r="I76" s="90">
        <f>TRUNC(ROUND(F76*H76,2),2)</f>
        <v>3142.8</v>
      </c>
    </row>
    <row r="77" spans="1:11" s="262" customFormat="1" x14ac:dyDescent="0.2">
      <c r="A77" s="260" t="s">
        <v>181</v>
      </c>
      <c r="B77" s="326"/>
      <c r="C77" s="9"/>
      <c r="D77" s="252" t="s">
        <v>182</v>
      </c>
      <c r="E77" s="251"/>
      <c r="F77" s="253"/>
      <c r="G77" s="261"/>
      <c r="H77" s="261"/>
      <c r="I77" s="254"/>
    </row>
    <row r="78" spans="1:11" ht="25.5" x14ac:dyDescent="0.2">
      <c r="A78" s="17" t="s">
        <v>183</v>
      </c>
      <c r="B78" s="327" t="s">
        <v>184</v>
      </c>
      <c r="C78" s="9"/>
      <c r="D78" s="18" t="s">
        <v>185</v>
      </c>
      <c r="E78" s="17" t="s">
        <v>124</v>
      </c>
      <c r="F78" s="73">
        <f>MC!J421</f>
        <v>33</v>
      </c>
      <c r="G78" s="68">
        <f>'COMP-02'!I37</f>
        <v>245.79214999999999</v>
      </c>
      <c r="H78" s="28">
        <f>TRUNC(ROUND(G78*1.3196,2),2)</f>
        <v>324.35000000000002</v>
      </c>
      <c r="I78" s="90">
        <f>TRUNC(ROUND(F78*H78,2),2)</f>
        <v>10703.55</v>
      </c>
    </row>
    <row r="79" spans="1:11" ht="25.5" x14ac:dyDescent="0.2">
      <c r="A79" s="17" t="s">
        <v>186</v>
      </c>
      <c r="B79" s="327" t="s">
        <v>187</v>
      </c>
      <c r="C79" s="9"/>
      <c r="D79" s="18" t="s">
        <v>188</v>
      </c>
      <c r="E79" s="17" t="s">
        <v>124</v>
      </c>
      <c r="F79" s="73">
        <f>MC!J433</f>
        <v>54</v>
      </c>
      <c r="G79" s="68">
        <f>'COMP-03'!I37</f>
        <v>265.47640000000001</v>
      </c>
      <c r="H79" s="28">
        <f>TRUNC(ROUND(G79*1.3196,2),2)</f>
        <v>350.32</v>
      </c>
      <c r="I79" s="90">
        <f>TRUNC(ROUND(F79*H79,2),2)</f>
        <v>18917.28</v>
      </c>
    </row>
    <row r="80" spans="1:11" ht="51" x14ac:dyDescent="0.2">
      <c r="A80" s="17" t="s">
        <v>631</v>
      </c>
      <c r="B80" s="327">
        <v>181001</v>
      </c>
      <c r="C80" s="9" t="s">
        <v>24</v>
      </c>
      <c r="D80" s="18" t="s">
        <v>632</v>
      </c>
      <c r="E80" s="17" t="s">
        <v>124</v>
      </c>
      <c r="F80" s="73">
        <f>MC!J445</f>
        <v>50</v>
      </c>
      <c r="G80" s="68">
        <v>142.75</v>
      </c>
      <c r="H80" s="28">
        <f>TRUNC(ROUND(G80*1.3196,2),2)</f>
        <v>188.37</v>
      </c>
      <c r="I80" s="90">
        <f>TRUNC(ROUND(F80*H80,2),2)</f>
        <v>9418.5</v>
      </c>
    </row>
    <row r="81" spans="1:9" s="262" customFormat="1" x14ac:dyDescent="0.2">
      <c r="A81" s="260" t="s">
        <v>189</v>
      </c>
      <c r="B81" s="326"/>
      <c r="C81" s="9"/>
      <c r="D81" s="252" t="s">
        <v>190</v>
      </c>
      <c r="E81" s="251"/>
      <c r="F81" s="253"/>
      <c r="G81" s="261"/>
      <c r="H81" s="261"/>
      <c r="I81" s="254"/>
    </row>
    <row r="82" spans="1:9" x14ac:dyDescent="0.2">
      <c r="A82" s="17" t="s">
        <v>191</v>
      </c>
      <c r="B82" s="327" t="s">
        <v>192</v>
      </c>
      <c r="C82" s="9"/>
      <c r="D82" s="18" t="s">
        <v>193</v>
      </c>
      <c r="E82" s="17" t="s">
        <v>124</v>
      </c>
      <c r="F82" s="73">
        <f>MC!J457</f>
        <v>9</v>
      </c>
      <c r="G82" s="68">
        <f>'COMP-04'!I32</f>
        <v>418.86220000000003</v>
      </c>
      <c r="H82" s="28">
        <f t="shared" ref="H82" si="11">TRUNC(ROUND(G82*1.3196,2),2)</f>
        <v>552.73</v>
      </c>
      <c r="I82" s="90">
        <f t="shared" ref="I82" si="12">TRUNC(ROUND(F82*H82,2),2)</f>
        <v>4974.57</v>
      </c>
    </row>
    <row r="83" spans="1:9" x14ac:dyDescent="0.2">
      <c r="A83" s="11"/>
      <c r="B83" s="11"/>
      <c r="C83" s="5"/>
      <c r="D83" s="35" t="s">
        <v>194</v>
      </c>
      <c r="E83" s="5"/>
      <c r="F83" s="5"/>
      <c r="G83" s="69"/>
      <c r="H83" s="69"/>
      <c r="I83" s="81">
        <f>SUM(I69:I82)</f>
        <v>58941.219999999994</v>
      </c>
    </row>
    <row r="84" spans="1:9" x14ac:dyDescent="0.2">
      <c r="A84" s="11">
        <v>11</v>
      </c>
      <c r="B84" s="11">
        <v>16</v>
      </c>
      <c r="C84" s="5"/>
      <c r="D84" s="7" t="s">
        <v>195</v>
      </c>
      <c r="E84" s="5"/>
      <c r="F84" s="5"/>
      <c r="G84" s="69"/>
      <c r="H84" s="69"/>
      <c r="I84" s="5"/>
    </row>
    <row r="85" spans="1:9" s="262" customFormat="1" x14ac:dyDescent="0.2">
      <c r="A85" s="260" t="s">
        <v>196</v>
      </c>
      <c r="B85" s="260">
        <v>1506</v>
      </c>
      <c r="C85" s="9" t="s">
        <v>24</v>
      </c>
      <c r="D85" s="252" t="s">
        <v>165</v>
      </c>
      <c r="E85" s="251"/>
      <c r="F85" s="253"/>
      <c r="G85" s="261"/>
      <c r="H85" s="261"/>
      <c r="I85" s="254"/>
    </row>
    <row r="86" spans="1:9" s="263" customFormat="1" x14ac:dyDescent="0.2">
      <c r="A86" s="86" t="s">
        <v>197</v>
      </c>
      <c r="B86" s="328">
        <v>150633</v>
      </c>
      <c r="C86" s="17" t="s">
        <v>24</v>
      </c>
      <c r="D86" s="88" t="s">
        <v>167</v>
      </c>
      <c r="E86" s="86" t="s">
        <v>124</v>
      </c>
      <c r="F86" s="141">
        <f>MC!J472</f>
        <v>9</v>
      </c>
      <c r="G86" s="68">
        <v>105.02</v>
      </c>
      <c r="H86" s="354">
        <f t="shared" ref="H86" si="13">TRUNC(ROUND(G86*1.3196,2),2)</f>
        <v>138.58000000000001</v>
      </c>
      <c r="I86" s="355">
        <f>TRUNC(ROUND(F86*H86,2),2)</f>
        <v>1247.22</v>
      </c>
    </row>
    <row r="87" spans="1:9" s="262" customFormat="1" x14ac:dyDescent="0.2">
      <c r="A87" s="260" t="s">
        <v>198</v>
      </c>
      <c r="B87" s="260">
        <v>1608</v>
      </c>
      <c r="C87" s="9" t="s">
        <v>24</v>
      </c>
      <c r="D87" s="252" t="s">
        <v>199</v>
      </c>
      <c r="E87" s="251"/>
      <c r="F87" s="253"/>
      <c r="G87" s="261"/>
      <c r="H87" s="261"/>
      <c r="I87" s="254"/>
    </row>
    <row r="88" spans="1:9" x14ac:dyDescent="0.2">
      <c r="A88" s="86" t="s">
        <v>200</v>
      </c>
      <c r="B88" s="328">
        <v>160806</v>
      </c>
      <c r="C88" s="9" t="s">
        <v>24</v>
      </c>
      <c r="D88" s="18" t="s">
        <v>201</v>
      </c>
      <c r="E88" s="86" t="s">
        <v>124</v>
      </c>
      <c r="F88" s="73">
        <f>MC!J481</f>
        <v>33</v>
      </c>
      <c r="G88" s="68">
        <v>17.850000000000001</v>
      </c>
      <c r="H88" s="28">
        <f>TRUNC(ROUND(G88*1.3196,2),2)</f>
        <v>23.55</v>
      </c>
      <c r="I88" s="10">
        <f>TRUNC(ROUND(F88*H88,2),2)</f>
        <v>777.15</v>
      </c>
    </row>
    <row r="89" spans="1:9" s="91" customFormat="1" x14ac:dyDescent="0.2">
      <c r="A89" s="86" t="s">
        <v>202</v>
      </c>
      <c r="B89" s="328">
        <v>160808</v>
      </c>
      <c r="C89" s="87" t="s">
        <v>24</v>
      </c>
      <c r="D89" s="88" t="s">
        <v>203</v>
      </c>
      <c r="E89" s="86" t="s">
        <v>204</v>
      </c>
      <c r="F89" s="141">
        <f>MC!J494</f>
        <v>1131</v>
      </c>
      <c r="G89" s="68">
        <v>3.73</v>
      </c>
      <c r="H89" s="28">
        <f>TRUNC(ROUND(G89*1.3196,2),2)</f>
        <v>4.92</v>
      </c>
      <c r="I89" s="10">
        <f>TRUNC(ROUND(F89*H89,2),2)</f>
        <v>5564.52</v>
      </c>
    </row>
    <row r="90" spans="1:9" ht="26.25" customHeight="1" x14ac:dyDescent="0.2">
      <c r="A90" s="86" t="s">
        <v>205</v>
      </c>
      <c r="B90" s="328">
        <v>160845</v>
      </c>
      <c r="C90" s="9" t="s">
        <v>24</v>
      </c>
      <c r="D90" s="18" t="s">
        <v>206</v>
      </c>
      <c r="E90" s="86" t="s">
        <v>124</v>
      </c>
      <c r="F90" s="73">
        <f>MC!J507</f>
        <v>123</v>
      </c>
      <c r="G90" s="68">
        <v>16.670000000000002</v>
      </c>
      <c r="H90" s="28">
        <f t="shared" ref="H90" si="14">TRUNC(ROUND(G90*1.3196,2),2)</f>
        <v>22</v>
      </c>
      <c r="I90" s="10">
        <f t="shared" ref="I90" si="15">TRUNC(ROUND(F90*H90,2),2)</f>
        <v>2706</v>
      </c>
    </row>
    <row r="91" spans="1:9" ht="26.25" customHeight="1" x14ac:dyDescent="0.2">
      <c r="A91" s="86" t="s">
        <v>207</v>
      </c>
      <c r="B91" s="328">
        <v>160846</v>
      </c>
      <c r="C91" s="9" t="s">
        <v>24</v>
      </c>
      <c r="D91" s="18" t="s">
        <v>208</v>
      </c>
      <c r="E91" s="86" t="s">
        <v>124</v>
      </c>
      <c r="F91" s="73">
        <f>MC!J514</f>
        <v>19</v>
      </c>
      <c r="G91" s="68">
        <v>24.54</v>
      </c>
      <c r="H91" s="28">
        <f t="shared" ref="H91" si="16">TRUNC(ROUND(G91*1.3196,2),2)</f>
        <v>32.380000000000003</v>
      </c>
      <c r="I91" s="10">
        <f t="shared" ref="I91:I92" si="17">TRUNC(ROUND(F91*H91,2),2)</f>
        <v>615.22</v>
      </c>
    </row>
    <row r="92" spans="1:9" x14ac:dyDescent="0.2">
      <c r="A92" s="86" t="s">
        <v>209</v>
      </c>
      <c r="B92" s="328">
        <v>160871</v>
      </c>
      <c r="C92" s="9" t="s">
        <v>24</v>
      </c>
      <c r="D92" s="18" t="s">
        <v>210</v>
      </c>
      <c r="E92" s="86" t="s">
        <v>124</v>
      </c>
      <c r="F92" s="73">
        <f>MC!J529</f>
        <v>63</v>
      </c>
      <c r="G92" s="68">
        <v>26.04</v>
      </c>
      <c r="H92" s="28">
        <f>TRUNC(ROUND(G92*1.3196,2),2)</f>
        <v>34.36</v>
      </c>
      <c r="I92" s="10">
        <f t="shared" si="17"/>
        <v>2164.6799999999998</v>
      </c>
    </row>
    <row r="93" spans="1:9" s="91" customFormat="1" ht="25.5" x14ac:dyDescent="0.2">
      <c r="A93" s="86" t="s">
        <v>211</v>
      </c>
      <c r="B93" s="328" t="s">
        <v>212</v>
      </c>
      <c r="C93" s="87"/>
      <c r="D93" s="88" t="s">
        <v>213</v>
      </c>
      <c r="E93" s="86" t="s">
        <v>56</v>
      </c>
      <c r="F93" s="141">
        <f>MC!J541</f>
        <v>163.25</v>
      </c>
      <c r="G93" s="68">
        <f>'COMP-05'!I31</f>
        <v>23.490499999999997</v>
      </c>
      <c r="H93" s="28">
        <f>TRUNC(ROUND(G93*1.3196,2),2)</f>
        <v>31</v>
      </c>
      <c r="I93" s="10">
        <f t="shared" ref="I93:I95" si="18">TRUNC(ROUND(F93*H93,2),2)</f>
        <v>5060.75</v>
      </c>
    </row>
    <row r="94" spans="1:9" ht="28.5" customHeight="1" x14ac:dyDescent="0.2">
      <c r="A94" s="86" t="s">
        <v>214</v>
      </c>
      <c r="B94" s="328" t="s">
        <v>215</v>
      </c>
      <c r="C94" s="9"/>
      <c r="D94" s="18" t="s">
        <v>216</v>
      </c>
      <c r="E94" s="17" t="s">
        <v>56</v>
      </c>
      <c r="F94" s="73">
        <f>MC!J547</f>
        <v>82.5</v>
      </c>
      <c r="G94" s="68">
        <f>'COMP-06'!I31</f>
        <v>32.69</v>
      </c>
      <c r="H94" s="28">
        <f t="shared" ref="H94:H95" si="19">TRUNC(ROUND(G94*1.3196,2),2)</f>
        <v>43.14</v>
      </c>
      <c r="I94" s="10">
        <f t="shared" si="18"/>
        <v>3559.05</v>
      </c>
    </row>
    <row r="95" spans="1:9" s="91" customFormat="1" ht="25.5" x14ac:dyDescent="0.2">
      <c r="A95" s="86" t="s">
        <v>217</v>
      </c>
      <c r="B95" s="328" t="s">
        <v>218</v>
      </c>
      <c r="C95" s="9"/>
      <c r="D95" s="88" t="s">
        <v>219</v>
      </c>
      <c r="E95" s="86" t="s">
        <v>124</v>
      </c>
      <c r="F95" s="141">
        <f>MC!J560</f>
        <v>115</v>
      </c>
      <c r="G95" s="68">
        <f>'COMP-07'!I30</f>
        <v>56.185226666666665</v>
      </c>
      <c r="H95" s="28">
        <f t="shared" si="19"/>
        <v>74.14</v>
      </c>
      <c r="I95" s="10">
        <f t="shared" si="18"/>
        <v>8526.1</v>
      </c>
    </row>
    <row r="96" spans="1:9" s="91" customFormat="1" ht="25.5" x14ac:dyDescent="0.2">
      <c r="A96" s="86" t="s">
        <v>220</v>
      </c>
      <c r="B96" s="328" t="s">
        <v>221</v>
      </c>
      <c r="C96" s="9"/>
      <c r="D96" s="88" t="s">
        <v>222</v>
      </c>
      <c r="E96" s="86" t="s">
        <v>124</v>
      </c>
      <c r="F96" s="141">
        <f>MC!J566</f>
        <v>42</v>
      </c>
      <c r="G96" s="68">
        <f>'COMP-08'!I30</f>
        <v>69.968559999999997</v>
      </c>
      <c r="H96" s="28">
        <f t="shared" ref="H96" si="20">TRUNC(ROUND(G96*1.3196,2),2)</f>
        <v>92.33</v>
      </c>
      <c r="I96" s="10">
        <f t="shared" ref="I96" si="21">TRUNC(ROUND(F96*H96,2),2)</f>
        <v>3877.86</v>
      </c>
    </row>
    <row r="97" spans="1:76" ht="25.5" x14ac:dyDescent="0.2">
      <c r="A97" s="86" t="s">
        <v>223</v>
      </c>
      <c r="B97" s="328" t="s">
        <v>224</v>
      </c>
      <c r="C97" s="9"/>
      <c r="D97" s="18" t="s">
        <v>225</v>
      </c>
      <c r="E97" s="86" t="s">
        <v>124</v>
      </c>
      <c r="F97" s="73">
        <f>MC!J577</f>
        <v>8</v>
      </c>
      <c r="G97" s="68">
        <f>'COMP-09'!I36</f>
        <v>6186.6793333333335</v>
      </c>
      <c r="H97" s="28">
        <f>TRUNC(ROUND(G97*1.3196,2),2)</f>
        <v>8163.94</v>
      </c>
      <c r="I97" s="10">
        <f t="shared" ref="I97:I98" si="22">TRUNC(ROUND(F97*H97,2),2)</f>
        <v>65311.519999999997</v>
      </c>
    </row>
    <row r="98" spans="1:76" ht="25.5" x14ac:dyDescent="0.2">
      <c r="A98" s="86" t="s">
        <v>226</v>
      </c>
      <c r="B98" s="328" t="s">
        <v>227</v>
      </c>
      <c r="C98" s="9"/>
      <c r="D98" s="18" t="s">
        <v>228</v>
      </c>
      <c r="E98" s="86" t="s">
        <v>124</v>
      </c>
      <c r="F98" s="73">
        <f>MC!J582</f>
        <v>1</v>
      </c>
      <c r="G98" s="68">
        <f>'COMP-10'!I36</f>
        <v>6546.8113333333331</v>
      </c>
      <c r="H98" s="28">
        <f>TRUNC(ROUND(G98*1.3196,2),2)</f>
        <v>8639.17</v>
      </c>
      <c r="I98" s="10">
        <f t="shared" si="22"/>
        <v>8639.17</v>
      </c>
    </row>
    <row r="99" spans="1:76" x14ac:dyDescent="0.2">
      <c r="A99" s="11"/>
      <c r="B99" s="11"/>
      <c r="C99" s="5"/>
      <c r="D99" s="35" t="s">
        <v>229</v>
      </c>
      <c r="E99" s="5"/>
      <c r="F99" s="5"/>
      <c r="G99" s="69"/>
      <c r="H99" s="69"/>
      <c r="I99" s="81">
        <f>SUM(I85:I98)</f>
        <v>108049.24</v>
      </c>
    </row>
    <row r="100" spans="1:76" x14ac:dyDescent="0.2">
      <c r="A100" s="11">
        <v>12</v>
      </c>
      <c r="B100" s="11">
        <v>17</v>
      </c>
      <c r="C100" s="5"/>
      <c r="D100" s="7" t="s">
        <v>644</v>
      </c>
      <c r="E100" s="5"/>
      <c r="F100" s="5"/>
      <c r="G100" s="69"/>
      <c r="H100" s="69"/>
      <c r="I100" s="5"/>
    </row>
    <row r="101" spans="1:76" s="262" customFormat="1" x14ac:dyDescent="0.2">
      <c r="A101" s="260" t="s">
        <v>230</v>
      </c>
      <c r="B101" s="260">
        <v>1702</v>
      </c>
      <c r="C101" s="9" t="s">
        <v>24</v>
      </c>
      <c r="D101" s="252" t="s">
        <v>231</v>
      </c>
      <c r="E101" s="251"/>
      <c r="F101" s="253"/>
      <c r="G101" s="261"/>
      <c r="H101" s="261"/>
      <c r="I101" s="254"/>
    </row>
    <row r="102" spans="1:76" ht="25.5" x14ac:dyDescent="0.2">
      <c r="A102" s="17" t="s">
        <v>230</v>
      </c>
      <c r="B102" s="325" t="s">
        <v>232</v>
      </c>
      <c r="C102" s="9"/>
      <c r="D102" s="18" t="s">
        <v>624</v>
      </c>
      <c r="E102" s="17" t="s">
        <v>29</v>
      </c>
      <c r="F102" s="73">
        <f>MC!J624</f>
        <v>102.37799999999994</v>
      </c>
      <c r="G102" s="68">
        <f>'COMP-11'!I32</f>
        <v>468.48964866666671</v>
      </c>
      <c r="H102" s="28">
        <f>TRUNC(ROUND(G102*1.3196,2),2)</f>
        <v>618.22</v>
      </c>
      <c r="I102" s="10">
        <f t="shared" ref="I102" si="23">TRUNC(ROUND(F102*H102,2),2)</f>
        <v>63292.13</v>
      </c>
    </row>
    <row r="103" spans="1:76" x14ac:dyDescent="0.2">
      <c r="A103" s="11"/>
      <c r="B103" s="11"/>
      <c r="C103" s="5"/>
      <c r="D103" s="35" t="s">
        <v>233</v>
      </c>
      <c r="E103" s="5"/>
      <c r="F103" s="5"/>
      <c r="G103" s="69"/>
      <c r="H103" s="69"/>
      <c r="I103" s="81">
        <f>SUM(I101:I102)</f>
        <v>63292.13</v>
      </c>
    </row>
    <row r="104" spans="1:76" x14ac:dyDescent="0.2">
      <c r="A104" s="11">
        <v>13</v>
      </c>
      <c r="B104" s="11">
        <v>18</v>
      </c>
      <c r="C104" s="5"/>
      <c r="D104" s="7" t="s">
        <v>234</v>
      </c>
      <c r="E104" s="5"/>
      <c r="F104" s="5"/>
      <c r="G104" s="69"/>
      <c r="H104" s="69"/>
      <c r="I104" s="5"/>
    </row>
    <row r="105" spans="1:76" s="262" customFormat="1" x14ac:dyDescent="0.2">
      <c r="A105" s="260" t="s">
        <v>235</v>
      </c>
      <c r="B105" s="260">
        <v>1806</v>
      </c>
      <c r="C105" s="9" t="s">
        <v>24</v>
      </c>
      <c r="D105" s="252" t="s">
        <v>236</v>
      </c>
      <c r="E105" s="251"/>
      <c r="F105" s="253"/>
      <c r="G105" s="261"/>
      <c r="H105" s="261"/>
      <c r="I105" s="254"/>
    </row>
    <row r="106" spans="1:76" s="262" customFormat="1" ht="63.75" x14ac:dyDescent="0.2">
      <c r="A106" s="32" t="s">
        <v>237</v>
      </c>
      <c r="B106" s="260">
        <v>180603</v>
      </c>
      <c r="C106" s="87" t="s">
        <v>24</v>
      </c>
      <c r="D106" s="156" t="s">
        <v>634</v>
      </c>
      <c r="E106" s="9" t="s">
        <v>124</v>
      </c>
      <c r="F106" s="160">
        <f>MC!J634</f>
        <v>4</v>
      </c>
      <c r="G106" s="248">
        <v>2341.6999999999998</v>
      </c>
      <c r="H106" s="28">
        <f>TRUNC(ROUND(G106*1.1557,2),2)</f>
        <v>2706.3</v>
      </c>
      <c r="I106" s="10">
        <f>TRUNC(ROUND(F106*H106,2),2)</f>
        <v>10825.2</v>
      </c>
    </row>
    <row r="107" spans="1:76" s="91" customFormat="1" ht="38.25" x14ac:dyDescent="0.2">
      <c r="A107" s="32" t="s">
        <v>239</v>
      </c>
      <c r="B107" s="324" t="s">
        <v>238</v>
      </c>
      <c r="C107" s="87" t="s">
        <v>24</v>
      </c>
      <c r="D107" s="156" t="s">
        <v>635</v>
      </c>
      <c r="E107" s="9" t="s">
        <v>124</v>
      </c>
      <c r="F107" s="160">
        <f>MC!J642</f>
        <v>4</v>
      </c>
      <c r="G107" s="248">
        <v>3489.45</v>
      </c>
      <c r="H107" s="28">
        <f t="shared" ref="H107:H108" si="24">TRUNC(ROUND(G107*1.1557,2),2)</f>
        <v>4032.76</v>
      </c>
      <c r="I107" s="10">
        <f>TRUNC(ROUND(F107*H107,2),2)</f>
        <v>16131.04</v>
      </c>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row>
    <row r="108" spans="1:76" s="91" customFormat="1" ht="38.25" x14ac:dyDescent="0.2">
      <c r="A108" s="32" t="s">
        <v>626</v>
      </c>
      <c r="B108" s="324" t="s">
        <v>240</v>
      </c>
      <c r="C108" s="87" t="s">
        <v>24</v>
      </c>
      <c r="D108" s="156" t="s">
        <v>636</v>
      </c>
      <c r="E108" s="9" t="s">
        <v>124</v>
      </c>
      <c r="F108" s="160">
        <f>MC!J647</f>
        <v>1</v>
      </c>
      <c r="G108" s="248">
        <v>4322.41</v>
      </c>
      <c r="H108" s="28">
        <f t="shared" si="24"/>
        <v>4995.41</v>
      </c>
      <c r="I108" s="10">
        <f>TRUNC(ROUND(F108*H108,2),2)</f>
        <v>4995.41</v>
      </c>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row>
    <row r="109" spans="1:76" x14ac:dyDescent="0.2">
      <c r="A109" s="11"/>
      <c r="B109" s="11"/>
      <c r="C109" s="5"/>
      <c r="D109" s="35" t="s">
        <v>241</v>
      </c>
      <c r="E109" s="5"/>
      <c r="F109" s="5"/>
      <c r="G109" s="69"/>
      <c r="H109" s="69"/>
      <c r="I109" s="81">
        <f>SUM(I105:I108)</f>
        <v>31951.65</v>
      </c>
    </row>
    <row r="110" spans="1:76" ht="14.25" customHeight="1" x14ac:dyDescent="0.2">
      <c r="A110" s="11">
        <v>14</v>
      </c>
      <c r="B110" s="11">
        <v>19</v>
      </c>
      <c r="C110" s="5"/>
      <c r="D110" s="7" t="s">
        <v>242</v>
      </c>
      <c r="E110" s="5"/>
      <c r="F110" s="5"/>
      <c r="G110" s="69"/>
      <c r="H110" s="69"/>
      <c r="I110" s="5"/>
    </row>
    <row r="111" spans="1:76" x14ac:dyDescent="0.2">
      <c r="A111" s="20" t="s">
        <v>243</v>
      </c>
      <c r="B111" s="19">
        <v>1901</v>
      </c>
      <c r="C111" s="9" t="s">
        <v>24</v>
      </c>
      <c r="D111" s="16" t="s">
        <v>244</v>
      </c>
      <c r="E111" s="17"/>
      <c r="F111" s="17"/>
      <c r="G111" s="68"/>
      <c r="H111" s="28"/>
      <c r="I111" s="10"/>
    </row>
    <row r="112" spans="1:76" ht="25.5" x14ac:dyDescent="0.2">
      <c r="A112" s="17" t="s">
        <v>245</v>
      </c>
      <c r="B112" s="327">
        <v>190103</v>
      </c>
      <c r="C112" s="9" t="s">
        <v>24</v>
      </c>
      <c r="D112" s="18" t="s">
        <v>246</v>
      </c>
      <c r="E112" s="17" t="s">
        <v>29</v>
      </c>
      <c r="F112" s="73">
        <f>MC!J673</f>
        <v>654.13200000000006</v>
      </c>
      <c r="G112" s="68">
        <v>16.47</v>
      </c>
      <c r="H112" s="28">
        <f t="shared" ref="H112:H117" si="25">TRUNC(ROUND(G112*1.3196,2),2)</f>
        <v>21.73</v>
      </c>
      <c r="I112" s="10">
        <f t="shared" ref="I112:I117" si="26">TRUNC(ROUND(F112*H112,2),2)</f>
        <v>14214.29</v>
      </c>
    </row>
    <row r="113" spans="1:76" ht="25.5" x14ac:dyDescent="0.2">
      <c r="A113" s="17" t="s">
        <v>247</v>
      </c>
      <c r="B113" s="327">
        <v>190106</v>
      </c>
      <c r="C113" s="9" t="s">
        <v>24</v>
      </c>
      <c r="D113" s="18" t="s">
        <v>248</v>
      </c>
      <c r="E113" s="17" t="s">
        <v>29</v>
      </c>
      <c r="F113" s="73">
        <f>MC!J697</f>
        <v>654.13200000000006</v>
      </c>
      <c r="G113" s="68">
        <v>23.73</v>
      </c>
      <c r="H113" s="28">
        <f t="shared" si="25"/>
        <v>31.31</v>
      </c>
      <c r="I113" s="10">
        <f t="shared" si="26"/>
        <v>20480.87</v>
      </c>
    </row>
    <row r="114" spans="1:76" x14ac:dyDescent="0.2">
      <c r="A114" s="20" t="s">
        <v>249</v>
      </c>
      <c r="B114" s="19">
        <v>1903</v>
      </c>
      <c r="C114" s="9" t="s">
        <v>24</v>
      </c>
      <c r="D114" s="16" t="s">
        <v>250</v>
      </c>
      <c r="E114" s="17"/>
      <c r="F114" s="17"/>
      <c r="G114" s="68"/>
      <c r="H114" s="28"/>
      <c r="I114" s="10"/>
    </row>
    <row r="115" spans="1:76" ht="25.5" x14ac:dyDescent="0.2">
      <c r="A115" s="17" t="s">
        <v>251</v>
      </c>
      <c r="B115" s="327">
        <v>190306</v>
      </c>
      <c r="C115" s="9" t="s">
        <v>24</v>
      </c>
      <c r="D115" s="18" t="s">
        <v>252</v>
      </c>
      <c r="E115" s="17" t="s">
        <v>29</v>
      </c>
      <c r="F115" s="73">
        <f>MC!J712</f>
        <v>34.020000000000003</v>
      </c>
      <c r="G115" s="68">
        <v>23.26</v>
      </c>
      <c r="H115" s="28">
        <f t="shared" si="25"/>
        <v>30.69</v>
      </c>
      <c r="I115" s="10">
        <f t="shared" si="26"/>
        <v>1044.07</v>
      </c>
    </row>
    <row r="116" spans="1:76" x14ac:dyDescent="0.2">
      <c r="A116" s="20" t="s">
        <v>253</v>
      </c>
      <c r="B116" s="19">
        <v>1904</v>
      </c>
      <c r="C116" s="9" t="s">
        <v>24</v>
      </c>
      <c r="D116" s="16" t="s">
        <v>254</v>
      </c>
      <c r="E116" s="17"/>
      <c r="F116" s="17"/>
      <c r="G116" s="68"/>
      <c r="H116" s="28"/>
      <c r="I116" s="10"/>
    </row>
    <row r="117" spans="1:76" s="91" customFormat="1" ht="25.5" x14ac:dyDescent="0.2">
      <c r="A117" s="86" t="s">
        <v>255</v>
      </c>
      <c r="B117" s="327">
        <v>190417</v>
      </c>
      <c r="C117" s="87" t="s">
        <v>24</v>
      </c>
      <c r="D117" s="88" t="s">
        <v>256</v>
      </c>
      <c r="E117" s="86" t="s">
        <v>29</v>
      </c>
      <c r="F117" s="141">
        <f>MC!J738</f>
        <v>117.47499999999998</v>
      </c>
      <c r="G117" s="89">
        <v>21.7</v>
      </c>
      <c r="H117" s="28">
        <f t="shared" si="25"/>
        <v>28.64</v>
      </c>
      <c r="I117" s="90">
        <f t="shared" si="26"/>
        <v>3364.48</v>
      </c>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row>
    <row r="118" spans="1:76" x14ac:dyDescent="0.2">
      <c r="A118" s="11"/>
      <c r="B118" s="11"/>
      <c r="C118" s="5"/>
      <c r="D118" s="35" t="s">
        <v>257</v>
      </c>
      <c r="E118" s="5"/>
      <c r="F118" s="5"/>
      <c r="G118" s="69"/>
      <c r="H118" s="69"/>
      <c r="I118" s="81">
        <f>SUM(I111:I117)</f>
        <v>39103.710000000006</v>
      </c>
    </row>
    <row r="119" spans="1:76" ht="14.25" customHeight="1" x14ac:dyDescent="0.2">
      <c r="A119" s="11">
        <v>15</v>
      </c>
      <c r="B119" s="11">
        <v>20</v>
      </c>
      <c r="C119" s="5"/>
      <c r="D119" s="7" t="s">
        <v>258</v>
      </c>
      <c r="E119" s="5"/>
      <c r="F119" s="5"/>
      <c r="G119" s="69"/>
      <c r="H119" s="69"/>
      <c r="I119" s="5"/>
    </row>
    <row r="120" spans="1:76" x14ac:dyDescent="0.2">
      <c r="A120" s="20" t="s">
        <v>259</v>
      </c>
      <c r="B120" s="19">
        <v>2004</v>
      </c>
      <c r="C120" s="9" t="s">
        <v>24</v>
      </c>
      <c r="D120" s="16" t="s">
        <v>260</v>
      </c>
      <c r="E120" s="17"/>
      <c r="F120" s="17"/>
      <c r="G120" s="68"/>
      <c r="H120" s="28"/>
      <c r="I120" s="10"/>
    </row>
    <row r="121" spans="1:76" s="91" customFormat="1" x14ac:dyDescent="0.2">
      <c r="A121" s="32" t="s">
        <v>261</v>
      </c>
      <c r="B121" s="324" t="s">
        <v>262</v>
      </c>
      <c r="C121" s="87" t="s">
        <v>24</v>
      </c>
      <c r="D121" s="156" t="s">
        <v>263</v>
      </c>
      <c r="E121" s="9" t="s">
        <v>29</v>
      </c>
      <c r="F121" s="160">
        <f>MC!J753</f>
        <v>298.42400000000004</v>
      </c>
      <c r="G121" s="248">
        <v>9.93</v>
      </c>
      <c r="H121" s="28">
        <f t="shared" ref="H121" si="27">TRUNC(ROUND(G121*1.3196,2),2)</f>
        <v>13.1</v>
      </c>
      <c r="I121" s="10">
        <f t="shared" ref="I121" si="28">TRUNC(ROUND(F121*H121,2),2)</f>
        <v>3909.35</v>
      </c>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row>
    <row r="122" spans="1:76" x14ac:dyDescent="0.2">
      <c r="A122" s="11"/>
      <c r="B122" s="11"/>
      <c r="C122" s="5"/>
      <c r="D122" s="35" t="s">
        <v>264</v>
      </c>
      <c r="E122" s="5"/>
      <c r="F122" s="5"/>
      <c r="G122" s="69"/>
      <c r="H122" s="69"/>
      <c r="I122" s="81">
        <f>SUM(I120:I121)</f>
        <v>3909.35</v>
      </c>
    </row>
    <row r="123" spans="1:76" x14ac:dyDescent="0.2">
      <c r="A123" s="11"/>
      <c r="B123" s="11"/>
      <c r="C123" s="5"/>
      <c r="D123" s="35" t="s">
        <v>19</v>
      </c>
      <c r="E123" s="5"/>
      <c r="F123" s="5"/>
      <c r="G123" s="5"/>
      <c r="H123" s="5"/>
      <c r="I123" s="69">
        <f>SUM(I9:I122)/2</f>
        <v>541799.64000000013</v>
      </c>
    </row>
    <row r="128" spans="1:76" x14ac:dyDescent="0.2">
      <c r="K128" s="161"/>
    </row>
    <row r="129" spans="9:9" x14ac:dyDescent="0.2">
      <c r="I129" s="173"/>
    </row>
    <row r="130" spans="9:9" x14ac:dyDescent="0.2">
      <c r="I130" s="173"/>
    </row>
  </sheetData>
  <mergeCells count="15">
    <mergeCell ref="G3:I3"/>
    <mergeCell ref="B1:I1"/>
    <mergeCell ref="A7:A8"/>
    <mergeCell ref="G7:I7"/>
    <mergeCell ref="F7:F8"/>
    <mergeCell ref="E7:E8"/>
    <mergeCell ref="D7:D8"/>
    <mergeCell ref="C7:C8"/>
    <mergeCell ref="B7:B8"/>
    <mergeCell ref="B2:D2"/>
    <mergeCell ref="B3:D3"/>
    <mergeCell ref="B4:D4"/>
    <mergeCell ref="B5:D5"/>
    <mergeCell ref="B6:C6"/>
    <mergeCell ref="E6:F6"/>
  </mergeCells>
  <pageMargins left="0.51181102362204722" right="0.51181102362204722" top="0.78740157480314965" bottom="0.78740157480314965" header="0.31496062992125984" footer="0.31496062992125984"/>
  <pageSetup paperSize="9" scale="4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112" zoomScaleNormal="100" zoomScaleSheetLayoutView="112" workbookViewId="0">
      <selection activeCell="H19" sqref="H19"/>
    </sheetView>
  </sheetViews>
  <sheetFormatPr defaultRowHeight="15" x14ac:dyDescent="0.25"/>
  <cols>
    <col min="1" max="1" width="8" style="124" bestFit="1" customWidth="1"/>
    <col min="2" max="2" width="10" style="124" bestFit="1" customWidth="1"/>
    <col min="3" max="3" width="9.140625" style="125"/>
    <col min="4" max="4" width="20.5703125" style="125" customWidth="1"/>
    <col min="5" max="5" width="20.140625" style="125" customWidth="1"/>
    <col min="6" max="6" width="5" style="125" bestFit="1" customWidth="1"/>
    <col min="7" max="7" width="9.5703125" style="125" bestFit="1" customWidth="1"/>
    <col min="8" max="8" width="8.42578125" style="125" bestFit="1" customWidth="1"/>
    <col min="9" max="9" width="11" style="125" bestFit="1" customWidth="1"/>
  </cols>
  <sheetData>
    <row r="1" spans="1:9" x14ac:dyDescent="0.25">
      <c r="A1" s="450" t="s">
        <v>443</v>
      </c>
      <c r="B1" s="450"/>
      <c r="C1" s="450"/>
      <c r="D1" s="450"/>
      <c r="E1" s="450"/>
      <c r="F1" s="450"/>
      <c r="G1" s="450"/>
      <c r="H1" s="450"/>
      <c r="I1" s="451" t="s">
        <v>444</v>
      </c>
    </row>
    <row r="2" spans="1:9" x14ac:dyDescent="0.25">
      <c r="A2" s="450"/>
      <c r="B2" s="450"/>
      <c r="C2" s="450"/>
      <c r="D2" s="450"/>
      <c r="E2" s="450"/>
      <c r="F2" s="450"/>
      <c r="G2" s="450"/>
      <c r="H2" s="450"/>
      <c r="I2" s="451"/>
    </row>
    <row r="3" spans="1:9" x14ac:dyDescent="0.25">
      <c r="A3" s="450"/>
      <c r="B3" s="450"/>
      <c r="C3" s="450"/>
      <c r="D3" s="450"/>
      <c r="E3" s="450"/>
      <c r="F3" s="450"/>
      <c r="G3" s="450"/>
      <c r="H3" s="450"/>
      <c r="I3" s="92">
        <v>44652</v>
      </c>
    </row>
    <row r="4" spans="1:9" x14ac:dyDescent="0.25">
      <c r="A4" s="450"/>
      <c r="B4" s="450"/>
      <c r="C4" s="450"/>
      <c r="D4" s="450"/>
      <c r="E4" s="450"/>
      <c r="F4" s="450"/>
      <c r="G4" s="450"/>
      <c r="H4" s="450"/>
      <c r="I4" s="166" t="s">
        <v>212</v>
      </c>
    </row>
    <row r="5" spans="1:9" x14ac:dyDescent="0.25">
      <c r="A5" s="452" t="s">
        <v>502</v>
      </c>
      <c r="B5" s="452"/>
      <c r="C5" s="452"/>
      <c r="D5" s="452"/>
      <c r="E5" s="452"/>
      <c r="F5" s="452"/>
      <c r="G5" s="452"/>
      <c r="H5" s="452"/>
      <c r="I5" s="453" t="s">
        <v>503</v>
      </c>
    </row>
    <row r="6" spans="1:9" ht="31.5" customHeight="1" x14ac:dyDescent="0.25">
      <c r="A6" s="452"/>
      <c r="B6" s="452"/>
      <c r="C6" s="452"/>
      <c r="D6" s="452"/>
      <c r="E6" s="452"/>
      <c r="F6" s="452"/>
      <c r="G6" s="452"/>
      <c r="H6" s="452"/>
      <c r="I6" s="453"/>
    </row>
    <row r="7" spans="1:9" x14ac:dyDescent="0.25">
      <c r="A7" s="454" t="s">
        <v>504</v>
      </c>
      <c r="B7" s="454"/>
      <c r="C7" s="454"/>
      <c r="D7" s="454"/>
      <c r="E7" s="454"/>
      <c r="F7" s="454"/>
      <c r="G7" s="454"/>
      <c r="H7" s="454"/>
      <c r="I7" s="454"/>
    </row>
    <row r="8" spans="1:9" x14ac:dyDescent="0.25">
      <c r="A8" s="449" t="s">
        <v>448</v>
      </c>
      <c r="B8" s="449"/>
      <c r="C8" s="449"/>
      <c r="D8" s="449"/>
      <c r="E8" s="449"/>
      <c r="F8" s="449"/>
      <c r="G8" s="449"/>
      <c r="H8" s="449"/>
      <c r="I8" s="449"/>
    </row>
    <row r="9" spans="1:9" x14ac:dyDescent="0.25">
      <c r="A9" s="93" t="s">
        <v>449</v>
      </c>
      <c r="B9" s="165" t="s">
        <v>12</v>
      </c>
      <c r="C9" s="458" t="s">
        <v>450</v>
      </c>
      <c r="D9" s="458"/>
      <c r="E9" s="458"/>
      <c r="F9" s="165" t="s">
        <v>451</v>
      </c>
      <c r="G9" s="94" t="s">
        <v>452</v>
      </c>
      <c r="H9" s="95" t="s">
        <v>453</v>
      </c>
      <c r="I9" s="96" t="s">
        <v>454</v>
      </c>
    </row>
    <row r="10" spans="1:9" x14ac:dyDescent="0.25">
      <c r="A10" s="131" t="s">
        <v>474</v>
      </c>
      <c r="B10" s="126" t="s">
        <v>24</v>
      </c>
      <c r="C10" s="470" t="s">
        <v>475</v>
      </c>
      <c r="D10" s="471"/>
      <c r="E10" s="101" t="s">
        <v>457</v>
      </c>
      <c r="F10" s="165" t="s">
        <v>458</v>
      </c>
      <c r="G10" s="94">
        <v>0.15</v>
      </c>
      <c r="H10" s="142">
        <v>19.12</v>
      </c>
      <c r="I10" s="132">
        <f>G10*H10</f>
        <v>2.8679999999999999</v>
      </c>
    </row>
    <row r="11" spans="1:9" x14ac:dyDescent="0.25">
      <c r="A11" s="131" t="s">
        <v>476</v>
      </c>
      <c r="B11" s="126" t="s">
        <v>24</v>
      </c>
      <c r="C11" s="470" t="s">
        <v>477</v>
      </c>
      <c r="D11" s="472"/>
      <c r="E11" s="101" t="s">
        <v>457</v>
      </c>
      <c r="F11" s="165" t="s">
        <v>458</v>
      </c>
      <c r="G11" s="94">
        <v>0.15</v>
      </c>
      <c r="H11" s="142">
        <v>16.13</v>
      </c>
      <c r="I11" s="132">
        <f>G11*H11</f>
        <v>2.4194999999999998</v>
      </c>
    </row>
    <row r="12" spans="1:9" x14ac:dyDescent="0.25">
      <c r="A12" s="462" t="s">
        <v>461</v>
      </c>
      <c r="B12" s="462"/>
      <c r="C12" s="462"/>
      <c r="D12" s="462"/>
      <c r="E12" s="462"/>
      <c r="F12" s="462"/>
      <c r="G12" s="462"/>
      <c r="H12" s="462"/>
      <c r="I12" s="104">
        <f>SUM(I10:I11)</f>
        <v>5.2874999999999996</v>
      </c>
    </row>
    <row r="13" spans="1:9" x14ac:dyDescent="0.25">
      <c r="A13" s="162"/>
      <c r="B13" s="162"/>
      <c r="C13" s="162"/>
      <c r="D13" s="162"/>
      <c r="E13" s="162"/>
      <c r="F13" s="162"/>
      <c r="G13" s="162"/>
      <c r="H13" s="162"/>
      <c r="I13" s="104"/>
    </row>
    <row r="14" spans="1:9" x14ac:dyDescent="0.25">
      <c r="A14" s="449" t="s">
        <v>462</v>
      </c>
      <c r="B14" s="449"/>
      <c r="C14" s="449"/>
      <c r="D14" s="449"/>
      <c r="E14" s="449"/>
      <c r="F14" s="449"/>
      <c r="G14" s="449"/>
      <c r="H14" s="449"/>
      <c r="I14" s="449"/>
    </row>
    <row r="15" spans="1:9" x14ac:dyDescent="0.25">
      <c r="A15" s="93" t="s">
        <v>449</v>
      </c>
      <c r="B15" s="165" t="s">
        <v>12</v>
      </c>
      <c r="C15" s="458" t="s">
        <v>450</v>
      </c>
      <c r="D15" s="458"/>
      <c r="E15" s="458"/>
      <c r="F15" s="165" t="s">
        <v>451</v>
      </c>
      <c r="G15" s="94" t="s">
        <v>452</v>
      </c>
      <c r="H15" s="95" t="s">
        <v>453</v>
      </c>
      <c r="I15" s="96" t="s">
        <v>454</v>
      </c>
    </row>
    <row r="16" spans="1:9" x14ac:dyDescent="0.25">
      <c r="A16" s="111" t="s">
        <v>505</v>
      </c>
      <c r="B16" s="126" t="s">
        <v>24</v>
      </c>
      <c r="C16" s="474" t="s">
        <v>506</v>
      </c>
      <c r="D16" s="474"/>
      <c r="E16" s="474"/>
      <c r="F16" s="111" t="s">
        <v>507</v>
      </c>
      <c r="G16" s="98">
        <v>4</v>
      </c>
      <c r="H16" s="112">
        <v>0.38</v>
      </c>
      <c r="I16" s="134">
        <f t="shared" ref="I16:I18" si="0">H16*G16</f>
        <v>1.52</v>
      </c>
    </row>
    <row r="17" spans="1:9" ht="30" customHeight="1" x14ac:dyDescent="0.25">
      <c r="A17" s="111" t="s">
        <v>508</v>
      </c>
      <c r="B17" s="126" t="s">
        <v>24</v>
      </c>
      <c r="C17" s="474" t="s">
        <v>509</v>
      </c>
      <c r="D17" s="474"/>
      <c r="E17" s="474"/>
      <c r="F17" s="111" t="s">
        <v>510</v>
      </c>
      <c r="G17" s="127">
        <v>1.1000000000000001</v>
      </c>
      <c r="H17" s="112">
        <v>12.93</v>
      </c>
      <c r="I17" s="134">
        <f t="shared" si="0"/>
        <v>14.223000000000001</v>
      </c>
    </row>
    <row r="18" spans="1:9" x14ac:dyDescent="0.25">
      <c r="A18" s="111" t="s">
        <v>511</v>
      </c>
      <c r="B18" s="126" t="s">
        <v>24</v>
      </c>
      <c r="C18" s="474" t="s">
        <v>512</v>
      </c>
      <c r="D18" s="474"/>
      <c r="E18" s="474"/>
      <c r="F18" s="111" t="s">
        <v>507</v>
      </c>
      <c r="G18" s="127">
        <v>2</v>
      </c>
      <c r="H18" s="112">
        <v>1.23</v>
      </c>
      <c r="I18" s="134">
        <f t="shared" si="0"/>
        <v>2.46</v>
      </c>
    </row>
    <row r="19" spans="1:9" x14ac:dyDescent="0.25">
      <c r="A19" s="111"/>
      <c r="B19" s="97"/>
      <c r="C19" s="474"/>
      <c r="D19" s="474"/>
      <c r="E19" s="474"/>
      <c r="F19" s="111"/>
      <c r="G19" s="98"/>
      <c r="H19" s="112"/>
      <c r="I19" s="134"/>
    </row>
    <row r="20" spans="1:9" x14ac:dyDescent="0.25">
      <c r="A20" s="462" t="s">
        <v>463</v>
      </c>
      <c r="B20" s="462"/>
      <c r="C20" s="462"/>
      <c r="D20" s="462"/>
      <c r="E20" s="462"/>
      <c r="F20" s="462"/>
      <c r="G20" s="462"/>
      <c r="H20" s="462"/>
      <c r="I20" s="122">
        <f>SUM(I16:I19)</f>
        <v>18.202999999999999</v>
      </c>
    </row>
    <row r="21" spans="1:9" x14ac:dyDescent="0.25">
      <c r="A21" s="162"/>
      <c r="B21" s="162"/>
      <c r="C21" s="162"/>
      <c r="D21" s="162"/>
      <c r="E21" s="162"/>
      <c r="F21" s="162"/>
      <c r="G21" s="162"/>
      <c r="H21" s="162"/>
      <c r="I21" s="104"/>
    </row>
    <row r="22" spans="1:9" x14ac:dyDescent="0.25">
      <c r="A22" s="464" t="s">
        <v>464</v>
      </c>
      <c r="B22" s="464"/>
      <c r="C22" s="464"/>
      <c r="D22" s="464"/>
      <c r="E22" s="464"/>
      <c r="F22" s="464"/>
      <c r="G22" s="464"/>
      <c r="H22" s="464"/>
      <c r="I22" s="464"/>
    </row>
    <row r="23" spans="1:9" x14ac:dyDescent="0.25">
      <c r="A23" s="100"/>
      <c r="B23" s="163"/>
      <c r="C23" s="465" t="s">
        <v>450</v>
      </c>
      <c r="D23" s="465"/>
      <c r="E23" s="465"/>
      <c r="F23" s="163" t="s">
        <v>451</v>
      </c>
      <c r="G23" s="105" t="s">
        <v>452</v>
      </c>
      <c r="H23" s="102" t="s">
        <v>453</v>
      </c>
      <c r="I23" s="103" t="s">
        <v>454</v>
      </c>
    </row>
    <row r="24" spans="1:9" x14ac:dyDescent="0.25">
      <c r="A24" s="106"/>
      <c r="B24" s="106"/>
      <c r="C24" s="455"/>
      <c r="D24" s="456"/>
      <c r="E24" s="457"/>
      <c r="F24" s="107"/>
      <c r="G24" s="107"/>
      <c r="H24" s="108"/>
      <c r="I24" s="109">
        <v>0</v>
      </c>
    </row>
    <row r="25" spans="1:9" x14ac:dyDescent="0.25">
      <c r="A25" s="462" t="s">
        <v>465</v>
      </c>
      <c r="B25" s="462"/>
      <c r="C25" s="462"/>
      <c r="D25" s="462"/>
      <c r="E25" s="462"/>
      <c r="F25" s="462"/>
      <c r="G25" s="462"/>
      <c r="H25" s="462"/>
      <c r="I25" s="110"/>
    </row>
    <row r="26" spans="1:9" x14ac:dyDescent="0.25">
      <c r="A26" s="467"/>
      <c r="B26" s="468"/>
      <c r="C26" s="468"/>
      <c r="D26" s="468"/>
      <c r="E26" s="468"/>
      <c r="F26" s="468"/>
      <c r="G26" s="468"/>
      <c r="H26" s="468"/>
      <c r="I26" s="469"/>
    </row>
    <row r="27" spans="1:9" x14ac:dyDescent="0.25">
      <c r="A27" s="449" t="s">
        <v>466</v>
      </c>
      <c r="B27" s="449"/>
      <c r="C27" s="449"/>
      <c r="D27" s="449"/>
      <c r="E27" s="449"/>
      <c r="F27" s="449"/>
      <c r="G27" s="449"/>
      <c r="H27" s="449"/>
      <c r="I27" s="449"/>
    </row>
    <row r="28" spans="1:9" x14ac:dyDescent="0.25">
      <c r="A28" s="466" t="s">
        <v>467</v>
      </c>
      <c r="B28" s="466"/>
      <c r="C28" s="466"/>
      <c r="D28" s="466"/>
      <c r="E28" s="466"/>
      <c r="F28" s="466"/>
      <c r="G28" s="466"/>
      <c r="H28" s="466"/>
      <c r="I28" s="123">
        <f>I12</f>
        <v>5.2874999999999996</v>
      </c>
    </row>
    <row r="29" spans="1:9" x14ac:dyDescent="0.25">
      <c r="A29" s="466" t="s">
        <v>468</v>
      </c>
      <c r="B29" s="466"/>
      <c r="C29" s="466"/>
      <c r="D29" s="466"/>
      <c r="E29" s="466"/>
      <c r="F29" s="466"/>
      <c r="G29" s="466"/>
      <c r="H29" s="466"/>
      <c r="I29" s="123">
        <f>I20</f>
        <v>18.202999999999999</v>
      </c>
    </row>
    <row r="30" spans="1:9" x14ac:dyDescent="0.25">
      <c r="A30" s="466" t="s">
        <v>469</v>
      </c>
      <c r="B30" s="466"/>
      <c r="C30" s="466"/>
      <c r="D30" s="466"/>
      <c r="E30" s="466"/>
      <c r="F30" s="466"/>
      <c r="G30" s="466"/>
      <c r="H30" s="466"/>
      <c r="I30" s="123">
        <f>I25</f>
        <v>0</v>
      </c>
    </row>
    <row r="31" spans="1:9" x14ac:dyDescent="0.25">
      <c r="A31" s="466" t="s">
        <v>470</v>
      </c>
      <c r="B31" s="466"/>
      <c r="C31" s="466"/>
      <c r="D31" s="466"/>
      <c r="E31" s="466"/>
      <c r="F31" s="466"/>
      <c r="G31" s="466"/>
      <c r="H31" s="466"/>
      <c r="I31" s="130">
        <f>SUM(I28:I30)</f>
        <v>23.490499999999997</v>
      </c>
    </row>
  </sheetData>
  <mergeCells count="27">
    <mergeCell ref="A30:H30"/>
    <mergeCell ref="A31:H31"/>
    <mergeCell ref="C23:E23"/>
    <mergeCell ref="C24:E24"/>
    <mergeCell ref="A25:H25"/>
    <mergeCell ref="A26:I26"/>
    <mergeCell ref="A27:I27"/>
    <mergeCell ref="A22:I22"/>
    <mergeCell ref="C19:E19"/>
    <mergeCell ref="A20:H20"/>
    <mergeCell ref="A28:H28"/>
    <mergeCell ref="A29:H29"/>
    <mergeCell ref="C18:E18"/>
    <mergeCell ref="C9:E9"/>
    <mergeCell ref="C10:D10"/>
    <mergeCell ref="C11:D11"/>
    <mergeCell ref="A12:H12"/>
    <mergeCell ref="A14:I14"/>
    <mergeCell ref="C15:E15"/>
    <mergeCell ref="C16:E16"/>
    <mergeCell ref="C17:E17"/>
    <mergeCell ref="A8:I8"/>
    <mergeCell ref="A1:H4"/>
    <mergeCell ref="I1:I2"/>
    <mergeCell ref="A5:H6"/>
    <mergeCell ref="I5:I6"/>
    <mergeCell ref="A7:I7"/>
  </mergeCells>
  <pageMargins left="0.511811024" right="0.511811024" top="0.78740157499999996" bottom="0.78740157499999996" header="0.31496062000000002" footer="0.31496062000000002"/>
  <pageSetup paperSize="9"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topLeftCell="A7" zoomScale="112" zoomScaleNormal="100" zoomScaleSheetLayoutView="112" workbookViewId="0">
      <selection activeCell="H18" sqref="H18"/>
    </sheetView>
  </sheetViews>
  <sheetFormatPr defaultRowHeight="15" x14ac:dyDescent="0.25"/>
  <cols>
    <col min="1" max="1" width="8" style="124" bestFit="1" customWidth="1"/>
    <col min="2" max="2" width="10" style="124" bestFit="1" customWidth="1"/>
    <col min="3" max="3" width="9.140625" style="125"/>
    <col min="4" max="4" width="20.5703125" style="125" customWidth="1"/>
    <col min="5" max="5" width="20.140625" style="125" customWidth="1"/>
    <col min="6" max="6" width="5" style="125" bestFit="1" customWidth="1"/>
    <col min="7" max="7" width="9.5703125" style="125" bestFit="1" customWidth="1"/>
    <col min="8" max="8" width="8.42578125" style="125" bestFit="1" customWidth="1"/>
    <col min="9" max="9" width="11" style="125" bestFit="1" customWidth="1"/>
  </cols>
  <sheetData>
    <row r="1" spans="1:9" x14ac:dyDescent="0.25">
      <c r="A1" s="450" t="s">
        <v>443</v>
      </c>
      <c r="B1" s="450"/>
      <c r="C1" s="450"/>
      <c r="D1" s="450"/>
      <c r="E1" s="450"/>
      <c r="F1" s="450"/>
      <c r="G1" s="450"/>
      <c r="H1" s="450"/>
      <c r="I1" s="451" t="s">
        <v>444</v>
      </c>
    </row>
    <row r="2" spans="1:9" x14ac:dyDescent="0.25">
      <c r="A2" s="450"/>
      <c r="B2" s="450"/>
      <c r="C2" s="450"/>
      <c r="D2" s="450"/>
      <c r="E2" s="450"/>
      <c r="F2" s="450"/>
      <c r="G2" s="450"/>
      <c r="H2" s="450"/>
      <c r="I2" s="451"/>
    </row>
    <row r="3" spans="1:9" x14ac:dyDescent="0.25">
      <c r="A3" s="450"/>
      <c r="B3" s="450"/>
      <c r="C3" s="450"/>
      <c r="D3" s="450"/>
      <c r="E3" s="450"/>
      <c r="F3" s="450"/>
      <c r="G3" s="450"/>
      <c r="H3" s="450"/>
      <c r="I3" s="92">
        <v>44652</v>
      </c>
    </row>
    <row r="4" spans="1:9" x14ac:dyDescent="0.25">
      <c r="A4" s="450"/>
      <c r="B4" s="450"/>
      <c r="C4" s="450"/>
      <c r="D4" s="450"/>
      <c r="E4" s="450"/>
      <c r="F4" s="450"/>
      <c r="G4" s="450"/>
      <c r="H4" s="450"/>
      <c r="I4" s="166" t="s">
        <v>215</v>
      </c>
    </row>
    <row r="5" spans="1:9" x14ac:dyDescent="0.25">
      <c r="A5" s="452" t="s">
        <v>513</v>
      </c>
      <c r="B5" s="452"/>
      <c r="C5" s="452"/>
      <c r="D5" s="452"/>
      <c r="E5" s="452"/>
      <c r="F5" s="452"/>
      <c r="G5" s="452"/>
      <c r="H5" s="452"/>
      <c r="I5" s="453" t="s">
        <v>503</v>
      </c>
    </row>
    <row r="6" spans="1:9" ht="31.5" customHeight="1" x14ac:dyDescent="0.25">
      <c r="A6" s="452"/>
      <c r="B6" s="452"/>
      <c r="C6" s="452"/>
      <c r="D6" s="452"/>
      <c r="E6" s="452"/>
      <c r="F6" s="452"/>
      <c r="G6" s="452"/>
      <c r="H6" s="452"/>
      <c r="I6" s="453"/>
    </row>
    <row r="7" spans="1:9" x14ac:dyDescent="0.25">
      <c r="A7" s="454" t="s">
        <v>504</v>
      </c>
      <c r="B7" s="454"/>
      <c r="C7" s="454"/>
      <c r="D7" s="454"/>
      <c r="E7" s="454"/>
      <c r="F7" s="454"/>
      <c r="G7" s="454"/>
      <c r="H7" s="454"/>
      <c r="I7" s="454"/>
    </row>
    <row r="8" spans="1:9" x14ac:dyDescent="0.25">
      <c r="A8" s="449" t="s">
        <v>448</v>
      </c>
      <c r="B8" s="449"/>
      <c r="C8" s="449"/>
      <c r="D8" s="449"/>
      <c r="E8" s="449"/>
      <c r="F8" s="449"/>
      <c r="G8" s="449"/>
      <c r="H8" s="449"/>
      <c r="I8" s="449"/>
    </row>
    <row r="9" spans="1:9" x14ac:dyDescent="0.25">
      <c r="A9" s="93" t="s">
        <v>449</v>
      </c>
      <c r="B9" s="165" t="s">
        <v>12</v>
      </c>
      <c r="C9" s="458" t="s">
        <v>450</v>
      </c>
      <c r="D9" s="458"/>
      <c r="E9" s="458"/>
      <c r="F9" s="165" t="s">
        <v>451</v>
      </c>
      <c r="G9" s="94" t="s">
        <v>452</v>
      </c>
      <c r="H9" s="95" t="s">
        <v>453</v>
      </c>
      <c r="I9" s="96" t="s">
        <v>454</v>
      </c>
    </row>
    <row r="10" spans="1:9" x14ac:dyDescent="0.25">
      <c r="A10" s="131" t="s">
        <v>474</v>
      </c>
      <c r="B10" s="126" t="s">
        <v>24</v>
      </c>
      <c r="C10" s="470" t="s">
        <v>475</v>
      </c>
      <c r="D10" s="471"/>
      <c r="E10" s="101" t="s">
        <v>457</v>
      </c>
      <c r="F10" s="165" t="s">
        <v>458</v>
      </c>
      <c r="G10" s="94">
        <v>0.15</v>
      </c>
      <c r="H10" s="142">
        <v>19.12</v>
      </c>
      <c r="I10" s="132">
        <f>G10*H10</f>
        <v>2.8679999999999999</v>
      </c>
    </row>
    <row r="11" spans="1:9" x14ac:dyDescent="0.25">
      <c r="A11" s="131" t="s">
        <v>476</v>
      </c>
      <c r="B11" s="126" t="s">
        <v>24</v>
      </c>
      <c r="C11" s="470" t="s">
        <v>477</v>
      </c>
      <c r="D11" s="472"/>
      <c r="E11" s="101" t="s">
        <v>457</v>
      </c>
      <c r="F11" s="165" t="s">
        <v>458</v>
      </c>
      <c r="G11" s="94">
        <v>0.15</v>
      </c>
      <c r="H11" s="142">
        <v>16.13</v>
      </c>
      <c r="I11" s="132">
        <f>G11*H11</f>
        <v>2.4194999999999998</v>
      </c>
    </row>
    <row r="12" spans="1:9" x14ac:dyDescent="0.25">
      <c r="A12" s="462" t="s">
        <v>461</v>
      </c>
      <c r="B12" s="462"/>
      <c r="C12" s="462"/>
      <c r="D12" s="462"/>
      <c r="E12" s="462"/>
      <c r="F12" s="462"/>
      <c r="G12" s="462"/>
      <c r="H12" s="462"/>
      <c r="I12" s="104">
        <f>SUM(I10:I11)</f>
        <v>5.2874999999999996</v>
      </c>
    </row>
    <row r="13" spans="1:9" x14ac:dyDescent="0.25">
      <c r="A13" s="162"/>
      <c r="B13" s="162"/>
      <c r="C13" s="162"/>
      <c r="D13" s="162"/>
      <c r="E13" s="162"/>
      <c r="F13" s="162"/>
      <c r="G13" s="162"/>
      <c r="H13" s="162"/>
      <c r="I13" s="104"/>
    </row>
    <row r="14" spans="1:9" x14ac:dyDescent="0.25">
      <c r="A14" s="449" t="s">
        <v>462</v>
      </c>
      <c r="B14" s="449"/>
      <c r="C14" s="449"/>
      <c r="D14" s="449"/>
      <c r="E14" s="449"/>
      <c r="F14" s="449"/>
      <c r="G14" s="449"/>
      <c r="H14" s="449"/>
      <c r="I14" s="449"/>
    </row>
    <row r="15" spans="1:9" x14ac:dyDescent="0.25">
      <c r="A15" s="93" t="s">
        <v>449</v>
      </c>
      <c r="B15" s="165" t="s">
        <v>12</v>
      </c>
      <c r="C15" s="458" t="s">
        <v>450</v>
      </c>
      <c r="D15" s="458"/>
      <c r="E15" s="458"/>
      <c r="F15" s="165" t="s">
        <v>451</v>
      </c>
      <c r="G15" s="94" t="s">
        <v>452</v>
      </c>
      <c r="H15" s="95" t="s">
        <v>453</v>
      </c>
      <c r="I15" s="96" t="s">
        <v>454</v>
      </c>
    </row>
    <row r="16" spans="1:9" x14ac:dyDescent="0.25">
      <c r="A16" s="111" t="s">
        <v>505</v>
      </c>
      <c r="B16" s="126" t="s">
        <v>24</v>
      </c>
      <c r="C16" s="474" t="s">
        <v>506</v>
      </c>
      <c r="D16" s="474"/>
      <c r="E16" s="474"/>
      <c r="F16" s="111" t="s">
        <v>507</v>
      </c>
      <c r="G16" s="98">
        <v>4</v>
      </c>
      <c r="H16" s="112">
        <v>0.38</v>
      </c>
      <c r="I16" s="134">
        <f t="shared" ref="I16:I18" si="0">H16*G16</f>
        <v>1.52</v>
      </c>
    </row>
    <row r="17" spans="1:9" ht="30" customHeight="1" x14ac:dyDescent="0.25">
      <c r="A17" s="111" t="s">
        <v>514</v>
      </c>
      <c r="B17" s="126" t="s">
        <v>24</v>
      </c>
      <c r="C17" s="474" t="s">
        <v>515</v>
      </c>
      <c r="D17" s="474"/>
      <c r="E17" s="474"/>
      <c r="F17" s="111" t="s">
        <v>510</v>
      </c>
      <c r="G17" s="127">
        <v>1.1000000000000001</v>
      </c>
      <c r="H17" s="112">
        <v>19.36</v>
      </c>
      <c r="I17" s="134">
        <f t="shared" si="0"/>
        <v>21.295999999999999</v>
      </c>
    </row>
    <row r="18" spans="1:9" ht="30" x14ac:dyDescent="0.25">
      <c r="A18" s="111"/>
      <c r="B18" s="126" t="s">
        <v>516</v>
      </c>
      <c r="C18" s="474" t="s">
        <v>517</v>
      </c>
      <c r="D18" s="474"/>
      <c r="E18" s="474"/>
      <c r="F18" s="111" t="s">
        <v>507</v>
      </c>
      <c r="G18" s="127">
        <v>2</v>
      </c>
      <c r="H18" s="112">
        <f>'COTAÇÕES '!P9</f>
        <v>2.2933333333333334</v>
      </c>
      <c r="I18" s="134">
        <f t="shared" si="0"/>
        <v>4.5866666666666669</v>
      </c>
    </row>
    <row r="19" spans="1:9" x14ac:dyDescent="0.25">
      <c r="A19" s="111"/>
      <c r="B19" s="97"/>
      <c r="C19" s="474"/>
      <c r="D19" s="474"/>
      <c r="E19" s="474"/>
      <c r="F19" s="111"/>
      <c r="G19" s="98"/>
      <c r="H19" s="112"/>
      <c r="I19" s="134"/>
    </row>
    <row r="20" spans="1:9" x14ac:dyDescent="0.25">
      <c r="A20" s="462" t="s">
        <v>463</v>
      </c>
      <c r="B20" s="462"/>
      <c r="C20" s="462"/>
      <c r="D20" s="462"/>
      <c r="E20" s="462"/>
      <c r="F20" s="462"/>
      <c r="G20" s="462"/>
      <c r="H20" s="462"/>
      <c r="I20" s="122">
        <f>SUM(I16:I19)</f>
        <v>27.402666666666665</v>
      </c>
    </row>
    <row r="21" spans="1:9" x14ac:dyDescent="0.25">
      <c r="A21" s="162"/>
      <c r="B21" s="162"/>
      <c r="C21" s="162"/>
      <c r="D21" s="162"/>
      <c r="E21" s="162"/>
      <c r="F21" s="162"/>
      <c r="G21" s="162"/>
      <c r="H21" s="162"/>
      <c r="I21" s="104"/>
    </row>
    <row r="22" spans="1:9" x14ac:dyDescent="0.25">
      <c r="A22" s="464" t="s">
        <v>464</v>
      </c>
      <c r="B22" s="464"/>
      <c r="C22" s="464"/>
      <c r="D22" s="464"/>
      <c r="E22" s="464"/>
      <c r="F22" s="464"/>
      <c r="G22" s="464"/>
      <c r="H22" s="464"/>
      <c r="I22" s="464"/>
    </row>
    <row r="23" spans="1:9" x14ac:dyDescent="0.25">
      <c r="A23" s="100"/>
      <c r="B23" s="163"/>
      <c r="C23" s="465" t="s">
        <v>450</v>
      </c>
      <c r="D23" s="465"/>
      <c r="E23" s="465"/>
      <c r="F23" s="163" t="s">
        <v>451</v>
      </c>
      <c r="G23" s="105" t="s">
        <v>452</v>
      </c>
      <c r="H23" s="102" t="s">
        <v>453</v>
      </c>
      <c r="I23" s="103" t="s">
        <v>454</v>
      </c>
    </row>
    <row r="24" spans="1:9" x14ac:dyDescent="0.25">
      <c r="A24" s="106"/>
      <c r="B24" s="106"/>
      <c r="C24" s="455"/>
      <c r="D24" s="456"/>
      <c r="E24" s="457"/>
      <c r="F24" s="107"/>
      <c r="G24" s="107"/>
      <c r="H24" s="108"/>
      <c r="I24" s="109">
        <v>0</v>
      </c>
    </row>
    <row r="25" spans="1:9" x14ac:dyDescent="0.25">
      <c r="A25" s="462" t="s">
        <v>465</v>
      </c>
      <c r="B25" s="462"/>
      <c r="C25" s="462"/>
      <c r="D25" s="462"/>
      <c r="E25" s="462"/>
      <c r="F25" s="462"/>
      <c r="G25" s="462"/>
      <c r="H25" s="462"/>
      <c r="I25" s="110"/>
    </row>
    <row r="26" spans="1:9" x14ac:dyDescent="0.25">
      <c r="A26" s="467"/>
      <c r="B26" s="468"/>
      <c r="C26" s="468"/>
      <c r="D26" s="468"/>
      <c r="E26" s="468"/>
      <c r="F26" s="468"/>
      <c r="G26" s="468"/>
      <c r="H26" s="468"/>
      <c r="I26" s="469"/>
    </row>
    <row r="27" spans="1:9" x14ac:dyDescent="0.25">
      <c r="A27" s="449" t="s">
        <v>466</v>
      </c>
      <c r="B27" s="449"/>
      <c r="C27" s="449"/>
      <c r="D27" s="449"/>
      <c r="E27" s="449"/>
      <c r="F27" s="449"/>
      <c r="G27" s="449"/>
      <c r="H27" s="449"/>
      <c r="I27" s="449"/>
    </row>
    <row r="28" spans="1:9" x14ac:dyDescent="0.25">
      <c r="A28" s="466" t="s">
        <v>467</v>
      </c>
      <c r="B28" s="466"/>
      <c r="C28" s="466"/>
      <c r="D28" s="466"/>
      <c r="E28" s="466"/>
      <c r="F28" s="466"/>
      <c r="G28" s="466"/>
      <c r="H28" s="466"/>
      <c r="I28" s="123">
        <f>I12</f>
        <v>5.2874999999999996</v>
      </c>
    </row>
    <row r="29" spans="1:9" x14ac:dyDescent="0.25">
      <c r="A29" s="466" t="s">
        <v>468</v>
      </c>
      <c r="B29" s="466"/>
      <c r="C29" s="466"/>
      <c r="D29" s="466"/>
      <c r="E29" s="466"/>
      <c r="F29" s="466"/>
      <c r="G29" s="466"/>
      <c r="H29" s="466"/>
      <c r="I29" s="123">
        <f>I20</f>
        <v>27.402666666666665</v>
      </c>
    </row>
    <row r="30" spans="1:9" x14ac:dyDescent="0.25">
      <c r="A30" s="466" t="s">
        <v>469</v>
      </c>
      <c r="B30" s="466"/>
      <c r="C30" s="466"/>
      <c r="D30" s="466"/>
      <c r="E30" s="466"/>
      <c r="F30" s="466"/>
      <c r="G30" s="466"/>
      <c r="H30" s="466"/>
      <c r="I30" s="123">
        <f>I25</f>
        <v>0</v>
      </c>
    </row>
    <row r="31" spans="1:9" x14ac:dyDescent="0.25">
      <c r="A31" s="466" t="s">
        <v>470</v>
      </c>
      <c r="B31" s="466"/>
      <c r="C31" s="466"/>
      <c r="D31" s="466"/>
      <c r="E31" s="466"/>
      <c r="F31" s="466"/>
      <c r="G31" s="466"/>
      <c r="H31" s="466"/>
      <c r="I31" s="130">
        <f>ROUND(SUM(I28:I30),2)</f>
        <v>32.69</v>
      </c>
    </row>
  </sheetData>
  <mergeCells count="27">
    <mergeCell ref="A8:I8"/>
    <mergeCell ref="A1:H4"/>
    <mergeCell ref="I1:I2"/>
    <mergeCell ref="A5:H6"/>
    <mergeCell ref="I5:I6"/>
    <mergeCell ref="A7:I7"/>
    <mergeCell ref="A22:I22"/>
    <mergeCell ref="C9:E9"/>
    <mergeCell ref="C10:D10"/>
    <mergeCell ref="C11:D11"/>
    <mergeCell ref="A12:H12"/>
    <mergeCell ref="A14:I14"/>
    <mergeCell ref="C15:E15"/>
    <mergeCell ref="C16:E16"/>
    <mergeCell ref="C17:E17"/>
    <mergeCell ref="C18:E18"/>
    <mergeCell ref="C19:E19"/>
    <mergeCell ref="A20:H20"/>
    <mergeCell ref="A29:H29"/>
    <mergeCell ref="A30:H30"/>
    <mergeCell ref="A31:H31"/>
    <mergeCell ref="C23:E23"/>
    <mergeCell ref="C24:E24"/>
    <mergeCell ref="A25:H25"/>
    <mergeCell ref="A26:I26"/>
    <mergeCell ref="A27:I27"/>
    <mergeCell ref="A28:H28"/>
  </mergeCells>
  <pageMargins left="0.511811024" right="0.511811024" top="0.78740157499999996" bottom="0.78740157499999996" header="0.31496062000000002" footer="0.31496062000000002"/>
  <pageSetup paperSize="9" scale="9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BreakPreview" zoomScale="98" zoomScaleNormal="100" zoomScaleSheetLayoutView="98" workbookViewId="0">
      <selection activeCell="C16" sqref="C16:E16"/>
    </sheetView>
  </sheetViews>
  <sheetFormatPr defaultRowHeight="15" x14ac:dyDescent="0.25"/>
  <cols>
    <col min="1" max="1" width="8" style="124" bestFit="1" customWidth="1"/>
    <col min="2" max="2" width="10" style="124" bestFit="1" customWidth="1"/>
    <col min="3" max="3" width="9.140625" style="125"/>
    <col min="4" max="4" width="20.5703125" style="125" customWidth="1"/>
    <col min="5" max="5" width="20.140625" style="125" customWidth="1"/>
    <col min="6" max="6" width="5" style="125" bestFit="1" customWidth="1"/>
    <col min="7" max="7" width="8.7109375" style="125" bestFit="1" customWidth="1"/>
    <col min="8" max="8" width="8.42578125" style="125" bestFit="1" customWidth="1"/>
    <col min="9" max="9" width="11" style="125" bestFit="1" customWidth="1"/>
  </cols>
  <sheetData>
    <row r="1" spans="1:9" x14ac:dyDescent="0.25">
      <c r="A1" s="450" t="s">
        <v>443</v>
      </c>
      <c r="B1" s="450"/>
      <c r="C1" s="450"/>
      <c r="D1" s="450"/>
      <c r="E1" s="450"/>
      <c r="F1" s="450"/>
      <c r="G1" s="450"/>
      <c r="H1" s="450"/>
      <c r="I1" s="451" t="s">
        <v>444</v>
      </c>
    </row>
    <row r="2" spans="1:9" x14ac:dyDescent="0.25">
      <c r="A2" s="450"/>
      <c r="B2" s="450"/>
      <c r="C2" s="450"/>
      <c r="D2" s="450"/>
      <c r="E2" s="450"/>
      <c r="F2" s="450"/>
      <c r="G2" s="450"/>
      <c r="H2" s="450"/>
      <c r="I2" s="451"/>
    </row>
    <row r="3" spans="1:9" x14ac:dyDescent="0.25">
      <c r="A3" s="450"/>
      <c r="B3" s="450"/>
      <c r="C3" s="450"/>
      <c r="D3" s="450"/>
      <c r="E3" s="450"/>
      <c r="F3" s="450"/>
      <c r="G3" s="450"/>
      <c r="H3" s="450"/>
      <c r="I3" s="92">
        <v>44652</v>
      </c>
    </row>
    <row r="4" spans="1:9" x14ac:dyDescent="0.25">
      <c r="A4" s="450"/>
      <c r="B4" s="450"/>
      <c r="C4" s="450"/>
      <c r="D4" s="450"/>
      <c r="E4" s="450"/>
      <c r="F4" s="450"/>
      <c r="G4" s="450"/>
      <c r="H4" s="450"/>
      <c r="I4" s="166" t="s">
        <v>218</v>
      </c>
    </row>
    <row r="5" spans="1:9" x14ac:dyDescent="0.25">
      <c r="A5" s="452" t="s">
        <v>518</v>
      </c>
      <c r="B5" s="452"/>
      <c r="C5" s="452"/>
      <c r="D5" s="452"/>
      <c r="E5" s="452"/>
      <c r="F5" s="452"/>
      <c r="G5" s="452"/>
      <c r="H5" s="452"/>
      <c r="I5" s="453" t="s">
        <v>519</v>
      </c>
    </row>
    <row r="6" spans="1:9" x14ac:dyDescent="0.25">
      <c r="A6" s="452"/>
      <c r="B6" s="452"/>
      <c r="C6" s="452"/>
      <c r="D6" s="452"/>
      <c r="E6" s="452"/>
      <c r="F6" s="452"/>
      <c r="G6" s="452"/>
      <c r="H6" s="452"/>
      <c r="I6" s="453"/>
    </row>
    <row r="7" spans="1:9" x14ac:dyDescent="0.25">
      <c r="A7" s="454" t="s">
        <v>520</v>
      </c>
      <c r="B7" s="454"/>
      <c r="C7" s="454"/>
      <c r="D7" s="454"/>
      <c r="E7" s="454"/>
      <c r="F7" s="454"/>
      <c r="G7" s="454"/>
      <c r="H7" s="454"/>
      <c r="I7" s="454"/>
    </row>
    <row r="8" spans="1:9" x14ac:dyDescent="0.25">
      <c r="A8" s="449" t="s">
        <v>448</v>
      </c>
      <c r="B8" s="449"/>
      <c r="C8" s="449"/>
      <c r="D8" s="449"/>
      <c r="E8" s="449"/>
      <c r="F8" s="449"/>
      <c r="G8" s="449"/>
      <c r="H8" s="449"/>
      <c r="I8" s="449"/>
    </row>
    <row r="9" spans="1:9" x14ac:dyDescent="0.25">
      <c r="A9" s="93" t="s">
        <v>449</v>
      </c>
      <c r="B9" s="165" t="s">
        <v>12</v>
      </c>
      <c r="C9" s="458" t="s">
        <v>450</v>
      </c>
      <c r="D9" s="458"/>
      <c r="E9" s="458"/>
      <c r="F9" s="165" t="s">
        <v>451</v>
      </c>
      <c r="G9" s="94" t="s">
        <v>452</v>
      </c>
      <c r="H9" s="95" t="s">
        <v>453</v>
      </c>
      <c r="I9" s="96" t="s">
        <v>454</v>
      </c>
    </row>
    <row r="10" spans="1:9" ht="15" customHeight="1" x14ac:dyDescent="0.25">
      <c r="A10" s="131" t="s">
        <v>474</v>
      </c>
      <c r="B10" s="126" t="s">
        <v>24</v>
      </c>
      <c r="C10" s="470" t="s">
        <v>475</v>
      </c>
      <c r="D10" s="471"/>
      <c r="E10" s="101" t="s">
        <v>457</v>
      </c>
      <c r="F10" s="165" t="s">
        <v>458</v>
      </c>
      <c r="G10" s="94">
        <v>0.26300000000000001</v>
      </c>
      <c r="H10" s="142">
        <v>19.12</v>
      </c>
      <c r="I10" s="132">
        <f>G10*H10</f>
        <v>5.0285600000000006</v>
      </c>
    </row>
    <row r="11" spans="1:9" x14ac:dyDescent="0.25">
      <c r="A11" s="126"/>
      <c r="B11" s="163"/>
      <c r="C11" s="460"/>
      <c r="D11" s="460"/>
      <c r="E11" s="101"/>
      <c r="F11" s="163"/>
      <c r="G11" s="98"/>
      <c r="H11" s="102"/>
      <c r="I11" s="103">
        <f>H11*G11</f>
        <v>0</v>
      </c>
    </row>
    <row r="12" spans="1:9" x14ac:dyDescent="0.25">
      <c r="A12" s="462" t="s">
        <v>461</v>
      </c>
      <c r="B12" s="462"/>
      <c r="C12" s="462"/>
      <c r="D12" s="462"/>
      <c r="E12" s="462"/>
      <c r="F12" s="462"/>
      <c r="G12" s="462"/>
      <c r="H12" s="462"/>
      <c r="I12" s="104">
        <f>I10+I11</f>
        <v>5.0285600000000006</v>
      </c>
    </row>
    <row r="13" spans="1:9" x14ac:dyDescent="0.25">
      <c r="A13" s="162"/>
      <c r="B13" s="162"/>
      <c r="C13" s="162"/>
      <c r="D13" s="162"/>
      <c r="E13" s="162"/>
      <c r="F13" s="162"/>
      <c r="G13" s="162"/>
      <c r="H13" s="162"/>
      <c r="I13" s="104"/>
    </row>
    <row r="14" spans="1:9" x14ac:dyDescent="0.25">
      <c r="A14" s="449" t="s">
        <v>462</v>
      </c>
      <c r="B14" s="449"/>
      <c r="C14" s="449"/>
      <c r="D14" s="449"/>
      <c r="E14" s="449"/>
      <c r="F14" s="449"/>
      <c r="G14" s="449"/>
      <c r="H14" s="449"/>
      <c r="I14" s="449"/>
    </row>
    <row r="15" spans="1:9" x14ac:dyDescent="0.25">
      <c r="A15" s="93" t="s">
        <v>449</v>
      </c>
      <c r="B15" s="165" t="s">
        <v>12</v>
      </c>
      <c r="C15" s="458" t="s">
        <v>450</v>
      </c>
      <c r="D15" s="458"/>
      <c r="E15" s="458"/>
      <c r="F15" s="165" t="s">
        <v>451</v>
      </c>
      <c r="G15" s="94" t="s">
        <v>452</v>
      </c>
      <c r="H15" s="95" t="s">
        <v>453</v>
      </c>
      <c r="I15" s="96" t="s">
        <v>454</v>
      </c>
    </row>
    <row r="16" spans="1:9" ht="30" x14ac:dyDescent="0.25">
      <c r="A16" s="111"/>
      <c r="B16" s="97" t="s">
        <v>521</v>
      </c>
      <c r="C16" s="474" t="s">
        <v>522</v>
      </c>
      <c r="D16" s="474"/>
      <c r="E16" s="474"/>
      <c r="F16" s="111" t="s">
        <v>451</v>
      </c>
      <c r="G16" s="138">
        <v>1</v>
      </c>
      <c r="H16" s="112">
        <f>'COTAÇÕES '!P10</f>
        <v>51.156666666666666</v>
      </c>
      <c r="I16" s="133">
        <f>H16*G16</f>
        <v>51.156666666666666</v>
      </c>
    </row>
    <row r="17" spans="1:9" x14ac:dyDescent="0.25">
      <c r="A17" s="128"/>
      <c r="B17" s="114"/>
      <c r="C17" s="484"/>
      <c r="D17" s="484"/>
      <c r="E17" s="484"/>
      <c r="F17" s="113"/>
      <c r="G17" s="115"/>
      <c r="H17" s="116"/>
      <c r="I17" s="134">
        <f>H17*G17</f>
        <v>0</v>
      </c>
    </row>
    <row r="18" spans="1:9" x14ac:dyDescent="0.25">
      <c r="A18" s="462" t="s">
        <v>463</v>
      </c>
      <c r="B18" s="462"/>
      <c r="C18" s="462"/>
      <c r="D18" s="462"/>
      <c r="E18" s="462"/>
      <c r="F18" s="462"/>
      <c r="G18" s="462"/>
      <c r="H18" s="462"/>
      <c r="I18" s="122">
        <f>SUM(I16:I17)</f>
        <v>51.156666666666666</v>
      </c>
    </row>
    <row r="19" spans="1:9" x14ac:dyDescent="0.25">
      <c r="A19" s="162"/>
      <c r="B19" s="162"/>
      <c r="C19" s="162"/>
      <c r="D19" s="162"/>
      <c r="E19" s="162"/>
      <c r="F19" s="162"/>
      <c r="G19" s="162"/>
      <c r="H19" s="162"/>
      <c r="I19" s="104"/>
    </row>
    <row r="20" spans="1:9" x14ac:dyDescent="0.25">
      <c r="A20" s="162"/>
      <c r="B20" s="162"/>
      <c r="C20" s="162"/>
      <c r="D20" s="162"/>
      <c r="E20" s="162"/>
      <c r="F20" s="162"/>
      <c r="G20" s="162"/>
      <c r="H20" s="162"/>
      <c r="I20" s="104"/>
    </row>
    <row r="21" spans="1:9" x14ac:dyDescent="0.25">
      <c r="A21" s="464" t="s">
        <v>464</v>
      </c>
      <c r="B21" s="464"/>
      <c r="C21" s="464"/>
      <c r="D21" s="464"/>
      <c r="E21" s="464"/>
      <c r="F21" s="464"/>
      <c r="G21" s="464"/>
      <c r="H21" s="464"/>
      <c r="I21" s="464"/>
    </row>
    <row r="22" spans="1:9" x14ac:dyDescent="0.25">
      <c r="A22" s="100"/>
      <c r="B22" s="163"/>
      <c r="C22" s="465" t="s">
        <v>450</v>
      </c>
      <c r="D22" s="465"/>
      <c r="E22" s="465"/>
      <c r="F22" s="163" t="s">
        <v>451</v>
      </c>
      <c r="G22" s="105" t="s">
        <v>452</v>
      </c>
      <c r="H22" s="102" t="s">
        <v>453</v>
      </c>
      <c r="I22" s="103" t="s">
        <v>454</v>
      </c>
    </row>
    <row r="23" spans="1:9" x14ac:dyDescent="0.25">
      <c r="A23" s="106"/>
      <c r="B23" s="106"/>
      <c r="C23" s="455"/>
      <c r="D23" s="456"/>
      <c r="E23" s="457"/>
      <c r="F23" s="107"/>
      <c r="G23" s="107"/>
      <c r="H23" s="108"/>
      <c r="I23" s="109"/>
    </row>
    <row r="24" spans="1:9" x14ac:dyDescent="0.25">
      <c r="A24" s="462" t="s">
        <v>465</v>
      </c>
      <c r="B24" s="462"/>
      <c r="C24" s="462"/>
      <c r="D24" s="462"/>
      <c r="E24" s="462"/>
      <c r="F24" s="462"/>
      <c r="G24" s="462"/>
      <c r="H24" s="462"/>
      <c r="I24" s="110">
        <f>I23</f>
        <v>0</v>
      </c>
    </row>
    <row r="25" spans="1:9" x14ac:dyDescent="0.25">
      <c r="A25" s="467"/>
      <c r="B25" s="468"/>
      <c r="C25" s="468"/>
      <c r="D25" s="468"/>
      <c r="E25" s="468"/>
      <c r="F25" s="468"/>
      <c r="G25" s="468"/>
      <c r="H25" s="468"/>
      <c r="I25" s="469"/>
    </row>
    <row r="26" spans="1:9" x14ac:dyDescent="0.25">
      <c r="A26" s="449" t="s">
        <v>466</v>
      </c>
      <c r="B26" s="449"/>
      <c r="C26" s="449"/>
      <c r="D26" s="449"/>
      <c r="E26" s="449"/>
      <c r="F26" s="449"/>
      <c r="G26" s="449"/>
      <c r="H26" s="449"/>
      <c r="I26" s="449"/>
    </row>
    <row r="27" spans="1:9" x14ac:dyDescent="0.25">
      <c r="A27" s="466" t="s">
        <v>467</v>
      </c>
      <c r="B27" s="466"/>
      <c r="C27" s="466"/>
      <c r="D27" s="466"/>
      <c r="E27" s="466"/>
      <c r="F27" s="466"/>
      <c r="G27" s="466"/>
      <c r="H27" s="466"/>
      <c r="I27" s="123">
        <f>I12</f>
        <v>5.0285600000000006</v>
      </c>
    </row>
    <row r="28" spans="1:9" x14ac:dyDescent="0.25">
      <c r="A28" s="466" t="s">
        <v>468</v>
      </c>
      <c r="B28" s="466"/>
      <c r="C28" s="466"/>
      <c r="D28" s="466"/>
      <c r="E28" s="466"/>
      <c r="F28" s="466"/>
      <c r="G28" s="466"/>
      <c r="H28" s="466"/>
      <c r="I28" s="123">
        <f>I18</f>
        <v>51.156666666666666</v>
      </c>
    </row>
    <row r="29" spans="1:9" x14ac:dyDescent="0.25">
      <c r="A29" s="466" t="s">
        <v>469</v>
      </c>
      <c r="B29" s="466"/>
      <c r="C29" s="466"/>
      <c r="D29" s="466"/>
      <c r="E29" s="466"/>
      <c r="F29" s="466"/>
      <c r="G29" s="466"/>
      <c r="H29" s="466"/>
      <c r="I29" s="123">
        <f>I19</f>
        <v>0</v>
      </c>
    </row>
    <row r="30" spans="1:9" x14ac:dyDescent="0.25">
      <c r="A30" s="466" t="s">
        <v>470</v>
      </c>
      <c r="B30" s="466"/>
      <c r="C30" s="466"/>
      <c r="D30" s="466"/>
      <c r="E30" s="466"/>
      <c r="F30" s="466"/>
      <c r="G30" s="466"/>
      <c r="H30" s="466"/>
      <c r="I30" s="130">
        <f>SUM(I27:I28)</f>
        <v>56.185226666666665</v>
      </c>
    </row>
  </sheetData>
  <mergeCells count="25">
    <mergeCell ref="A27:H27"/>
    <mergeCell ref="A28:H28"/>
    <mergeCell ref="A29:H29"/>
    <mergeCell ref="A30:H30"/>
    <mergeCell ref="A21:I21"/>
    <mergeCell ref="C22:E22"/>
    <mergeCell ref="C23:E23"/>
    <mergeCell ref="A24:H24"/>
    <mergeCell ref="A25:I25"/>
    <mergeCell ref="A26:I26"/>
    <mergeCell ref="A18:H18"/>
    <mergeCell ref="C9:E9"/>
    <mergeCell ref="C10:D10"/>
    <mergeCell ref="C11:D11"/>
    <mergeCell ref="A12:H12"/>
    <mergeCell ref="A14:I14"/>
    <mergeCell ref="C15:E15"/>
    <mergeCell ref="C16:E16"/>
    <mergeCell ref="C17:E17"/>
    <mergeCell ref="A8:I8"/>
    <mergeCell ref="A1:H4"/>
    <mergeCell ref="I1:I2"/>
    <mergeCell ref="A5:H6"/>
    <mergeCell ref="I5:I6"/>
    <mergeCell ref="A7:I7"/>
  </mergeCells>
  <pageMargins left="0.511811024" right="0.511811024" top="0.78740157499999996" bottom="0.78740157499999996" header="0.31496062000000002" footer="0.31496062000000002"/>
  <pageSetup paperSize="9" scale="9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98" zoomScaleNormal="100" zoomScaleSheetLayoutView="98" workbookViewId="0">
      <selection activeCell="A10" sqref="A10"/>
    </sheetView>
  </sheetViews>
  <sheetFormatPr defaultRowHeight="15" x14ac:dyDescent="0.25"/>
  <cols>
    <col min="1" max="1" width="8" style="124" bestFit="1" customWidth="1"/>
    <col min="2" max="2" width="10" style="124" bestFit="1" customWidth="1"/>
    <col min="3" max="3" width="9.140625" style="125"/>
    <col min="4" max="4" width="20.5703125" style="125" customWidth="1"/>
    <col min="5" max="5" width="20.140625" style="125" customWidth="1"/>
    <col min="6" max="6" width="5" style="125" bestFit="1" customWidth="1"/>
    <col min="7" max="7" width="8.7109375" style="125" bestFit="1" customWidth="1"/>
    <col min="8" max="8" width="8.42578125" style="125" bestFit="1" customWidth="1"/>
    <col min="9" max="9" width="11" style="125" bestFit="1" customWidth="1"/>
  </cols>
  <sheetData>
    <row r="1" spans="1:9" x14ac:dyDescent="0.25">
      <c r="A1" s="450" t="s">
        <v>443</v>
      </c>
      <c r="B1" s="450"/>
      <c r="C1" s="450"/>
      <c r="D1" s="450"/>
      <c r="E1" s="450"/>
      <c r="F1" s="450"/>
      <c r="G1" s="450"/>
      <c r="H1" s="450"/>
      <c r="I1" s="451" t="s">
        <v>444</v>
      </c>
    </row>
    <row r="2" spans="1:9" x14ac:dyDescent="0.25">
      <c r="A2" s="450"/>
      <c r="B2" s="450"/>
      <c r="C2" s="450"/>
      <c r="D2" s="450"/>
      <c r="E2" s="450"/>
      <c r="F2" s="450"/>
      <c r="G2" s="450"/>
      <c r="H2" s="450"/>
      <c r="I2" s="451"/>
    </row>
    <row r="3" spans="1:9" x14ac:dyDescent="0.25">
      <c r="A3" s="450"/>
      <c r="B3" s="450"/>
      <c r="C3" s="450"/>
      <c r="D3" s="450"/>
      <c r="E3" s="450"/>
      <c r="F3" s="450"/>
      <c r="G3" s="450"/>
      <c r="H3" s="450"/>
      <c r="I3" s="92">
        <v>44652</v>
      </c>
    </row>
    <row r="4" spans="1:9" x14ac:dyDescent="0.25">
      <c r="A4" s="450"/>
      <c r="B4" s="450"/>
      <c r="C4" s="450"/>
      <c r="D4" s="450"/>
      <c r="E4" s="450"/>
      <c r="F4" s="450"/>
      <c r="G4" s="450"/>
      <c r="H4" s="450"/>
      <c r="I4" s="166" t="s">
        <v>221</v>
      </c>
    </row>
    <row r="5" spans="1:9" x14ac:dyDescent="0.25">
      <c r="A5" s="452" t="s">
        <v>518</v>
      </c>
      <c r="B5" s="452"/>
      <c r="C5" s="452"/>
      <c r="D5" s="452"/>
      <c r="E5" s="452"/>
      <c r="F5" s="452"/>
      <c r="G5" s="452"/>
      <c r="H5" s="452"/>
      <c r="I5" s="453" t="s">
        <v>519</v>
      </c>
    </row>
    <row r="6" spans="1:9" x14ac:dyDescent="0.25">
      <c r="A6" s="452"/>
      <c r="B6" s="452"/>
      <c r="C6" s="452"/>
      <c r="D6" s="452"/>
      <c r="E6" s="452"/>
      <c r="F6" s="452"/>
      <c r="G6" s="452"/>
      <c r="H6" s="452"/>
      <c r="I6" s="453"/>
    </row>
    <row r="7" spans="1:9" x14ac:dyDescent="0.25">
      <c r="A7" s="454" t="s">
        <v>520</v>
      </c>
      <c r="B7" s="454"/>
      <c r="C7" s="454"/>
      <c r="D7" s="454"/>
      <c r="E7" s="454"/>
      <c r="F7" s="454"/>
      <c r="G7" s="454"/>
      <c r="H7" s="454"/>
      <c r="I7" s="454"/>
    </row>
    <row r="8" spans="1:9" x14ac:dyDescent="0.25">
      <c r="A8" s="449" t="s">
        <v>448</v>
      </c>
      <c r="B8" s="449"/>
      <c r="C8" s="449"/>
      <c r="D8" s="449"/>
      <c r="E8" s="449"/>
      <c r="F8" s="449"/>
      <c r="G8" s="449"/>
      <c r="H8" s="449"/>
      <c r="I8" s="449"/>
    </row>
    <row r="9" spans="1:9" x14ac:dyDescent="0.25">
      <c r="A9" s="93" t="s">
        <v>449</v>
      </c>
      <c r="B9" s="165" t="s">
        <v>12</v>
      </c>
      <c r="C9" s="458" t="s">
        <v>450</v>
      </c>
      <c r="D9" s="458"/>
      <c r="E9" s="458"/>
      <c r="F9" s="165" t="s">
        <v>451</v>
      </c>
      <c r="G9" s="94" t="s">
        <v>452</v>
      </c>
      <c r="H9" s="95" t="s">
        <v>453</v>
      </c>
      <c r="I9" s="96" t="s">
        <v>454</v>
      </c>
    </row>
    <row r="10" spans="1:9" ht="15" customHeight="1" x14ac:dyDescent="0.25">
      <c r="A10" s="131" t="s">
        <v>474</v>
      </c>
      <c r="B10" s="126" t="s">
        <v>24</v>
      </c>
      <c r="C10" s="470" t="s">
        <v>475</v>
      </c>
      <c r="D10" s="471"/>
      <c r="E10" s="101" t="s">
        <v>457</v>
      </c>
      <c r="F10" s="165" t="s">
        <v>458</v>
      </c>
      <c r="G10" s="94">
        <v>0.26300000000000001</v>
      </c>
      <c r="H10" s="142">
        <v>19.12</v>
      </c>
      <c r="I10" s="132">
        <f>G10*H10</f>
        <v>5.0285600000000006</v>
      </c>
    </row>
    <row r="11" spans="1:9" x14ac:dyDescent="0.25">
      <c r="A11" s="126"/>
      <c r="B11" s="163"/>
      <c r="C11" s="460"/>
      <c r="D11" s="460"/>
      <c r="E11" s="101"/>
      <c r="F11" s="163"/>
      <c r="G11" s="98"/>
      <c r="H11" s="102"/>
      <c r="I11" s="103">
        <f>H11*G11</f>
        <v>0</v>
      </c>
    </row>
    <row r="12" spans="1:9" x14ac:dyDescent="0.25">
      <c r="A12" s="462" t="s">
        <v>461</v>
      </c>
      <c r="B12" s="462"/>
      <c r="C12" s="462"/>
      <c r="D12" s="462"/>
      <c r="E12" s="462"/>
      <c r="F12" s="462"/>
      <c r="G12" s="462"/>
      <c r="H12" s="462"/>
      <c r="I12" s="104">
        <f>I10+I11</f>
        <v>5.0285600000000006</v>
      </c>
    </row>
    <row r="13" spans="1:9" x14ac:dyDescent="0.25">
      <c r="A13" s="162"/>
      <c r="B13" s="162"/>
      <c r="C13" s="162"/>
      <c r="D13" s="162"/>
      <c r="E13" s="162"/>
      <c r="F13" s="162"/>
      <c r="G13" s="162"/>
      <c r="H13" s="162"/>
      <c r="I13" s="104"/>
    </row>
    <row r="14" spans="1:9" x14ac:dyDescent="0.25">
      <c r="A14" s="449" t="s">
        <v>462</v>
      </c>
      <c r="B14" s="449"/>
      <c r="C14" s="449"/>
      <c r="D14" s="449"/>
      <c r="E14" s="449"/>
      <c r="F14" s="449"/>
      <c r="G14" s="449"/>
      <c r="H14" s="449"/>
      <c r="I14" s="449"/>
    </row>
    <row r="15" spans="1:9" x14ac:dyDescent="0.25">
      <c r="A15" s="93" t="s">
        <v>449</v>
      </c>
      <c r="B15" s="165" t="s">
        <v>12</v>
      </c>
      <c r="C15" s="458" t="s">
        <v>450</v>
      </c>
      <c r="D15" s="458"/>
      <c r="E15" s="458"/>
      <c r="F15" s="165" t="s">
        <v>451</v>
      </c>
      <c r="G15" s="94" t="s">
        <v>452</v>
      </c>
      <c r="H15" s="95" t="s">
        <v>453</v>
      </c>
      <c r="I15" s="96" t="s">
        <v>454</v>
      </c>
    </row>
    <row r="16" spans="1:9" ht="30" x14ac:dyDescent="0.25">
      <c r="A16" s="111"/>
      <c r="B16" s="97" t="s">
        <v>523</v>
      </c>
      <c r="C16" s="474" t="s">
        <v>524</v>
      </c>
      <c r="D16" s="474"/>
      <c r="E16" s="474"/>
      <c r="F16" s="111" t="s">
        <v>451</v>
      </c>
      <c r="G16" s="138">
        <v>1</v>
      </c>
      <c r="H16" s="112">
        <f>'COTAÇÕES '!P11</f>
        <v>64.94</v>
      </c>
      <c r="I16" s="133">
        <f>H16*G16</f>
        <v>64.94</v>
      </c>
    </row>
    <row r="17" spans="1:9" x14ac:dyDescent="0.25">
      <c r="A17" s="128"/>
      <c r="B17" s="114"/>
      <c r="C17" s="484"/>
      <c r="D17" s="484"/>
      <c r="E17" s="484"/>
      <c r="F17" s="113"/>
      <c r="G17" s="115"/>
      <c r="H17" s="116"/>
      <c r="I17" s="134">
        <f>H17*G17</f>
        <v>0</v>
      </c>
    </row>
    <row r="18" spans="1:9" x14ac:dyDescent="0.25">
      <c r="A18" s="462" t="s">
        <v>463</v>
      </c>
      <c r="B18" s="462"/>
      <c r="C18" s="462"/>
      <c r="D18" s="462"/>
      <c r="E18" s="462"/>
      <c r="F18" s="462"/>
      <c r="G18" s="462"/>
      <c r="H18" s="462"/>
      <c r="I18" s="122">
        <f>SUM(I16:I17)</f>
        <v>64.94</v>
      </c>
    </row>
    <row r="19" spans="1:9" x14ac:dyDescent="0.25">
      <c r="A19" s="162"/>
      <c r="B19" s="162"/>
      <c r="C19" s="162"/>
      <c r="D19" s="162"/>
      <c r="E19" s="162"/>
      <c r="F19" s="162"/>
      <c r="G19" s="162"/>
      <c r="H19" s="162"/>
      <c r="I19" s="104"/>
    </row>
    <row r="20" spans="1:9" x14ac:dyDescent="0.25">
      <c r="A20" s="162"/>
      <c r="B20" s="162"/>
      <c r="C20" s="162"/>
      <c r="D20" s="162"/>
      <c r="E20" s="162"/>
      <c r="F20" s="162"/>
      <c r="G20" s="162"/>
      <c r="H20" s="162"/>
      <c r="I20" s="104"/>
    </row>
    <row r="21" spans="1:9" x14ac:dyDescent="0.25">
      <c r="A21" s="464" t="s">
        <v>464</v>
      </c>
      <c r="B21" s="464"/>
      <c r="C21" s="464"/>
      <c r="D21" s="464"/>
      <c r="E21" s="464"/>
      <c r="F21" s="464"/>
      <c r="G21" s="464"/>
      <c r="H21" s="464"/>
      <c r="I21" s="464"/>
    </row>
    <row r="22" spans="1:9" x14ac:dyDescent="0.25">
      <c r="A22" s="100"/>
      <c r="B22" s="163"/>
      <c r="C22" s="465" t="s">
        <v>450</v>
      </c>
      <c r="D22" s="465"/>
      <c r="E22" s="465"/>
      <c r="F22" s="163" t="s">
        <v>451</v>
      </c>
      <c r="G22" s="105" t="s">
        <v>452</v>
      </c>
      <c r="H22" s="102" t="s">
        <v>453</v>
      </c>
      <c r="I22" s="103" t="s">
        <v>454</v>
      </c>
    </row>
    <row r="23" spans="1:9" x14ac:dyDescent="0.25">
      <c r="A23" s="106"/>
      <c r="B23" s="106"/>
      <c r="C23" s="455"/>
      <c r="D23" s="456"/>
      <c r="E23" s="457"/>
      <c r="F23" s="107"/>
      <c r="G23" s="107"/>
      <c r="H23" s="108"/>
      <c r="I23" s="109"/>
    </row>
    <row r="24" spans="1:9" x14ac:dyDescent="0.25">
      <c r="A24" s="462" t="s">
        <v>465</v>
      </c>
      <c r="B24" s="462"/>
      <c r="C24" s="462"/>
      <c r="D24" s="462"/>
      <c r="E24" s="462"/>
      <c r="F24" s="462"/>
      <c r="G24" s="462"/>
      <c r="H24" s="462"/>
      <c r="I24" s="110">
        <f>I23</f>
        <v>0</v>
      </c>
    </row>
    <row r="25" spans="1:9" x14ac:dyDescent="0.25">
      <c r="A25" s="467"/>
      <c r="B25" s="468"/>
      <c r="C25" s="468"/>
      <c r="D25" s="468"/>
      <c r="E25" s="468"/>
      <c r="F25" s="468"/>
      <c r="G25" s="468"/>
      <c r="H25" s="468"/>
      <c r="I25" s="469"/>
    </row>
    <row r="26" spans="1:9" x14ac:dyDescent="0.25">
      <c r="A26" s="449" t="s">
        <v>466</v>
      </c>
      <c r="B26" s="449"/>
      <c r="C26" s="449"/>
      <c r="D26" s="449"/>
      <c r="E26" s="449"/>
      <c r="F26" s="449"/>
      <c r="G26" s="449"/>
      <c r="H26" s="449"/>
      <c r="I26" s="449"/>
    </row>
    <row r="27" spans="1:9" x14ac:dyDescent="0.25">
      <c r="A27" s="466" t="s">
        <v>467</v>
      </c>
      <c r="B27" s="466"/>
      <c r="C27" s="466"/>
      <c r="D27" s="466"/>
      <c r="E27" s="466"/>
      <c r="F27" s="466"/>
      <c r="G27" s="466"/>
      <c r="H27" s="466"/>
      <c r="I27" s="123">
        <f>I12</f>
        <v>5.0285600000000006</v>
      </c>
    </row>
    <row r="28" spans="1:9" x14ac:dyDescent="0.25">
      <c r="A28" s="466" t="s">
        <v>468</v>
      </c>
      <c r="B28" s="466"/>
      <c r="C28" s="466"/>
      <c r="D28" s="466"/>
      <c r="E28" s="466"/>
      <c r="F28" s="466"/>
      <c r="G28" s="466"/>
      <c r="H28" s="466"/>
      <c r="I28" s="123">
        <f>I18</f>
        <v>64.94</v>
      </c>
    </row>
    <row r="29" spans="1:9" x14ac:dyDescent="0.25">
      <c r="A29" s="466" t="s">
        <v>469</v>
      </c>
      <c r="B29" s="466"/>
      <c r="C29" s="466"/>
      <c r="D29" s="466"/>
      <c r="E29" s="466"/>
      <c r="F29" s="466"/>
      <c r="G29" s="466"/>
      <c r="H29" s="466"/>
      <c r="I29" s="123">
        <f>I19</f>
        <v>0</v>
      </c>
    </row>
    <row r="30" spans="1:9" x14ac:dyDescent="0.25">
      <c r="A30" s="466" t="s">
        <v>470</v>
      </c>
      <c r="B30" s="466"/>
      <c r="C30" s="466"/>
      <c r="D30" s="466"/>
      <c r="E30" s="466"/>
      <c r="F30" s="466"/>
      <c r="G30" s="466"/>
      <c r="H30" s="466"/>
      <c r="I30" s="130">
        <f>SUM(I27:I28)</f>
        <v>69.968559999999997</v>
      </c>
    </row>
  </sheetData>
  <mergeCells count="25">
    <mergeCell ref="A8:I8"/>
    <mergeCell ref="A1:H4"/>
    <mergeCell ref="I1:I2"/>
    <mergeCell ref="A5:H6"/>
    <mergeCell ref="I5:I6"/>
    <mergeCell ref="A7:I7"/>
    <mergeCell ref="C23:E23"/>
    <mergeCell ref="C9:E9"/>
    <mergeCell ref="C10:D10"/>
    <mergeCell ref="C11:D11"/>
    <mergeCell ref="A12:H12"/>
    <mergeCell ref="A14:I14"/>
    <mergeCell ref="C15:E15"/>
    <mergeCell ref="C16:E16"/>
    <mergeCell ref="C17:E17"/>
    <mergeCell ref="A18:H18"/>
    <mergeCell ref="A21:I21"/>
    <mergeCell ref="C22:E22"/>
    <mergeCell ref="A30:H30"/>
    <mergeCell ref="A24:H24"/>
    <mergeCell ref="A25:I25"/>
    <mergeCell ref="A26:I26"/>
    <mergeCell ref="A27:H27"/>
    <mergeCell ref="A28:H28"/>
    <mergeCell ref="A29:H29"/>
  </mergeCells>
  <pageMargins left="0.511811024" right="0.511811024" top="0.78740157499999996" bottom="0.78740157499999996" header="0.31496062000000002" footer="0.31496062000000002"/>
  <pageSetup paperSize="9" scale="8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BreakPreview" topLeftCell="A4" zoomScale="118" zoomScaleNormal="100" zoomScaleSheetLayoutView="118" workbookViewId="0">
      <selection activeCell="H21" sqref="H16:H21"/>
    </sheetView>
  </sheetViews>
  <sheetFormatPr defaultRowHeight="15" x14ac:dyDescent="0.25"/>
  <cols>
    <col min="1" max="1" width="12.28515625" style="124" customWidth="1"/>
    <col min="2" max="2" width="10" style="124" bestFit="1" customWidth="1"/>
    <col min="3" max="3" width="9.140625" style="125"/>
    <col min="4" max="4" width="34.28515625" style="125" customWidth="1"/>
    <col min="5" max="5" width="20.140625" style="125" customWidth="1"/>
    <col min="6" max="6" width="7.7109375" style="125" customWidth="1"/>
    <col min="7" max="7" width="8.5703125" style="125" bestFit="1" customWidth="1"/>
    <col min="8" max="8" width="11.28515625" style="125" bestFit="1" customWidth="1"/>
    <col min="9" max="9" width="13.7109375" style="124" customWidth="1"/>
  </cols>
  <sheetData>
    <row r="1" spans="1:9" x14ac:dyDescent="0.25">
      <c r="A1" s="450" t="s">
        <v>443</v>
      </c>
      <c r="B1" s="450"/>
      <c r="C1" s="450"/>
      <c r="D1" s="450"/>
      <c r="E1" s="450"/>
      <c r="F1" s="450"/>
      <c r="G1" s="450"/>
      <c r="H1" s="450"/>
      <c r="I1" s="451" t="s">
        <v>444</v>
      </c>
    </row>
    <row r="2" spans="1:9" x14ac:dyDescent="0.25">
      <c r="A2" s="450"/>
      <c r="B2" s="450"/>
      <c r="C2" s="450"/>
      <c r="D2" s="450"/>
      <c r="E2" s="450"/>
      <c r="F2" s="450"/>
      <c r="G2" s="450"/>
      <c r="H2" s="450"/>
      <c r="I2" s="451"/>
    </row>
    <row r="3" spans="1:9" x14ac:dyDescent="0.25">
      <c r="A3" s="450"/>
      <c r="B3" s="450"/>
      <c r="C3" s="450"/>
      <c r="D3" s="450"/>
      <c r="E3" s="450"/>
      <c r="F3" s="450"/>
      <c r="G3" s="450"/>
      <c r="H3" s="450"/>
      <c r="I3" s="92">
        <v>44652</v>
      </c>
    </row>
    <row r="4" spans="1:9" x14ac:dyDescent="0.25">
      <c r="A4" s="450"/>
      <c r="B4" s="450"/>
      <c r="C4" s="450"/>
      <c r="D4" s="450"/>
      <c r="E4" s="450"/>
      <c r="F4" s="450"/>
      <c r="G4" s="450"/>
      <c r="H4" s="450"/>
      <c r="I4" s="166" t="s">
        <v>224</v>
      </c>
    </row>
    <row r="5" spans="1:9" x14ac:dyDescent="0.25">
      <c r="A5" s="452" t="s">
        <v>525</v>
      </c>
      <c r="B5" s="452"/>
      <c r="C5" s="452"/>
      <c r="D5" s="452"/>
      <c r="E5" s="452"/>
      <c r="F5" s="452"/>
      <c r="G5" s="452"/>
      <c r="H5" s="452"/>
      <c r="I5" s="453" t="s">
        <v>494</v>
      </c>
    </row>
    <row r="6" spans="1:9" x14ac:dyDescent="0.25">
      <c r="A6" s="452"/>
      <c r="B6" s="452"/>
      <c r="C6" s="452"/>
      <c r="D6" s="452"/>
      <c r="E6" s="452"/>
      <c r="F6" s="452"/>
      <c r="G6" s="452"/>
      <c r="H6" s="452"/>
      <c r="I6" s="453"/>
    </row>
    <row r="7" spans="1:9" x14ac:dyDescent="0.25">
      <c r="A7" s="167"/>
      <c r="B7" s="167"/>
      <c r="C7" s="167"/>
      <c r="D7" s="167"/>
      <c r="E7" s="167"/>
      <c r="F7" s="167"/>
      <c r="G7" s="167"/>
      <c r="H7" s="167"/>
      <c r="I7" s="168"/>
    </row>
    <row r="8" spans="1:9" x14ac:dyDescent="0.25">
      <c r="A8" s="454" t="s">
        <v>526</v>
      </c>
      <c r="B8" s="454"/>
      <c r="C8" s="454"/>
      <c r="D8" s="454"/>
      <c r="E8" s="454"/>
      <c r="F8" s="454"/>
      <c r="G8" s="454"/>
      <c r="H8" s="454"/>
      <c r="I8" s="454"/>
    </row>
    <row r="9" spans="1:9" x14ac:dyDescent="0.25">
      <c r="A9" s="93" t="s">
        <v>449</v>
      </c>
      <c r="B9" s="165" t="s">
        <v>12</v>
      </c>
      <c r="C9" s="458" t="s">
        <v>450</v>
      </c>
      <c r="D9" s="458"/>
      <c r="E9" s="458"/>
      <c r="F9" s="165" t="s">
        <v>451</v>
      </c>
      <c r="G9" s="94" t="s">
        <v>452</v>
      </c>
      <c r="H9" s="95" t="s">
        <v>453</v>
      </c>
      <c r="I9" s="165" t="s">
        <v>454</v>
      </c>
    </row>
    <row r="10" spans="1:9" x14ac:dyDescent="0.25">
      <c r="A10" s="126" t="s">
        <v>527</v>
      </c>
      <c r="B10" s="165" t="s">
        <v>24</v>
      </c>
      <c r="C10" s="485" t="s">
        <v>528</v>
      </c>
      <c r="D10" s="486"/>
      <c r="E10" s="487"/>
      <c r="F10" s="126" t="s">
        <v>529</v>
      </c>
      <c r="G10" s="98">
        <v>1.2</v>
      </c>
      <c r="H10" s="146">
        <v>36.28</v>
      </c>
      <c r="I10" s="145">
        <f>G10*H10</f>
        <v>43.536000000000001</v>
      </c>
    </row>
    <row r="11" spans="1:9" ht="15" customHeight="1" x14ac:dyDescent="0.25">
      <c r="A11" s="126"/>
      <c r="B11" s="97"/>
      <c r="C11" s="488"/>
      <c r="D11" s="489"/>
      <c r="E11" s="490"/>
      <c r="F11" s="126"/>
      <c r="G11" s="98"/>
      <c r="H11" s="146"/>
      <c r="I11" s="145"/>
    </row>
    <row r="12" spans="1:9" x14ac:dyDescent="0.25">
      <c r="A12" s="462" t="s">
        <v>461</v>
      </c>
      <c r="B12" s="462"/>
      <c r="C12" s="462"/>
      <c r="D12" s="462"/>
      <c r="E12" s="462"/>
      <c r="F12" s="462"/>
      <c r="G12" s="462"/>
      <c r="H12" s="462"/>
      <c r="I12" s="147">
        <f>I10+I11</f>
        <v>43.536000000000001</v>
      </c>
    </row>
    <row r="13" spans="1:9" x14ac:dyDescent="0.25">
      <c r="A13" s="449" t="s">
        <v>462</v>
      </c>
      <c r="B13" s="449"/>
      <c r="C13" s="449"/>
      <c r="D13" s="449"/>
      <c r="E13" s="449"/>
      <c r="F13" s="449"/>
      <c r="G13" s="449"/>
      <c r="H13" s="449"/>
      <c r="I13" s="449"/>
    </row>
    <row r="14" spans="1:9" x14ac:dyDescent="0.25">
      <c r="A14" s="93" t="s">
        <v>449</v>
      </c>
      <c r="B14" s="165" t="s">
        <v>12</v>
      </c>
      <c r="C14" s="458" t="s">
        <v>450</v>
      </c>
      <c r="D14" s="458"/>
      <c r="E14" s="458"/>
      <c r="F14" s="165" t="s">
        <v>451</v>
      </c>
      <c r="G14" s="94" t="s">
        <v>452</v>
      </c>
      <c r="H14" s="95" t="s">
        <v>453</v>
      </c>
      <c r="I14" s="165" t="s">
        <v>454</v>
      </c>
    </row>
    <row r="15" spans="1:9" ht="35.25" customHeight="1" x14ac:dyDescent="0.25">
      <c r="A15" s="93">
        <v>160810</v>
      </c>
      <c r="B15" s="165" t="s">
        <v>24</v>
      </c>
      <c r="C15" s="474" t="s">
        <v>530</v>
      </c>
      <c r="D15" s="474"/>
      <c r="E15" s="474"/>
      <c r="F15" s="165" t="s">
        <v>124</v>
      </c>
      <c r="G15" s="94">
        <v>1</v>
      </c>
      <c r="H15" s="95">
        <v>504.3</v>
      </c>
      <c r="I15" s="145">
        <f>G15*H15</f>
        <v>504.3</v>
      </c>
    </row>
    <row r="16" spans="1:9" ht="30" customHeight="1" x14ac:dyDescent="0.25">
      <c r="A16" s="93">
        <v>160823</v>
      </c>
      <c r="B16" s="165" t="s">
        <v>24</v>
      </c>
      <c r="C16" s="474" t="s">
        <v>531</v>
      </c>
      <c r="D16" s="474"/>
      <c r="E16" s="474"/>
      <c r="F16" s="165" t="s">
        <v>124</v>
      </c>
      <c r="G16" s="94">
        <v>1</v>
      </c>
      <c r="H16" s="95">
        <v>108.04</v>
      </c>
      <c r="I16" s="145">
        <f t="shared" ref="I16:I22" si="0">G16*H16</f>
        <v>108.04</v>
      </c>
    </row>
    <row r="17" spans="1:9" ht="28.5" customHeight="1" x14ac:dyDescent="0.25">
      <c r="A17" s="93">
        <v>160825</v>
      </c>
      <c r="B17" s="165" t="s">
        <v>24</v>
      </c>
      <c r="C17" s="474" t="s">
        <v>532</v>
      </c>
      <c r="D17" s="474"/>
      <c r="E17" s="474"/>
      <c r="F17" s="165" t="s">
        <v>124</v>
      </c>
      <c r="G17" s="94">
        <v>1</v>
      </c>
      <c r="H17" s="95">
        <v>27.66</v>
      </c>
      <c r="I17" s="145">
        <f t="shared" si="0"/>
        <v>27.66</v>
      </c>
    </row>
    <row r="18" spans="1:9" ht="33.75" customHeight="1" x14ac:dyDescent="0.25">
      <c r="A18" s="93">
        <v>160829</v>
      </c>
      <c r="B18" s="165" t="s">
        <v>24</v>
      </c>
      <c r="C18" s="474" t="s">
        <v>533</v>
      </c>
      <c r="D18" s="474"/>
      <c r="E18" s="474"/>
      <c r="F18" s="165" t="s">
        <v>534</v>
      </c>
      <c r="G18" s="94">
        <v>4</v>
      </c>
      <c r="H18" s="95">
        <v>13.73</v>
      </c>
      <c r="I18" s="145">
        <f t="shared" si="0"/>
        <v>54.92</v>
      </c>
    </row>
    <row r="19" spans="1:9" ht="37.5" customHeight="1" x14ac:dyDescent="0.25">
      <c r="A19" s="93">
        <v>160831</v>
      </c>
      <c r="B19" s="165" t="s">
        <v>24</v>
      </c>
      <c r="C19" s="474" t="s">
        <v>535</v>
      </c>
      <c r="D19" s="474"/>
      <c r="E19" s="474"/>
      <c r="F19" s="165" t="s">
        <v>124</v>
      </c>
      <c r="G19" s="94">
        <v>1</v>
      </c>
      <c r="H19" s="95">
        <v>65.959999999999994</v>
      </c>
      <c r="I19" s="145">
        <f t="shared" si="0"/>
        <v>65.959999999999994</v>
      </c>
    </row>
    <row r="20" spans="1:9" ht="37.5" customHeight="1" x14ac:dyDescent="0.25">
      <c r="A20" s="93">
        <v>160842</v>
      </c>
      <c r="B20" s="165" t="s">
        <v>24</v>
      </c>
      <c r="C20" s="478" t="s">
        <v>536</v>
      </c>
      <c r="D20" s="479"/>
      <c r="E20" s="480"/>
      <c r="F20" s="165" t="s">
        <v>114</v>
      </c>
      <c r="G20" s="94">
        <v>1</v>
      </c>
      <c r="H20" s="95">
        <v>536.87</v>
      </c>
      <c r="I20" s="145">
        <f t="shared" si="0"/>
        <v>536.87</v>
      </c>
    </row>
    <row r="21" spans="1:9" ht="37.5" customHeight="1" x14ac:dyDescent="0.25">
      <c r="A21" s="93">
        <v>160845</v>
      </c>
      <c r="B21" s="165" t="s">
        <v>24</v>
      </c>
      <c r="C21" s="478" t="s">
        <v>537</v>
      </c>
      <c r="D21" s="479"/>
      <c r="E21" s="480"/>
      <c r="F21" s="165" t="s">
        <v>114</v>
      </c>
      <c r="G21" s="94">
        <v>24</v>
      </c>
      <c r="H21" s="95">
        <v>15.94</v>
      </c>
      <c r="I21" s="145">
        <f t="shared" si="0"/>
        <v>382.56</v>
      </c>
    </row>
    <row r="22" spans="1:9" ht="37.5" customHeight="1" x14ac:dyDescent="0.25">
      <c r="A22" s="93"/>
      <c r="B22" s="165" t="s">
        <v>538</v>
      </c>
      <c r="C22" s="478" t="s">
        <v>539</v>
      </c>
      <c r="D22" s="479"/>
      <c r="E22" s="480"/>
      <c r="F22" s="165" t="s">
        <v>114</v>
      </c>
      <c r="G22" s="94">
        <v>1</v>
      </c>
      <c r="H22" s="95">
        <f>'COTAÇÕES '!P12</f>
        <v>4462.833333333333</v>
      </c>
      <c r="I22" s="145">
        <f t="shared" si="0"/>
        <v>4462.833333333333</v>
      </c>
    </row>
    <row r="23" spans="1:9" x14ac:dyDescent="0.25">
      <c r="A23" s="111"/>
      <c r="B23" s="165"/>
      <c r="C23" s="474"/>
      <c r="D23" s="474"/>
      <c r="E23" s="474"/>
      <c r="F23" s="111"/>
      <c r="G23" s="135"/>
      <c r="H23" s="148"/>
      <c r="I23" s="145"/>
    </row>
    <row r="24" spans="1:9" x14ac:dyDescent="0.25">
      <c r="A24" s="462" t="s">
        <v>463</v>
      </c>
      <c r="B24" s="462"/>
      <c r="C24" s="462"/>
      <c r="D24" s="462"/>
      <c r="E24" s="462"/>
      <c r="F24" s="462"/>
      <c r="G24" s="462"/>
      <c r="H24" s="462"/>
      <c r="I24" s="150">
        <f>SUM(I15:I23)</f>
        <v>6143.1433333333334</v>
      </c>
    </row>
    <row r="25" spans="1:9" x14ac:dyDescent="0.25">
      <c r="A25" s="162"/>
      <c r="B25" s="162"/>
      <c r="C25" s="162"/>
      <c r="D25" s="162"/>
      <c r="E25" s="162"/>
      <c r="F25" s="162"/>
      <c r="G25" s="162"/>
      <c r="H25" s="162"/>
      <c r="I25" s="147"/>
    </row>
    <row r="26" spans="1:9" x14ac:dyDescent="0.25">
      <c r="A26" s="162"/>
      <c r="B26" s="162"/>
      <c r="C26" s="162"/>
      <c r="D26" s="162"/>
      <c r="E26" s="162"/>
      <c r="F26" s="162"/>
      <c r="G26" s="162"/>
      <c r="H26" s="162"/>
      <c r="I26" s="147"/>
    </row>
    <row r="27" spans="1:9" x14ac:dyDescent="0.25">
      <c r="A27" s="464" t="s">
        <v>464</v>
      </c>
      <c r="B27" s="464"/>
      <c r="C27" s="464"/>
      <c r="D27" s="464"/>
      <c r="E27" s="464"/>
      <c r="F27" s="464"/>
      <c r="G27" s="464"/>
      <c r="H27" s="464"/>
      <c r="I27" s="464"/>
    </row>
    <row r="28" spans="1:9" x14ac:dyDescent="0.25">
      <c r="A28" s="100"/>
      <c r="B28" s="163"/>
      <c r="C28" s="465" t="s">
        <v>450</v>
      </c>
      <c r="D28" s="465"/>
      <c r="E28" s="465"/>
      <c r="F28" s="163" t="s">
        <v>451</v>
      </c>
      <c r="G28" s="105" t="s">
        <v>452</v>
      </c>
      <c r="H28" s="102" t="s">
        <v>453</v>
      </c>
      <c r="I28" s="151" t="s">
        <v>454</v>
      </c>
    </row>
    <row r="29" spans="1:9" x14ac:dyDescent="0.25">
      <c r="A29" s="106"/>
      <c r="B29" s="106"/>
      <c r="C29" s="455"/>
      <c r="D29" s="456"/>
      <c r="E29" s="457"/>
      <c r="F29" s="107"/>
      <c r="G29" s="107"/>
      <c r="H29" s="108"/>
      <c r="I29" s="153"/>
    </row>
    <row r="30" spans="1:9" x14ac:dyDescent="0.25">
      <c r="A30" s="462" t="s">
        <v>465</v>
      </c>
      <c r="B30" s="462"/>
      <c r="C30" s="462"/>
      <c r="D30" s="462"/>
      <c r="E30" s="462"/>
      <c r="F30" s="462"/>
      <c r="G30" s="462"/>
      <c r="H30" s="462"/>
      <c r="I30" s="154">
        <f>I29</f>
        <v>0</v>
      </c>
    </row>
    <row r="31" spans="1:9" x14ac:dyDescent="0.25">
      <c r="A31" s="467"/>
      <c r="B31" s="468"/>
      <c r="C31" s="468"/>
      <c r="D31" s="468"/>
      <c r="E31" s="468"/>
      <c r="F31" s="468"/>
      <c r="G31" s="468"/>
      <c r="H31" s="468"/>
      <c r="I31" s="469"/>
    </row>
    <row r="32" spans="1:9" x14ac:dyDescent="0.25">
      <c r="A32" s="449" t="s">
        <v>466</v>
      </c>
      <c r="B32" s="449"/>
      <c r="C32" s="449"/>
      <c r="D32" s="449"/>
      <c r="E32" s="449"/>
      <c r="F32" s="449"/>
      <c r="G32" s="449"/>
      <c r="H32" s="449"/>
      <c r="I32" s="449"/>
    </row>
    <row r="33" spans="1:9" x14ac:dyDescent="0.25">
      <c r="A33" s="466" t="s">
        <v>467</v>
      </c>
      <c r="B33" s="466"/>
      <c r="C33" s="466"/>
      <c r="D33" s="466"/>
      <c r="E33" s="466"/>
      <c r="F33" s="466"/>
      <c r="G33" s="466"/>
      <c r="H33" s="466"/>
      <c r="I33" s="155">
        <f>I12</f>
        <v>43.536000000000001</v>
      </c>
    </row>
    <row r="34" spans="1:9" x14ac:dyDescent="0.25">
      <c r="A34" s="466" t="s">
        <v>468</v>
      </c>
      <c r="B34" s="466"/>
      <c r="C34" s="466"/>
      <c r="D34" s="466"/>
      <c r="E34" s="466"/>
      <c r="F34" s="466"/>
      <c r="G34" s="466"/>
      <c r="H34" s="466"/>
      <c r="I34" s="155">
        <f>I24</f>
        <v>6143.1433333333334</v>
      </c>
    </row>
    <row r="35" spans="1:9" x14ac:dyDescent="0.25">
      <c r="A35" s="466" t="s">
        <v>465</v>
      </c>
      <c r="B35" s="466"/>
      <c r="C35" s="466"/>
      <c r="D35" s="466"/>
      <c r="E35" s="466"/>
      <c r="F35" s="466"/>
      <c r="G35" s="466"/>
      <c r="H35" s="466"/>
      <c r="I35" s="155">
        <f>I30</f>
        <v>0</v>
      </c>
    </row>
    <row r="36" spans="1:9" x14ac:dyDescent="0.25">
      <c r="A36" s="466" t="s">
        <v>470</v>
      </c>
      <c r="B36" s="466"/>
      <c r="C36" s="466"/>
      <c r="D36" s="466"/>
      <c r="E36" s="466"/>
      <c r="F36" s="466"/>
      <c r="G36" s="466"/>
      <c r="H36" s="466"/>
      <c r="I36" s="147">
        <f>SUM(I33:I34)</f>
        <v>6186.6793333333335</v>
      </c>
    </row>
  </sheetData>
  <mergeCells count="31">
    <mergeCell ref="C10:E10"/>
    <mergeCell ref="C11:E11"/>
    <mergeCell ref="C20:E20"/>
    <mergeCell ref="C21:E21"/>
    <mergeCell ref="C9:E9"/>
    <mergeCell ref="A1:H4"/>
    <mergeCell ref="I1:I2"/>
    <mergeCell ref="A5:H6"/>
    <mergeCell ref="I5:I6"/>
    <mergeCell ref="A8:I8"/>
    <mergeCell ref="A31:I31"/>
    <mergeCell ref="A12:H12"/>
    <mergeCell ref="A13:I13"/>
    <mergeCell ref="C14:E14"/>
    <mergeCell ref="C23:E23"/>
    <mergeCell ref="A24:H24"/>
    <mergeCell ref="A27:I27"/>
    <mergeCell ref="C28:E28"/>
    <mergeCell ref="C29:E29"/>
    <mergeCell ref="A30:H30"/>
    <mergeCell ref="C15:E15"/>
    <mergeCell ref="C16:E16"/>
    <mergeCell ref="C17:E17"/>
    <mergeCell ref="C18:E18"/>
    <mergeCell ref="C22:E22"/>
    <mergeCell ref="C19:E19"/>
    <mergeCell ref="A32:I32"/>
    <mergeCell ref="A33:H33"/>
    <mergeCell ref="A34:H34"/>
    <mergeCell ref="A35:H35"/>
    <mergeCell ref="A36:H36"/>
  </mergeCells>
  <pageMargins left="0.511811024" right="0.511811024" top="0.78740157499999996" bottom="0.78740157499999996" header="0.31496062000000002" footer="0.31496062000000002"/>
  <pageSetup paperSize="9" scale="7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BreakPreview" zoomScaleNormal="100" zoomScaleSheetLayoutView="100" workbookViewId="0">
      <selection activeCell="I12" sqref="I12"/>
    </sheetView>
  </sheetViews>
  <sheetFormatPr defaultRowHeight="15" x14ac:dyDescent="0.25"/>
  <cols>
    <col min="1" max="1" width="12.28515625" style="124" customWidth="1"/>
    <col min="2" max="2" width="10" style="124" bestFit="1" customWidth="1"/>
    <col min="3" max="3" width="9.140625" style="125"/>
    <col min="4" max="4" width="34.28515625" style="125" customWidth="1"/>
    <col min="5" max="5" width="20.140625" style="125" customWidth="1"/>
    <col min="6" max="6" width="7.7109375" style="125" customWidth="1"/>
    <col min="7" max="7" width="8.5703125" style="125" bestFit="1" customWidth="1"/>
    <col min="8" max="8" width="11.28515625" style="125" bestFit="1" customWidth="1"/>
    <col min="9" max="9" width="13.7109375" style="124" customWidth="1"/>
  </cols>
  <sheetData>
    <row r="1" spans="1:9" x14ac:dyDescent="0.25">
      <c r="A1" s="450" t="s">
        <v>443</v>
      </c>
      <c r="B1" s="450"/>
      <c r="C1" s="450"/>
      <c r="D1" s="450"/>
      <c r="E1" s="450"/>
      <c r="F1" s="450"/>
      <c r="G1" s="450"/>
      <c r="H1" s="450"/>
      <c r="I1" s="451" t="s">
        <v>444</v>
      </c>
    </row>
    <row r="2" spans="1:9" x14ac:dyDescent="0.25">
      <c r="A2" s="450"/>
      <c r="B2" s="450"/>
      <c r="C2" s="450"/>
      <c r="D2" s="450"/>
      <c r="E2" s="450"/>
      <c r="F2" s="450"/>
      <c r="G2" s="450"/>
      <c r="H2" s="450"/>
      <c r="I2" s="451"/>
    </row>
    <row r="3" spans="1:9" x14ac:dyDescent="0.25">
      <c r="A3" s="450"/>
      <c r="B3" s="450"/>
      <c r="C3" s="450"/>
      <c r="D3" s="450"/>
      <c r="E3" s="450"/>
      <c r="F3" s="450"/>
      <c r="G3" s="450"/>
      <c r="H3" s="450"/>
      <c r="I3" s="92">
        <v>44652</v>
      </c>
    </row>
    <row r="4" spans="1:9" x14ac:dyDescent="0.25">
      <c r="A4" s="450"/>
      <c r="B4" s="450"/>
      <c r="C4" s="450"/>
      <c r="D4" s="450"/>
      <c r="E4" s="450"/>
      <c r="F4" s="450"/>
      <c r="G4" s="450"/>
      <c r="H4" s="450"/>
      <c r="I4" s="166" t="s">
        <v>227</v>
      </c>
    </row>
    <row r="5" spans="1:9" x14ac:dyDescent="0.25">
      <c r="A5" s="452" t="s">
        <v>540</v>
      </c>
      <c r="B5" s="452"/>
      <c r="C5" s="452"/>
      <c r="D5" s="452"/>
      <c r="E5" s="452"/>
      <c r="F5" s="452"/>
      <c r="G5" s="452"/>
      <c r="H5" s="452"/>
      <c r="I5" s="453" t="s">
        <v>494</v>
      </c>
    </row>
    <row r="6" spans="1:9" x14ac:dyDescent="0.25">
      <c r="A6" s="452"/>
      <c r="B6" s="452"/>
      <c r="C6" s="452"/>
      <c r="D6" s="452"/>
      <c r="E6" s="452"/>
      <c r="F6" s="452"/>
      <c r="G6" s="452"/>
      <c r="H6" s="452"/>
      <c r="I6" s="453"/>
    </row>
    <row r="7" spans="1:9" x14ac:dyDescent="0.25">
      <c r="A7" s="167"/>
      <c r="B7" s="167"/>
      <c r="C7" s="167"/>
      <c r="D7" s="167"/>
      <c r="E7" s="167"/>
      <c r="F7" s="167"/>
      <c r="G7" s="167"/>
      <c r="H7" s="167"/>
      <c r="I7" s="168"/>
    </row>
    <row r="8" spans="1:9" x14ac:dyDescent="0.25">
      <c r="A8" s="454" t="s">
        <v>541</v>
      </c>
      <c r="B8" s="454"/>
      <c r="C8" s="454"/>
      <c r="D8" s="454"/>
      <c r="E8" s="454"/>
      <c r="F8" s="454"/>
      <c r="G8" s="454"/>
      <c r="H8" s="454"/>
      <c r="I8" s="454"/>
    </row>
    <row r="9" spans="1:9" x14ac:dyDescent="0.25">
      <c r="A9" s="93" t="s">
        <v>449</v>
      </c>
      <c r="B9" s="165" t="s">
        <v>12</v>
      </c>
      <c r="C9" s="458" t="s">
        <v>450</v>
      </c>
      <c r="D9" s="458"/>
      <c r="E9" s="458"/>
      <c r="F9" s="165" t="s">
        <v>451</v>
      </c>
      <c r="G9" s="94" t="s">
        <v>452</v>
      </c>
      <c r="H9" s="95" t="s">
        <v>453</v>
      </c>
      <c r="I9" s="165" t="s">
        <v>454</v>
      </c>
    </row>
    <row r="10" spans="1:9" x14ac:dyDescent="0.25">
      <c r="A10" s="126" t="s">
        <v>527</v>
      </c>
      <c r="B10" s="165" t="s">
        <v>24</v>
      </c>
      <c r="C10" s="485" t="s">
        <v>528</v>
      </c>
      <c r="D10" s="486"/>
      <c r="E10" s="487"/>
      <c r="F10" s="126" t="s">
        <v>529</v>
      </c>
      <c r="G10" s="98">
        <v>1.6</v>
      </c>
      <c r="H10" s="146">
        <v>36.28</v>
      </c>
      <c r="I10" s="145">
        <f>G10*H10</f>
        <v>58.048000000000002</v>
      </c>
    </row>
    <row r="11" spans="1:9" x14ac:dyDescent="0.25">
      <c r="A11" s="126"/>
      <c r="B11" s="97"/>
      <c r="C11" s="488"/>
      <c r="D11" s="489"/>
      <c r="E11" s="490"/>
      <c r="F11" s="126"/>
      <c r="G11" s="98"/>
      <c r="H11" s="146"/>
      <c r="I11" s="145"/>
    </row>
    <row r="12" spans="1:9" x14ac:dyDescent="0.25">
      <c r="A12" s="462" t="s">
        <v>461</v>
      </c>
      <c r="B12" s="462"/>
      <c r="C12" s="462"/>
      <c r="D12" s="462"/>
      <c r="E12" s="462"/>
      <c r="F12" s="462"/>
      <c r="G12" s="462"/>
      <c r="H12" s="462"/>
      <c r="I12" s="147">
        <f>I10+I11</f>
        <v>58.048000000000002</v>
      </c>
    </row>
    <row r="13" spans="1:9" x14ac:dyDescent="0.25">
      <c r="A13" s="449" t="s">
        <v>462</v>
      </c>
      <c r="B13" s="449"/>
      <c r="C13" s="449"/>
      <c r="D13" s="449"/>
      <c r="E13" s="449"/>
      <c r="F13" s="449"/>
      <c r="G13" s="449"/>
      <c r="H13" s="449"/>
      <c r="I13" s="449"/>
    </row>
    <row r="14" spans="1:9" x14ac:dyDescent="0.25">
      <c r="A14" s="93" t="s">
        <v>449</v>
      </c>
      <c r="B14" s="165" t="s">
        <v>12</v>
      </c>
      <c r="C14" s="458" t="s">
        <v>450</v>
      </c>
      <c r="D14" s="458"/>
      <c r="E14" s="458"/>
      <c r="F14" s="165" t="s">
        <v>451</v>
      </c>
      <c r="G14" s="94" t="s">
        <v>452</v>
      </c>
      <c r="H14" s="95" t="s">
        <v>453</v>
      </c>
      <c r="I14" s="165" t="s">
        <v>454</v>
      </c>
    </row>
    <row r="15" spans="1:9" ht="35.25" customHeight="1" x14ac:dyDescent="0.25">
      <c r="A15" s="93">
        <v>160811</v>
      </c>
      <c r="B15" s="165" t="s">
        <v>24</v>
      </c>
      <c r="C15" s="474" t="s">
        <v>542</v>
      </c>
      <c r="D15" s="474"/>
      <c r="E15" s="474"/>
      <c r="F15" s="165" t="s">
        <v>124</v>
      </c>
      <c r="G15" s="94">
        <v>1</v>
      </c>
      <c r="H15" s="95">
        <v>635.6</v>
      </c>
      <c r="I15" s="145">
        <f>G15*H15</f>
        <v>635.6</v>
      </c>
    </row>
    <row r="16" spans="1:9" ht="30" customHeight="1" x14ac:dyDescent="0.25">
      <c r="A16" s="93">
        <v>160823</v>
      </c>
      <c r="B16" s="165" t="s">
        <v>24</v>
      </c>
      <c r="C16" s="474" t="s">
        <v>531</v>
      </c>
      <c r="D16" s="474"/>
      <c r="E16" s="474"/>
      <c r="F16" s="165" t="s">
        <v>124</v>
      </c>
      <c r="G16" s="94">
        <v>1</v>
      </c>
      <c r="H16" s="95">
        <v>108.04</v>
      </c>
      <c r="I16" s="145">
        <f t="shared" ref="I16:I22" si="0">G16*H16</f>
        <v>108.04</v>
      </c>
    </row>
    <row r="17" spans="1:9" ht="28.5" customHeight="1" x14ac:dyDescent="0.25">
      <c r="A17" s="93">
        <v>160825</v>
      </c>
      <c r="B17" s="165" t="s">
        <v>24</v>
      </c>
      <c r="C17" s="474" t="s">
        <v>532</v>
      </c>
      <c r="D17" s="474"/>
      <c r="E17" s="474"/>
      <c r="F17" s="165" t="s">
        <v>124</v>
      </c>
      <c r="G17" s="94">
        <v>1</v>
      </c>
      <c r="H17" s="95">
        <v>27.66</v>
      </c>
      <c r="I17" s="145">
        <f t="shared" si="0"/>
        <v>27.66</v>
      </c>
    </row>
    <row r="18" spans="1:9" ht="33.75" customHeight="1" x14ac:dyDescent="0.25">
      <c r="A18" s="93">
        <v>160829</v>
      </c>
      <c r="B18" s="165" t="s">
        <v>24</v>
      </c>
      <c r="C18" s="474" t="s">
        <v>533</v>
      </c>
      <c r="D18" s="474"/>
      <c r="E18" s="474"/>
      <c r="F18" s="165" t="s">
        <v>534</v>
      </c>
      <c r="G18" s="94">
        <v>8</v>
      </c>
      <c r="H18" s="95">
        <v>13.73</v>
      </c>
      <c r="I18" s="145">
        <f t="shared" si="0"/>
        <v>109.84</v>
      </c>
    </row>
    <row r="19" spans="1:9" ht="37.5" customHeight="1" x14ac:dyDescent="0.25">
      <c r="A19" s="93">
        <v>160831</v>
      </c>
      <c r="B19" s="165" t="s">
        <v>24</v>
      </c>
      <c r="C19" s="474" t="s">
        <v>535</v>
      </c>
      <c r="D19" s="474"/>
      <c r="E19" s="474"/>
      <c r="F19" s="165" t="s">
        <v>124</v>
      </c>
      <c r="G19" s="94">
        <v>1</v>
      </c>
      <c r="H19" s="95">
        <v>65.959999999999994</v>
      </c>
      <c r="I19" s="145">
        <f t="shared" si="0"/>
        <v>65.959999999999994</v>
      </c>
    </row>
    <row r="20" spans="1:9" ht="37.5" customHeight="1" x14ac:dyDescent="0.25">
      <c r="A20" s="93">
        <v>160842</v>
      </c>
      <c r="B20" s="165" t="s">
        <v>24</v>
      </c>
      <c r="C20" s="478" t="s">
        <v>536</v>
      </c>
      <c r="D20" s="479"/>
      <c r="E20" s="480"/>
      <c r="F20" s="165" t="s">
        <v>114</v>
      </c>
      <c r="G20" s="94">
        <v>1</v>
      </c>
      <c r="H20" s="95">
        <v>536.87</v>
      </c>
      <c r="I20" s="145">
        <f t="shared" si="0"/>
        <v>536.87</v>
      </c>
    </row>
    <row r="21" spans="1:9" ht="37.5" customHeight="1" x14ac:dyDescent="0.25">
      <c r="A21" s="93">
        <v>160845</v>
      </c>
      <c r="B21" s="165" t="s">
        <v>24</v>
      </c>
      <c r="C21" s="478" t="s">
        <v>543</v>
      </c>
      <c r="D21" s="479"/>
      <c r="E21" s="480"/>
      <c r="F21" s="165" t="s">
        <v>114</v>
      </c>
      <c r="G21" s="94">
        <v>34</v>
      </c>
      <c r="H21" s="95">
        <v>15.94</v>
      </c>
      <c r="I21" s="145">
        <f t="shared" si="0"/>
        <v>541.96</v>
      </c>
    </row>
    <row r="22" spans="1:9" ht="37.5" customHeight="1" x14ac:dyDescent="0.25">
      <c r="A22" s="93"/>
      <c r="B22" s="165" t="s">
        <v>538</v>
      </c>
      <c r="C22" s="478" t="s">
        <v>539</v>
      </c>
      <c r="D22" s="479"/>
      <c r="E22" s="480"/>
      <c r="F22" s="165" t="s">
        <v>114</v>
      </c>
      <c r="G22" s="94">
        <v>1</v>
      </c>
      <c r="H22" s="95">
        <f>'COTAÇÕES '!P12</f>
        <v>4462.833333333333</v>
      </c>
      <c r="I22" s="145">
        <f t="shared" si="0"/>
        <v>4462.833333333333</v>
      </c>
    </row>
    <row r="23" spans="1:9" x14ac:dyDescent="0.25">
      <c r="A23" s="111"/>
      <c r="B23" s="165"/>
      <c r="C23" s="474"/>
      <c r="D23" s="474"/>
      <c r="E23" s="474"/>
      <c r="F23" s="111"/>
      <c r="G23" s="135"/>
      <c r="H23" s="148"/>
      <c r="I23" s="145"/>
    </row>
    <row r="24" spans="1:9" x14ac:dyDescent="0.25">
      <c r="A24" s="462" t="s">
        <v>463</v>
      </c>
      <c r="B24" s="462"/>
      <c r="C24" s="462"/>
      <c r="D24" s="462"/>
      <c r="E24" s="462"/>
      <c r="F24" s="462"/>
      <c r="G24" s="462"/>
      <c r="H24" s="462"/>
      <c r="I24" s="150">
        <f>SUM(I15:I23)</f>
        <v>6488.7633333333333</v>
      </c>
    </row>
    <row r="25" spans="1:9" x14ac:dyDescent="0.25">
      <c r="A25" s="162"/>
      <c r="B25" s="162"/>
      <c r="C25" s="162"/>
      <c r="D25" s="162"/>
      <c r="E25" s="162"/>
      <c r="F25" s="162"/>
      <c r="G25" s="162"/>
      <c r="H25" s="162"/>
      <c r="I25" s="147"/>
    </row>
    <row r="26" spans="1:9" x14ac:dyDescent="0.25">
      <c r="A26" s="162"/>
      <c r="B26" s="162"/>
      <c r="C26" s="162"/>
      <c r="D26" s="162"/>
      <c r="E26" s="162"/>
      <c r="F26" s="162"/>
      <c r="G26" s="162"/>
      <c r="H26" s="162"/>
      <c r="I26" s="147"/>
    </row>
    <row r="27" spans="1:9" x14ac:dyDescent="0.25">
      <c r="A27" s="464" t="s">
        <v>464</v>
      </c>
      <c r="B27" s="464"/>
      <c r="C27" s="464"/>
      <c r="D27" s="464"/>
      <c r="E27" s="464"/>
      <c r="F27" s="464"/>
      <c r="G27" s="464"/>
      <c r="H27" s="464"/>
      <c r="I27" s="464"/>
    </row>
    <row r="28" spans="1:9" x14ac:dyDescent="0.25">
      <c r="A28" s="100"/>
      <c r="B28" s="163"/>
      <c r="C28" s="465" t="s">
        <v>450</v>
      </c>
      <c r="D28" s="465"/>
      <c r="E28" s="465"/>
      <c r="F28" s="163" t="s">
        <v>451</v>
      </c>
      <c r="G28" s="105" t="s">
        <v>452</v>
      </c>
      <c r="H28" s="102" t="s">
        <v>453</v>
      </c>
      <c r="I28" s="151" t="s">
        <v>454</v>
      </c>
    </row>
    <row r="29" spans="1:9" x14ac:dyDescent="0.25">
      <c r="A29" s="106"/>
      <c r="B29" s="106"/>
      <c r="C29" s="455"/>
      <c r="D29" s="456"/>
      <c r="E29" s="457"/>
      <c r="F29" s="107"/>
      <c r="G29" s="107"/>
      <c r="H29" s="108"/>
      <c r="I29" s="153"/>
    </row>
    <row r="30" spans="1:9" x14ac:dyDescent="0.25">
      <c r="A30" s="462" t="s">
        <v>465</v>
      </c>
      <c r="B30" s="462"/>
      <c r="C30" s="462"/>
      <c r="D30" s="462"/>
      <c r="E30" s="462"/>
      <c r="F30" s="462"/>
      <c r="G30" s="462"/>
      <c r="H30" s="462"/>
      <c r="I30" s="154">
        <f>I29</f>
        <v>0</v>
      </c>
    </row>
    <row r="31" spans="1:9" x14ac:dyDescent="0.25">
      <c r="A31" s="467"/>
      <c r="B31" s="468"/>
      <c r="C31" s="468"/>
      <c r="D31" s="468"/>
      <c r="E31" s="468"/>
      <c r="F31" s="468"/>
      <c r="G31" s="468"/>
      <c r="H31" s="468"/>
      <c r="I31" s="469"/>
    </row>
    <row r="32" spans="1:9" x14ac:dyDescent="0.25">
      <c r="A32" s="449" t="s">
        <v>466</v>
      </c>
      <c r="B32" s="449"/>
      <c r="C32" s="449"/>
      <c r="D32" s="449"/>
      <c r="E32" s="449"/>
      <c r="F32" s="449"/>
      <c r="G32" s="449"/>
      <c r="H32" s="449"/>
      <c r="I32" s="449"/>
    </row>
    <row r="33" spans="1:9" x14ac:dyDescent="0.25">
      <c r="A33" s="466" t="s">
        <v>467</v>
      </c>
      <c r="B33" s="466"/>
      <c r="C33" s="466"/>
      <c r="D33" s="466"/>
      <c r="E33" s="466"/>
      <c r="F33" s="466"/>
      <c r="G33" s="466"/>
      <c r="H33" s="466"/>
      <c r="I33" s="155">
        <f>I12</f>
        <v>58.048000000000002</v>
      </c>
    </row>
    <row r="34" spans="1:9" x14ac:dyDescent="0.25">
      <c r="A34" s="466" t="s">
        <v>468</v>
      </c>
      <c r="B34" s="466"/>
      <c r="C34" s="466"/>
      <c r="D34" s="466"/>
      <c r="E34" s="466"/>
      <c r="F34" s="466"/>
      <c r="G34" s="466"/>
      <c r="H34" s="466"/>
      <c r="I34" s="155">
        <f>I24</f>
        <v>6488.7633333333333</v>
      </c>
    </row>
    <row r="35" spans="1:9" x14ac:dyDescent="0.25">
      <c r="A35" s="466" t="s">
        <v>465</v>
      </c>
      <c r="B35" s="466"/>
      <c r="C35" s="466"/>
      <c r="D35" s="466"/>
      <c r="E35" s="466"/>
      <c r="F35" s="466"/>
      <c r="G35" s="466"/>
      <c r="H35" s="466"/>
      <c r="I35" s="155">
        <f>I30</f>
        <v>0</v>
      </c>
    </row>
    <row r="36" spans="1:9" x14ac:dyDescent="0.25">
      <c r="A36" s="466" t="s">
        <v>470</v>
      </c>
      <c r="B36" s="466"/>
      <c r="C36" s="466"/>
      <c r="D36" s="466"/>
      <c r="E36" s="466"/>
      <c r="F36" s="466"/>
      <c r="G36" s="466"/>
      <c r="H36" s="466"/>
      <c r="I36" s="147">
        <f>SUM(I33:I34)</f>
        <v>6546.8113333333331</v>
      </c>
    </row>
  </sheetData>
  <mergeCells count="31">
    <mergeCell ref="A36:H36"/>
    <mergeCell ref="A30:H30"/>
    <mergeCell ref="A31:I31"/>
    <mergeCell ref="A32:I32"/>
    <mergeCell ref="A33:H33"/>
    <mergeCell ref="A34:H34"/>
    <mergeCell ref="A35:H35"/>
    <mergeCell ref="C29:E29"/>
    <mergeCell ref="C16:E16"/>
    <mergeCell ref="C17:E17"/>
    <mergeCell ref="C18:E18"/>
    <mergeCell ref="C19:E19"/>
    <mergeCell ref="C20:E20"/>
    <mergeCell ref="C21:E21"/>
    <mergeCell ref="C22:E22"/>
    <mergeCell ref="C23:E23"/>
    <mergeCell ref="A24:H24"/>
    <mergeCell ref="A27:I27"/>
    <mergeCell ref="C28:E28"/>
    <mergeCell ref="C15:E15"/>
    <mergeCell ref="A1:H4"/>
    <mergeCell ref="I1:I2"/>
    <mergeCell ref="A5:H6"/>
    <mergeCell ref="I5:I6"/>
    <mergeCell ref="A8:I8"/>
    <mergeCell ref="C9:E9"/>
    <mergeCell ref="C10:E10"/>
    <mergeCell ref="C11:E11"/>
    <mergeCell ref="A12:H12"/>
    <mergeCell ref="A13:I13"/>
    <mergeCell ref="C14:E14"/>
  </mergeCells>
  <pageMargins left="0.511811024" right="0.511811024" top="0.78740157499999996" bottom="0.78740157499999996" header="0.31496062000000002" footer="0.31496062000000002"/>
  <pageSetup paperSize="9" scale="7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106" zoomScaleNormal="100" zoomScaleSheetLayoutView="106" workbookViewId="0">
      <selection activeCell="C17" sqref="C17:E17"/>
    </sheetView>
  </sheetViews>
  <sheetFormatPr defaultRowHeight="15" x14ac:dyDescent="0.25"/>
  <cols>
    <col min="1" max="1" width="12.28515625" style="124" customWidth="1"/>
    <col min="2" max="2" width="10" style="124" bestFit="1" customWidth="1"/>
    <col min="3" max="3" width="9.140625" style="125"/>
    <col min="4" max="4" width="20.5703125" style="125" customWidth="1"/>
    <col min="5" max="5" width="20.7109375" style="125" customWidth="1"/>
    <col min="6" max="6" width="5" style="125" bestFit="1" customWidth="1"/>
    <col min="7" max="7" width="8.5703125" style="125" bestFit="1" customWidth="1"/>
    <col min="8" max="8" width="8.42578125" style="125" bestFit="1" customWidth="1"/>
    <col min="9" max="9" width="11" style="125" bestFit="1" customWidth="1"/>
  </cols>
  <sheetData>
    <row r="1" spans="1:9" x14ac:dyDescent="0.25">
      <c r="A1" s="450" t="s">
        <v>443</v>
      </c>
      <c r="B1" s="450"/>
      <c r="C1" s="450"/>
      <c r="D1" s="450"/>
      <c r="E1" s="450"/>
      <c r="F1" s="450"/>
      <c r="G1" s="450"/>
      <c r="H1" s="450"/>
      <c r="I1" s="451" t="s">
        <v>444</v>
      </c>
    </row>
    <row r="2" spans="1:9" x14ac:dyDescent="0.25">
      <c r="A2" s="450"/>
      <c r="B2" s="450"/>
      <c r="C2" s="450"/>
      <c r="D2" s="450"/>
      <c r="E2" s="450"/>
      <c r="F2" s="450"/>
      <c r="G2" s="450"/>
      <c r="H2" s="450"/>
      <c r="I2" s="451"/>
    </row>
    <row r="3" spans="1:9" x14ac:dyDescent="0.25">
      <c r="A3" s="450"/>
      <c r="B3" s="450"/>
      <c r="C3" s="450"/>
      <c r="D3" s="450"/>
      <c r="E3" s="450"/>
      <c r="F3" s="450"/>
      <c r="G3" s="450"/>
      <c r="H3" s="450"/>
      <c r="I3" s="92">
        <v>44652</v>
      </c>
    </row>
    <row r="4" spans="1:9" x14ac:dyDescent="0.25">
      <c r="A4" s="450"/>
      <c r="B4" s="450"/>
      <c r="C4" s="450"/>
      <c r="D4" s="450"/>
      <c r="E4" s="450"/>
      <c r="F4" s="450"/>
      <c r="G4" s="450"/>
      <c r="H4" s="450"/>
      <c r="I4" s="166" t="s">
        <v>232</v>
      </c>
    </row>
    <row r="5" spans="1:9" x14ac:dyDescent="0.25">
      <c r="A5" s="452" t="s">
        <v>623</v>
      </c>
      <c r="B5" s="452"/>
      <c r="C5" s="452"/>
      <c r="D5" s="452"/>
      <c r="E5" s="452"/>
      <c r="F5" s="452"/>
      <c r="G5" s="452"/>
      <c r="H5" s="452"/>
      <c r="I5" s="453" t="s">
        <v>446</v>
      </c>
    </row>
    <row r="6" spans="1:9" x14ac:dyDescent="0.25">
      <c r="A6" s="452"/>
      <c r="B6" s="452"/>
      <c r="C6" s="452"/>
      <c r="D6" s="452"/>
      <c r="E6" s="452"/>
      <c r="F6" s="452"/>
      <c r="G6" s="452"/>
      <c r="H6" s="452"/>
      <c r="I6" s="453"/>
    </row>
    <row r="7" spans="1:9" x14ac:dyDescent="0.25">
      <c r="A7" s="454" t="s">
        <v>544</v>
      </c>
      <c r="B7" s="454"/>
      <c r="C7" s="454"/>
      <c r="D7" s="454"/>
      <c r="E7" s="454"/>
      <c r="F7" s="454"/>
      <c r="G7" s="454"/>
      <c r="H7" s="454"/>
      <c r="I7" s="454"/>
    </row>
    <row r="8" spans="1:9" x14ac:dyDescent="0.25">
      <c r="A8" s="449" t="s">
        <v>448</v>
      </c>
      <c r="B8" s="449"/>
      <c r="C8" s="449"/>
      <c r="D8" s="449"/>
      <c r="E8" s="449"/>
      <c r="F8" s="449"/>
      <c r="G8" s="449"/>
      <c r="H8" s="449"/>
      <c r="I8" s="449"/>
    </row>
    <row r="9" spans="1:9" x14ac:dyDescent="0.25">
      <c r="A9" s="93" t="s">
        <v>449</v>
      </c>
      <c r="B9" s="165" t="s">
        <v>12</v>
      </c>
      <c r="C9" s="458" t="s">
        <v>450</v>
      </c>
      <c r="D9" s="458"/>
      <c r="E9" s="458"/>
      <c r="F9" s="165" t="s">
        <v>451</v>
      </c>
      <c r="G9" s="94" t="s">
        <v>452</v>
      </c>
      <c r="H9" s="95" t="s">
        <v>453</v>
      </c>
      <c r="I9" s="96" t="s">
        <v>454</v>
      </c>
    </row>
    <row r="10" spans="1:9" x14ac:dyDescent="0.25">
      <c r="A10" s="126" t="s">
        <v>455</v>
      </c>
      <c r="B10" s="163" t="s">
        <v>24</v>
      </c>
      <c r="C10" s="459" t="s">
        <v>456</v>
      </c>
      <c r="D10" s="460"/>
      <c r="E10" s="101" t="s">
        <v>457</v>
      </c>
      <c r="F10" s="163" t="s">
        <v>458</v>
      </c>
      <c r="G10" s="98">
        <v>3.3330000000000002</v>
      </c>
      <c r="H10" s="102">
        <v>19.12</v>
      </c>
      <c r="I10" s="132">
        <f>G10*H10</f>
        <v>63.726960000000005</v>
      </c>
    </row>
    <row r="11" spans="1:9" ht="15" customHeight="1" x14ac:dyDescent="0.25">
      <c r="A11" s="126" t="s">
        <v>459</v>
      </c>
      <c r="B11" s="163" t="s">
        <v>24</v>
      </c>
      <c r="C11" s="461" t="s">
        <v>460</v>
      </c>
      <c r="D11" s="460"/>
      <c r="E11" s="101" t="s">
        <v>457</v>
      </c>
      <c r="F11" s="163" t="s">
        <v>458</v>
      </c>
      <c r="G11" s="98">
        <v>3.3330000000000002</v>
      </c>
      <c r="H11" s="102">
        <v>14.18</v>
      </c>
      <c r="I11" s="132">
        <f>H11*G11</f>
        <v>47.261940000000003</v>
      </c>
    </row>
    <row r="12" spans="1:9" x14ac:dyDescent="0.25">
      <c r="A12" s="462" t="s">
        <v>461</v>
      </c>
      <c r="B12" s="462"/>
      <c r="C12" s="462"/>
      <c r="D12" s="462"/>
      <c r="E12" s="462"/>
      <c r="F12" s="462"/>
      <c r="G12" s="462"/>
      <c r="H12" s="462"/>
      <c r="I12" s="104">
        <f>I10+I11</f>
        <v>110.9889</v>
      </c>
    </row>
    <row r="13" spans="1:9" x14ac:dyDescent="0.25">
      <c r="A13" s="162"/>
      <c r="B13" s="162"/>
      <c r="C13" s="162"/>
      <c r="D13" s="162"/>
      <c r="E13" s="162"/>
      <c r="F13" s="162"/>
      <c r="G13" s="162"/>
      <c r="H13" s="162"/>
      <c r="I13" s="104"/>
    </row>
    <row r="14" spans="1:9" x14ac:dyDescent="0.25">
      <c r="A14" s="449" t="s">
        <v>462</v>
      </c>
      <c r="B14" s="449"/>
      <c r="C14" s="449"/>
      <c r="D14" s="449"/>
      <c r="E14" s="449"/>
      <c r="F14" s="449"/>
      <c r="G14" s="449"/>
      <c r="H14" s="449"/>
      <c r="I14" s="449"/>
    </row>
    <row r="15" spans="1:9" x14ac:dyDescent="0.25">
      <c r="A15" s="93" t="s">
        <v>449</v>
      </c>
      <c r="B15" s="165" t="s">
        <v>12</v>
      </c>
      <c r="C15" s="458" t="s">
        <v>450</v>
      </c>
      <c r="D15" s="458"/>
      <c r="E15" s="458"/>
      <c r="F15" s="165" t="s">
        <v>451</v>
      </c>
      <c r="G15" s="94" t="s">
        <v>452</v>
      </c>
      <c r="H15" s="95" t="s">
        <v>453</v>
      </c>
      <c r="I15" s="96" t="s">
        <v>454</v>
      </c>
    </row>
    <row r="16" spans="1:9" x14ac:dyDescent="0.25">
      <c r="A16" s="111" t="s">
        <v>545</v>
      </c>
      <c r="B16" s="97"/>
      <c r="C16" s="474" t="s">
        <v>546</v>
      </c>
      <c r="D16" s="474"/>
      <c r="E16" s="474"/>
      <c r="F16" s="111" t="s">
        <v>114</v>
      </c>
      <c r="G16" s="138">
        <v>1.1200000000000001</v>
      </c>
      <c r="H16" s="112">
        <f>'COTAÇÕES '!P8</f>
        <v>316.66666666666669</v>
      </c>
      <c r="I16" s="99">
        <f>G16*H16</f>
        <v>354.66666666666674</v>
      </c>
    </row>
    <row r="17" spans="1:9" x14ac:dyDescent="0.25">
      <c r="A17" s="111" t="s">
        <v>547</v>
      </c>
      <c r="B17" s="163" t="s">
        <v>24</v>
      </c>
      <c r="C17" s="491" t="s">
        <v>548</v>
      </c>
      <c r="D17" s="492"/>
      <c r="E17" s="493"/>
      <c r="F17" s="111" t="s">
        <v>549</v>
      </c>
      <c r="G17" s="135">
        <v>8.6999999999999994E-3</v>
      </c>
      <c r="H17" s="112">
        <v>112.86</v>
      </c>
      <c r="I17" s="99">
        <f>G17*H17</f>
        <v>0.98188199999999992</v>
      </c>
    </row>
    <row r="18" spans="1:9" x14ac:dyDescent="0.25">
      <c r="A18" s="111" t="s">
        <v>550</v>
      </c>
      <c r="B18" s="163" t="s">
        <v>24</v>
      </c>
      <c r="C18" s="491" t="s">
        <v>551</v>
      </c>
      <c r="D18" s="492"/>
      <c r="E18" s="493"/>
      <c r="F18" s="111" t="s">
        <v>552</v>
      </c>
      <c r="G18" s="138">
        <v>3.78</v>
      </c>
      <c r="H18" s="112">
        <v>0.49</v>
      </c>
      <c r="I18" s="99">
        <f>G18*H18</f>
        <v>1.8521999999999998</v>
      </c>
    </row>
    <row r="19" spans="1:9" x14ac:dyDescent="0.25">
      <c r="A19" s="117"/>
      <c r="B19" s="117"/>
      <c r="C19" s="463"/>
      <c r="D19" s="463"/>
      <c r="E19" s="463"/>
      <c r="F19" s="118"/>
      <c r="G19" s="119"/>
      <c r="H19" s="120"/>
      <c r="I19" s="121"/>
    </row>
    <row r="20" spans="1:9" x14ac:dyDescent="0.25">
      <c r="A20" s="462" t="s">
        <v>463</v>
      </c>
      <c r="B20" s="462"/>
      <c r="C20" s="462"/>
      <c r="D20" s="462"/>
      <c r="E20" s="462"/>
      <c r="F20" s="462"/>
      <c r="G20" s="462"/>
      <c r="H20" s="462"/>
      <c r="I20" s="122">
        <f>SUM(I16:I19)</f>
        <v>357.50074866666671</v>
      </c>
    </row>
    <row r="21" spans="1:9" x14ac:dyDescent="0.25">
      <c r="A21" s="162"/>
      <c r="B21" s="162"/>
      <c r="C21" s="162"/>
      <c r="D21" s="162"/>
      <c r="E21" s="162"/>
      <c r="F21" s="162"/>
      <c r="G21" s="162"/>
      <c r="H21" s="162"/>
      <c r="I21" s="104"/>
    </row>
    <row r="22" spans="1:9" x14ac:dyDescent="0.25">
      <c r="A22" s="162"/>
      <c r="B22" s="162"/>
      <c r="C22" s="162"/>
      <c r="D22" s="162"/>
      <c r="E22" s="162"/>
      <c r="F22" s="162"/>
      <c r="G22" s="162"/>
      <c r="H22" s="162"/>
      <c r="I22" s="104"/>
    </row>
    <row r="23" spans="1:9" x14ac:dyDescent="0.25">
      <c r="A23" s="464" t="s">
        <v>464</v>
      </c>
      <c r="B23" s="464"/>
      <c r="C23" s="464"/>
      <c r="D23" s="464"/>
      <c r="E23" s="464"/>
      <c r="F23" s="464"/>
      <c r="G23" s="464"/>
      <c r="H23" s="464"/>
      <c r="I23" s="464"/>
    </row>
    <row r="24" spans="1:9" x14ac:dyDescent="0.25">
      <c r="A24" s="100"/>
      <c r="B24" s="163"/>
      <c r="C24" s="465" t="s">
        <v>450</v>
      </c>
      <c r="D24" s="465"/>
      <c r="E24" s="465"/>
      <c r="F24" s="163" t="s">
        <v>451</v>
      </c>
      <c r="G24" s="105" t="s">
        <v>452</v>
      </c>
      <c r="H24" s="102" t="s">
        <v>453</v>
      </c>
      <c r="I24" s="103" t="s">
        <v>454</v>
      </c>
    </row>
    <row r="25" spans="1:9" x14ac:dyDescent="0.25">
      <c r="A25" s="106"/>
      <c r="B25" s="106"/>
      <c r="C25" s="455"/>
      <c r="D25" s="456"/>
      <c r="E25" s="457"/>
      <c r="F25" s="107"/>
      <c r="G25" s="107"/>
      <c r="H25" s="108"/>
      <c r="I25" s="109"/>
    </row>
    <row r="26" spans="1:9" x14ac:dyDescent="0.25">
      <c r="A26" s="462" t="s">
        <v>465</v>
      </c>
      <c r="B26" s="462"/>
      <c r="C26" s="462"/>
      <c r="D26" s="462"/>
      <c r="E26" s="462"/>
      <c r="F26" s="462"/>
      <c r="G26" s="462"/>
      <c r="H26" s="462"/>
      <c r="I26" s="110">
        <f>I25</f>
        <v>0</v>
      </c>
    </row>
    <row r="27" spans="1:9" x14ac:dyDescent="0.25">
      <c r="A27" s="467"/>
      <c r="B27" s="468"/>
      <c r="C27" s="468"/>
      <c r="D27" s="468"/>
      <c r="E27" s="468"/>
      <c r="F27" s="468"/>
      <c r="G27" s="468"/>
      <c r="H27" s="468"/>
      <c r="I27" s="469"/>
    </row>
    <row r="28" spans="1:9" x14ac:dyDescent="0.25">
      <c r="A28" s="449" t="s">
        <v>466</v>
      </c>
      <c r="B28" s="449"/>
      <c r="C28" s="449"/>
      <c r="D28" s="449"/>
      <c r="E28" s="449"/>
      <c r="F28" s="449"/>
      <c r="G28" s="449"/>
      <c r="H28" s="449"/>
      <c r="I28" s="449"/>
    </row>
    <row r="29" spans="1:9" x14ac:dyDescent="0.25">
      <c r="A29" s="466" t="s">
        <v>467</v>
      </c>
      <c r="B29" s="466"/>
      <c r="C29" s="466"/>
      <c r="D29" s="466"/>
      <c r="E29" s="466"/>
      <c r="F29" s="466"/>
      <c r="G29" s="466"/>
      <c r="H29" s="466"/>
      <c r="I29" s="123">
        <f>I12</f>
        <v>110.9889</v>
      </c>
    </row>
    <row r="30" spans="1:9" x14ac:dyDescent="0.25">
      <c r="A30" s="466" t="s">
        <v>468</v>
      </c>
      <c r="B30" s="466"/>
      <c r="C30" s="466"/>
      <c r="D30" s="466"/>
      <c r="E30" s="466"/>
      <c r="F30" s="466"/>
      <c r="G30" s="466"/>
      <c r="H30" s="466"/>
      <c r="I30" s="123">
        <f>I20</f>
        <v>357.50074866666671</v>
      </c>
    </row>
    <row r="31" spans="1:9" x14ac:dyDescent="0.25">
      <c r="A31" s="466" t="s">
        <v>469</v>
      </c>
      <c r="B31" s="466"/>
      <c r="C31" s="466"/>
      <c r="D31" s="466"/>
      <c r="E31" s="466"/>
      <c r="F31" s="466"/>
      <c r="G31" s="466"/>
      <c r="H31" s="466"/>
      <c r="I31" s="123">
        <f>I26</f>
        <v>0</v>
      </c>
    </row>
    <row r="32" spans="1:9" x14ac:dyDescent="0.25">
      <c r="A32" s="466" t="s">
        <v>470</v>
      </c>
      <c r="B32" s="466"/>
      <c r="C32" s="466"/>
      <c r="D32" s="466"/>
      <c r="E32" s="466"/>
      <c r="F32" s="466"/>
      <c r="G32" s="466"/>
      <c r="H32" s="466"/>
      <c r="I32" s="130">
        <f>SUM(I29:I30)</f>
        <v>468.48964866666671</v>
      </c>
    </row>
  </sheetData>
  <mergeCells count="27">
    <mergeCell ref="A8:I8"/>
    <mergeCell ref="A1:H4"/>
    <mergeCell ref="I1:I2"/>
    <mergeCell ref="A5:H6"/>
    <mergeCell ref="I5:I6"/>
    <mergeCell ref="A7:I7"/>
    <mergeCell ref="C25:E25"/>
    <mergeCell ref="C9:E9"/>
    <mergeCell ref="C10:D10"/>
    <mergeCell ref="C11:D11"/>
    <mergeCell ref="A12:H12"/>
    <mergeCell ref="A14:I14"/>
    <mergeCell ref="C15:E15"/>
    <mergeCell ref="C16:E16"/>
    <mergeCell ref="C19:E19"/>
    <mergeCell ref="A20:H20"/>
    <mergeCell ref="A23:I23"/>
    <mergeCell ref="C24:E24"/>
    <mergeCell ref="C17:E17"/>
    <mergeCell ref="C18:E18"/>
    <mergeCell ref="A32:H32"/>
    <mergeCell ref="A26:H26"/>
    <mergeCell ref="A27:I27"/>
    <mergeCell ref="A28:I28"/>
    <mergeCell ref="A29:H29"/>
    <mergeCell ref="A30:H30"/>
    <mergeCell ref="A31:H31"/>
  </mergeCells>
  <pageMargins left="0.511811024" right="0.511811024" top="0.78740157499999996" bottom="0.78740157499999996" header="0.31496062000000002" footer="0.31496062000000002"/>
  <pageSetup paperSize="9" scale="8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selection activeCell="A10" sqref="A10"/>
    </sheetView>
  </sheetViews>
  <sheetFormatPr defaultRowHeight="15" x14ac:dyDescent="0.25"/>
  <cols>
    <col min="1" max="1" width="12.28515625" style="299" customWidth="1"/>
    <col min="2" max="2" width="10" style="299" bestFit="1" customWidth="1"/>
    <col min="3" max="3" width="9.140625" style="300" bestFit="1" customWidth="1"/>
    <col min="4" max="4" width="20.5703125" style="300" customWidth="1"/>
    <col min="5" max="5" width="20.7109375" style="300" customWidth="1"/>
    <col min="6" max="6" width="5" style="300" bestFit="1" customWidth="1"/>
    <col min="7" max="7" width="8.5703125" style="300" bestFit="1" customWidth="1"/>
    <col min="8" max="8" width="8.42578125" style="300" bestFit="1" customWidth="1"/>
    <col min="9" max="9" width="11" style="300" bestFit="1" customWidth="1"/>
  </cols>
  <sheetData>
    <row r="1" spans="1:9" ht="15" customHeight="1" x14ac:dyDescent="0.25">
      <c r="A1" s="450" t="s">
        <v>443</v>
      </c>
      <c r="B1" s="450"/>
      <c r="C1" s="450"/>
      <c r="D1" s="450"/>
      <c r="E1" s="450"/>
      <c r="F1" s="450"/>
      <c r="G1" s="450"/>
      <c r="H1" s="450"/>
      <c r="I1" s="451" t="s">
        <v>444</v>
      </c>
    </row>
    <row r="2" spans="1:9" x14ac:dyDescent="0.25">
      <c r="A2" s="450"/>
      <c r="B2" s="450"/>
      <c r="C2" s="450"/>
      <c r="D2" s="450"/>
      <c r="E2" s="450"/>
      <c r="F2" s="450"/>
      <c r="G2" s="450"/>
      <c r="H2" s="450"/>
      <c r="I2" s="451"/>
    </row>
    <row r="3" spans="1:9" x14ac:dyDescent="0.25">
      <c r="A3" s="450"/>
      <c r="B3" s="450"/>
      <c r="C3" s="450"/>
      <c r="D3" s="450"/>
      <c r="E3" s="450"/>
      <c r="F3" s="450"/>
      <c r="G3" s="450"/>
      <c r="H3" s="450"/>
      <c r="I3" s="301">
        <v>44652</v>
      </c>
    </row>
    <row r="4" spans="1:9" x14ac:dyDescent="0.25">
      <c r="A4" s="450"/>
      <c r="B4" s="450"/>
      <c r="C4" s="450"/>
      <c r="D4" s="450"/>
      <c r="E4" s="450"/>
      <c r="F4" s="450"/>
      <c r="G4" s="450"/>
      <c r="H4" s="450"/>
      <c r="I4" s="166" t="s">
        <v>76</v>
      </c>
    </row>
    <row r="5" spans="1:9" x14ac:dyDescent="0.25">
      <c r="A5" s="452" t="s">
        <v>553</v>
      </c>
      <c r="B5" s="452"/>
      <c r="C5" s="452"/>
      <c r="D5" s="452"/>
      <c r="E5" s="452"/>
      <c r="F5" s="452"/>
      <c r="G5" s="452"/>
      <c r="H5" s="452"/>
      <c r="I5" s="453" t="s">
        <v>446</v>
      </c>
    </row>
    <row r="6" spans="1:9" x14ac:dyDescent="0.25">
      <c r="A6" s="452"/>
      <c r="B6" s="452"/>
      <c r="C6" s="452"/>
      <c r="D6" s="452"/>
      <c r="E6" s="452"/>
      <c r="F6" s="452"/>
      <c r="G6" s="452"/>
      <c r="H6" s="452"/>
      <c r="I6" s="453"/>
    </row>
    <row r="7" spans="1:9" x14ac:dyDescent="0.25">
      <c r="A7" s="454" t="s">
        <v>554</v>
      </c>
      <c r="B7" s="454"/>
      <c r="C7" s="454"/>
      <c r="D7" s="454"/>
      <c r="E7" s="454"/>
      <c r="F7" s="454"/>
      <c r="G7" s="454"/>
      <c r="H7" s="454"/>
      <c r="I7" s="454"/>
    </row>
    <row r="8" spans="1:9" x14ac:dyDescent="0.25">
      <c r="A8" s="449" t="s">
        <v>448</v>
      </c>
      <c r="B8" s="449"/>
      <c r="C8" s="449"/>
      <c r="D8" s="449"/>
      <c r="E8" s="449"/>
      <c r="F8" s="449"/>
      <c r="G8" s="449"/>
      <c r="H8" s="449"/>
      <c r="I8" s="449"/>
    </row>
    <row r="9" spans="1:9" x14ac:dyDescent="0.25">
      <c r="A9" s="93" t="s">
        <v>449</v>
      </c>
      <c r="B9" s="165" t="s">
        <v>12</v>
      </c>
      <c r="C9" s="458" t="s">
        <v>450</v>
      </c>
      <c r="D9" s="458"/>
      <c r="E9" s="458"/>
      <c r="F9" s="165" t="s">
        <v>451</v>
      </c>
      <c r="G9" s="94" t="s">
        <v>452</v>
      </c>
      <c r="H9" s="95" t="s">
        <v>453</v>
      </c>
      <c r="I9" s="96" t="s">
        <v>454</v>
      </c>
    </row>
    <row r="10" spans="1:9" x14ac:dyDescent="0.25">
      <c r="A10" s="126" t="s">
        <v>609</v>
      </c>
      <c r="B10" s="126" t="s">
        <v>24</v>
      </c>
      <c r="C10" s="459" t="s">
        <v>555</v>
      </c>
      <c r="D10" s="459"/>
      <c r="E10" s="302" t="s">
        <v>457</v>
      </c>
      <c r="F10" s="126" t="s">
        <v>458</v>
      </c>
      <c r="G10" s="303">
        <v>0.7</v>
      </c>
      <c r="H10" s="304">
        <v>16.13</v>
      </c>
      <c r="I10" s="305">
        <f>G10*H10</f>
        <v>11.290999999999999</v>
      </c>
    </row>
    <row r="11" spans="1:9" x14ac:dyDescent="0.25">
      <c r="A11" s="462" t="s">
        <v>461</v>
      </c>
      <c r="B11" s="462"/>
      <c r="C11" s="462"/>
      <c r="D11" s="462"/>
      <c r="E11" s="462"/>
      <c r="F11" s="462"/>
      <c r="G11" s="462"/>
      <c r="H11" s="462"/>
      <c r="I11" s="104">
        <f>I10</f>
        <v>11.290999999999999</v>
      </c>
    </row>
    <row r="12" spans="1:9" x14ac:dyDescent="0.25">
      <c r="A12" s="162"/>
      <c r="B12" s="162"/>
      <c r="C12" s="162"/>
      <c r="D12" s="162"/>
      <c r="E12" s="162"/>
      <c r="F12" s="162"/>
      <c r="G12" s="162"/>
      <c r="H12" s="162"/>
      <c r="I12" s="104"/>
    </row>
    <row r="13" spans="1:9" x14ac:dyDescent="0.25">
      <c r="A13" s="449" t="s">
        <v>462</v>
      </c>
      <c r="B13" s="449"/>
      <c r="C13" s="449"/>
      <c r="D13" s="449"/>
      <c r="E13" s="449"/>
      <c r="F13" s="449"/>
      <c r="G13" s="449"/>
      <c r="H13" s="449"/>
      <c r="I13" s="449"/>
    </row>
    <row r="14" spans="1:9" x14ac:dyDescent="0.25">
      <c r="A14" s="93" t="s">
        <v>449</v>
      </c>
      <c r="B14" s="165" t="s">
        <v>12</v>
      </c>
      <c r="C14" s="458" t="s">
        <v>450</v>
      </c>
      <c r="D14" s="458"/>
      <c r="E14" s="458"/>
      <c r="F14" s="165" t="s">
        <v>451</v>
      </c>
      <c r="G14" s="94" t="s">
        <v>452</v>
      </c>
      <c r="H14" s="95" t="s">
        <v>453</v>
      </c>
      <c r="I14" s="96" t="s">
        <v>454</v>
      </c>
    </row>
    <row r="15" spans="1:9" ht="15" customHeight="1" x14ac:dyDescent="0.25">
      <c r="A15" s="306"/>
      <c r="B15" s="307"/>
      <c r="C15" s="494"/>
      <c r="D15" s="494"/>
      <c r="E15" s="494"/>
      <c r="F15" s="306"/>
      <c r="G15" s="308"/>
      <c r="H15" s="309"/>
      <c r="I15" s="310"/>
    </row>
    <row r="16" spans="1:9" x14ac:dyDescent="0.25">
      <c r="A16" s="306"/>
      <c r="B16" s="126"/>
      <c r="C16" s="495"/>
      <c r="D16" s="496"/>
      <c r="E16" s="497"/>
      <c r="F16" s="306"/>
      <c r="G16" s="311"/>
      <c r="H16" s="309"/>
      <c r="I16" s="310"/>
    </row>
    <row r="17" spans="1:9" x14ac:dyDescent="0.25">
      <c r="A17" s="306"/>
      <c r="B17" s="126"/>
      <c r="C17" s="495"/>
      <c r="D17" s="496"/>
      <c r="E17" s="497"/>
      <c r="F17" s="306"/>
      <c r="G17" s="308"/>
      <c r="H17" s="309"/>
      <c r="I17" s="310"/>
    </row>
    <row r="18" spans="1:9" x14ac:dyDescent="0.25">
      <c r="A18" s="117"/>
      <c r="B18" s="117"/>
      <c r="C18" s="463"/>
      <c r="D18" s="463"/>
      <c r="E18" s="463"/>
      <c r="F18" s="118"/>
      <c r="G18" s="119"/>
      <c r="H18" s="120"/>
      <c r="I18" s="121"/>
    </row>
    <row r="19" spans="1:9" x14ac:dyDescent="0.25">
      <c r="A19" s="462" t="s">
        <v>463</v>
      </c>
      <c r="B19" s="462"/>
      <c r="C19" s="462"/>
      <c r="D19" s="462"/>
      <c r="E19" s="462"/>
      <c r="F19" s="462"/>
      <c r="G19" s="462"/>
      <c r="H19" s="462"/>
      <c r="I19" s="122">
        <f>SUM(I15:I18)</f>
        <v>0</v>
      </c>
    </row>
    <row r="20" spans="1:9" x14ac:dyDescent="0.25">
      <c r="A20" s="162"/>
      <c r="B20" s="162"/>
      <c r="C20" s="162"/>
      <c r="D20" s="162"/>
      <c r="E20" s="162"/>
      <c r="F20" s="162"/>
      <c r="G20" s="162"/>
      <c r="H20" s="162"/>
      <c r="I20" s="104"/>
    </row>
    <row r="21" spans="1:9" x14ac:dyDescent="0.25">
      <c r="A21" s="162"/>
      <c r="B21" s="162"/>
      <c r="C21" s="162"/>
      <c r="D21" s="162"/>
      <c r="E21" s="162"/>
      <c r="F21" s="162"/>
      <c r="G21" s="162"/>
      <c r="H21" s="162"/>
      <c r="I21" s="104"/>
    </row>
    <row r="22" spans="1:9" x14ac:dyDescent="0.25">
      <c r="A22" s="464" t="s">
        <v>464</v>
      </c>
      <c r="B22" s="464"/>
      <c r="C22" s="464"/>
      <c r="D22" s="464"/>
      <c r="E22" s="464"/>
      <c r="F22" s="464"/>
      <c r="G22" s="464"/>
      <c r="H22" s="464"/>
      <c r="I22" s="464"/>
    </row>
    <row r="23" spans="1:9" ht="15" customHeight="1" x14ac:dyDescent="0.25">
      <c r="A23" s="312"/>
      <c r="B23" s="126"/>
      <c r="C23" s="498" t="s">
        <v>450</v>
      </c>
      <c r="D23" s="498"/>
      <c r="E23" s="498"/>
      <c r="F23" s="126" t="s">
        <v>451</v>
      </c>
      <c r="G23" s="313" t="s">
        <v>452</v>
      </c>
      <c r="H23" s="304" t="s">
        <v>453</v>
      </c>
      <c r="I23" s="314" t="s">
        <v>454</v>
      </c>
    </row>
    <row r="24" spans="1:9" x14ac:dyDescent="0.25">
      <c r="A24" s="315"/>
      <c r="B24" s="315"/>
      <c r="C24" s="499"/>
      <c r="D24" s="500"/>
      <c r="E24" s="501"/>
      <c r="F24" s="316"/>
      <c r="G24" s="316"/>
      <c r="H24" s="317"/>
      <c r="I24" s="318"/>
    </row>
    <row r="25" spans="1:9" x14ac:dyDescent="0.25">
      <c r="A25" s="462" t="s">
        <v>465</v>
      </c>
      <c r="B25" s="462"/>
      <c r="C25" s="462"/>
      <c r="D25" s="462"/>
      <c r="E25" s="462"/>
      <c r="F25" s="462"/>
      <c r="G25" s="462"/>
      <c r="H25" s="462"/>
      <c r="I25" s="110">
        <f>I24</f>
        <v>0</v>
      </c>
    </row>
    <row r="26" spans="1:9" x14ac:dyDescent="0.25">
      <c r="A26" s="467"/>
      <c r="B26" s="468"/>
      <c r="C26" s="468"/>
      <c r="D26" s="468"/>
      <c r="E26" s="468"/>
      <c r="F26" s="468"/>
      <c r="G26" s="468"/>
      <c r="H26" s="468"/>
      <c r="I26" s="469"/>
    </row>
    <row r="27" spans="1:9" x14ac:dyDescent="0.25">
      <c r="A27" s="449" t="s">
        <v>466</v>
      </c>
      <c r="B27" s="449"/>
      <c r="C27" s="449"/>
      <c r="D27" s="449"/>
      <c r="E27" s="449"/>
      <c r="F27" s="449"/>
      <c r="G27" s="449"/>
      <c r="H27" s="449"/>
      <c r="I27" s="449"/>
    </row>
    <row r="28" spans="1:9" x14ac:dyDescent="0.25">
      <c r="A28" s="466" t="s">
        <v>467</v>
      </c>
      <c r="B28" s="466"/>
      <c r="C28" s="466"/>
      <c r="D28" s="466"/>
      <c r="E28" s="466"/>
      <c r="F28" s="466"/>
      <c r="G28" s="466"/>
      <c r="H28" s="466"/>
      <c r="I28" s="123">
        <f>I11</f>
        <v>11.290999999999999</v>
      </c>
    </row>
    <row r="29" spans="1:9" x14ac:dyDescent="0.25">
      <c r="A29" s="466" t="s">
        <v>468</v>
      </c>
      <c r="B29" s="466"/>
      <c r="C29" s="466"/>
      <c r="D29" s="466"/>
      <c r="E29" s="466"/>
      <c r="F29" s="466"/>
      <c r="G29" s="466"/>
      <c r="H29" s="466"/>
      <c r="I29" s="123">
        <f>I19</f>
        <v>0</v>
      </c>
    </row>
    <row r="30" spans="1:9" x14ac:dyDescent="0.25">
      <c r="A30" s="466" t="s">
        <v>469</v>
      </c>
      <c r="B30" s="466"/>
      <c r="C30" s="466"/>
      <c r="D30" s="466"/>
      <c r="E30" s="466"/>
      <c r="F30" s="466"/>
      <c r="G30" s="466"/>
      <c r="H30" s="466"/>
      <c r="I30" s="123">
        <f>I25</f>
        <v>0</v>
      </c>
    </row>
    <row r="31" spans="1:9" x14ac:dyDescent="0.25">
      <c r="A31" s="466" t="s">
        <v>470</v>
      </c>
      <c r="B31" s="466"/>
      <c r="C31" s="466"/>
      <c r="D31" s="466"/>
      <c r="E31" s="466"/>
      <c r="F31" s="466"/>
      <c r="G31" s="466"/>
      <c r="H31" s="466"/>
      <c r="I31" s="130">
        <f>SUM(I28:I29)</f>
        <v>11.290999999999999</v>
      </c>
    </row>
  </sheetData>
  <mergeCells count="26">
    <mergeCell ref="A29:H29"/>
    <mergeCell ref="A30:H30"/>
    <mergeCell ref="A31:H31"/>
    <mergeCell ref="C23:E23"/>
    <mergeCell ref="C24:E24"/>
    <mergeCell ref="A25:H25"/>
    <mergeCell ref="A26:I26"/>
    <mergeCell ref="A27:I27"/>
    <mergeCell ref="A28:H28"/>
    <mergeCell ref="A22:I22"/>
    <mergeCell ref="C9:E9"/>
    <mergeCell ref="C10:D10"/>
    <mergeCell ref="A11:H11"/>
    <mergeCell ref="A13:I13"/>
    <mergeCell ref="C14:E14"/>
    <mergeCell ref="C15:E15"/>
    <mergeCell ref="C16:E16"/>
    <mergeCell ref="C17:E17"/>
    <mergeCell ref="C18:E18"/>
    <mergeCell ref="A19:H19"/>
    <mergeCell ref="A8:I8"/>
    <mergeCell ref="A1:H4"/>
    <mergeCell ref="I1:I2"/>
    <mergeCell ref="A5:H6"/>
    <mergeCell ref="I5:I6"/>
    <mergeCell ref="A7:I7"/>
  </mergeCells>
  <pageMargins left="0.7" right="0.7" top="0.75" bottom="0.75" header="0.3" footer="0.3"/>
  <pageSetup paperSize="9" scale="82"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view="pageBreakPreview" topLeftCell="H1" zoomScaleNormal="100" zoomScaleSheetLayoutView="100" workbookViewId="0">
      <selection activeCell="M12" sqref="M12"/>
    </sheetView>
  </sheetViews>
  <sheetFormatPr defaultRowHeight="15" x14ac:dyDescent="0.25"/>
  <cols>
    <col min="1" max="1" width="11.7109375" customWidth="1"/>
    <col min="2" max="2" width="18.5703125" customWidth="1"/>
    <col min="3" max="3" width="50.42578125" bestFit="1" customWidth="1"/>
    <col min="4" max="4" width="26.42578125" bestFit="1" customWidth="1"/>
    <col min="5" max="5" width="34" customWidth="1"/>
    <col min="6" max="6" width="18.7109375" bestFit="1" customWidth="1"/>
    <col min="7" max="7" width="14" bestFit="1" customWidth="1"/>
    <col min="8" max="8" width="24.85546875" customWidth="1"/>
    <col min="9" max="9" width="38.85546875" customWidth="1"/>
    <col min="10" max="10" width="19.140625" bestFit="1" customWidth="1"/>
    <col min="11" max="11" width="14" bestFit="1" customWidth="1"/>
    <col min="12" max="12" width="24.42578125" bestFit="1" customWidth="1"/>
    <col min="13" max="13" width="36.85546875" customWidth="1"/>
    <col min="14" max="14" width="16.28515625" bestFit="1" customWidth="1"/>
    <col min="15" max="15" width="14" bestFit="1" customWidth="1"/>
    <col min="16" max="16" width="18.7109375" bestFit="1" customWidth="1"/>
    <col min="17" max="17" width="24" customWidth="1"/>
  </cols>
  <sheetData>
    <row r="1" spans="1:17" ht="15" customHeight="1" x14ac:dyDescent="0.25">
      <c r="A1" s="502"/>
      <c r="B1" s="505" t="s">
        <v>0</v>
      </c>
      <c r="C1" s="506"/>
      <c r="D1" s="506"/>
      <c r="E1" s="506"/>
      <c r="F1" s="506"/>
      <c r="G1" s="506"/>
      <c r="H1" s="506"/>
      <c r="I1" s="506"/>
      <c r="J1" s="506"/>
      <c r="K1" s="506"/>
      <c r="L1" s="506"/>
      <c r="M1" s="506"/>
      <c r="N1" s="506"/>
      <c r="O1" s="506"/>
      <c r="P1" s="506"/>
      <c r="Q1" s="507"/>
    </row>
    <row r="2" spans="1:17" ht="15.75" x14ac:dyDescent="0.25">
      <c r="A2" s="503"/>
      <c r="B2" s="505" t="s">
        <v>556</v>
      </c>
      <c r="C2" s="506"/>
      <c r="D2" s="506"/>
      <c r="E2" s="506"/>
      <c r="F2" s="506"/>
      <c r="G2" s="506"/>
      <c r="H2" s="506"/>
      <c r="I2" s="506"/>
      <c r="J2" s="506"/>
      <c r="K2" s="506"/>
      <c r="L2" s="506"/>
      <c r="M2" s="506"/>
      <c r="N2" s="506"/>
      <c r="O2" s="506"/>
      <c r="P2" s="506"/>
      <c r="Q2" s="507"/>
    </row>
    <row r="3" spans="1:17" ht="15" customHeight="1" x14ac:dyDescent="0.25">
      <c r="A3" s="503"/>
      <c r="B3" s="505" t="s">
        <v>557</v>
      </c>
      <c r="C3" s="506"/>
      <c r="D3" s="506"/>
      <c r="E3" s="506"/>
      <c r="F3" s="506"/>
      <c r="G3" s="506"/>
      <c r="H3" s="506"/>
      <c r="I3" s="506"/>
      <c r="J3" s="506"/>
      <c r="K3" s="506"/>
      <c r="L3" s="506"/>
      <c r="M3" s="506"/>
      <c r="N3" s="506"/>
      <c r="O3" s="506"/>
      <c r="P3" s="506"/>
      <c r="Q3" s="507"/>
    </row>
    <row r="4" spans="1:17" ht="15" customHeight="1" x14ac:dyDescent="0.25">
      <c r="A4" s="503"/>
      <c r="B4" s="505" t="s">
        <v>5</v>
      </c>
      <c r="C4" s="506"/>
      <c r="D4" s="506"/>
      <c r="E4" s="506"/>
      <c r="F4" s="506"/>
      <c r="G4" s="506"/>
      <c r="H4" s="506"/>
      <c r="I4" s="506"/>
      <c r="J4" s="506"/>
      <c r="K4" s="506"/>
      <c r="L4" s="506"/>
      <c r="M4" s="506"/>
      <c r="N4" s="506"/>
      <c r="O4" s="506"/>
      <c r="P4" s="506"/>
      <c r="Q4" s="507"/>
    </row>
    <row r="5" spans="1:17" ht="15" customHeight="1" x14ac:dyDescent="0.25">
      <c r="A5" s="504"/>
      <c r="B5" s="505" t="s">
        <v>296</v>
      </c>
      <c r="C5" s="506"/>
      <c r="D5" s="506"/>
      <c r="E5" s="506"/>
      <c r="F5" s="506"/>
      <c r="G5" s="506"/>
      <c r="H5" s="506"/>
      <c r="I5" s="506"/>
      <c r="J5" s="506"/>
      <c r="K5" s="506"/>
      <c r="L5" s="506"/>
      <c r="M5" s="506"/>
      <c r="N5" s="506"/>
      <c r="O5" s="506"/>
      <c r="P5" s="506"/>
      <c r="Q5" s="507"/>
    </row>
    <row r="6" spans="1:17" x14ac:dyDescent="0.25">
      <c r="A6" s="509" t="s">
        <v>558</v>
      </c>
      <c r="B6" s="510" t="s">
        <v>559</v>
      </c>
      <c r="C6" s="511" t="s">
        <v>450</v>
      </c>
      <c r="D6" s="512" t="s">
        <v>560</v>
      </c>
      <c r="E6" s="512" t="s">
        <v>561</v>
      </c>
      <c r="F6" s="514" t="s">
        <v>562</v>
      </c>
      <c r="G6" s="515" t="s">
        <v>563</v>
      </c>
      <c r="H6" s="516" t="s">
        <v>564</v>
      </c>
      <c r="I6" s="518" t="s">
        <v>561</v>
      </c>
      <c r="J6" s="519" t="s">
        <v>562</v>
      </c>
      <c r="K6" s="521" t="s">
        <v>565</v>
      </c>
      <c r="L6" s="508" t="s">
        <v>566</v>
      </c>
      <c r="M6" s="508" t="s">
        <v>561</v>
      </c>
      <c r="N6" s="523" t="s">
        <v>562</v>
      </c>
      <c r="O6" s="524" t="s">
        <v>565</v>
      </c>
      <c r="P6" s="526" t="s">
        <v>567</v>
      </c>
      <c r="Q6" s="526" t="s">
        <v>568</v>
      </c>
    </row>
    <row r="7" spans="1:17" ht="21.75" customHeight="1" x14ac:dyDescent="0.25">
      <c r="A7" s="509"/>
      <c r="B7" s="511"/>
      <c r="C7" s="509"/>
      <c r="D7" s="512"/>
      <c r="E7" s="513"/>
      <c r="F7" s="514"/>
      <c r="G7" s="515"/>
      <c r="H7" s="517"/>
      <c r="I7" s="516"/>
      <c r="J7" s="520"/>
      <c r="K7" s="521"/>
      <c r="L7" s="508"/>
      <c r="M7" s="522"/>
      <c r="N7" s="522"/>
      <c r="O7" s="525"/>
      <c r="P7" s="527"/>
      <c r="Q7" s="527"/>
    </row>
    <row r="8" spans="1:17" ht="72" customHeight="1" x14ac:dyDescent="0.25">
      <c r="A8" s="210">
        <v>1</v>
      </c>
      <c r="B8" s="218" t="s">
        <v>90</v>
      </c>
      <c r="C8" s="211" t="s">
        <v>569</v>
      </c>
      <c r="D8" s="212" t="s">
        <v>570</v>
      </c>
      <c r="E8" s="217" t="s">
        <v>571</v>
      </c>
      <c r="F8" s="213">
        <v>350</v>
      </c>
      <c r="G8" s="214">
        <v>44693</v>
      </c>
      <c r="H8" s="212" t="s">
        <v>572</v>
      </c>
      <c r="I8" s="217" t="s">
        <v>573</v>
      </c>
      <c r="J8" s="213">
        <v>300</v>
      </c>
      <c r="K8" s="214">
        <v>44694</v>
      </c>
      <c r="L8" s="212" t="s">
        <v>574</v>
      </c>
      <c r="M8" s="217" t="s">
        <v>575</v>
      </c>
      <c r="N8" s="213">
        <v>300</v>
      </c>
      <c r="O8" s="214">
        <v>44694</v>
      </c>
      <c r="P8" s="216">
        <f t="shared" ref="P8:P11" si="0">(F8+J8+N8)/3</f>
        <v>316.66666666666669</v>
      </c>
      <c r="Q8" s="211" t="s">
        <v>576</v>
      </c>
    </row>
    <row r="9" spans="1:17" ht="189" customHeight="1" x14ac:dyDescent="0.25">
      <c r="A9" s="210">
        <v>2</v>
      </c>
      <c r="B9" s="210" t="s">
        <v>577</v>
      </c>
      <c r="C9" s="211" t="s">
        <v>578</v>
      </c>
      <c r="D9" s="212" t="s">
        <v>579</v>
      </c>
      <c r="E9" s="219" t="s">
        <v>580</v>
      </c>
      <c r="F9" s="213">
        <v>2.0299999999999998</v>
      </c>
      <c r="G9" s="214">
        <v>44642</v>
      </c>
      <c r="H9" s="212" t="s">
        <v>581</v>
      </c>
      <c r="I9" s="247" t="s">
        <v>582</v>
      </c>
      <c r="J9" s="213">
        <v>2.6</v>
      </c>
      <c r="K9" s="214">
        <v>44642</v>
      </c>
      <c r="L9" s="212" t="s">
        <v>583</v>
      </c>
      <c r="M9" s="219" t="s">
        <v>584</v>
      </c>
      <c r="N9" s="215">
        <v>2.25</v>
      </c>
      <c r="O9" s="214">
        <v>44642</v>
      </c>
      <c r="P9" s="216">
        <f>(F9+J9+N9)/3</f>
        <v>2.2933333333333334</v>
      </c>
      <c r="Q9" s="211" t="s">
        <v>576</v>
      </c>
    </row>
    <row r="10" spans="1:17" ht="68.25" customHeight="1" x14ac:dyDescent="0.25">
      <c r="A10" s="210">
        <v>3</v>
      </c>
      <c r="B10" s="210" t="s">
        <v>585</v>
      </c>
      <c r="C10" s="211" t="s">
        <v>586</v>
      </c>
      <c r="D10" s="212" t="s">
        <v>587</v>
      </c>
      <c r="E10" s="219" t="s">
        <v>588</v>
      </c>
      <c r="F10" s="213">
        <v>34.200000000000003</v>
      </c>
      <c r="G10" s="214">
        <v>44642</v>
      </c>
      <c r="H10" s="212" t="s">
        <v>589</v>
      </c>
      <c r="I10" s="219" t="s">
        <v>590</v>
      </c>
      <c r="J10" s="215">
        <v>47.9</v>
      </c>
      <c r="K10" s="214">
        <v>44642</v>
      </c>
      <c r="L10" s="212" t="s">
        <v>591</v>
      </c>
      <c r="M10" s="219" t="s">
        <v>592</v>
      </c>
      <c r="N10" s="215">
        <v>71.37</v>
      </c>
      <c r="O10" s="214">
        <v>44642</v>
      </c>
      <c r="P10" s="216">
        <f t="shared" si="0"/>
        <v>51.156666666666666</v>
      </c>
      <c r="Q10" s="211" t="s">
        <v>576</v>
      </c>
    </row>
    <row r="11" spans="1:17" ht="78.75" customHeight="1" x14ac:dyDescent="0.25">
      <c r="A11" s="210">
        <v>4</v>
      </c>
      <c r="B11" s="218" t="s">
        <v>593</v>
      </c>
      <c r="C11" s="211" t="s">
        <v>594</v>
      </c>
      <c r="D11" s="212" t="s">
        <v>587</v>
      </c>
      <c r="E11" s="219" t="s">
        <v>595</v>
      </c>
      <c r="F11" s="213">
        <v>67.069999999999993</v>
      </c>
      <c r="G11" s="214">
        <v>44642</v>
      </c>
      <c r="H11" s="212" t="s">
        <v>589</v>
      </c>
      <c r="I11" s="219" t="s">
        <v>596</v>
      </c>
      <c r="J11" s="213">
        <v>64.900000000000006</v>
      </c>
      <c r="K11" s="214">
        <v>44642</v>
      </c>
      <c r="L11" s="219" t="s">
        <v>591</v>
      </c>
      <c r="M11" s="219" t="s">
        <v>597</v>
      </c>
      <c r="N11" s="215">
        <v>62.85</v>
      </c>
      <c r="O11" s="214">
        <v>44642</v>
      </c>
      <c r="P11" s="216">
        <f t="shared" si="0"/>
        <v>64.94</v>
      </c>
      <c r="Q11" s="211" t="s">
        <v>576</v>
      </c>
    </row>
    <row r="12" spans="1:17" ht="240" customHeight="1" x14ac:dyDescent="0.25">
      <c r="A12" s="210">
        <v>5</v>
      </c>
      <c r="B12" s="218" t="s">
        <v>598</v>
      </c>
      <c r="C12" s="211" t="s">
        <v>539</v>
      </c>
      <c r="D12" s="211" t="s">
        <v>599</v>
      </c>
      <c r="E12" s="219" t="s">
        <v>600</v>
      </c>
      <c r="F12" s="213">
        <v>4560</v>
      </c>
      <c r="G12" s="214">
        <v>44644</v>
      </c>
      <c r="H12" s="212" t="s">
        <v>601</v>
      </c>
      <c r="I12" s="219" t="s">
        <v>602</v>
      </c>
      <c r="J12" s="213">
        <v>4529.5</v>
      </c>
      <c r="K12" s="214">
        <v>44644</v>
      </c>
      <c r="L12" s="211" t="s">
        <v>603</v>
      </c>
      <c r="M12" s="219" t="s">
        <v>604</v>
      </c>
      <c r="N12" s="215">
        <v>3609</v>
      </c>
      <c r="O12" s="214">
        <v>44644</v>
      </c>
      <c r="P12" s="216">
        <f>(F12+J12+N12)/3+230</f>
        <v>4462.833333333333</v>
      </c>
      <c r="Q12" s="211" t="s">
        <v>605</v>
      </c>
    </row>
  </sheetData>
  <mergeCells count="23">
    <mergeCell ref="M6:M7"/>
    <mergeCell ref="N6:N7"/>
    <mergeCell ref="O6:O7"/>
    <mergeCell ref="P6:P7"/>
    <mergeCell ref="Q6:Q7"/>
    <mergeCell ref="L6:L7"/>
    <mergeCell ref="A6:A7"/>
    <mergeCell ref="B6:B7"/>
    <mergeCell ref="C6:C7"/>
    <mergeCell ref="D6:D7"/>
    <mergeCell ref="E6:E7"/>
    <mergeCell ref="F6:F7"/>
    <mergeCell ref="G6:G7"/>
    <mergeCell ref="H6:H7"/>
    <mergeCell ref="I6:I7"/>
    <mergeCell ref="J6:J7"/>
    <mergeCell ref="K6:K7"/>
    <mergeCell ref="A1:A5"/>
    <mergeCell ref="B1:Q1"/>
    <mergeCell ref="B2:Q2"/>
    <mergeCell ref="B3:Q3"/>
    <mergeCell ref="B4:Q4"/>
    <mergeCell ref="B5:Q5"/>
  </mergeCells>
  <hyperlinks>
    <hyperlink ref="E9" r:id="rId1"/>
    <hyperlink ref="I9" r:id="rId2"/>
    <hyperlink ref="M9" display="https://www.anhangueraferramentas.com.br/produto/abracadeira-de-aco-tipo-u-comum-2-susl2z-supera-108773?utm_source=google&amp;utm_medium=cpc&amp;utm_campaign=https://www.anhangueraferramentas.com.br/produto/abracadeira-de-aco-tipo-u-comum-2-susl2z-supera-108773?u"/>
    <hyperlink ref="E10" r:id="rId3"/>
    <hyperlink ref="I10" r:id="rId4"/>
    <hyperlink ref="M10" r:id="rId5"/>
    <hyperlink ref="M11" r:id="rId6"/>
    <hyperlink ref="L11" r:id="rId7" display="www.dimensional.com.br"/>
    <hyperlink ref="E11" r:id="rId8"/>
    <hyperlink ref="I11" r:id="rId9"/>
    <hyperlink ref="E12" r:id="rId10"/>
    <hyperlink ref="I12" r:id="rId11"/>
    <hyperlink ref="M12" r:id="rId12"/>
  </hyperlinks>
  <pageMargins left="0.51181102362204722" right="0.51181102362204722" top="0.78740157480314965" bottom="0.78740157480314965" header="0.31496062992125984" footer="0.31496062992125984"/>
  <pageSetup paperSize="9" scale="33" fitToHeight="0" orientation="landscape"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BreakPreview" topLeftCell="A7" zoomScale="85" zoomScaleNormal="85" zoomScaleSheetLayoutView="85" workbookViewId="0">
      <selection activeCell="F13" sqref="F13"/>
    </sheetView>
  </sheetViews>
  <sheetFormatPr defaultColWidth="21.140625" defaultRowHeight="15" customHeight="1" x14ac:dyDescent="0.25"/>
  <cols>
    <col min="1" max="1" width="10.140625" style="221" bestFit="1" customWidth="1"/>
    <col min="2" max="2" width="35.85546875" style="221" customWidth="1"/>
    <col min="3" max="3" width="21" style="221" bestFit="1" customWidth="1"/>
    <col min="4" max="4" width="20" style="221" bestFit="1" customWidth="1"/>
    <col min="5" max="5" width="18.140625" style="221" bestFit="1" customWidth="1"/>
    <col min="6" max="6" width="19.5703125" style="221" bestFit="1" customWidth="1"/>
    <col min="7" max="7" width="22.28515625" style="221" customWidth="1"/>
    <col min="8" max="9" width="19.5703125" style="221" bestFit="1" customWidth="1"/>
    <col min="10" max="16384" width="21.140625" style="221"/>
  </cols>
  <sheetData>
    <row r="1" spans="1:10" ht="15" customHeight="1" x14ac:dyDescent="0.25">
      <c r="A1" s="220"/>
      <c r="B1" s="388" t="s">
        <v>0</v>
      </c>
      <c r="C1" s="389"/>
      <c r="D1" s="389"/>
      <c r="E1" s="389"/>
      <c r="F1" s="389"/>
      <c r="G1" s="389"/>
      <c r="H1" s="389"/>
      <c r="I1" s="389"/>
    </row>
    <row r="2" spans="1:10" ht="15" customHeight="1" x14ac:dyDescent="0.25">
      <c r="A2" s="222"/>
      <c r="B2" s="390" t="s">
        <v>294</v>
      </c>
      <c r="C2" s="387"/>
      <c r="D2" s="387"/>
      <c r="E2" s="223"/>
      <c r="F2" s="224"/>
      <c r="G2" s="223"/>
      <c r="H2" s="223"/>
      <c r="I2" s="223"/>
    </row>
    <row r="3" spans="1:10" ht="64.5" customHeight="1" x14ac:dyDescent="0.25">
      <c r="A3" s="222"/>
      <c r="B3" s="390" t="s">
        <v>295</v>
      </c>
      <c r="C3" s="387"/>
      <c r="D3" s="387"/>
      <c r="E3" s="225" t="s">
        <v>3</v>
      </c>
      <c r="F3" s="226">
        <v>1.5727</v>
      </c>
      <c r="G3" s="391" t="s">
        <v>4</v>
      </c>
      <c r="H3" s="391"/>
      <c r="I3" s="391"/>
    </row>
    <row r="4" spans="1:10" ht="15" customHeight="1" x14ac:dyDescent="0.25">
      <c r="A4" s="222"/>
      <c r="B4" s="390" t="s">
        <v>5</v>
      </c>
      <c r="C4" s="387"/>
      <c r="D4" s="387"/>
      <c r="E4" s="227" t="s">
        <v>6</v>
      </c>
      <c r="F4" s="226">
        <v>0.3196</v>
      </c>
      <c r="G4" s="228"/>
      <c r="H4" s="229" t="s">
        <v>7</v>
      </c>
      <c r="I4" s="230" t="s">
        <v>607</v>
      </c>
    </row>
    <row r="5" spans="1:10" ht="16.5" x14ac:dyDescent="0.25">
      <c r="A5" s="244"/>
      <c r="B5" s="387" t="s">
        <v>296</v>
      </c>
      <c r="C5" s="387"/>
      <c r="D5" s="387"/>
      <c r="E5" s="387"/>
      <c r="F5" s="387"/>
      <c r="G5" s="229"/>
      <c r="H5" s="229"/>
      <c r="I5" s="230"/>
    </row>
    <row r="6" spans="1:10" ht="24.95" customHeight="1" x14ac:dyDescent="0.25">
      <c r="A6" s="392" t="s">
        <v>10</v>
      </c>
      <c r="B6" s="393" t="s">
        <v>297</v>
      </c>
      <c r="C6" s="383" t="s">
        <v>298</v>
      </c>
      <c r="D6" s="384"/>
      <c r="E6" s="392" t="s">
        <v>299</v>
      </c>
      <c r="F6" s="392"/>
      <c r="G6" s="392"/>
      <c r="H6" s="392"/>
      <c r="I6" s="392"/>
    </row>
    <row r="7" spans="1:10" ht="24.95" customHeight="1" thickBot="1" x14ac:dyDescent="0.3">
      <c r="A7" s="393"/>
      <c r="B7" s="394"/>
      <c r="C7" s="385"/>
      <c r="D7" s="386"/>
      <c r="E7" s="231">
        <v>1</v>
      </c>
      <c r="F7" s="231">
        <v>2</v>
      </c>
      <c r="G7" s="231">
        <v>3</v>
      </c>
      <c r="H7" s="231">
        <v>4</v>
      </c>
      <c r="I7" s="231">
        <v>5</v>
      </c>
    </row>
    <row r="8" spans="1:10" ht="24.95" customHeight="1" x14ac:dyDescent="0.25">
      <c r="A8" s="379" t="s">
        <v>20</v>
      </c>
      <c r="B8" s="381" t="str">
        <f>'PLANILHA ORÇAMENTÁRIA'!D9</f>
        <v>SERVIÇOS PRELIMINARES</v>
      </c>
      <c r="C8" s="232" t="s">
        <v>300</v>
      </c>
      <c r="D8" s="233">
        <f>D9/$D$38</f>
        <v>5.9422224791437661E-2</v>
      </c>
      <c r="E8" s="234">
        <v>0.6</v>
      </c>
      <c r="F8" s="234">
        <v>0.4</v>
      </c>
      <c r="G8" s="234"/>
      <c r="H8" s="234"/>
      <c r="I8" s="234"/>
      <c r="J8" s="221">
        <f t="shared" ref="J8:J21" si="0">SUM(E8:I8)</f>
        <v>1</v>
      </c>
    </row>
    <row r="9" spans="1:10" ht="24.95" customHeight="1" thickBot="1" x14ac:dyDescent="0.3">
      <c r="A9" s="380"/>
      <c r="B9" s="382"/>
      <c r="C9" s="235" t="s">
        <v>301</v>
      </c>
      <c r="D9" s="236">
        <f>'PLANILHA ORÇAMENTÁRIA'!I28</f>
        <v>32194.940000000002</v>
      </c>
      <c r="E9" s="237">
        <f>E8*$D$9</f>
        <v>19316.964</v>
      </c>
      <c r="F9" s="237">
        <f>F8*$D$9</f>
        <v>12877.976000000002</v>
      </c>
      <c r="G9" s="237"/>
      <c r="H9" s="237"/>
      <c r="I9" s="237"/>
      <c r="J9" s="221">
        <f t="shared" si="0"/>
        <v>32194.940000000002</v>
      </c>
    </row>
    <row r="10" spans="1:10" ht="24.95" customHeight="1" x14ac:dyDescent="0.25">
      <c r="A10" s="379" t="s">
        <v>79</v>
      </c>
      <c r="B10" s="381" t="str">
        <f>'PLANILHA ORÇAMENTÁRIA'!D29</f>
        <v>INSTALAÇÃO DO CANTEIRO DE OBRAS</v>
      </c>
      <c r="C10" s="232" t="s">
        <v>300</v>
      </c>
      <c r="D10" s="233">
        <f>D11/$D$38</f>
        <v>5.3351087497954036E-3</v>
      </c>
      <c r="E10" s="234">
        <v>1</v>
      </c>
      <c r="F10" s="234"/>
      <c r="G10" s="234"/>
      <c r="H10" s="234"/>
      <c r="I10" s="234"/>
      <c r="J10" s="221">
        <f t="shared" si="0"/>
        <v>1</v>
      </c>
    </row>
    <row r="11" spans="1:10" ht="24.95" customHeight="1" thickBot="1" x14ac:dyDescent="0.3">
      <c r="A11" s="380"/>
      <c r="B11" s="382"/>
      <c r="C11" s="235" t="s">
        <v>301</v>
      </c>
      <c r="D11" s="236">
        <f>'PLANILHA ORÇAMENTÁRIA'!I32</f>
        <v>2890.56</v>
      </c>
      <c r="E11" s="237">
        <f>E10*D11</f>
        <v>2890.56</v>
      </c>
      <c r="F11" s="237"/>
      <c r="G11" s="237"/>
      <c r="H11" s="237"/>
      <c r="I11" s="237"/>
      <c r="J11" s="221">
        <f t="shared" si="0"/>
        <v>2890.56</v>
      </c>
    </row>
    <row r="12" spans="1:10" ht="24.95" customHeight="1" x14ac:dyDescent="0.25">
      <c r="A12" s="379" t="s">
        <v>88</v>
      </c>
      <c r="B12" s="381" t="str">
        <f>'PLANILHA ORÇAMENTÁRIA'!D33</f>
        <v>MOVIMENTO DE TERRA</v>
      </c>
      <c r="C12" s="232" t="s">
        <v>300</v>
      </c>
      <c r="D12" s="233">
        <f>D13/$D$38</f>
        <v>1.8082902380666031E-2</v>
      </c>
      <c r="E12" s="234">
        <v>0.2</v>
      </c>
      <c r="F12" s="234">
        <v>0.3</v>
      </c>
      <c r="G12" s="234">
        <v>0.5</v>
      </c>
      <c r="H12" s="238"/>
      <c r="I12" s="238"/>
      <c r="J12" s="221">
        <f t="shared" si="0"/>
        <v>1</v>
      </c>
    </row>
    <row r="13" spans="1:10" ht="24.95" customHeight="1" thickBot="1" x14ac:dyDescent="0.3">
      <c r="A13" s="380"/>
      <c r="B13" s="382"/>
      <c r="C13" s="235" t="s">
        <v>301</v>
      </c>
      <c r="D13" s="236">
        <f>'PLANILHA ORÇAMENTÁRIA'!I36</f>
        <v>9797.31</v>
      </c>
      <c r="E13" s="237">
        <f>E12*$D$13</f>
        <v>1959.462</v>
      </c>
      <c r="F13" s="237">
        <f t="shared" ref="F13:G13" si="1">F12*$D$13</f>
        <v>2939.1929999999998</v>
      </c>
      <c r="G13" s="237">
        <f t="shared" si="1"/>
        <v>4898.6549999999997</v>
      </c>
      <c r="H13" s="237"/>
      <c r="I13" s="237"/>
      <c r="J13" s="221">
        <f t="shared" si="0"/>
        <v>9797.31</v>
      </c>
    </row>
    <row r="14" spans="1:10" ht="24.95" customHeight="1" x14ac:dyDescent="0.25">
      <c r="A14" s="379" t="s">
        <v>97</v>
      </c>
      <c r="B14" s="381" t="str">
        <f>'PLANILHA ORÇAMENTÁRIA'!D37</f>
        <v>ESTRUTURAS</v>
      </c>
      <c r="C14" s="232" t="s">
        <v>300</v>
      </c>
      <c r="D14" s="233">
        <f>D15/$D$38</f>
        <v>5.4170744742466047E-2</v>
      </c>
      <c r="E14" s="239"/>
      <c r="F14" s="234">
        <v>0.3</v>
      </c>
      <c r="G14" s="234">
        <v>0.3</v>
      </c>
      <c r="H14" s="234">
        <v>0.4</v>
      </c>
      <c r="I14" s="234"/>
      <c r="J14" s="221">
        <f t="shared" si="0"/>
        <v>1</v>
      </c>
    </row>
    <row r="15" spans="1:10" ht="24.95" customHeight="1" thickBot="1" x14ac:dyDescent="0.3">
      <c r="A15" s="380"/>
      <c r="B15" s="382"/>
      <c r="C15" s="235" t="s">
        <v>301</v>
      </c>
      <c r="D15" s="236">
        <f>'PLANILHA ORÇAMENTÁRIA'!I40</f>
        <v>29349.69</v>
      </c>
      <c r="E15" s="237"/>
      <c r="F15" s="237">
        <f t="shared" ref="F15:H15" si="2">F14*$D$15</f>
        <v>8804.9069999999992</v>
      </c>
      <c r="G15" s="237">
        <f t="shared" si="2"/>
        <v>8804.9069999999992</v>
      </c>
      <c r="H15" s="237">
        <f t="shared" si="2"/>
        <v>11739.876</v>
      </c>
      <c r="I15" s="237"/>
      <c r="J15" s="221">
        <f t="shared" si="0"/>
        <v>29349.69</v>
      </c>
    </row>
    <row r="16" spans="1:10" ht="24.95" customHeight="1" x14ac:dyDescent="0.25">
      <c r="A16" s="379" t="s">
        <v>302</v>
      </c>
      <c r="B16" s="401" t="str">
        <f>'PLANILHA ORÇAMENTÁRIA'!D41</f>
        <v>ESQUADRIAS DE MADEIRA</v>
      </c>
      <c r="C16" s="232" t="s">
        <v>300</v>
      </c>
      <c r="D16" s="233">
        <f>D17/$D$38</f>
        <v>3.7543380427495304E-2</v>
      </c>
      <c r="E16" s="239"/>
      <c r="F16" s="239">
        <v>0.5</v>
      </c>
      <c r="G16" s="239">
        <v>0.5</v>
      </c>
      <c r="H16" s="239"/>
      <c r="I16" s="239"/>
      <c r="J16" s="221">
        <f t="shared" si="0"/>
        <v>1</v>
      </c>
    </row>
    <row r="17" spans="1:10" ht="24.95" customHeight="1" thickBot="1" x14ac:dyDescent="0.3">
      <c r="A17" s="380"/>
      <c r="B17" s="402"/>
      <c r="C17" s="235" t="s">
        <v>301</v>
      </c>
      <c r="D17" s="236">
        <f>'PLANILHA ORÇAMENTÁRIA'!I48</f>
        <v>20340.990000000002</v>
      </c>
      <c r="E17" s="237"/>
      <c r="F17" s="237">
        <f t="shared" ref="F17:G17" si="3">F16*$D$17</f>
        <v>10170.495000000001</v>
      </c>
      <c r="G17" s="237">
        <f t="shared" si="3"/>
        <v>10170.495000000001</v>
      </c>
      <c r="H17" s="237"/>
      <c r="I17" s="237"/>
      <c r="J17" s="221">
        <f t="shared" si="0"/>
        <v>20340.990000000002</v>
      </c>
    </row>
    <row r="18" spans="1:10" ht="24.95" customHeight="1" x14ac:dyDescent="0.25">
      <c r="A18" s="379" t="s">
        <v>106</v>
      </c>
      <c r="B18" s="381" t="str">
        <f>'PLANILHA ORÇAMENTÁRIA'!D49</f>
        <v>ESQUADRIAS METÁLICAS</v>
      </c>
      <c r="C18" s="232" t="s">
        <v>300</v>
      </c>
      <c r="D18" s="233">
        <f>D19/$D$38</f>
        <v>3.6886034106630265E-2</v>
      </c>
      <c r="E18" s="239"/>
      <c r="F18" s="239">
        <v>0.3</v>
      </c>
      <c r="G18" s="239">
        <v>0.4</v>
      </c>
      <c r="H18" s="239">
        <v>0.3</v>
      </c>
      <c r="I18" s="239"/>
      <c r="J18" s="221">
        <f t="shared" si="0"/>
        <v>1</v>
      </c>
    </row>
    <row r="19" spans="1:10" ht="24.95" customHeight="1" thickBot="1" x14ac:dyDescent="0.3">
      <c r="A19" s="380"/>
      <c r="B19" s="382"/>
      <c r="C19" s="235" t="s">
        <v>301</v>
      </c>
      <c r="D19" s="236">
        <f>'PLANILHA ORÇAMENTÁRIA'!I53</f>
        <v>19984.84</v>
      </c>
      <c r="E19" s="237"/>
      <c r="F19" s="237">
        <f t="shared" ref="F19:H19" si="4">F18*$D$19</f>
        <v>5995.4520000000002</v>
      </c>
      <c r="G19" s="237">
        <f t="shared" si="4"/>
        <v>7993.9360000000006</v>
      </c>
      <c r="H19" s="237">
        <f t="shared" si="4"/>
        <v>5995.4520000000002</v>
      </c>
      <c r="I19" s="237"/>
      <c r="J19" s="221">
        <f t="shared" si="0"/>
        <v>19984.84</v>
      </c>
    </row>
    <row r="20" spans="1:10" ht="24.95" customHeight="1" x14ac:dyDescent="0.25">
      <c r="A20" s="379" t="s">
        <v>129</v>
      </c>
      <c r="B20" s="381" t="str">
        <f>'PLANILHA ORÇAMENTÁRIA'!D54</f>
        <v>COBERTURA</v>
      </c>
      <c r="C20" s="232" t="s">
        <v>300</v>
      </c>
      <c r="D20" s="233">
        <f>D21/$D$38</f>
        <v>8.9959140615154337E-2</v>
      </c>
      <c r="E20" s="239"/>
      <c r="F20" s="239"/>
      <c r="G20" s="239">
        <v>0.2</v>
      </c>
      <c r="H20" s="239">
        <v>0.8</v>
      </c>
      <c r="I20" s="239"/>
      <c r="J20" s="221">
        <f t="shared" si="0"/>
        <v>1</v>
      </c>
    </row>
    <row r="21" spans="1:10" ht="24.95" customHeight="1" thickBot="1" x14ac:dyDescent="0.3">
      <c r="A21" s="380"/>
      <c r="B21" s="382"/>
      <c r="C21" s="235" t="s">
        <v>301</v>
      </c>
      <c r="D21" s="236">
        <f>'PLANILHA ORÇAMENTÁRIA'!I58</f>
        <v>48739.83</v>
      </c>
      <c r="E21" s="237"/>
      <c r="F21" s="237"/>
      <c r="G21" s="237">
        <f t="shared" ref="G21:H21" si="5">G20*$D$21</f>
        <v>9747.9660000000003</v>
      </c>
      <c r="H21" s="237">
        <f t="shared" si="5"/>
        <v>38991.864000000001</v>
      </c>
      <c r="I21" s="237"/>
      <c r="J21" s="221">
        <f t="shared" si="0"/>
        <v>48739.83</v>
      </c>
    </row>
    <row r="22" spans="1:10" ht="24.95" customHeight="1" x14ac:dyDescent="0.25">
      <c r="A22" s="379" t="s">
        <v>637</v>
      </c>
      <c r="B22" s="381" t="str">
        <f>'PLANILHA ORÇAMENTÁRIA'!D59</f>
        <v>TETOS E FORROS</v>
      </c>
      <c r="C22" s="232" t="s">
        <v>300</v>
      </c>
      <c r="D22" s="233">
        <f>D23/$D$38</f>
        <v>3.8759900246519173E-2</v>
      </c>
      <c r="E22" s="239"/>
      <c r="F22" s="239"/>
      <c r="G22" s="239">
        <v>0.2</v>
      </c>
      <c r="H22" s="239">
        <v>0.8</v>
      </c>
      <c r="I22" s="239"/>
    </row>
    <row r="23" spans="1:10" ht="24.95" customHeight="1" thickBot="1" x14ac:dyDescent="0.3">
      <c r="A23" s="380"/>
      <c r="B23" s="382"/>
      <c r="C23" s="235" t="s">
        <v>301</v>
      </c>
      <c r="D23" s="236">
        <f>'PLANILHA ORÇAMENTÁRIA'!I62</f>
        <v>21000.1</v>
      </c>
      <c r="E23" s="237"/>
      <c r="F23" s="237"/>
      <c r="G23" s="237">
        <f>G22*D23</f>
        <v>4200.0199999999995</v>
      </c>
      <c r="H23" s="237">
        <f>H22*D23</f>
        <v>16800.079999999998</v>
      </c>
      <c r="I23" s="237"/>
    </row>
    <row r="24" spans="1:10" ht="24.95" customHeight="1" x14ac:dyDescent="0.25">
      <c r="A24" s="379" t="s">
        <v>141</v>
      </c>
      <c r="B24" s="381" t="str">
        <f>'PLANILHA ORÇAMENTÁRIA'!D63</f>
        <v>PISOS INTERNOS E EXTERNOS</v>
      </c>
      <c r="C24" s="232" t="s">
        <v>300</v>
      </c>
      <c r="D24" s="233">
        <f>D25/$D$38</f>
        <v>9.6445394463532688E-2</v>
      </c>
      <c r="E24" s="239"/>
      <c r="F24" s="239"/>
      <c r="G24" s="239">
        <v>0.2</v>
      </c>
      <c r="H24" s="239">
        <v>0.8</v>
      </c>
      <c r="I24" s="239"/>
    </row>
    <row r="25" spans="1:10" ht="24.95" customHeight="1" thickBot="1" x14ac:dyDescent="0.3">
      <c r="A25" s="380"/>
      <c r="B25" s="382"/>
      <c r="C25" s="235" t="s">
        <v>301</v>
      </c>
      <c r="D25" s="236">
        <f>'PLANILHA ORÇAMENTÁRIA'!I67</f>
        <v>52254.080000000002</v>
      </c>
      <c r="E25" s="237"/>
      <c r="F25" s="237"/>
      <c r="G25" s="237">
        <f>G24*D25</f>
        <v>10450.816000000001</v>
      </c>
      <c r="H25" s="237">
        <f>H24*D25</f>
        <v>41803.264000000003</v>
      </c>
      <c r="I25" s="237"/>
    </row>
    <row r="26" spans="1:10" ht="24.95" customHeight="1" x14ac:dyDescent="0.25">
      <c r="A26" s="379" t="s">
        <v>638</v>
      </c>
      <c r="B26" s="381" t="str">
        <f>'PLANILHA ORÇAMENTÁRIA'!D68</f>
        <v>INSTALAÇÕES ELÉTRICAS</v>
      </c>
      <c r="C26" s="232" t="s">
        <v>300</v>
      </c>
      <c r="D26" s="233">
        <f>D27/$D$38</f>
        <v>0.10878785375346502</v>
      </c>
      <c r="E26" s="239"/>
      <c r="F26" s="239"/>
      <c r="G26" s="239"/>
      <c r="H26" s="239">
        <v>0.2</v>
      </c>
      <c r="I26" s="239">
        <v>0.8</v>
      </c>
    </row>
    <row r="27" spans="1:10" ht="24.95" customHeight="1" thickBot="1" x14ac:dyDescent="0.3">
      <c r="A27" s="380"/>
      <c r="B27" s="382"/>
      <c r="C27" s="235" t="s">
        <v>301</v>
      </c>
      <c r="D27" s="236">
        <f>'PLANILHA ORÇAMENTÁRIA'!I83</f>
        <v>58941.219999999994</v>
      </c>
      <c r="E27" s="237"/>
      <c r="F27" s="237"/>
      <c r="G27" s="237"/>
      <c r="H27" s="237">
        <f>H26*D27</f>
        <v>11788.243999999999</v>
      </c>
      <c r="I27" s="237">
        <f>I26*D27</f>
        <v>47152.975999999995</v>
      </c>
    </row>
    <row r="28" spans="1:10" ht="24.95" customHeight="1" x14ac:dyDescent="0.25">
      <c r="A28" s="379" t="s">
        <v>639</v>
      </c>
      <c r="B28" s="381" t="str">
        <f>'PLANILHA ORÇAMENTÁRIA'!D84</f>
        <v>OUTRAS INSTALAÇÕES</v>
      </c>
      <c r="C28" s="232" t="s">
        <v>300</v>
      </c>
      <c r="D28" s="233">
        <f>D29/$D$38</f>
        <v>0.19942656292647223</v>
      </c>
      <c r="E28" s="239"/>
      <c r="F28" s="239"/>
      <c r="G28" s="239"/>
      <c r="H28" s="239">
        <v>0.2</v>
      </c>
      <c r="I28" s="239">
        <v>0.8</v>
      </c>
    </row>
    <row r="29" spans="1:10" ht="24.95" customHeight="1" thickBot="1" x14ac:dyDescent="0.3">
      <c r="A29" s="380"/>
      <c r="B29" s="382"/>
      <c r="C29" s="235" t="s">
        <v>301</v>
      </c>
      <c r="D29" s="236">
        <f>'PLANILHA ORÇAMENTÁRIA'!I99</f>
        <v>108049.24</v>
      </c>
      <c r="E29" s="237"/>
      <c r="F29" s="237"/>
      <c r="G29" s="237"/>
      <c r="H29" s="237">
        <f>H28*D29</f>
        <v>21609.848000000002</v>
      </c>
      <c r="I29" s="237">
        <f>I28*D29</f>
        <v>86439.392000000007</v>
      </c>
    </row>
    <row r="30" spans="1:10" ht="24.95" customHeight="1" x14ac:dyDescent="0.25">
      <c r="A30" s="379" t="s">
        <v>640</v>
      </c>
      <c r="B30" s="381" t="str">
        <f>'PLANILHA ORÇAMENTÁRIA'!D100</f>
        <v>APARELHOS FIXOS</v>
      </c>
      <c r="C30" s="232" t="s">
        <v>300</v>
      </c>
      <c r="D30" s="233">
        <f t="shared" ref="D30" si="6">D31/$D$38</f>
        <v>0.11681833158840783</v>
      </c>
      <c r="E30" s="239"/>
      <c r="F30" s="239">
        <v>0.2</v>
      </c>
      <c r="G30" s="239">
        <v>0.8</v>
      </c>
      <c r="H30" s="239"/>
      <c r="I30" s="239"/>
    </row>
    <row r="31" spans="1:10" ht="24.95" customHeight="1" thickBot="1" x14ac:dyDescent="0.3">
      <c r="A31" s="380"/>
      <c r="B31" s="382"/>
      <c r="C31" s="235" t="s">
        <v>301</v>
      </c>
      <c r="D31" s="236">
        <f>'PLANILHA ORÇAMENTÁRIA'!I103</f>
        <v>63292.13</v>
      </c>
      <c r="E31" s="237"/>
      <c r="F31" s="237">
        <f>F30*D31</f>
        <v>12658.425999999999</v>
      </c>
      <c r="G31" s="237">
        <f>G30*D31</f>
        <v>50633.703999999998</v>
      </c>
      <c r="H31" s="237"/>
      <c r="I31" s="237"/>
    </row>
    <row r="32" spans="1:10" ht="24.95" customHeight="1" x14ac:dyDescent="0.25">
      <c r="A32" s="379" t="s">
        <v>641</v>
      </c>
      <c r="B32" s="381" t="str">
        <f>'PLANILHA ORÇAMENTÁRIA'!D104</f>
        <v>APARELHOS ELÉTRICOS</v>
      </c>
      <c r="C32" s="232" t="s">
        <v>300</v>
      </c>
      <c r="D32" s="233">
        <f t="shared" ref="D32" si="7">D33/$D$38</f>
        <v>5.8973184256822318E-2</v>
      </c>
      <c r="E32" s="239"/>
      <c r="F32" s="239"/>
      <c r="G32" s="239"/>
      <c r="H32" s="239">
        <v>0.2</v>
      </c>
      <c r="I32" s="239">
        <v>0.8</v>
      </c>
    </row>
    <row r="33" spans="1:9" ht="24.95" customHeight="1" thickBot="1" x14ac:dyDescent="0.3">
      <c r="A33" s="380"/>
      <c r="B33" s="382"/>
      <c r="C33" s="235" t="s">
        <v>301</v>
      </c>
      <c r="D33" s="236">
        <f>'PLANILHA ORÇAMENTÁRIA'!I109</f>
        <v>31951.65</v>
      </c>
      <c r="E33" s="237"/>
      <c r="F33" s="237"/>
      <c r="G33" s="237"/>
      <c r="H33" s="237">
        <f>H32*D33</f>
        <v>6390.3300000000008</v>
      </c>
      <c r="I33" s="237">
        <f>I32*D33</f>
        <v>25561.320000000003</v>
      </c>
    </row>
    <row r="34" spans="1:9" ht="24.95" customHeight="1" x14ac:dyDescent="0.25">
      <c r="A34" s="379" t="s">
        <v>642</v>
      </c>
      <c r="B34" s="381" t="str">
        <f>'PLANILHA ORÇAMENTÁRIA'!D110</f>
        <v>PINTURA</v>
      </c>
      <c r="C34" s="232" t="s">
        <v>300</v>
      </c>
      <c r="D34" s="233">
        <f t="shared" ref="D34" si="8">D35/$D$38</f>
        <v>7.2173746737816222E-2</v>
      </c>
      <c r="E34" s="239"/>
      <c r="F34" s="239"/>
      <c r="G34" s="239"/>
      <c r="H34" s="239">
        <v>0.2</v>
      </c>
      <c r="I34" s="239">
        <v>0.8</v>
      </c>
    </row>
    <row r="35" spans="1:9" ht="24.95" customHeight="1" thickBot="1" x14ac:dyDescent="0.3">
      <c r="A35" s="380"/>
      <c r="B35" s="382"/>
      <c r="C35" s="235" t="s">
        <v>301</v>
      </c>
      <c r="D35" s="236">
        <f>'PLANILHA ORÇAMENTÁRIA'!I118</f>
        <v>39103.710000000006</v>
      </c>
      <c r="E35" s="237"/>
      <c r="F35" s="237"/>
      <c r="G35" s="237"/>
      <c r="H35" s="237">
        <f>H34*D35</f>
        <v>7820.742000000002</v>
      </c>
      <c r="I35" s="237">
        <f>I34*D35</f>
        <v>31282.968000000008</v>
      </c>
    </row>
    <row r="36" spans="1:9" ht="24.95" customHeight="1" x14ac:dyDescent="0.25">
      <c r="A36" s="379" t="s">
        <v>643</v>
      </c>
      <c r="B36" s="381" t="str">
        <f>'PLANILHA ORÇAMENTÁRIA'!D119</f>
        <v>SERVIÇOS COMPLEMENTARES EXTERNOS</v>
      </c>
      <c r="C36" s="232" t="s">
        <v>300</v>
      </c>
      <c r="D36" s="233">
        <f t="shared" ref="D36" si="9">D37/$D$38</f>
        <v>7.2154902133194478E-3</v>
      </c>
      <c r="E36" s="239"/>
      <c r="F36" s="239"/>
      <c r="G36" s="239"/>
      <c r="H36" s="239"/>
      <c r="I36" s="239">
        <v>1</v>
      </c>
    </row>
    <row r="37" spans="1:9" ht="24.95" customHeight="1" thickBot="1" x14ac:dyDescent="0.3">
      <c r="A37" s="380"/>
      <c r="B37" s="382"/>
      <c r="C37" s="235" t="s">
        <v>301</v>
      </c>
      <c r="D37" s="236">
        <f>'PLANILHA ORÇAMENTÁRIA'!I122</f>
        <v>3909.35</v>
      </c>
      <c r="E37" s="237"/>
      <c r="F37" s="237"/>
      <c r="G37" s="237"/>
      <c r="H37" s="237"/>
      <c r="I37" s="237">
        <f>I36*D37</f>
        <v>3909.35</v>
      </c>
    </row>
    <row r="38" spans="1:9" ht="24.95" customHeight="1" x14ac:dyDescent="0.25">
      <c r="A38" s="395" t="s">
        <v>303</v>
      </c>
      <c r="B38" s="396"/>
      <c r="C38" s="396"/>
      <c r="D38" s="397">
        <f>D9+D11+D13+D15+D17+D19+D21+D23+D25+D27+D29+D31+D33+D35+D37</f>
        <v>541799.64</v>
      </c>
      <c r="E38" s="240">
        <f>E41/D38</f>
        <v>4.4605024100791209E-2</v>
      </c>
      <c r="F38" s="240">
        <f>F40/$D$38</f>
        <v>9.8646150816932995E-2</v>
      </c>
      <c r="G38" s="240">
        <f>G40/$D$38</f>
        <v>0.1973063308052401</v>
      </c>
      <c r="H38" s="240">
        <f>H40/$D$38</f>
        <v>0.30073792592405557</v>
      </c>
      <c r="I38" s="240">
        <f>I40/$D$38</f>
        <v>0.35870456835298009</v>
      </c>
    </row>
    <row r="39" spans="1:9" ht="24.95" customHeight="1" x14ac:dyDescent="0.25">
      <c r="A39" s="399" t="s">
        <v>304</v>
      </c>
      <c r="B39" s="400"/>
      <c r="C39" s="400"/>
      <c r="D39" s="397"/>
      <c r="E39" s="241">
        <f>E38</f>
        <v>4.4605024100791209E-2</v>
      </c>
      <c r="F39" s="241">
        <f>E39+F38</f>
        <v>0.14325117491772421</v>
      </c>
      <c r="G39" s="241">
        <f>F39+G38</f>
        <v>0.34055750572296428</v>
      </c>
      <c r="H39" s="241">
        <f t="shared" ref="H39:I39" si="10">G39+H38</f>
        <v>0.64129543164701985</v>
      </c>
      <c r="I39" s="241">
        <f t="shared" si="10"/>
        <v>1</v>
      </c>
    </row>
    <row r="40" spans="1:9" ht="24.95" customHeight="1" x14ac:dyDescent="0.25">
      <c r="A40" s="399" t="s">
        <v>305</v>
      </c>
      <c r="B40" s="400"/>
      <c r="C40" s="400"/>
      <c r="D40" s="397"/>
      <c r="E40" s="242">
        <f>E9+E11+E13+E15+E17+E19+E21+E23+E25+E27+E29+E31+E33+E35+E37</f>
        <v>24166.986000000001</v>
      </c>
      <c r="F40" s="242">
        <f t="shared" ref="F40:I40" si="11">F9+F11+F13+F15+F17+F19+F21+F23+F25+F27+F29+F31+F33+F35+F37</f>
        <v>53446.449000000001</v>
      </c>
      <c r="G40" s="242">
        <f t="shared" si="11"/>
        <v>106900.499</v>
      </c>
      <c r="H40" s="242">
        <f t="shared" si="11"/>
        <v>162939.69999999998</v>
      </c>
      <c r="I40" s="242">
        <f t="shared" si="11"/>
        <v>194346.00600000002</v>
      </c>
    </row>
    <row r="41" spans="1:9" ht="24.95" customHeight="1" x14ac:dyDescent="0.25">
      <c r="A41" s="399" t="s">
        <v>306</v>
      </c>
      <c r="B41" s="400"/>
      <c r="C41" s="400"/>
      <c r="D41" s="398"/>
      <c r="E41" s="242">
        <f>E40</f>
        <v>24166.986000000001</v>
      </c>
      <c r="F41" s="242">
        <f>E41+F40</f>
        <v>77613.434999999998</v>
      </c>
      <c r="G41" s="242">
        <f t="shared" ref="G41:I41" si="12">F41+G40</f>
        <v>184513.93400000001</v>
      </c>
      <c r="H41" s="242">
        <f t="shared" si="12"/>
        <v>347453.63399999996</v>
      </c>
      <c r="I41" s="242">
        <f t="shared" si="12"/>
        <v>541799.64</v>
      </c>
    </row>
  </sheetData>
  <mergeCells count="45">
    <mergeCell ref="A18:A19"/>
    <mergeCell ref="B18:B19"/>
    <mergeCell ref="A20:A21"/>
    <mergeCell ref="B20:B21"/>
    <mergeCell ref="A14:A15"/>
    <mergeCell ref="B14:B15"/>
    <mergeCell ref="A16:A17"/>
    <mergeCell ref="B16:B17"/>
    <mergeCell ref="A38:C38"/>
    <mergeCell ref="D38:D41"/>
    <mergeCell ref="A39:C39"/>
    <mergeCell ref="A40:C40"/>
    <mergeCell ref="A41:C41"/>
    <mergeCell ref="A12:A13"/>
    <mergeCell ref="B12:B13"/>
    <mergeCell ref="A6:A7"/>
    <mergeCell ref="B6:B7"/>
    <mergeCell ref="B8:B9"/>
    <mergeCell ref="A8:A9"/>
    <mergeCell ref="A10:A11"/>
    <mergeCell ref="B10:B11"/>
    <mergeCell ref="C6:D7"/>
    <mergeCell ref="B5:F5"/>
    <mergeCell ref="B1:I1"/>
    <mergeCell ref="B2:D2"/>
    <mergeCell ref="B3:D3"/>
    <mergeCell ref="G3:I3"/>
    <mergeCell ref="B4:D4"/>
    <mergeCell ref="E6:I6"/>
    <mergeCell ref="A22:A23"/>
    <mergeCell ref="B22:B23"/>
    <mergeCell ref="A24:A25"/>
    <mergeCell ref="B24:B25"/>
    <mergeCell ref="A26:A27"/>
    <mergeCell ref="B26:B27"/>
    <mergeCell ref="A34:A35"/>
    <mergeCell ref="B34:B35"/>
    <mergeCell ref="A36:A37"/>
    <mergeCell ref="B36:B37"/>
    <mergeCell ref="A28:A29"/>
    <mergeCell ref="B28:B29"/>
    <mergeCell ref="A30:A31"/>
    <mergeCell ref="B30:B31"/>
    <mergeCell ref="A32:A33"/>
    <mergeCell ref="B32:B33"/>
  </mergeCells>
  <conditionalFormatting sqref="E12:I12 E8:I10 E18:I18 E16:I16 E38:I41">
    <cfRule type="cellIs" dxfId="16" priority="355" operator="equal">
      <formula>0</formula>
    </cfRule>
  </conditionalFormatting>
  <conditionalFormatting sqref="H13:I13">
    <cfRule type="cellIs" dxfId="15" priority="103" operator="equal">
      <formula>0</formula>
    </cfRule>
  </conditionalFormatting>
  <conditionalFormatting sqref="E14">
    <cfRule type="cellIs" dxfId="14" priority="342" operator="equal">
      <formula>0</formula>
    </cfRule>
  </conditionalFormatting>
  <conditionalFormatting sqref="E26:I26 E28:I28 E30 E32:I32 E34:I34 E36:I36 E20:I20 E22:I22 E24:I24 H30:I30">
    <cfRule type="cellIs" dxfId="13" priority="305" operator="equal">
      <formula>0</formula>
    </cfRule>
  </conditionalFormatting>
  <conditionalFormatting sqref="F14:H14">
    <cfRule type="cellIs" dxfId="12" priority="274" operator="equal">
      <formula>0</formula>
    </cfRule>
  </conditionalFormatting>
  <conditionalFormatting sqref="I14">
    <cfRule type="cellIs" dxfId="11" priority="130" operator="equal">
      <formula>0</formula>
    </cfRule>
  </conditionalFormatting>
  <conditionalFormatting sqref="I15">
    <cfRule type="cellIs" dxfId="10" priority="98" operator="equal">
      <formula>0</formula>
    </cfRule>
  </conditionalFormatting>
  <conditionalFormatting sqref="F11:I11">
    <cfRule type="cellIs" dxfId="9" priority="108" operator="equal">
      <formula>0</formula>
    </cfRule>
  </conditionalFormatting>
  <conditionalFormatting sqref="I17">
    <cfRule type="cellIs" dxfId="8" priority="93" operator="equal">
      <formula>0</formula>
    </cfRule>
  </conditionalFormatting>
  <conditionalFormatting sqref="E11">
    <cfRule type="cellIs" dxfId="7" priority="8" operator="equal">
      <formula>0</formula>
    </cfRule>
  </conditionalFormatting>
  <conditionalFormatting sqref="E13:G13">
    <cfRule type="cellIs" dxfId="6" priority="7" operator="equal">
      <formula>0</formula>
    </cfRule>
  </conditionalFormatting>
  <conditionalFormatting sqref="E15:H15">
    <cfRule type="cellIs" dxfId="5" priority="6" operator="equal">
      <formula>0</formula>
    </cfRule>
  </conditionalFormatting>
  <conditionalFormatting sqref="E17:H17">
    <cfRule type="cellIs" dxfId="4" priority="5" operator="equal">
      <formula>0</formula>
    </cfRule>
  </conditionalFormatting>
  <conditionalFormatting sqref="E19:I19">
    <cfRule type="cellIs" dxfId="3" priority="4" operator="equal">
      <formula>0</formula>
    </cfRule>
  </conditionalFormatting>
  <conditionalFormatting sqref="E27:I27 E29:I29 E31 E33:I33 E35:I35 E37:I37 E21:I21 E23:I23 E25:I25 H31:I31">
    <cfRule type="cellIs" dxfId="2" priority="3" operator="equal">
      <formula>0</formula>
    </cfRule>
  </conditionalFormatting>
  <conditionalFormatting sqref="F30:G30">
    <cfRule type="cellIs" dxfId="1" priority="2" operator="equal">
      <formula>0</formula>
    </cfRule>
  </conditionalFormatting>
  <conditionalFormatting sqref="F31:G31">
    <cfRule type="cellIs" dxfId="0" priority="1" operator="equal">
      <formula>0</formula>
    </cfRule>
  </conditionalFormatting>
  <printOptions horizontalCentered="1" gridLines="1"/>
  <pageMargins left="0.39370078740157483" right="0.39370078740157483" top="0.39370078740157483" bottom="0.39370078740157483" header="0" footer="0"/>
  <pageSetup paperSize="9" scale="50" fitToHeight="0" orientation="landscape" r:id="rId1"/>
  <headerFooter alignWithMargins="0"/>
  <colBreaks count="1" manualBreakCount="1">
    <brk id="9" max="5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4"/>
  <sheetViews>
    <sheetView view="pageBreakPreview" zoomScaleNormal="100" zoomScaleSheetLayoutView="100" workbookViewId="0">
      <pane ySplit="5" topLeftCell="A558" activePane="bottomLeft" state="frozenSplit"/>
      <selection pane="bottomLeft" activeCell="J445" sqref="J445"/>
    </sheetView>
  </sheetViews>
  <sheetFormatPr defaultRowHeight="12.75" x14ac:dyDescent="0.2"/>
  <cols>
    <col min="1" max="1" width="12.42578125" style="13" customWidth="1"/>
    <col min="2" max="2" width="64.7109375" style="13" customWidth="1"/>
    <col min="3" max="3" width="17" style="13" customWidth="1"/>
    <col min="4" max="4" width="17" style="169" customWidth="1"/>
    <col min="5" max="8" width="17" style="13" customWidth="1"/>
    <col min="9" max="9" width="15.140625" style="13" customWidth="1"/>
    <col min="10" max="10" width="13.28515625" style="13" customWidth="1"/>
    <col min="11" max="11" width="9.140625" style="13"/>
    <col min="12" max="12" width="48.140625" style="13" customWidth="1"/>
    <col min="13" max="16384" width="9.140625" style="13"/>
  </cols>
  <sheetData>
    <row r="1" spans="1:10" ht="15" customHeight="1" x14ac:dyDescent="0.2">
      <c r="A1" s="1"/>
      <c r="B1" s="367" t="s">
        <v>0</v>
      </c>
      <c r="C1" s="367"/>
      <c r="D1" s="367"/>
      <c r="E1" s="367"/>
      <c r="F1" s="367"/>
      <c r="G1" s="367"/>
      <c r="H1" s="367"/>
      <c r="I1" s="367"/>
      <c r="J1" s="368"/>
    </row>
    <row r="2" spans="1:10" x14ac:dyDescent="0.2">
      <c r="A2" s="2"/>
      <c r="B2" s="375" t="s">
        <v>265</v>
      </c>
      <c r="C2" s="375"/>
      <c r="D2" s="375"/>
      <c r="E2" s="3"/>
      <c r="F2" s="3"/>
      <c r="G2" s="3"/>
      <c r="H2" s="3"/>
      <c r="I2" s="364" t="s">
        <v>266</v>
      </c>
      <c r="J2" s="365"/>
    </row>
    <row r="3" spans="1:10" ht="15" customHeight="1" x14ac:dyDescent="0.2">
      <c r="A3" s="2"/>
      <c r="B3" s="375" t="s">
        <v>2</v>
      </c>
      <c r="C3" s="375"/>
      <c r="D3" s="375"/>
      <c r="E3" s="375"/>
      <c r="F3" s="375"/>
      <c r="G3" s="137" t="s">
        <v>3</v>
      </c>
      <c r="H3" s="22">
        <v>1.5727</v>
      </c>
      <c r="I3" s="364"/>
      <c r="J3" s="365"/>
    </row>
    <row r="4" spans="1:10" x14ac:dyDescent="0.2">
      <c r="A4" s="2"/>
      <c r="B4" s="377" t="s">
        <v>5</v>
      </c>
      <c r="C4" s="377"/>
      <c r="D4" s="377"/>
      <c r="E4" s="29"/>
      <c r="F4" s="29"/>
      <c r="G4" s="23" t="s">
        <v>6</v>
      </c>
      <c r="H4" s="24">
        <v>0.3196</v>
      </c>
      <c r="I4" s="25" t="s">
        <v>7</v>
      </c>
      <c r="J4" s="14" t="s">
        <v>267</v>
      </c>
    </row>
    <row r="5" spans="1:10" ht="25.5" x14ac:dyDescent="0.2">
      <c r="A5" s="20" t="s">
        <v>10</v>
      </c>
      <c r="B5" s="20" t="s">
        <v>13</v>
      </c>
      <c r="C5" s="20" t="s">
        <v>14</v>
      </c>
      <c r="D5" s="33" t="s">
        <v>268</v>
      </c>
      <c r="E5" s="33" t="s">
        <v>269</v>
      </c>
      <c r="F5" s="33" t="s">
        <v>270</v>
      </c>
      <c r="G5" s="33" t="s">
        <v>271</v>
      </c>
      <c r="H5" s="33" t="s">
        <v>272</v>
      </c>
      <c r="I5" s="33" t="s">
        <v>273</v>
      </c>
      <c r="J5" s="34" t="s">
        <v>274</v>
      </c>
    </row>
    <row r="6" spans="1:10" x14ac:dyDescent="0.2">
      <c r="A6" s="11">
        <f>'PLANILHA ORÇAMENTÁRIA'!A9</f>
        <v>1</v>
      </c>
      <c r="B6" s="7" t="str">
        <f>'PLANILHA ORÇAMENTÁRIA'!D9</f>
        <v>SERVIÇOS PRELIMINARES</v>
      </c>
      <c r="C6" s="5"/>
      <c r="D6" s="5"/>
      <c r="E6" s="5"/>
      <c r="F6" s="6"/>
      <c r="G6" s="26"/>
      <c r="H6" s="8"/>
      <c r="I6" s="70"/>
      <c r="J6" s="70"/>
    </row>
    <row r="7" spans="1:10" x14ac:dyDescent="0.2">
      <c r="A7" s="20" t="str">
        <f>'PLANILHA ORÇAMENTÁRIA'!A10</f>
        <v>1.1</v>
      </c>
      <c r="B7" s="157" t="str">
        <f>'PLANILHA ORÇAMENTÁRIA'!D10</f>
        <v>DEMOLIÇÕES E RETIRADAS</v>
      </c>
      <c r="C7" s="12"/>
      <c r="D7" s="17"/>
      <c r="E7" s="9"/>
      <c r="F7" s="27"/>
      <c r="G7" s="28"/>
      <c r="H7" s="72"/>
      <c r="I7" s="17"/>
      <c r="J7" s="17"/>
    </row>
    <row r="8" spans="1:10" ht="25.5" x14ac:dyDescent="0.2">
      <c r="A8" s="272" t="str">
        <f>'PLANILHA ORÇAMENTÁRIA'!A11</f>
        <v>1.1.1</v>
      </c>
      <c r="B8" s="267" t="str">
        <f>'PLANILHA ORÇAMENTÁRIA'!D11</f>
        <v>Demolição de piso revestido com cerâmica</v>
      </c>
      <c r="C8" s="268" t="str">
        <f>'PLANILHA ORÇAMENTÁRIA'!E11</f>
        <v xml:space="preserve">m2 </v>
      </c>
      <c r="D8" s="273" t="s">
        <v>268</v>
      </c>
      <c r="E8" s="273" t="s">
        <v>269</v>
      </c>
      <c r="F8" s="273" t="s">
        <v>270</v>
      </c>
      <c r="G8" s="273" t="s">
        <v>271</v>
      </c>
      <c r="H8" s="273" t="s">
        <v>272</v>
      </c>
      <c r="I8" s="273" t="s">
        <v>273</v>
      </c>
      <c r="J8" s="274" t="s">
        <v>274</v>
      </c>
    </row>
    <row r="9" spans="1:10" x14ac:dyDescent="0.2">
      <c r="A9" s="272"/>
      <c r="B9" s="275" t="s">
        <v>275</v>
      </c>
      <c r="C9" s="268"/>
      <c r="D9" s="273"/>
      <c r="E9" s="273">
        <v>6.23</v>
      </c>
      <c r="F9" s="273">
        <v>3.32</v>
      </c>
      <c r="G9" s="273"/>
      <c r="H9" s="276">
        <f t="shared" ref="H9:H17" si="0">E9*F9</f>
        <v>20.683600000000002</v>
      </c>
      <c r="I9" s="273"/>
      <c r="J9" s="269">
        <f t="shared" ref="J9:J16" si="1">H9</f>
        <v>20.683600000000002</v>
      </c>
    </row>
    <row r="10" spans="1:10" x14ac:dyDescent="0.2">
      <c r="A10" s="286"/>
      <c r="B10" s="275" t="s">
        <v>276</v>
      </c>
      <c r="C10" s="268"/>
      <c r="D10" s="272"/>
      <c r="E10" s="277">
        <v>6</v>
      </c>
      <c r="F10" s="278">
        <v>3.85</v>
      </c>
      <c r="G10" s="276"/>
      <c r="H10" s="276">
        <f t="shared" si="0"/>
        <v>23.1</v>
      </c>
      <c r="I10" s="272"/>
      <c r="J10" s="269">
        <f t="shared" si="1"/>
        <v>23.1</v>
      </c>
    </row>
    <row r="11" spans="1:10" x14ac:dyDescent="0.2">
      <c r="A11" s="286"/>
      <c r="B11" s="279" t="s">
        <v>277</v>
      </c>
      <c r="C11" s="268"/>
      <c r="D11" s="272"/>
      <c r="E11" s="277">
        <v>5.82</v>
      </c>
      <c r="F11" s="278">
        <v>4.03</v>
      </c>
      <c r="G11" s="276"/>
      <c r="H11" s="276">
        <f t="shared" si="0"/>
        <v>23.454600000000003</v>
      </c>
      <c r="I11" s="272"/>
      <c r="J11" s="269">
        <f t="shared" si="1"/>
        <v>23.454600000000003</v>
      </c>
    </row>
    <row r="12" spans="1:10" x14ac:dyDescent="0.2">
      <c r="A12" s="286"/>
      <c r="B12" s="279" t="s">
        <v>278</v>
      </c>
      <c r="C12" s="268"/>
      <c r="D12" s="272"/>
      <c r="E12" s="277">
        <v>9.08</v>
      </c>
      <c r="F12" s="278">
        <v>4.25</v>
      </c>
      <c r="G12" s="276"/>
      <c r="H12" s="276">
        <f t="shared" si="0"/>
        <v>38.590000000000003</v>
      </c>
      <c r="I12" s="272"/>
      <c r="J12" s="269">
        <f t="shared" si="1"/>
        <v>38.590000000000003</v>
      </c>
    </row>
    <row r="13" spans="1:10" x14ac:dyDescent="0.2">
      <c r="A13" s="286"/>
      <c r="B13" s="279" t="s">
        <v>279</v>
      </c>
      <c r="C13" s="268"/>
      <c r="D13" s="272"/>
      <c r="E13" s="277">
        <v>6</v>
      </c>
      <c r="F13" s="278">
        <v>5.27</v>
      </c>
      <c r="G13" s="276"/>
      <c r="H13" s="276">
        <f t="shared" si="0"/>
        <v>31.619999999999997</v>
      </c>
      <c r="I13" s="272"/>
      <c r="J13" s="269">
        <f t="shared" si="1"/>
        <v>31.619999999999997</v>
      </c>
    </row>
    <row r="14" spans="1:10" x14ac:dyDescent="0.2">
      <c r="A14" s="286"/>
      <c r="B14" s="279" t="s">
        <v>280</v>
      </c>
      <c r="C14" s="268"/>
      <c r="D14" s="272"/>
      <c r="E14" s="277">
        <v>7</v>
      </c>
      <c r="F14" s="278">
        <v>3.53</v>
      </c>
      <c r="G14" s="276"/>
      <c r="H14" s="276">
        <f t="shared" si="0"/>
        <v>24.709999999999997</v>
      </c>
      <c r="I14" s="272"/>
      <c r="J14" s="269">
        <f t="shared" si="1"/>
        <v>24.709999999999997</v>
      </c>
    </row>
    <row r="15" spans="1:10" x14ac:dyDescent="0.2">
      <c r="A15" s="286"/>
      <c r="B15" s="279" t="s">
        <v>281</v>
      </c>
      <c r="C15" s="268"/>
      <c r="D15" s="272"/>
      <c r="E15" s="277">
        <v>7</v>
      </c>
      <c r="F15" s="278">
        <v>5</v>
      </c>
      <c r="G15" s="276"/>
      <c r="H15" s="276">
        <f t="shared" si="0"/>
        <v>35</v>
      </c>
      <c r="I15" s="272"/>
      <c r="J15" s="269">
        <f t="shared" si="1"/>
        <v>35</v>
      </c>
    </row>
    <row r="16" spans="1:10" x14ac:dyDescent="0.2">
      <c r="A16" s="286"/>
      <c r="B16" s="333" t="s">
        <v>282</v>
      </c>
      <c r="C16" s="334"/>
      <c r="D16" s="335"/>
      <c r="E16" s="336">
        <v>11.17</v>
      </c>
      <c r="F16" s="337">
        <v>6.74</v>
      </c>
      <c r="G16" s="338"/>
      <c r="H16" s="338">
        <f t="shared" si="0"/>
        <v>75.285800000000009</v>
      </c>
      <c r="I16" s="335"/>
      <c r="J16" s="339">
        <f t="shared" si="1"/>
        <v>75.285800000000009</v>
      </c>
    </row>
    <row r="17" spans="1:16" x14ac:dyDescent="0.2">
      <c r="A17" s="286"/>
      <c r="B17" s="250" t="s">
        <v>284</v>
      </c>
      <c r="C17" s="281"/>
      <c r="D17" s="272"/>
      <c r="E17" s="268">
        <v>6</v>
      </c>
      <c r="F17" s="278">
        <v>4.33</v>
      </c>
      <c r="G17" s="271"/>
      <c r="H17" s="338">
        <f t="shared" si="0"/>
        <v>25.98</v>
      </c>
      <c r="I17" s="36"/>
      <c r="J17" s="363">
        <f>H17</f>
        <v>25.98</v>
      </c>
    </row>
    <row r="18" spans="1:16" x14ac:dyDescent="0.2">
      <c r="A18" s="286"/>
      <c r="B18" s="250"/>
      <c r="C18" s="281"/>
      <c r="D18" s="272"/>
      <c r="E18" s="268"/>
      <c r="F18" s="278"/>
      <c r="G18" s="271"/>
      <c r="H18" s="338"/>
      <c r="I18" s="283" t="s">
        <v>283</v>
      </c>
      <c r="J18" s="284">
        <f>SUM(J9:J17)</f>
        <v>298.42400000000004</v>
      </c>
    </row>
    <row r="19" spans="1:16" x14ac:dyDescent="0.2">
      <c r="A19" s="286"/>
      <c r="B19" s="280"/>
      <c r="C19" s="281"/>
      <c r="D19" s="272"/>
      <c r="E19" s="268"/>
      <c r="F19" s="278"/>
      <c r="G19" s="271"/>
      <c r="H19" s="282"/>
      <c r="I19" s="287"/>
      <c r="J19" s="288"/>
    </row>
    <row r="20" spans="1:16" ht="25.5" x14ac:dyDescent="0.2">
      <c r="A20" s="321" t="str">
        <f>'PLANILHA ORÇAMENTÁRIA'!B12</f>
        <v>010206</v>
      </c>
      <c r="B20" s="267" t="str">
        <f>'PLANILHA ORÇAMENTÁRIA'!D12</f>
        <v>Demolição de revestimento com azulejos</v>
      </c>
      <c r="C20" s="268" t="str">
        <f>'PLANILHA ORÇAMENTÁRIA'!E12</f>
        <v xml:space="preserve">m2 </v>
      </c>
      <c r="D20" s="273" t="s">
        <v>268</v>
      </c>
      <c r="E20" s="273" t="s">
        <v>269</v>
      </c>
      <c r="F20" s="273" t="s">
        <v>270</v>
      </c>
      <c r="G20" s="273" t="s">
        <v>271</v>
      </c>
      <c r="H20" s="273" t="s">
        <v>272</v>
      </c>
      <c r="I20" s="273" t="s">
        <v>273</v>
      </c>
      <c r="J20" s="274" t="s">
        <v>274</v>
      </c>
      <c r="K20" s="285"/>
      <c r="L20" s="285"/>
      <c r="M20" s="285"/>
      <c r="N20" s="285"/>
      <c r="O20" s="285"/>
      <c r="P20" s="285"/>
    </row>
    <row r="21" spans="1:16" x14ac:dyDescent="0.2">
      <c r="A21" s="272"/>
      <c r="B21" s="275" t="s">
        <v>275</v>
      </c>
      <c r="C21" s="268"/>
      <c r="D21" s="273"/>
      <c r="E21" s="273">
        <v>3.32</v>
      </c>
      <c r="F21" s="273">
        <v>6.23</v>
      </c>
      <c r="G21" s="273">
        <v>1</v>
      </c>
      <c r="H21" s="276">
        <f>2*(E21+F21)*G21</f>
        <v>19.100000000000001</v>
      </c>
      <c r="I21" s="273"/>
      <c r="J21" s="269">
        <f>H21</f>
        <v>19.100000000000001</v>
      </c>
      <c r="K21" s="285"/>
      <c r="L21" s="285"/>
      <c r="M21" s="285"/>
      <c r="N21" s="285"/>
      <c r="O21" s="285"/>
      <c r="P21" s="285"/>
    </row>
    <row r="22" spans="1:16" x14ac:dyDescent="0.2">
      <c r="A22" s="272"/>
      <c r="B22" s="275" t="s">
        <v>276</v>
      </c>
      <c r="C22" s="268"/>
      <c r="D22" s="273"/>
      <c r="E22" s="273">
        <v>3.85</v>
      </c>
      <c r="F22" s="273">
        <v>6</v>
      </c>
      <c r="G22" s="273">
        <v>1</v>
      </c>
      <c r="H22" s="276">
        <f t="shared" ref="H22:H28" si="2">2*(E22+F22)*G22</f>
        <v>19.7</v>
      </c>
      <c r="I22" s="273"/>
      <c r="J22" s="269">
        <f t="shared" ref="J22:J28" si="3">H22</f>
        <v>19.7</v>
      </c>
      <c r="K22" s="285"/>
      <c r="L22" s="285"/>
      <c r="M22" s="285"/>
      <c r="N22" s="285"/>
      <c r="O22" s="285"/>
      <c r="P22" s="285"/>
    </row>
    <row r="23" spans="1:16" x14ac:dyDescent="0.2">
      <c r="A23" s="286"/>
      <c r="B23" s="279" t="s">
        <v>277</v>
      </c>
      <c r="C23" s="268"/>
      <c r="D23" s="272"/>
      <c r="E23" s="278">
        <v>4.03</v>
      </c>
      <c r="F23" s="277">
        <v>5.82</v>
      </c>
      <c r="G23" s="273">
        <v>1</v>
      </c>
      <c r="H23" s="276">
        <f t="shared" si="2"/>
        <v>19.700000000000003</v>
      </c>
      <c r="I23" s="272"/>
      <c r="J23" s="269">
        <f t="shared" si="3"/>
        <v>19.700000000000003</v>
      </c>
      <c r="K23" s="285"/>
      <c r="L23" s="285"/>
      <c r="M23" s="285"/>
      <c r="N23" s="285"/>
      <c r="O23" s="285"/>
      <c r="P23" s="285"/>
    </row>
    <row r="24" spans="1:16" x14ac:dyDescent="0.2">
      <c r="A24" s="286"/>
      <c r="B24" s="279" t="s">
        <v>278</v>
      </c>
      <c r="C24" s="268"/>
      <c r="D24" s="272"/>
      <c r="E24" s="278">
        <v>4.25</v>
      </c>
      <c r="F24" s="277">
        <v>9.08</v>
      </c>
      <c r="G24" s="273">
        <v>1</v>
      </c>
      <c r="H24" s="276">
        <f t="shared" si="2"/>
        <v>26.66</v>
      </c>
      <c r="I24" s="272"/>
      <c r="J24" s="269">
        <f t="shared" si="3"/>
        <v>26.66</v>
      </c>
      <c r="K24" s="285"/>
      <c r="L24" s="285"/>
      <c r="M24" s="285"/>
      <c r="N24" s="285"/>
      <c r="O24" s="285"/>
      <c r="P24" s="285"/>
    </row>
    <row r="25" spans="1:16" x14ac:dyDescent="0.2">
      <c r="A25" s="286"/>
      <c r="B25" s="279" t="s">
        <v>279</v>
      </c>
      <c r="C25" s="268"/>
      <c r="D25" s="272"/>
      <c r="E25" s="278">
        <v>5.27</v>
      </c>
      <c r="F25" s="277">
        <v>6</v>
      </c>
      <c r="G25" s="273">
        <v>1</v>
      </c>
      <c r="H25" s="276">
        <f t="shared" si="2"/>
        <v>22.54</v>
      </c>
      <c r="I25" s="272"/>
      <c r="J25" s="269">
        <f t="shared" si="3"/>
        <v>22.54</v>
      </c>
      <c r="K25" s="285"/>
      <c r="L25" s="285"/>
      <c r="M25" s="285"/>
      <c r="N25" s="285"/>
      <c r="O25" s="285"/>
      <c r="P25" s="285"/>
    </row>
    <row r="26" spans="1:16" x14ac:dyDescent="0.2">
      <c r="A26" s="286"/>
      <c r="B26" s="279" t="s">
        <v>280</v>
      </c>
      <c r="C26" s="268"/>
      <c r="D26" s="272"/>
      <c r="E26" s="278">
        <v>3.53</v>
      </c>
      <c r="F26" s="277">
        <v>7</v>
      </c>
      <c r="G26" s="273">
        <v>1</v>
      </c>
      <c r="H26" s="276">
        <f t="shared" si="2"/>
        <v>21.06</v>
      </c>
      <c r="I26" s="272"/>
      <c r="J26" s="269">
        <f t="shared" si="3"/>
        <v>21.06</v>
      </c>
      <c r="K26" s="285"/>
      <c r="L26" s="285"/>
      <c r="M26" s="285"/>
      <c r="N26" s="285"/>
      <c r="O26" s="285"/>
      <c r="P26" s="285"/>
    </row>
    <row r="27" spans="1:16" x14ac:dyDescent="0.2">
      <c r="A27" s="286"/>
      <c r="B27" s="279" t="s">
        <v>281</v>
      </c>
      <c r="C27" s="268"/>
      <c r="D27" s="272"/>
      <c r="E27" s="278">
        <v>5</v>
      </c>
      <c r="F27" s="277">
        <v>7</v>
      </c>
      <c r="G27" s="273">
        <v>1</v>
      </c>
      <c r="H27" s="276">
        <f t="shared" si="2"/>
        <v>24</v>
      </c>
      <c r="I27" s="272"/>
      <c r="J27" s="269">
        <f t="shared" si="3"/>
        <v>24</v>
      </c>
      <c r="K27" s="285"/>
      <c r="L27" s="285"/>
      <c r="M27" s="285"/>
      <c r="N27" s="285"/>
      <c r="O27" s="285"/>
      <c r="P27" s="285"/>
    </row>
    <row r="28" spans="1:16" x14ac:dyDescent="0.2">
      <c r="A28" s="286"/>
      <c r="B28" s="333" t="s">
        <v>282</v>
      </c>
      <c r="C28" s="268"/>
      <c r="D28" s="272"/>
      <c r="E28" s="337">
        <v>6.74</v>
      </c>
      <c r="F28" s="336">
        <v>11.17</v>
      </c>
      <c r="G28" s="273">
        <v>1</v>
      </c>
      <c r="H28" s="276">
        <f t="shared" si="2"/>
        <v>35.82</v>
      </c>
      <c r="I28" s="272"/>
      <c r="J28" s="269">
        <f t="shared" si="3"/>
        <v>35.82</v>
      </c>
      <c r="K28" s="285"/>
      <c r="L28" s="285"/>
      <c r="M28" s="285"/>
      <c r="N28" s="285"/>
      <c r="O28" s="285"/>
      <c r="P28" s="285"/>
    </row>
    <row r="29" spans="1:16" x14ac:dyDescent="0.2">
      <c r="A29" s="286"/>
      <c r="B29" s="279"/>
      <c r="C29" s="268"/>
      <c r="D29" s="272"/>
      <c r="E29" s="277"/>
      <c r="F29" s="278"/>
      <c r="G29" s="276"/>
      <c r="H29" s="276"/>
      <c r="I29" s="272"/>
      <c r="J29" s="269"/>
      <c r="K29" s="285"/>
      <c r="L29" s="285"/>
      <c r="M29" s="285"/>
      <c r="N29" s="285"/>
      <c r="O29" s="285"/>
      <c r="P29" s="285"/>
    </row>
    <row r="30" spans="1:16" x14ac:dyDescent="0.2">
      <c r="A30" s="286"/>
      <c r="B30" s="279"/>
      <c r="C30" s="268"/>
      <c r="D30" s="272"/>
      <c r="E30" s="277"/>
      <c r="F30" s="278"/>
      <c r="G30" s="276"/>
      <c r="H30" s="276"/>
      <c r="I30" s="272"/>
      <c r="J30" s="269"/>
      <c r="K30" s="285"/>
      <c r="L30" s="285"/>
      <c r="M30" s="285"/>
      <c r="N30" s="285"/>
      <c r="O30" s="285"/>
      <c r="P30" s="285"/>
    </row>
    <row r="31" spans="1:16" x14ac:dyDescent="0.2">
      <c r="A31" s="286"/>
      <c r="B31" s="280"/>
      <c r="C31" s="281"/>
      <c r="D31" s="272"/>
      <c r="E31" s="268"/>
      <c r="F31" s="278"/>
      <c r="G31" s="271"/>
      <c r="H31" s="282"/>
      <c r="I31" s="283" t="s">
        <v>283</v>
      </c>
      <c r="J31" s="284">
        <f>SUM(J21:J30)</f>
        <v>188.57999999999998</v>
      </c>
      <c r="K31" s="285"/>
      <c r="L31" s="285"/>
      <c r="M31" s="285"/>
      <c r="N31" s="285"/>
      <c r="O31" s="285"/>
      <c r="P31" s="285"/>
    </row>
    <row r="32" spans="1:16" x14ac:dyDescent="0.2">
      <c r="A32" s="286"/>
      <c r="B32" s="280"/>
      <c r="C32" s="281"/>
      <c r="D32" s="272"/>
      <c r="E32" s="268"/>
      <c r="F32" s="278"/>
      <c r="G32" s="271"/>
      <c r="H32" s="282"/>
      <c r="I32" s="287"/>
      <c r="J32" s="288"/>
      <c r="K32" s="285"/>
      <c r="L32" s="285"/>
      <c r="M32" s="285"/>
      <c r="N32" s="285"/>
      <c r="O32" s="285"/>
      <c r="P32" s="285"/>
    </row>
    <row r="33" spans="1:10" s="259" customFormat="1" ht="25.5" x14ac:dyDescent="0.2">
      <c r="A33" s="9" t="str">
        <f>'PLANILHA ORÇAMENTÁRIA'!A13</f>
        <v>1.1.3</v>
      </c>
      <c r="B33" s="340" t="str">
        <f>'PLANILHA ORÇAMENTÁRIA'!D13</f>
        <v xml:space="preserve">Demolição de alvenaria </v>
      </c>
      <c r="C33" s="9" t="str">
        <f>'PLANILHA ORÇAMENTÁRIA'!E13</f>
        <v xml:space="preserve">m3 </v>
      </c>
      <c r="D33" s="341" t="s">
        <v>268</v>
      </c>
      <c r="E33" s="341" t="s">
        <v>269</v>
      </c>
      <c r="F33" s="341" t="s">
        <v>270</v>
      </c>
      <c r="G33" s="341" t="s">
        <v>271</v>
      </c>
      <c r="H33" s="341" t="s">
        <v>272</v>
      </c>
      <c r="I33" s="341" t="s">
        <v>273</v>
      </c>
      <c r="J33" s="342" t="s">
        <v>274</v>
      </c>
    </row>
    <row r="34" spans="1:10" x14ac:dyDescent="0.2">
      <c r="A34" s="20"/>
      <c r="B34" s="275" t="s">
        <v>275</v>
      </c>
      <c r="C34" s="268"/>
      <c r="D34" s="273"/>
      <c r="E34" s="273">
        <v>3.32</v>
      </c>
      <c r="F34" s="273">
        <v>0.15</v>
      </c>
      <c r="G34" s="273">
        <v>1</v>
      </c>
      <c r="H34" s="159"/>
      <c r="I34" s="73">
        <f>E34*F34*G34</f>
        <v>0.49799999999999994</v>
      </c>
      <c r="J34" s="73">
        <f>I34</f>
        <v>0.49799999999999994</v>
      </c>
    </row>
    <row r="35" spans="1:10" x14ac:dyDescent="0.2">
      <c r="A35" s="329"/>
      <c r="B35" s="275" t="s">
        <v>276</v>
      </c>
      <c r="C35" s="268"/>
      <c r="D35" s="273"/>
      <c r="E35" s="273">
        <v>3.85</v>
      </c>
      <c r="F35" s="273">
        <v>0.15</v>
      </c>
      <c r="G35" s="273">
        <v>1</v>
      </c>
      <c r="H35" s="159"/>
      <c r="I35" s="73">
        <f t="shared" ref="I35:I42" si="4">E35*F35*G35</f>
        <v>0.57750000000000001</v>
      </c>
      <c r="J35" s="73">
        <f t="shared" ref="J35:J41" si="5">I35</f>
        <v>0.57750000000000001</v>
      </c>
    </row>
    <row r="36" spans="1:10" x14ac:dyDescent="0.2">
      <c r="A36" s="329"/>
      <c r="B36" s="279" t="s">
        <v>277</v>
      </c>
      <c r="C36" s="268"/>
      <c r="D36" s="272"/>
      <c r="E36" s="278">
        <v>4.03</v>
      </c>
      <c r="F36" s="273">
        <v>0.15</v>
      </c>
      <c r="G36" s="273">
        <v>1</v>
      </c>
      <c r="H36" s="159"/>
      <c r="I36" s="73">
        <f t="shared" si="4"/>
        <v>0.60450000000000004</v>
      </c>
      <c r="J36" s="73">
        <f t="shared" si="5"/>
        <v>0.60450000000000004</v>
      </c>
    </row>
    <row r="37" spans="1:10" x14ac:dyDescent="0.2">
      <c r="A37" s="329"/>
      <c r="B37" s="279" t="s">
        <v>278</v>
      </c>
      <c r="C37" s="268"/>
      <c r="D37" s="272"/>
      <c r="E37" s="278">
        <v>4.25</v>
      </c>
      <c r="F37" s="273">
        <v>0.15</v>
      </c>
      <c r="G37" s="273">
        <v>1</v>
      </c>
      <c r="H37" s="159"/>
      <c r="I37" s="73">
        <f t="shared" si="4"/>
        <v>0.63749999999999996</v>
      </c>
      <c r="J37" s="73">
        <f t="shared" si="5"/>
        <v>0.63749999999999996</v>
      </c>
    </row>
    <row r="38" spans="1:10" x14ac:dyDescent="0.2">
      <c r="A38" s="329"/>
      <c r="B38" s="279" t="s">
        <v>279</v>
      </c>
      <c r="C38" s="268"/>
      <c r="D38" s="272"/>
      <c r="E38" s="278">
        <v>5.27</v>
      </c>
      <c r="F38" s="273">
        <v>0.15</v>
      </c>
      <c r="G38" s="273">
        <v>1</v>
      </c>
      <c r="H38" s="159"/>
      <c r="I38" s="73">
        <f t="shared" si="4"/>
        <v>0.79049999999999987</v>
      </c>
      <c r="J38" s="73">
        <f t="shared" si="5"/>
        <v>0.79049999999999987</v>
      </c>
    </row>
    <row r="39" spans="1:10" x14ac:dyDescent="0.2">
      <c r="A39" s="329"/>
      <c r="B39" s="279" t="s">
        <v>280</v>
      </c>
      <c r="C39" s="268"/>
      <c r="D39" s="272"/>
      <c r="E39" s="278">
        <v>3.53</v>
      </c>
      <c r="F39" s="273">
        <v>0.15</v>
      </c>
      <c r="G39" s="273">
        <v>1</v>
      </c>
      <c r="H39" s="159"/>
      <c r="I39" s="73">
        <f t="shared" si="4"/>
        <v>0.52949999999999997</v>
      </c>
      <c r="J39" s="73">
        <f t="shared" si="5"/>
        <v>0.52949999999999997</v>
      </c>
    </row>
    <row r="40" spans="1:10" x14ac:dyDescent="0.2">
      <c r="A40" s="329"/>
      <c r="B40" s="279" t="s">
        <v>281</v>
      </c>
      <c r="C40" s="268"/>
      <c r="D40" s="272"/>
      <c r="E40" s="278">
        <v>5</v>
      </c>
      <c r="F40" s="273">
        <v>0.15</v>
      </c>
      <c r="G40" s="273">
        <v>1</v>
      </c>
      <c r="H40" s="159"/>
      <c r="I40" s="73">
        <f t="shared" si="4"/>
        <v>0.75</v>
      </c>
      <c r="J40" s="73">
        <f t="shared" si="5"/>
        <v>0.75</v>
      </c>
    </row>
    <row r="41" spans="1:10" x14ac:dyDescent="0.2">
      <c r="A41" s="329"/>
      <c r="B41" s="333" t="s">
        <v>282</v>
      </c>
      <c r="C41" s="268"/>
      <c r="D41" s="272"/>
      <c r="E41" s="337">
        <v>6.74</v>
      </c>
      <c r="F41" s="273">
        <v>0.15</v>
      </c>
      <c r="G41" s="273">
        <v>1</v>
      </c>
      <c r="H41" s="159"/>
      <c r="I41" s="73">
        <f t="shared" si="4"/>
        <v>1.0109999999999999</v>
      </c>
      <c r="J41" s="73">
        <f t="shared" si="5"/>
        <v>1.0109999999999999</v>
      </c>
    </row>
    <row r="42" spans="1:10" x14ac:dyDescent="0.2">
      <c r="A42" s="20"/>
      <c r="B42" s="250" t="s">
        <v>284</v>
      </c>
      <c r="C42" s="9"/>
      <c r="D42" s="17"/>
      <c r="E42" s="337">
        <v>4</v>
      </c>
      <c r="F42" s="273">
        <v>0.15</v>
      </c>
      <c r="G42" s="273">
        <v>1</v>
      </c>
      <c r="H42" s="159"/>
      <c r="I42" s="73">
        <f t="shared" si="4"/>
        <v>0.6</v>
      </c>
      <c r="J42" s="73"/>
    </row>
    <row r="43" spans="1:10" x14ac:dyDescent="0.2">
      <c r="A43" s="20"/>
      <c r="C43" s="12"/>
      <c r="D43" s="17"/>
      <c r="E43" s="160"/>
      <c r="F43" s="27"/>
      <c r="G43" s="159"/>
      <c r="H43" s="159"/>
      <c r="I43" s="75" t="s">
        <v>283</v>
      </c>
      <c r="J43" s="76">
        <f>SUM(J34:J42)</f>
        <v>5.3984999999999994</v>
      </c>
    </row>
    <row r="44" spans="1:10" x14ac:dyDescent="0.2">
      <c r="A44" s="20"/>
      <c r="B44" s="18"/>
      <c r="C44" s="12"/>
      <c r="D44" s="17"/>
      <c r="E44" s="160"/>
      <c r="F44" s="27"/>
      <c r="G44" s="159"/>
      <c r="H44" s="159"/>
      <c r="I44" s="17"/>
      <c r="J44" s="73"/>
    </row>
    <row r="45" spans="1:10" s="259" customFormat="1" ht="25.5" x14ac:dyDescent="0.2">
      <c r="A45" s="9" t="str">
        <f>'PLANILHA ORÇAMENTÁRIA'!A14</f>
        <v>1.1.4</v>
      </c>
      <c r="B45" s="156" t="str">
        <f>'PLANILHA ORÇAMENTÁRIA'!D14</f>
        <v xml:space="preserve">Demolição manual de concreto simples (EMOP 05.001.001) </v>
      </c>
      <c r="C45" s="9" t="str">
        <f>'PLANILHA ORÇAMENTÁRIA'!E14</f>
        <v xml:space="preserve">m3 </v>
      </c>
      <c r="D45" s="341" t="s">
        <v>268</v>
      </c>
      <c r="E45" s="341" t="s">
        <v>269</v>
      </c>
      <c r="F45" s="341" t="s">
        <v>270</v>
      </c>
      <c r="G45" s="341" t="s">
        <v>271</v>
      </c>
      <c r="H45" s="341" t="s">
        <v>272</v>
      </c>
      <c r="I45" s="341" t="s">
        <v>273</v>
      </c>
      <c r="J45" s="342" t="s">
        <v>274</v>
      </c>
    </row>
    <row r="46" spans="1:10" x14ac:dyDescent="0.2">
      <c r="A46" s="17"/>
      <c r="B46" s="275" t="s">
        <v>275</v>
      </c>
      <c r="C46" s="268"/>
      <c r="D46" s="273"/>
      <c r="E46" s="273">
        <v>1.32</v>
      </c>
      <c r="F46" s="273">
        <v>0.3</v>
      </c>
      <c r="G46" s="273">
        <v>0.2</v>
      </c>
      <c r="H46" s="159"/>
      <c r="I46" s="73">
        <f>E46*F46*G46</f>
        <v>7.9200000000000007E-2</v>
      </c>
      <c r="J46" s="80">
        <f>I46</f>
        <v>7.9200000000000007E-2</v>
      </c>
    </row>
    <row r="47" spans="1:10" x14ac:dyDescent="0.2">
      <c r="A47" s="17"/>
      <c r="B47" s="275" t="s">
        <v>276</v>
      </c>
      <c r="C47" s="268"/>
      <c r="D47" s="273"/>
      <c r="E47" s="273">
        <v>2.85</v>
      </c>
      <c r="F47" s="273">
        <v>0.3</v>
      </c>
      <c r="G47" s="273">
        <v>0.2</v>
      </c>
      <c r="H47" s="159"/>
      <c r="I47" s="73">
        <f t="shared" ref="I47:I54" si="6">E47*F47*G47</f>
        <v>0.17100000000000001</v>
      </c>
      <c r="J47" s="80">
        <f t="shared" ref="J47:J54" si="7">I47</f>
        <v>0.17100000000000001</v>
      </c>
    </row>
    <row r="48" spans="1:10" x14ac:dyDescent="0.2">
      <c r="A48" s="17"/>
      <c r="B48" s="279" t="s">
        <v>277</v>
      </c>
      <c r="C48" s="268"/>
      <c r="D48" s="272"/>
      <c r="E48" s="278">
        <v>2.0299999999999998</v>
      </c>
      <c r="F48" s="273">
        <v>0.3</v>
      </c>
      <c r="G48" s="273">
        <v>0.2</v>
      </c>
      <c r="H48" s="159"/>
      <c r="I48" s="73">
        <f t="shared" si="6"/>
        <v>0.12179999999999998</v>
      </c>
      <c r="J48" s="80">
        <f t="shared" si="7"/>
        <v>0.12179999999999998</v>
      </c>
    </row>
    <row r="49" spans="1:10" x14ac:dyDescent="0.2">
      <c r="A49" s="17"/>
      <c r="B49" s="279" t="s">
        <v>278</v>
      </c>
      <c r="C49" s="268"/>
      <c r="D49" s="272"/>
      <c r="E49" s="278">
        <v>2.25</v>
      </c>
      <c r="F49" s="273">
        <v>0.3</v>
      </c>
      <c r="G49" s="273">
        <v>0.2</v>
      </c>
      <c r="H49" s="159"/>
      <c r="I49" s="73">
        <f t="shared" si="6"/>
        <v>0.13499999999999998</v>
      </c>
      <c r="J49" s="80">
        <f t="shared" si="7"/>
        <v>0.13499999999999998</v>
      </c>
    </row>
    <row r="50" spans="1:10" x14ac:dyDescent="0.2">
      <c r="A50" s="17"/>
      <c r="B50" s="279" t="s">
        <v>279</v>
      </c>
      <c r="C50" s="268"/>
      <c r="D50" s="272"/>
      <c r="E50" s="278">
        <v>2.27</v>
      </c>
      <c r="F50" s="273">
        <v>0.3</v>
      </c>
      <c r="G50" s="273">
        <v>0.2</v>
      </c>
      <c r="H50" s="159"/>
      <c r="I50" s="73">
        <f t="shared" si="6"/>
        <v>0.13619999999999999</v>
      </c>
      <c r="J50" s="80">
        <f t="shared" si="7"/>
        <v>0.13619999999999999</v>
      </c>
    </row>
    <row r="51" spans="1:10" x14ac:dyDescent="0.2">
      <c r="A51" s="17"/>
      <c r="B51" s="279" t="s">
        <v>280</v>
      </c>
      <c r="C51" s="268"/>
      <c r="D51" s="272"/>
      <c r="E51" s="278">
        <v>1.53</v>
      </c>
      <c r="F51" s="273">
        <v>0.3</v>
      </c>
      <c r="G51" s="273">
        <v>0.2</v>
      </c>
      <c r="H51" s="159"/>
      <c r="I51" s="73">
        <f t="shared" si="6"/>
        <v>9.1799999999999993E-2</v>
      </c>
      <c r="J51" s="80">
        <f t="shared" si="7"/>
        <v>9.1799999999999993E-2</v>
      </c>
    </row>
    <row r="52" spans="1:10" x14ac:dyDescent="0.2">
      <c r="A52" s="20"/>
      <c r="B52" s="279" t="s">
        <v>281</v>
      </c>
      <c r="C52" s="268"/>
      <c r="D52" s="272"/>
      <c r="E52" s="278">
        <v>2</v>
      </c>
      <c r="F52" s="273">
        <v>0.3</v>
      </c>
      <c r="G52" s="273">
        <v>0.2</v>
      </c>
      <c r="H52" s="159"/>
      <c r="I52" s="73">
        <f t="shared" si="6"/>
        <v>0.12</v>
      </c>
      <c r="J52" s="80">
        <f t="shared" si="7"/>
        <v>0.12</v>
      </c>
    </row>
    <row r="53" spans="1:10" x14ac:dyDescent="0.2">
      <c r="A53" s="20"/>
      <c r="B53" s="333" t="s">
        <v>282</v>
      </c>
      <c r="C53" s="268"/>
      <c r="D53" s="272"/>
      <c r="E53" s="337">
        <v>2.74</v>
      </c>
      <c r="F53" s="273">
        <v>0.3</v>
      </c>
      <c r="G53" s="273">
        <v>0.2</v>
      </c>
      <c r="H53" s="159"/>
      <c r="I53" s="73">
        <f t="shared" si="6"/>
        <v>0.16440000000000002</v>
      </c>
      <c r="J53" s="80">
        <f t="shared" si="7"/>
        <v>0.16440000000000002</v>
      </c>
    </row>
    <row r="54" spans="1:10" x14ac:dyDescent="0.2">
      <c r="A54" s="329"/>
      <c r="B54" s="250" t="s">
        <v>284</v>
      </c>
      <c r="C54" s="9"/>
      <c r="D54" s="17"/>
      <c r="E54" s="160">
        <v>1</v>
      </c>
      <c r="F54" s="27">
        <v>0.9</v>
      </c>
      <c r="G54" s="159">
        <v>2.1</v>
      </c>
      <c r="H54" s="159"/>
      <c r="I54" s="73">
        <f t="shared" si="6"/>
        <v>1.8900000000000001</v>
      </c>
      <c r="J54" s="80">
        <f t="shared" si="7"/>
        <v>1.8900000000000001</v>
      </c>
    </row>
    <row r="55" spans="1:10" x14ac:dyDescent="0.2">
      <c r="A55" s="329"/>
      <c r="B55" s="333"/>
      <c r="C55" s="268"/>
      <c r="D55" s="272"/>
      <c r="E55" s="337"/>
      <c r="F55" s="273"/>
      <c r="G55" s="273"/>
      <c r="H55" s="159"/>
      <c r="I55" s="73"/>
      <c r="J55" s="76">
        <f>SUM(J46:J54)</f>
        <v>2.9094000000000002</v>
      </c>
    </row>
    <row r="56" spans="1:10" ht="25.5" x14ac:dyDescent="0.2">
      <c r="A56" s="17" t="str">
        <f>'PLANILHA ORÇAMENTÁRIA'!A15</f>
        <v>1.1.5</v>
      </c>
      <c r="B56" s="156" t="str">
        <f>'PLANILHA ORÇAMENTÁRIA'!D15</f>
        <v xml:space="preserve">Retirada de portas e janelas de madeira, inclusive batentes </v>
      </c>
      <c r="C56" s="9" t="str">
        <f>'PLANILHA ORÇAMENTÁRIA'!E15</f>
        <v xml:space="preserve">m2 </v>
      </c>
      <c r="D56" s="79" t="s">
        <v>268</v>
      </c>
      <c r="E56" s="79" t="s">
        <v>269</v>
      </c>
      <c r="F56" s="79" t="s">
        <v>270</v>
      </c>
      <c r="G56" s="79" t="s">
        <v>271</v>
      </c>
      <c r="H56" s="79" t="s">
        <v>272</v>
      </c>
      <c r="I56" s="79" t="s">
        <v>273</v>
      </c>
      <c r="J56" s="80" t="s">
        <v>274</v>
      </c>
    </row>
    <row r="57" spans="1:10" x14ac:dyDescent="0.2">
      <c r="A57" s="17"/>
      <c r="B57" s="264" t="s">
        <v>275</v>
      </c>
      <c r="C57" s="9"/>
      <c r="D57" s="79"/>
      <c r="E57" s="79"/>
      <c r="F57" s="79">
        <v>0.8</v>
      </c>
      <c r="G57" s="79">
        <v>2.1</v>
      </c>
      <c r="H57" s="159">
        <f>F57*G57</f>
        <v>1.6800000000000002</v>
      </c>
      <c r="I57" s="79"/>
      <c r="J57" s="73">
        <f>H57</f>
        <v>1.6800000000000002</v>
      </c>
    </row>
    <row r="58" spans="1:10" x14ac:dyDescent="0.2">
      <c r="A58" s="20"/>
      <c r="B58" s="264" t="s">
        <v>276</v>
      </c>
      <c r="C58" s="9"/>
      <c r="D58" s="17"/>
      <c r="E58" s="160"/>
      <c r="F58" s="27">
        <v>0.8</v>
      </c>
      <c r="G58" s="159">
        <v>2.1</v>
      </c>
      <c r="H58" s="159">
        <f t="shared" ref="H58:H65" si="8">F58*G58</f>
        <v>1.6800000000000002</v>
      </c>
      <c r="I58" s="17"/>
      <c r="J58" s="73">
        <f t="shared" ref="J58:J65" si="9">H58</f>
        <v>1.6800000000000002</v>
      </c>
    </row>
    <row r="59" spans="1:10" x14ac:dyDescent="0.2">
      <c r="A59" s="20"/>
      <c r="B59" s="250" t="s">
        <v>277</v>
      </c>
      <c r="C59" s="9"/>
      <c r="D59" s="17"/>
      <c r="E59" s="160"/>
      <c r="F59" s="27">
        <v>0.8</v>
      </c>
      <c r="G59" s="159">
        <v>2.1</v>
      </c>
      <c r="H59" s="159">
        <f t="shared" si="8"/>
        <v>1.6800000000000002</v>
      </c>
      <c r="I59" s="17"/>
      <c r="J59" s="73">
        <f t="shared" si="9"/>
        <v>1.6800000000000002</v>
      </c>
    </row>
    <row r="60" spans="1:10" x14ac:dyDescent="0.2">
      <c r="A60" s="20"/>
      <c r="B60" s="250" t="s">
        <v>278</v>
      </c>
      <c r="C60" s="9"/>
      <c r="D60" s="17"/>
      <c r="E60" s="160"/>
      <c r="F60" s="27">
        <v>0.8</v>
      </c>
      <c r="G60" s="159">
        <v>2.1</v>
      </c>
      <c r="H60" s="159">
        <f t="shared" si="8"/>
        <v>1.6800000000000002</v>
      </c>
      <c r="I60" s="17"/>
      <c r="J60" s="73">
        <f t="shared" si="9"/>
        <v>1.6800000000000002</v>
      </c>
    </row>
    <row r="61" spans="1:10" x14ac:dyDescent="0.2">
      <c r="A61" s="20"/>
      <c r="B61" s="250" t="s">
        <v>279</v>
      </c>
      <c r="C61" s="9"/>
      <c r="D61" s="17"/>
      <c r="E61" s="160"/>
      <c r="F61" s="27">
        <v>0.9</v>
      </c>
      <c r="G61" s="159">
        <v>2.1</v>
      </c>
      <c r="H61" s="159">
        <f t="shared" si="8"/>
        <v>1.8900000000000001</v>
      </c>
      <c r="I61" s="17"/>
      <c r="J61" s="73">
        <f t="shared" si="9"/>
        <v>1.8900000000000001</v>
      </c>
    </row>
    <row r="62" spans="1:10" x14ac:dyDescent="0.2">
      <c r="A62" s="20"/>
      <c r="B62" s="250" t="s">
        <v>280</v>
      </c>
      <c r="C62" s="9"/>
      <c r="D62" s="17"/>
      <c r="E62" s="160"/>
      <c r="F62" s="27">
        <v>0.8</v>
      </c>
      <c r="G62" s="159">
        <v>2.1</v>
      </c>
      <c r="H62" s="159">
        <f t="shared" si="8"/>
        <v>1.6800000000000002</v>
      </c>
      <c r="I62" s="17"/>
      <c r="J62" s="73">
        <f t="shared" si="9"/>
        <v>1.6800000000000002</v>
      </c>
    </row>
    <row r="63" spans="1:10" x14ac:dyDescent="0.2">
      <c r="A63" s="20"/>
      <c r="B63" s="250" t="s">
        <v>284</v>
      </c>
      <c r="C63" s="9"/>
      <c r="D63" s="17"/>
      <c r="E63" s="160"/>
      <c r="F63" s="27">
        <v>0.9</v>
      </c>
      <c r="G63" s="159">
        <v>2.1</v>
      </c>
      <c r="H63" s="159">
        <f t="shared" si="8"/>
        <v>1.8900000000000001</v>
      </c>
      <c r="I63" s="17"/>
      <c r="J63" s="73">
        <f t="shared" si="9"/>
        <v>1.8900000000000001</v>
      </c>
    </row>
    <row r="64" spans="1:10" x14ac:dyDescent="0.2">
      <c r="A64" s="20"/>
      <c r="B64" s="250" t="s">
        <v>281</v>
      </c>
      <c r="C64" s="9"/>
      <c r="D64" s="17"/>
      <c r="E64" s="160"/>
      <c r="F64" s="27">
        <v>0.8</v>
      </c>
      <c r="G64" s="159">
        <v>2.1</v>
      </c>
      <c r="H64" s="159">
        <f t="shared" si="8"/>
        <v>1.6800000000000002</v>
      </c>
      <c r="I64" s="17"/>
      <c r="J64" s="73">
        <f t="shared" si="9"/>
        <v>1.6800000000000002</v>
      </c>
    </row>
    <row r="65" spans="1:10" x14ac:dyDescent="0.2">
      <c r="A65" s="20"/>
      <c r="B65" s="250" t="s">
        <v>282</v>
      </c>
      <c r="C65" s="9"/>
      <c r="D65" s="17"/>
      <c r="E65" s="160"/>
      <c r="F65" s="27">
        <v>0.9</v>
      </c>
      <c r="G65" s="159">
        <v>2.1</v>
      </c>
      <c r="H65" s="159">
        <f t="shared" si="8"/>
        <v>1.8900000000000001</v>
      </c>
      <c r="I65" s="17"/>
      <c r="J65" s="73">
        <f t="shared" si="9"/>
        <v>1.8900000000000001</v>
      </c>
    </row>
    <row r="66" spans="1:10" x14ac:dyDescent="0.2">
      <c r="A66" s="20"/>
      <c r="B66" s="18"/>
      <c r="C66" s="12"/>
      <c r="D66" s="17"/>
      <c r="E66" s="9"/>
      <c r="F66" s="27"/>
      <c r="G66" s="28"/>
      <c r="H66" s="72"/>
      <c r="I66" s="75" t="s">
        <v>283</v>
      </c>
      <c r="J66" s="76">
        <f>SUM(J57:J65)</f>
        <v>15.750000000000002</v>
      </c>
    </row>
    <row r="67" spans="1:10" x14ac:dyDescent="0.2">
      <c r="A67" s="20"/>
      <c r="B67" s="18"/>
      <c r="C67" s="12"/>
      <c r="D67" s="17"/>
      <c r="E67" s="9"/>
      <c r="F67" s="27"/>
      <c r="G67" s="28"/>
      <c r="H67" s="72"/>
      <c r="I67" s="139"/>
      <c r="J67" s="85"/>
    </row>
    <row r="68" spans="1:10" ht="25.5" x14ac:dyDescent="0.2">
      <c r="A68" s="17" t="str">
        <f>'PLANILHA ORÇAMENTÁRIA'!A16</f>
        <v>1.1.6</v>
      </c>
      <c r="B68" s="156" t="str">
        <f>'PLANILHA ORÇAMENTÁRIA'!D16</f>
        <v>Demolição manual de concreto armado (EMOP 05.001.033)</v>
      </c>
      <c r="C68" s="9" t="str">
        <f>'PLANILHA ORÇAMENTÁRIA'!E16</f>
        <v xml:space="preserve">m3 </v>
      </c>
      <c r="D68" s="79" t="s">
        <v>268</v>
      </c>
      <c r="E68" s="79" t="s">
        <v>269</v>
      </c>
      <c r="F68" s="79" t="s">
        <v>270</v>
      </c>
      <c r="G68" s="79" t="s">
        <v>271</v>
      </c>
      <c r="H68" s="79" t="s">
        <v>272</v>
      </c>
      <c r="I68" s="79" t="s">
        <v>273</v>
      </c>
      <c r="J68" s="80" t="s">
        <v>274</v>
      </c>
    </row>
    <row r="69" spans="1:10" x14ac:dyDescent="0.2">
      <c r="A69" s="20"/>
      <c r="B69" s="250" t="s">
        <v>284</v>
      </c>
      <c r="C69" s="9"/>
      <c r="D69" s="17"/>
      <c r="E69" s="9"/>
      <c r="F69" s="27"/>
      <c r="G69" s="159"/>
      <c r="H69" s="159"/>
      <c r="I69" s="73"/>
      <c r="J69" s="73"/>
    </row>
    <row r="70" spans="1:10" x14ac:dyDescent="0.2">
      <c r="A70" s="405"/>
      <c r="B70" s="403" t="s">
        <v>285</v>
      </c>
      <c r="C70" s="9"/>
      <c r="D70" s="73">
        <v>2</v>
      </c>
      <c r="E70" s="160">
        <v>6</v>
      </c>
      <c r="F70" s="160">
        <v>0.6</v>
      </c>
      <c r="G70" s="159">
        <v>0.06</v>
      </c>
      <c r="H70" s="159"/>
      <c r="I70" s="73">
        <f>E70*F70*G70</f>
        <v>0.21599999999999997</v>
      </c>
      <c r="J70" s="73">
        <f>I70*D70</f>
        <v>0.43199999999999994</v>
      </c>
    </row>
    <row r="71" spans="1:10" x14ac:dyDescent="0.2">
      <c r="A71" s="406"/>
      <c r="B71" s="404"/>
      <c r="C71" s="9"/>
      <c r="D71" s="73">
        <v>2</v>
      </c>
      <c r="E71" s="160">
        <v>3</v>
      </c>
      <c r="F71" s="160">
        <v>0.6</v>
      </c>
      <c r="G71" s="159">
        <v>0.06</v>
      </c>
      <c r="H71" s="159"/>
      <c r="I71" s="73">
        <f>E71*F71*G71</f>
        <v>0.10799999999999998</v>
      </c>
      <c r="J71" s="73">
        <f>I71*D71</f>
        <v>0.21599999999999997</v>
      </c>
    </row>
    <row r="72" spans="1:10" x14ac:dyDescent="0.2">
      <c r="A72" s="20"/>
      <c r="B72" s="158" t="s">
        <v>286</v>
      </c>
      <c r="C72" s="9"/>
      <c r="D72" s="73">
        <v>5</v>
      </c>
      <c r="E72" s="160">
        <v>0.15</v>
      </c>
      <c r="F72" s="160">
        <v>0.15</v>
      </c>
      <c r="G72" s="159">
        <v>2</v>
      </c>
      <c r="H72" s="159"/>
      <c r="I72" s="73">
        <f>E72*F72*G72</f>
        <v>4.4999999999999998E-2</v>
      </c>
      <c r="J72" s="73">
        <f>I72*D72</f>
        <v>0.22499999999999998</v>
      </c>
    </row>
    <row r="73" spans="1:10" x14ac:dyDescent="0.2">
      <c r="A73" s="20"/>
      <c r="B73" s="158" t="s">
        <v>287</v>
      </c>
      <c r="C73" s="9"/>
      <c r="D73" s="73">
        <v>1</v>
      </c>
      <c r="E73" s="160">
        <v>4.3</v>
      </c>
      <c r="F73" s="160">
        <v>0.5</v>
      </c>
      <c r="G73" s="159">
        <v>0.75</v>
      </c>
      <c r="H73" s="159"/>
      <c r="I73" s="73">
        <f>E73*F73*G73</f>
        <v>1.6124999999999998</v>
      </c>
      <c r="J73" s="73">
        <f>I73*D73</f>
        <v>1.6124999999999998</v>
      </c>
    </row>
    <row r="74" spans="1:10" x14ac:dyDescent="0.2">
      <c r="A74" s="20"/>
      <c r="B74" s="158"/>
      <c r="C74" s="9"/>
      <c r="D74" s="17"/>
      <c r="E74" s="9"/>
      <c r="F74" s="27"/>
      <c r="G74" s="159"/>
      <c r="H74" s="159"/>
      <c r="I74" s="75" t="s">
        <v>283</v>
      </c>
      <c r="J74" s="76">
        <f>SUM(J69:J73)</f>
        <v>2.4854999999999996</v>
      </c>
    </row>
    <row r="75" spans="1:10" x14ac:dyDescent="0.2">
      <c r="A75" s="20"/>
      <c r="B75" s="156"/>
      <c r="C75" s="9"/>
      <c r="D75" s="17"/>
      <c r="E75" s="9"/>
      <c r="F75" s="27"/>
      <c r="G75" s="28"/>
      <c r="H75" s="72"/>
      <c r="I75" s="17"/>
      <c r="J75" s="17"/>
    </row>
    <row r="76" spans="1:10" ht="25.5" x14ac:dyDescent="0.2">
      <c r="A76" s="272" t="str">
        <f>'PLANILHA ORÇAMENTÁRIA'!A17</f>
        <v>1.1.7</v>
      </c>
      <c r="B76" s="267" t="str">
        <f>'PLANILHA ORÇAMENTÁRIA'!D17</f>
        <v>Demolição de piso cimentado, exclusive lastro de concreto</v>
      </c>
      <c r="C76" s="268" t="str">
        <f>'PLANILHA ORÇAMENTÁRIA'!E17</f>
        <v xml:space="preserve">m2 </v>
      </c>
      <c r="D76" s="273" t="s">
        <v>268</v>
      </c>
      <c r="E76" s="273" t="s">
        <v>269</v>
      </c>
      <c r="F76" s="273" t="s">
        <v>270</v>
      </c>
      <c r="G76" s="273" t="s">
        <v>271</v>
      </c>
      <c r="H76" s="273" t="s">
        <v>272</v>
      </c>
      <c r="I76" s="273" t="s">
        <v>273</v>
      </c>
      <c r="J76" s="274" t="s">
        <v>274</v>
      </c>
    </row>
    <row r="77" spans="1:10" x14ac:dyDescent="0.2">
      <c r="A77" s="286"/>
      <c r="B77" s="279" t="s">
        <v>284</v>
      </c>
      <c r="C77" s="268"/>
      <c r="D77" s="272"/>
      <c r="E77" s="277">
        <v>6</v>
      </c>
      <c r="F77" s="278">
        <v>4.33</v>
      </c>
      <c r="G77" s="276"/>
      <c r="H77" s="276">
        <f>E77*F77</f>
        <v>25.98</v>
      </c>
      <c r="I77" s="272"/>
      <c r="J77" s="269">
        <f>H77</f>
        <v>25.98</v>
      </c>
    </row>
    <row r="78" spans="1:10" x14ac:dyDescent="0.2">
      <c r="A78" s="286"/>
      <c r="B78" s="291"/>
      <c r="C78" s="268"/>
      <c r="D78" s="272"/>
      <c r="E78" s="277"/>
      <c r="F78" s="278"/>
      <c r="G78" s="276"/>
      <c r="H78" s="276"/>
      <c r="I78" s="283" t="s">
        <v>283</v>
      </c>
      <c r="J78" s="284">
        <f>SUM(J77:J77)</f>
        <v>25.98</v>
      </c>
    </row>
    <row r="79" spans="1:10" x14ac:dyDescent="0.2">
      <c r="A79" s="286"/>
      <c r="B79" s="291"/>
      <c r="C79" s="268"/>
      <c r="D79" s="272"/>
      <c r="E79" s="277"/>
      <c r="F79" s="278"/>
      <c r="G79" s="276"/>
      <c r="H79" s="276"/>
      <c r="I79" s="292"/>
      <c r="J79" s="293"/>
    </row>
    <row r="80" spans="1:10" ht="25.5" x14ac:dyDescent="0.2">
      <c r="A80" s="272" t="str">
        <f>'PLANILHA ORÇAMENTÁRIA'!A18</f>
        <v>1.1.8</v>
      </c>
      <c r="B80" s="267" t="str">
        <f>'PLANILHA ORÇAMENTÁRIA'!D18</f>
        <v xml:space="preserve">Retirada de grades, gradis, alambrados, cercas e portões </v>
      </c>
      <c r="C80" s="268" t="str">
        <f>'PLANILHA ORÇAMENTÁRIA'!E18</f>
        <v>m2</v>
      </c>
      <c r="D80" s="273" t="s">
        <v>268</v>
      </c>
      <c r="E80" s="273" t="s">
        <v>269</v>
      </c>
      <c r="F80" s="273" t="s">
        <v>270</v>
      </c>
      <c r="G80" s="273" t="s">
        <v>271</v>
      </c>
      <c r="H80" s="273" t="s">
        <v>272</v>
      </c>
      <c r="I80" s="273" t="s">
        <v>273</v>
      </c>
      <c r="J80" s="274" t="s">
        <v>274</v>
      </c>
    </row>
    <row r="81" spans="1:10" x14ac:dyDescent="0.2">
      <c r="A81" s="272"/>
      <c r="B81" s="279" t="s">
        <v>288</v>
      </c>
      <c r="C81" s="268"/>
      <c r="D81" s="273"/>
      <c r="E81" s="273"/>
      <c r="F81" s="273">
        <f>1.4+0.2+0.2</f>
        <v>1.7999999999999998</v>
      </c>
      <c r="G81" s="273">
        <f>1.2+0.2+0.2</f>
        <v>1.5999999999999999</v>
      </c>
      <c r="H81" s="276">
        <f t="shared" ref="H81:H89" si="10">F81*G81</f>
        <v>2.8799999999999994</v>
      </c>
      <c r="I81" s="273"/>
      <c r="J81" s="269">
        <f t="shared" ref="J81:J89" si="11">H81</f>
        <v>2.8799999999999994</v>
      </c>
    </row>
    <row r="82" spans="1:10" x14ac:dyDescent="0.2">
      <c r="A82" s="286"/>
      <c r="B82" s="279" t="s">
        <v>276</v>
      </c>
      <c r="C82" s="268"/>
      <c r="D82" s="272"/>
      <c r="E82" s="277"/>
      <c r="F82" s="278">
        <v>2</v>
      </c>
      <c r="G82" s="276">
        <v>1.4</v>
      </c>
      <c r="H82" s="276">
        <f t="shared" si="10"/>
        <v>2.8</v>
      </c>
      <c r="I82" s="272"/>
      <c r="J82" s="269">
        <f t="shared" si="11"/>
        <v>2.8</v>
      </c>
    </row>
    <row r="83" spans="1:10" x14ac:dyDescent="0.2">
      <c r="A83" s="409"/>
      <c r="B83" s="407" t="s">
        <v>277</v>
      </c>
      <c r="C83" s="268"/>
      <c r="D83" s="272"/>
      <c r="E83" s="277"/>
      <c r="F83" s="278">
        <v>2</v>
      </c>
      <c r="G83" s="276">
        <v>1.4</v>
      </c>
      <c r="H83" s="276">
        <f t="shared" si="10"/>
        <v>2.8</v>
      </c>
      <c r="I83" s="272"/>
      <c r="J83" s="269">
        <f t="shared" si="11"/>
        <v>2.8</v>
      </c>
    </row>
    <row r="84" spans="1:10" x14ac:dyDescent="0.2">
      <c r="A84" s="410"/>
      <c r="B84" s="408"/>
      <c r="C84" s="268"/>
      <c r="D84" s="272"/>
      <c r="E84" s="277"/>
      <c r="F84" s="278">
        <v>0.8</v>
      </c>
      <c r="G84" s="276">
        <v>2.1</v>
      </c>
      <c r="H84" s="276">
        <f t="shared" si="10"/>
        <v>1.6800000000000002</v>
      </c>
      <c r="I84" s="272"/>
      <c r="J84" s="269">
        <f t="shared" si="11"/>
        <v>1.6800000000000002</v>
      </c>
    </row>
    <row r="85" spans="1:10" x14ac:dyDescent="0.2">
      <c r="A85" s="286"/>
      <c r="B85" s="279" t="s">
        <v>278</v>
      </c>
      <c r="C85" s="268"/>
      <c r="D85" s="272"/>
      <c r="E85" s="277"/>
      <c r="F85" s="278">
        <f>2.2+0.2+0.2</f>
        <v>2.6000000000000005</v>
      </c>
      <c r="G85" s="276">
        <f>1.4+0.2+0.2</f>
        <v>1.7999999999999998</v>
      </c>
      <c r="H85" s="276">
        <f t="shared" si="10"/>
        <v>4.6800000000000006</v>
      </c>
      <c r="I85" s="272"/>
      <c r="J85" s="269">
        <f t="shared" si="11"/>
        <v>4.6800000000000006</v>
      </c>
    </row>
    <row r="86" spans="1:10" x14ac:dyDescent="0.2">
      <c r="A86" s="286"/>
      <c r="B86" s="279" t="s">
        <v>279</v>
      </c>
      <c r="C86" s="268"/>
      <c r="D86" s="272"/>
      <c r="E86" s="277"/>
      <c r="F86" s="278">
        <f>2.5+0.2+0.2</f>
        <v>2.9000000000000004</v>
      </c>
      <c r="G86" s="276">
        <f>1.4+0.2+0.2</f>
        <v>1.7999999999999998</v>
      </c>
      <c r="H86" s="276">
        <f t="shared" si="10"/>
        <v>5.22</v>
      </c>
      <c r="I86" s="272"/>
      <c r="J86" s="269">
        <f t="shared" si="11"/>
        <v>5.22</v>
      </c>
    </row>
    <row r="87" spans="1:10" x14ac:dyDescent="0.2">
      <c r="A87" s="286"/>
      <c r="B87" s="279" t="s">
        <v>280</v>
      </c>
      <c r="C87" s="268"/>
      <c r="D87" s="272"/>
      <c r="E87" s="277"/>
      <c r="F87" s="278">
        <f>2.5+0.2+0.2</f>
        <v>2.9000000000000004</v>
      </c>
      <c r="G87" s="276">
        <f>1.4+0.2+0.2</f>
        <v>1.7999999999999998</v>
      </c>
      <c r="H87" s="276">
        <f t="shared" si="10"/>
        <v>5.22</v>
      </c>
      <c r="I87" s="272"/>
      <c r="J87" s="269">
        <f t="shared" si="11"/>
        <v>5.22</v>
      </c>
    </row>
    <row r="88" spans="1:10" x14ac:dyDescent="0.2">
      <c r="A88" s="286"/>
      <c r="B88" s="279" t="s">
        <v>284</v>
      </c>
      <c r="C88" s="268"/>
      <c r="D88" s="272"/>
      <c r="E88" s="277"/>
      <c r="F88" s="278">
        <v>2</v>
      </c>
      <c r="G88" s="276">
        <v>1.2</v>
      </c>
      <c r="H88" s="276">
        <f t="shared" si="10"/>
        <v>2.4</v>
      </c>
      <c r="I88" s="272"/>
      <c r="J88" s="269">
        <f t="shared" si="11"/>
        <v>2.4</v>
      </c>
    </row>
    <row r="89" spans="1:10" x14ac:dyDescent="0.2">
      <c r="A89" s="286"/>
      <c r="B89" s="279" t="s">
        <v>281</v>
      </c>
      <c r="C89" s="268"/>
      <c r="D89" s="272"/>
      <c r="E89" s="277"/>
      <c r="F89" s="278">
        <f>2.5+0.2+0.2</f>
        <v>2.9000000000000004</v>
      </c>
      <c r="G89" s="276">
        <f>1.4+0.2+0.2</f>
        <v>1.7999999999999998</v>
      </c>
      <c r="H89" s="276">
        <f t="shared" si="10"/>
        <v>5.22</v>
      </c>
      <c r="I89" s="272"/>
      <c r="J89" s="269">
        <f t="shared" si="11"/>
        <v>5.22</v>
      </c>
    </row>
    <row r="90" spans="1:10" x14ac:dyDescent="0.2">
      <c r="A90" s="286"/>
      <c r="B90" s="291"/>
      <c r="C90" s="268"/>
      <c r="D90" s="272"/>
      <c r="E90" s="277"/>
      <c r="F90" s="278"/>
      <c r="G90" s="276"/>
      <c r="H90" s="276"/>
      <c r="I90" s="283" t="s">
        <v>283</v>
      </c>
      <c r="J90" s="284">
        <f>SUM(J81:J89)</f>
        <v>32.9</v>
      </c>
    </row>
    <row r="91" spans="1:10" x14ac:dyDescent="0.2">
      <c r="A91" s="286"/>
      <c r="B91" s="291"/>
      <c r="C91" s="268"/>
      <c r="D91" s="272"/>
      <c r="E91" s="277"/>
      <c r="F91" s="278"/>
      <c r="G91" s="276"/>
      <c r="H91" s="276"/>
      <c r="I91" s="292"/>
      <c r="J91" s="293"/>
    </row>
    <row r="92" spans="1:10" ht="25.5" x14ac:dyDescent="0.2">
      <c r="A92" s="272" t="str">
        <f>'PLANILHA ORÇAMENTÁRIA'!A19</f>
        <v>1.1.9</v>
      </c>
      <c r="B92" s="267" t="str">
        <f>'PLANILHA ORÇAMENTÁRIA'!D19</f>
        <v>Retirada de rodapé em argamassa de cimento e areia</v>
      </c>
      <c r="C92" s="268" t="str">
        <f>'PLANILHA ORÇAMENTÁRIA'!E19</f>
        <v>m</v>
      </c>
      <c r="D92" s="273" t="s">
        <v>268</v>
      </c>
      <c r="E92" s="273" t="s">
        <v>269</v>
      </c>
      <c r="F92" s="273" t="s">
        <v>270</v>
      </c>
      <c r="G92" s="273" t="s">
        <v>271</v>
      </c>
      <c r="H92" s="273" t="s">
        <v>272</v>
      </c>
      <c r="I92" s="273" t="s">
        <v>273</v>
      </c>
      <c r="J92" s="274" t="s">
        <v>274</v>
      </c>
    </row>
    <row r="93" spans="1:10" x14ac:dyDescent="0.2">
      <c r="A93" s="286"/>
      <c r="B93" s="279" t="s">
        <v>284</v>
      </c>
      <c r="C93" s="268"/>
      <c r="D93" s="272"/>
      <c r="E93" s="273">
        <f>((6*2)+(4.33*2))-(0.9+1)</f>
        <v>18.760000000000002</v>
      </c>
      <c r="F93" s="278"/>
      <c r="G93" s="276"/>
      <c r="H93" s="276"/>
      <c r="I93" s="272"/>
      <c r="J93" s="269">
        <f>E93</f>
        <v>18.760000000000002</v>
      </c>
    </row>
    <row r="94" spans="1:10" x14ac:dyDescent="0.2">
      <c r="A94" s="286"/>
      <c r="B94" s="291"/>
      <c r="C94" s="268"/>
      <c r="D94" s="272"/>
      <c r="E94" s="277"/>
      <c r="F94" s="278"/>
      <c r="G94" s="276"/>
      <c r="H94" s="276"/>
      <c r="I94" s="283" t="s">
        <v>283</v>
      </c>
      <c r="J94" s="284">
        <f>SUM(J93:J93)</f>
        <v>18.760000000000002</v>
      </c>
    </row>
    <row r="95" spans="1:10" x14ac:dyDescent="0.2">
      <c r="A95" s="286"/>
      <c r="B95" s="291"/>
      <c r="C95" s="268"/>
      <c r="D95" s="272"/>
      <c r="E95" s="277"/>
      <c r="F95" s="278"/>
      <c r="G95" s="276"/>
      <c r="H95" s="276"/>
      <c r="I95" s="292"/>
      <c r="J95" s="293"/>
    </row>
    <row r="96" spans="1:10" s="259" customFormat="1" ht="25.5" x14ac:dyDescent="0.2">
      <c r="A96" s="9" t="str">
        <f>'PLANILHA ORÇAMENTÁRIA'!A20</f>
        <v>1.1.10</v>
      </c>
      <c r="B96" s="156" t="str">
        <f>'PLANILHA ORÇAMENTÁRIA'!D20</f>
        <v xml:space="preserve">Lixamento de parede com pintura antiga PVA para recebimento de nova camada de tinta </v>
      </c>
      <c r="C96" s="9" t="str">
        <f>'PLANILHA ORÇAMENTÁRIA'!E20</f>
        <v xml:space="preserve">m2 </v>
      </c>
      <c r="D96" s="341" t="s">
        <v>268</v>
      </c>
      <c r="E96" s="341" t="s">
        <v>269</v>
      </c>
      <c r="F96" s="341" t="s">
        <v>270</v>
      </c>
      <c r="G96" s="341" t="s">
        <v>271</v>
      </c>
      <c r="H96" s="341" t="s">
        <v>272</v>
      </c>
      <c r="I96" s="341" t="s">
        <v>273</v>
      </c>
      <c r="J96" s="342" t="s">
        <v>274</v>
      </c>
    </row>
    <row r="97" spans="1:10" s="259" customFormat="1" x14ac:dyDescent="0.2">
      <c r="A97" s="9"/>
      <c r="B97" s="275" t="s">
        <v>275</v>
      </c>
      <c r="C97" s="268"/>
      <c r="D97" s="273"/>
      <c r="E97" s="273">
        <v>3.32</v>
      </c>
      <c r="F97" s="273">
        <v>6.23</v>
      </c>
      <c r="G97" s="273">
        <v>2.9</v>
      </c>
      <c r="H97" s="276">
        <f>2*(E97+F97)*G97</f>
        <v>55.39</v>
      </c>
      <c r="I97" s="341"/>
      <c r="J97" s="342">
        <f>H97</f>
        <v>55.39</v>
      </c>
    </row>
    <row r="98" spans="1:10" s="259" customFormat="1" x14ac:dyDescent="0.2">
      <c r="A98" s="9"/>
      <c r="B98" s="275" t="s">
        <v>276</v>
      </c>
      <c r="C98" s="268"/>
      <c r="D98" s="273"/>
      <c r="E98" s="273">
        <v>3.85</v>
      </c>
      <c r="F98" s="273">
        <v>6</v>
      </c>
      <c r="G98" s="273">
        <v>2.9</v>
      </c>
      <c r="H98" s="276">
        <f t="shared" ref="H98:H105" si="12">2*(E98+F98)*G98</f>
        <v>57.129999999999995</v>
      </c>
      <c r="I98" s="341"/>
      <c r="J98" s="342">
        <f t="shared" ref="J98:J105" si="13">H98</f>
        <v>57.129999999999995</v>
      </c>
    </row>
    <row r="99" spans="1:10" s="259" customFormat="1" x14ac:dyDescent="0.2">
      <c r="A99" s="9"/>
      <c r="B99" s="279" t="s">
        <v>277</v>
      </c>
      <c r="C99" s="268"/>
      <c r="D99" s="272"/>
      <c r="E99" s="278">
        <v>4.03</v>
      </c>
      <c r="F99" s="277">
        <v>5.82</v>
      </c>
      <c r="G99" s="273">
        <v>2.9</v>
      </c>
      <c r="H99" s="276">
        <f t="shared" si="12"/>
        <v>57.13000000000001</v>
      </c>
      <c r="I99" s="341"/>
      <c r="J99" s="342">
        <f t="shared" si="13"/>
        <v>57.13000000000001</v>
      </c>
    </row>
    <row r="100" spans="1:10" s="259" customFormat="1" x14ac:dyDescent="0.2">
      <c r="A100" s="9"/>
      <c r="B100" s="279" t="s">
        <v>278</v>
      </c>
      <c r="C100" s="268"/>
      <c r="D100" s="272"/>
      <c r="E100" s="278">
        <v>4.25</v>
      </c>
      <c r="F100" s="277">
        <v>9.08</v>
      </c>
      <c r="G100" s="273">
        <v>2.9</v>
      </c>
      <c r="H100" s="276">
        <f t="shared" si="12"/>
        <v>77.313999999999993</v>
      </c>
      <c r="I100" s="341"/>
      <c r="J100" s="342">
        <f t="shared" si="13"/>
        <v>77.313999999999993</v>
      </c>
    </row>
    <row r="101" spans="1:10" s="259" customFormat="1" x14ac:dyDescent="0.2">
      <c r="A101" s="9"/>
      <c r="B101" s="279" t="s">
        <v>279</v>
      </c>
      <c r="C101" s="268"/>
      <c r="D101" s="272"/>
      <c r="E101" s="278">
        <v>5.27</v>
      </c>
      <c r="F101" s="277">
        <v>6</v>
      </c>
      <c r="G101" s="273">
        <v>2.9</v>
      </c>
      <c r="H101" s="276">
        <f t="shared" si="12"/>
        <v>65.366</v>
      </c>
      <c r="I101" s="341"/>
      <c r="J101" s="342">
        <f t="shared" si="13"/>
        <v>65.366</v>
      </c>
    </row>
    <row r="102" spans="1:10" s="259" customFormat="1" x14ac:dyDescent="0.2">
      <c r="A102" s="9"/>
      <c r="B102" s="279" t="s">
        <v>280</v>
      </c>
      <c r="C102" s="268"/>
      <c r="D102" s="272"/>
      <c r="E102" s="278">
        <v>3.53</v>
      </c>
      <c r="F102" s="277">
        <v>7</v>
      </c>
      <c r="G102" s="273">
        <v>2.9</v>
      </c>
      <c r="H102" s="276">
        <f t="shared" si="12"/>
        <v>61.073999999999991</v>
      </c>
      <c r="I102" s="341"/>
      <c r="J102" s="342">
        <f t="shared" si="13"/>
        <v>61.073999999999991</v>
      </c>
    </row>
    <row r="103" spans="1:10" s="259" customFormat="1" x14ac:dyDescent="0.2">
      <c r="A103" s="9"/>
      <c r="B103" s="279" t="s">
        <v>284</v>
      </c>
      <c r="C103" s="268"/>
      <c r="D103" s="272"/>
      <c r="E103" s="278">
        <v>4.33</v>
      </c>
      <c r="F103" s="277">
        <v>6</v>
      </c>
      <c r="G103" s="273">
        <v>2.9</v>
      </c>
      <c r="H103" s="276">
        <f t="shared" si="12"/>
        <v>59.914000000000001</v>
      </c>
      <c r="I103" s="341"/>
      <c r="J103" s="342">
        <f t="shared" si="13"/>
        <v>59.914000000000001</v>
      </c>
    </row>
    <row r="104" spans="1:10" s="259" customFormat="1" x14ac:dyDescent="0.2">
      <c r="A104" s="9"/>
      <c r="B104" s="279" t="s">
        <v>281</v>
      </c>
      <c r="C104" s="268"/>
      <c r="D104" s="272"/>
      <c r="E104" s="278">
        <v>5</v>
      </c>
      <c r="F104" s="277">
        <v>7</v>
      </c>
      <c r="G104" s="273">
        <v>2.9</v>
      </c>
      <c r="H104" s="276">
        <f t="shared" si="12"/>
        <v>69.599999999999994</v>
      </c>
      <c r="I104" s="341"/>
      <c r="J104" s="342">
        <f t="shared" si="13"/>
        <v>69.599999999999994</v>
      </c>
    </row>
    <row r="105" spans="1:10" s="259" customFormat="1" x14ac:dyDescent="0.2">
      <c r="A105" s="255"/>
      <c r="B105" s="333" t="s">
        <v>282</v>
      </c>
      <c r="C105" s="268"/>
      <c r="D105" s="272"/>
      <c r="E105" s="337">
        <v>6.74</v>
      </c>
      <c r="F105" s="336">
        <v>11.17</v>
      </c>
      <c r="G105" s="273">
        <v>2.9</v>
      </c>
      <c r="H105" s="276">
        <f t="shared" si="12"/>
        <v>103.878</v>
      </c>
      <c r="I105" s="257"/>
      <c r="J105" s="342">
        <f t="shared" si="13"/>
        <v>103.878</v>
      </c>
    </row>
    <row r="106" spans="1:10" x14ac:dyDescent="0.2">
      <c r="A106" s="20"/>
      <c r="B106" s="158"/>
      <c r="C106" s="9"/>
      <c r="D106" s="17"/>
      <c r="E106" s="9"/>
      <c r="F106" s="27"/>
      <c r="G106" s="28"/>
      <c r="H106" s="82"/>
      <c r="I106" s="17"/>
      <c r="J106" s="73"/>
    </row>
    <row r="107" spans="1:10" x14ac:dyDescent="0.2">
      <c r="A107" s="20"/>
      <c r="B107" s="156"/>
      <c r="C107" s="9"/>
      <c r="D107" s="17"/>
      <c r="E107" s="9"/>
      <c r="F107" s="27"/>
      <c r="G107" s="28"/>
      <c r="H107" s="72"/>
      <c r="I107" s="75" t="s">
        <v>283</v>
      </c>
      <c r="J107" s="76">
        <f>SUM(J97:J106)</f>
        <v>606.79600000000005</v>
      </c>
    </row>
    <row r="108" spans="1:10" x14ac:dyDescent="0.2">
      <c r="A108" s="20"/>
      <c r="B108" s="156"/>
      <c r="C108" s="9"/>
      <c r="D108" s="17"/>
      <c r="E108" s="9"/>
      <c r="F108" s="27"/>
      <c r="G108" s="28"/>
      <c r="H108" s="72"/>
      <c r="I108" s="17"/>
      <c r="J108" s="17"/>
    </row>
    <row r="109" spans="1:10" s="265" customFormat="1" ht="25.5" x14ac:dyDescent="0.2">
      <c r="A109" s="344" t="str">
        <f>'PLANILHA ORÇAMENTÁRIA'!A21</f>
        <v>1.1.11</v>
      </c>
      <c r="B109" s="345" t="str">
        <f>'PLANILHA ORÇAMENTÁRIA'!D21</f>
        <v xml:space="preserve">Remoção de telha ondulada de fibrocimento, inclusive cumeeira </v>
      </c>
      <c r="C109" s="344" t="str">
        <f>'PLANILHA ORÇAMENTÁRIA'!E21</f>
        <v xml:space="preserve">m2 </v>
      </c>
      <c r="D109" s="346" t="s">
        <v>268</v>
      </c>
      <c r="E109" s="346" t="s">
        <v>269</v>
      </c>
      <c r="F109" s="346" t="s">
        <v>270</v>
      </c>
      <c r="G109" s="346" t="s">
        <v>271</v>
      </c>
      <c r="H109" s="346" t="s">
        <v>272</v>
      </c>
      <c r="I109" s="346" t="s">
        <v>273</v>
      </c>
      <c r="J109" s="346" t="s">
        <v>274</v>
      </c>
    </row>
    <row r="110" spans="1:10" s="265" customFormat="1" x14ac:dyDescent="0.2">
      <c r="A110" s="344"/>
      <c r="B110" s="275" t="s">
        <v>275</v>
      </c>
      <c r="C110" s="268"/>
      <c r="D110" s="273"/>
      <c r="E110" s="273">
        <v>3.32</v>
      </c>
      <c r="F110" s="273">
        <v>6.23</v>
      </c>
      <c r="G110" s="273"/>
      <c r="H110" s="276">
        <f>E110*F110</f>
        <v>20.683600000000002</v>
      </c>
      <c r="I110" s="346"/>
      <c r="J110" s="346">
        <f>H110*1.6</f>
        <v>33.093760000000003</v>
      </c>
    </row>
    <row r="111" spans="1:10" s="265" customFormat="1" x14ac:dyDescent="0.2">
      <c r="A111" s="344"/>
      <c r="B111" s="275" t="s">
        <v>276</v>
      </c>
      <c r="C111" s="268"/>
      <c r="D111" s="273"/>
      <c r="E111" s="273">
        <v>3.85</v>
      </c>
      <c r="F111" s="273">
        <v>6</v>
      </c>
      <c r="G111" s="273"/>
      <c r="H111" s="276">
        <f t="shared" ref="H111:H116" si="14">E111*F111</f>
        <v>23.1</v>
      </c>
      <c r="I111" s="346"/>
      <c r="J111" s="346">
        <f t="shared" ref="J111:J116" si="15">H111*1.6</f>
        <v>36.96</v>
      </c>
    </row>
    <row r="112" spans="1:10" s="265" customFormat="1" x14ac:dyDescent="0.2">
      <c r="A112" s="344"/>
      <c r="B112" s="279" t="s">
        <v>277</v>
      </c>
      <c r="C112" s="268"/>
      <c r="D112" s="272"/>
      <c r="E112" s="278">
        <v>4.03</v>
      </c>
      <c r="F112" s="277">
        <v>5.82</v>
      </c>
      <c r="G112" s="273"/>
      <c r="H112" s="276">
        <f t="shared" si="14"/>
        <v>23.454600000000003</v>
      </c>
      <c r="I112" s="346"/>
      <c r="J112" s="346">
        <f t="shared" si="15"/>
        <v>37.527360000000009</v>
      </c>
    </row>
    <row r="113" spans="1:10" s="265" customFormat="1" x14ac:dyDescent="0.2">
      <c r="A113" s="344"/>
      <c r="B113" s="279" t="s">
        <v>278</v>
      </c>
      <c r="C113" s="268"/>
      <c r="D113" s="272"/>
      <c r="E113" s="278">
        <v>4.25</v>
      </c>
      <c r="F113" s="277">
        <v>9.08</v>
      </c>
      <c r="G113" s="273"/>
      <c r="H113" s="276">
        <f t="shared" si="14"/>
        <v>38.590000000000003</v>
      </c>
      <c r="I113" s="346"/>
      <c r="J113" s="346">
        <f t="shared" si="15"/>
        <v>61.744000000000007</v>
      </c>
    </row>
    <row r="114" spans="1:10" s="265" customFormat="1" x14ac:dyDescent="0.2">
      <c r="A114" s="344"/>
      <c r="B114" s="279" t="s">
        <v>279</v>
      </c>
      <c r="C114" s="268"/>
      <c r="D114" s="272"/>
      <c r="E114" s="278">
        <v>5.27</v>
      </c>
      <c r="F114" s="277">
        <v>6</v>
      </c>
      <c r="G114" s="273"/>
      <c r="H114" s="276">
        <f t="shared" si="14"/>
        <v>31.619999999999997</v>
      </c>
      <c r="I114" s="346"/>
      <c r="J114" s="346">
        <f t="shared" si="15"/>
        <v>50.591999999999999</v>
      </c>
    </row>
    <row r="115" spans="1:10" s="265" customFormat="1" x14ac:dyDescent="0.2">
      <c r="A115" s="344"/>
      <c r="B115" s="279" t="s">
        <v>280</v>
      </c>
      <c r="C115" s="268"/>
      <c r="D115" s="272"/>
      <c r="E115" s="278">
        <v>3.53</v>
      </c>
      <c r="F115" s="277">
        <v>7</v>
      </c>
      <c r="G115" s="273"/>
      <c r="H115" s="276">
        <f t="shared" si="14"/>
        <v>24.709999999999997</v>
      </c>
      <c r="I115" s="346"/>
      <c r="J115" s="346">
        <f t="shared" si="15"/>
        <v>39.536000000000001</v>
      </c>
    </row>
    <row r="116" spans="1:10" s="265" customFormat="1" x14ac:dyDescent="0.2">
      <c r="A116" s="344"/>
      <c r="B116" s="279" t="s">
        <v>281</v>
      </c>
      <c r="C116" s="268"/>
      <c r="D116" s="272"/>
      <c r="E116" s="278">
        <v>5</v>
      </c>
      <c r="F116" s="277">
        <v>7</v>
      </c>
      <c r="G116" s="273"/>
      <c r="H116" s="276">
        <f t="shared" si="14"/>
        <v>35</v>
      </c>
      <c r="I116" s="346"/>
      <c r="J116" s="346">
        <f t="shared" si="15"/>
        <v>56</v>
      </c>
    </row>
    <row r="117" spans="1:10" x14ac:dyDescent="0.2">
      <c r="A117" s="20"/>
      <c r="B117" s="358" t="s">
        <v>613</v>
      </c>
      <c r="C117" s="9"/>
      <c r="D117" s="17"/>
      <c r="E117" s="9"/>
      <c r="F117" s="27"/>
      <c r="G117" s="28"/>
      <c r="H117" s="82"/>
      <c r="I117" s="17"/>
      <c r="J117" s="73"/>
    </row>
    <row r="118" spans="1:10" x14ac:dyDescent="0.2">
      <c r="A118" s="20"/>
      <c r="B118" s="156"/>
      <c r="C118" s="9"/>
      <c r="D118" s="17"/>
      <c r="E118" s="9"/>
      <c r="F118" s="27"/>
      <c r="G118" s="28"/>
      <c r="H118" s="72"/>
      <c r="I118" s="75" t="s">
        <v>283</v>
      </c>
      <c r="J118" s="76">
        <f>SUM(J110:J117)</f>
        <v>315.45312000000001</v>
      </c>
    </row>
    <row r="119" spans="1:10" x14ac:dyDescent="0.2">
      <c r="A119" s="329"/>
      <c r="B119" s="156"/>
      <c r="C119" s="9"/>
      <c r="D119" s="17"/>
      <c r="E119" s="9"/>
      <c r="F119" s="27"/>
      <c r="G119" s="28"/>
      <c r="H119" s="72"/>
      <c r="I119" s="350"/>
      <c r="J119" s="343"/>
    </row>
    <row r="120" spans="1:10" ht="25.5" x14ac:dyDescent="0.2">
      <c r="A120" s="17" t="s">
        <v>63</v>
      </c>
      <c r="B120" s="345" t="s">
        <v>611</v>
      </c>
      <c r="C120" s="344" t="s">
        <v>29</v>
      </c>
      <c r="D120" s="346" t="s">
        <v>268</v>
      </c>
      <c r="E120" s="346" t="s">
        <v>269</v>
      </c>
      <c r="F120" s="346" t="s">
        <v>270</v>
      </c>
      <c r="G120" s="346" t="s">
        <v>271</v>
      </c>
      <c r="H120" s="346" t="s">
        <v>272</v>
      </c>
      <c r="I120" s="346" t="s">
        <v>273</v>
      </c>
      <c r="J120" s="346" t="s">
        <v>274</v>
      </c>
    </row>
    <row r="121" spans="1:10" x14ac:dyDescent="0.2">
      <c r="A121" s="329"/>
      <c r="B121" s="275" t="s">
        <v>275</v>
      </c>
      <c r="C121" s="268"/>
      <c r="D121" s="273"/>
      <c r="E121" s="273">
        <v>3.32</v>
      </c>
      <c r="F121" s="273">
        <v>6.23</v>
      </c>
      <c r="G121" s="273"/>
      <c r="H121" s="276">
        <f>E121*F121</f>
        <v>20.683600000000002</v>
      </c>
      <c r="I121" s="346"/>
      <c r="J121" s="346">
        <f>H121</f>
        <v>20.683600000000002</v>
      </c>
    </row>
    <row r="122" spans="1:10" x14ac:dyDescent="0.2">
      <c r="A122" s="329"/>
      <c r="B122" s="275" t="s">
        <v>276</v>
      </c>
      <c r="C122" s="268"/>
      <c r="D122" s="273"/>
      <c r="E122" s="273">
        <v>3.85</v>
      </c>
      <c r="F122" s="273">
        <v>6</v>
      </c>
      <c r="G122" s="273"/>
      <c r="H122" s="276">
        <f t="shared" ref="H122:H127" si="16">E122*F122</f>
        <v>23.1</v>
      </c>
      <c r="I122" s="346"/>
      <c r="J122" s="346">
        <f t="shared" ref="J122:J127" si="17">H122</f>
        <v>23.1</v>
      </c>
    </row>
    <row r="123" spans="1:10" x14ac:dyDescent="0.2">
      <c r="A123" s="329"/>
      <c r="B123" s="279" t="s">
        <v>277</v>
      </c>
      <c r="C123" s="268"/>
      <c r="D123" s="272"/>
      <c r="E123" s="278">
        <v>4.03</v>
      </c>
      <c r="F123" s="277">
        <v>5.82</v>
      </c>
      <c r="G123" s="273"/>
      <c r="H123" s="276">
        <f t="shared" si="16"/>
        <v>23.454600000000003</v>
      </c>
      <c r="I123" s="346"/>
      <c r="J123" s="346">
        <f t="shared" si="17"/>
        <v>23.454600000000003</v>
      </c>
    </row>
    <row r="124" spans="1:10" x14ac:dyDescent="0.2">
      <c r="A124" s="20"/>
      <c r="B124" s="279" t="s">
        <v>278</v>
      </c>
      <c r="C124" s="268"/>
      <c r="D124" s="272"/>
      <c r="E124" s="278">
        <v>4.25</v>
      </c>
      <c r="F124" s="277">
        <v>9.08</v>
      </c>
      <c r="G124" s="273"/>
      <c r="H124" s="276">
        <f t="shared" si="16"/>
        <v>38.590000000000003</v>
      </c>
      <c r="I124" s="346"/>
      <c r="J124" s="346">
        <f t="shared" si="17"/>
        <v>38.590000000000003</v>
      </c>
    </row>
    <row r="125" spans="1:10" x14ac:dyDescent="0.2">
      <c r="A125" s="329"/>
      <c r="B125" s="279" t="s">
        <v>279</v>
      </c>
      <c r="C125" s="268"/>
      <c r="D125" s="272"/>
      <c r="E125" s="278">
        <v>5.27</v>
      </c>
      <c r="F125" s="277">
        <v>6</v>
      </c>
      <c r="G125" s="273"/>
      <c r="H125" s="276">
        <f t="shared" si="16"/>
        <v>31.619999999999997</v>
      </c>
      <c r="I125" s="346"/>
      <c r="J125" s="346">
        <f t="shared" si="17"/>
        <v>31.619999999999997</v>
      </c>
    </row>
    <row r="126" spans="1:10" x14ac:dyDescent="0.2">
      <c r="A126" s="329"/>
      <c r="B126" s="279" t="s">
        <v>280</v>
      </c>
      <c r="C126" s="268"/>
      <c r="D126" s="272"/>
      <c r="E126" s="278">
        <v>3.53</v>
      </c>
      <c r="F126" s="277">
        <v>7</v>
      </c>
      <c r="G126" s="273"/>
      <c r="H126" s="276">
        <f t="shared" si="16"/>
        <v>24.709999999999997</v>
      </c>
      <c r="I126" s="346"/>
      <c r="J126" s="346">
        <f t="shared" si="17"/>
        <v>24.709999999999997</v>
      </c>
    </row>
    <row r="127" spans="1:10" x14ac:dyDescent="0.2">
      <c r="A127" s="329"/>
      <c r="B127" s="279" t="s">
        <v>281</v>
      </c>
      <c r="C127" s="268"/>
      <c r="D127" s="272"/>
      <c r="E127" s="278">
        <v>5</v>
      </c>
      <c r="F127" s="277">
        <v>7</v>
      </c>
      <c r="G127" s="273"/>
      <c r="H127" s="276">
        <f t="shared" si="16"/>
        <v>35</v>
      </c>
      <c r="I127" s="346"/>
      <c r="J127" s="346">
        <f t="shared" si="17"/>
        <v>35</v>
      </c>
    </row>
    <row r="128" spans="1:10" x14ac:dyDescent="0.2">
      <c r="A128" s="329"/>
      <c r="B128" s="158"/>
      <c r="C128" s="9"/>
      <c r="D128" s="17"/>
      <c r="E128" s="9"/>
      <c r="F128" s="27"/>
      <c r="G128" s="28"/>
      <c r="H128" s="82"/>
      <c r="I128" s="17"/>
      <c r="J128" s="73"/>
    </row>
    <row r="129" spans="1:10" x14ac:dyDescent="0.2">
      <c r="A129" s="329"/>
      <c r="B129" s="156"/>
      <c r="C129" s="9"/>
      <c r="D129" s="17"/>
      <c r="E129" s="9"/>
      <c r="F129" s="27"/>
      <c r="G129" s="28"/>
      <c r="H129" s="72"/>
      <c r="I129" s="75" t="s">
        <v>283</v>
      </c>
      <c r="J129" s="76">
        <f>SUM(J121:J128)</f>
        <v>197.15820000000002</v>
      </c>
    </row>
    <row r="130" spans="1:10" ht="25.5" x14ac:dyDescent="0.2">
      <c r="A130" s="272" t="str">
        <f>'PLANILHA ORÇAMENTÁRIA'!A23</f>
        <v>1.1.13</v>
      </c>
      <c r="B130" s="267" t="str">
        <f>'PLANILHA ORÇAMENTÁRIA'!D23</f>
        <v>Retirada de rodapé de madeira ou cerâmica</v>
      </c>
      <c r="C130" s="268" t="str">
        <f>'PLANILHA ORÇAMENTÁRIA'!E23</f>
        <v>m</v>
      </c>
      <c r="D130" s="273" t="s">
        <v>268</v>
      </c>
      <c r="E130" s="273" t="s">
        <v>269</v>
      </c>
      <c r="F130" s="273" t="s">
        <v>270</v>
      </c>
      <c r="G130" s="273" t="s">
        <v>271</v>
      </c>
      <c r="H130" s="273" t="s">
        <v>272</v>
      </c>
      <c r="I130" s="273" t="s">
        <v>273</v>
      </c>
      <c r="J130" s="274" t="s">
        <v>274</v>
      </c>
    </row>
    <row r="131" spans="1:10" x14ac:dyDescent="0.2">
      <c r="A131" s="272"/>
      <c r="B131" s="275" t="s">
        <v>275</v>
      </c>
      <c r="C131" s="268"/>
      <c r="D131" s="273"/>
      <c r="E131" s="273">
        <f>((6.23*2)+(3.32*2))-0.8</f>
        <v>18.3</v>
      </c>
      <c r="F131" s="273"/>
      <c r="G131" s="273"/>
      <c r="H131" s="276"/>
      <c r="I131" s="273"/>
      <c r="J131" s="269">
        <f t="shared" ref="J131:J138" si="18">E131</f>
        <v>18.3</v>
      </c>
    </row>
    <row r="132" spans="1:10" x14ac:dyDescent="0.2">
      <c r="A132" s="286"/>
      <c r="B132" s="275" t="s">
        <v>276</v>
      </c>
      <c r="C132" s="268"/>
      <c r="D132" s="272"/>
      <c r="E132" s="273">
        <f>((6*2)+(3.65*2))-0.8</f>
        <v>18.5</v>
      </c>
      <c r="F132" s="278"/>
      <c r="G132" s="276"/>
      <c r="H132" s="276"/>
      <c r="I132" s="272"/>
      <c r="J132" s="269">
        <f t="shared" si="18"/>
        <v>18.5</v>
      </c>
    </row>
    <row r="133" spans="1:10" x14ac:dyDescent="0.2">
      <c r="A133" s="286"/>
      <c r="B133" s="279" t="s">
        <v>277</v>
      </c>
      <c r="C133" s="268"/>
      <c r="D133" s="272"/>
      <c r="E133" s="273">
        <f>((5.82*2)+(4.03*2))-0.8</f>
        <v>18.900000000000002</v>
      </c>
      <c r="F133" s="278"/>
      <c r="G133" s="276"/>
      <c r="H133" s="276"/>
      <c r="I133" s="272"/>
      <c r="J133" s="269">
        <f t="shared" si="18"/>
        <v>18.900000000000002</v>
      </c>
    </row>
    <row r="134" spans="1:10" x14ac:dyDescent="0.2">
      <c r="A134" s="286"/>
      <c r="B134" s="279" t="s">
        <v>278</v>
      </c>
      <c r="C134" s="268"/>
      <c r="D134" s="272"/>
      <c r="E134" s="273">
        <f>((9.08*2)+(4.25*2))-0.8</f>
        <v>25.86</v>
      </c>
      <c r="F134" s="278"/>
      <c r="G134" s="276"/>
      <c r="H134" s="276"/>
      <c r="I134" s="272"/>
      <c r="J134" s="269">
        <f t="shared" si="18"/>
        <v>25.86</v>
      </c>
    </row>
    <row r="135" spans="1:10" x14ac:dyDescent="0.2">
      <c r="A135" s="286"/>
      <c r="B135" s="279" t="s">
        <v>279</v>
      </c>
      <c r="C135" s="268"/>
      <c r="D135" s="272"/>
      <c r="E135" s="273">
        <f>((6*2)+(5.27*2))-0.9</f>
        <v>21.64</v>
      </c>
      <c r="F135" s="278"/>
      <c r="G135" s="276"/>
      <c r="H135" s="276"/>
      <c r="I135" s="272"/>
      <c r="J135" s="269">
        <f t="shared" si="18"/>
        <v>21.64</v>
      </c>
    </row>
    <row r="136" spans="1:10" x14ac:dyDescent="0.2">
      <c r="A136" s="286"/>
      <c r="B136" s="279" t="s">
        <v>280</v>
      </c>
      <c r="C136" s="268"/>
      <c r="D136" s="272"/>
      <c r="E136" s="273">
        <f>((7*2)+(3.53*2))-0.8</f>
        <v>20.259999999999998</v>
      </c>
      <c r="F136" s="278"/>
      <c r="G136" s="276"/>
      <c r="H136" s="276"/>
      <c r="I136" s="272"/>
      <c r="J136" s="269">
        <f t="shared" si="18"/>
        <v>20.259999999999998</v>
      </c>
    </row>
    <row r="137" spans="1:10" x14ac:dyDescent="0.2">
      <c r="A137" s="286"/>
      <c r="B137" s="279" t="s">
        <v>281</v>
      </c>
      <c r="C137" s="268"/>
      <c r="D137" s="272"/>
      <c r="E137" s="273">
        <f>((7*2)+(5*2))-0.8</f>
        <v>23.2</v>
      </c>
      <c r="F137" s="278"/>
      <c r="G137" s="276"/>
      <c r="H137" s="276"/>
      <c r="I137" s="272"/>
      <c r="J137" s="269">
        <f t="shared" si="18"/>
        <v>23.2</v>
      </c>
    </row>
    <row r="138" spans="1:10" x14ac:dyDescent="0.2">
      <c r="A138" s="286"/>
      <c r="B138" s="279" t="s">
        <v>282</v>
      </c>
      <c r="C138" s="268"/>
      <c r="D138" s="272"/>
      <c r="E138" s="273">
        <f>((11.17*2)+(6.74*2))-0.9</f>
        <v>34.92</v>
      </c>
      <c r="F138" s="278"/>
      <c r="G138" s="276"/>
      <c r="H138" s="276"/>
      <c r="I138" s="272"/>
      <c r="J138" s="269">
        <f t="shared" si="18"/>
        <v>34.92</v>
      </c>
    </row>
    <row r="139" spans="1:10" x14ac:dyDescent="0.2">
      <c r="A139" s="286"/>
      <c r="B139" s="280"/>
      <c r="C139" s="281"/>
      <c r="D139" s="272"/>
      <c r="E139" s="268"/>
      <c r="F139" s="278"/>
      <c r="G139" s="271"/>
      <c r="H139" s="282"/>
      <c r="I139" s="283" t="s">
        <v>283</v>
      </c>
      <c r="J139" s="284">
        <f>SUM(J131:J138)</f>
        <v>181.57999999999998</v>
      </c>
    </row>
    <row r="140" spans="1:10" x14ac:dyDescent="0.2">
      <c r="A140" s="286"/>
      <c r="B140" s="280"/>
      <c r="C140" s="281"/>
      <c r="D140" s="272"/>
      <c r="E140" s="268"/>
      <c r="F140" s="278"/>
      <c r="G140" s="271"/>
      <c r="H140" s="282"/>
      <c r="I140" s="287"/>
      <c r="J140" s="288"/>
    </row>
    <row r="141" spans="1:10" ht="25.5" x14ac:dyDescent="0.2">
      <c r="A141" s="17" t="str">
        <f>'PLANILHA ORÇAMENTÁRIA'!A24</f>
        <v>1.1.14</v>
      </c>
      <c r="B141" s="156" t="str">
        <f>'PLANILHA ORÇAMENTÁRIA'!D24</f>
        <v xml:space="preserve">Demolição de piso, soleira, peitoris e escadas em mármore ou granito, exclusive regularização </v>
      </c>
      <c r="C141" s="9" t="str">
        <f>'PLANILHA ORÇAMENTÁRIA'!E24</f>
        <v xml:space="preserve">m2 </v>
      </c>
      <c r="D141" s="79" t="s">
        <v>268</v>
      </c>
      <c r="E141" s="79" t="s">
        <v>269</v>
      </c>
      <c r="F141" s="79" t="s">
        <v>270</v>
      </c>
      <c r="G141" s="79" t="s">
        <v>271</v>
      </c>
      <c r="H141" s="79" t="s">
        <v>272</v>
      </c>
      <c r="I141" s="79" t="s">
        <v>273</v>
      </c>
      <c r="J141" s="80" t="s">
        <v>274</v>
      </c>
    </row>
    <row r="142" spans="1:10" s="290" customFormat="1" x14ac:dyDescent="0.2">
      <c r="A142" s="335"/>
      <c r="B142" s="347" t="s">
        <v>288</v>
      </c>
      <c r="C142" s="334"/>
      <c r="D142" s="348"/>
      <c r="E142" s="348"/>
      <c r="F142" s="348"/>
      <c r="G142" s="348"/>
      <c r="H142" s="338">
        <f t="shared" ref="H142:H148" si="19">E142*F142</f>
        <v>0</v>
      </c>
      <c r="I142" s="348"/>
      <c r="J142" s="339">
        <f t="shared" ref="J142:J150" si="20">H142</f>
        <v>0</v>
      </c>
    </row>
    <row r="143" spans="1:10" x14ac:dyDescent="0.2">
      <c r="A143" s="286"/>
      <c r="B143" s="275" t="s">
        <v>276</v>
      </c>
      <c r="C143" s="268"/>
      <c r="D143" s="272"/>
      <c r="E143" s="277">
        <v>0.8</v>
      </c>
      <c r="F143" s="278">
        <v>0.15</v>
      </c>
      <c r="G143" s="276"/>
      <c r="H143" s="276">
        <f t="shared" si="19"/>
        <v>0.12</v>
      </c>
      <c r="I143" s="272"/>
      <c r="J143" s="269">
        <f t="shared" si="20"/>
        <v>0.12</v>
      </c>
    </row>
    <row r="144" spans="1:10" x14ac:dyDescent="0.2">
      <c r="A144" s="286"/>
      <c r="B144" s="279" t="s">
        <v>277</v>
      </c>
      <c r="C144" s="268"/>
      <c r="D144" s="272"/>
      <c r="E144" s="277">
        <v>0.8</v>
      </c>
      <c r="F144" s="278">
        <v>0.15</v>
      </c>
      <c r="G144" s="276"/>
      <c r="H144" s="276">
        <f t="shared" si="19"/>
        <v>0.12</v>
      </c>
      <c r="I144" s="272"/>
      <c r="J144" s="269">
        <f t="shared" si="20"/>
        <v>0.12</v>
      </c>
    </row>
    <row r="145" spans="1:10" s="290" customFormat="1" x14ac:dyDescent="0.2">
      <c r="A145" s="349"/>
      <c r="B145" s="333" t="s">
        <v>278</v>
      </c>
      <c r="C145" s="334"/>
      <c r="D145" s="335"/>
      <c r="E145" s="336"/>
      <c r="F145" s="337"/>
      <c r="G145" s="338"/>
      <c r="H145" s="338">
        <f t="shared" si="19"/>
        <v>0</v>
      </c>
      <c r="I145" s="335"/>
      <c r="J145" s="339">
        <f t="shared" si="20"/>
        <v>0</v>
      </c>
    </row>
    <row r="146" spans="1:10" s="290" customFormat="1" x14ac:dyDescent="0.2">
      <c r="A146" s="349"/>
      <c r="B146" s="333" t="s">
        <v>279</v>
      </c>
      <c r="C146" s="334"/>
      <c r="D146" s="335"/>
      <c r="E146" s="336"/>
      <c r="F146" s="337"/>
      <c r="G146" s="338"/>
      <c r="H146" s="338">
        <f t="shared" si="19"/>
        <v>0</v>
      </c>
      <c r="I146" s="335"/>
      <c r="J146" s="339">
        <f t="shared" si="20"/>
        <v>0</v>
      </c>
    </row>
    <row r="147" spans="1:10" s="290" customFormat="1" x14ac:dyDescent="0.2">
      <c r="A147" s="349"/>
      <c r="B147" s="333" t="s">
        <v>280</v>
      </c>
      <c r="C147" s="334"/>
      <c r="D147" s="335"/>
      <c r="E147" s="336"/>
      <c r="F147" s="337"/>
      <c r="G147" s="338"/>
      <c r="H147" s="338">
        <f t="shared" si="19"/>
        <v>0</v>
      </c>
      <c r="I147" s="335"/>
      <c r="J147" s="339">
        <f t="shared" si="20"/>
        <v>0</v>
      </c>
    </row>
    <row r="148" spans="1:10" x14ac:dyDescent="0.2">
      <c r="A148" s="286"/>
      <c r="B148" s="279" t="s">
        <v>284</v>
      </c>
      <c r="C148" s="268"/>
      <c r="D148" s="272"/>
      <c r="E148" s="277">
        <v>1</v>
      </c>
      <c r="F148" s="278">
        <v>0.15</v>
      </c>
      <c r="G148" s="276"/>
      <c r="H148" s="276">
        <f t="shared" si="19"/>
        <v>0.15</v>
      </c>
      <c r="I148" s="272"/>
      <c r="J148" s="269">
        <f t="shared" si="20"/>
        <v>0.15</v>
      </c>
    </row>
    <row r="149" spans="1:10" s="290" customFormat="1" x14ac:dyDescent="0.2">
      <c r="A149" s="349"/>
      <c r="B149" s="333" t="s">
        <v>281</v>
      </c>
      <c r="C149" s="334"/>
      <c r="D149" s="335"/>
      <c r="E149" s="336"/>
      <c r="F149" s="337"/>
      <c r="G149" s="338"/>
      <c r="H149" s="338"/>
      <c r="I149" s="335"/>
      <c r="J149" s="339">
        <f t="shared" si="20"/>
        <v>0</v>
      </c>
    </row>
    <row r="150" spans="1:10" s="290" customFormat="1" x14ac:dyDescent="0.2">
      <c r="A150" s="349"/>
      <c r="B150" s="333" t="s">
        <v>282</v>
      </c>
      <c r="C150" s="334"/>
      <c r="D150" s="335"/>
      <c r="E150" s="336"/>
      <c r="F150" s="337"/>
      <c r="G150" s="338"/>
      <c r="H150" s="338"/>
      <c r="I150" s="335"/>
      <c r="J150" s="339">
        <f t="shared" si="20"/>
        <v>0</v>
      </c>
    </row>
    <row r="151" spans="1:10" x14ac:dyDescent="0.2">
      <c r="A151" s="286"/>
      <c r="B151" s="280"/>
      <c r="C151" s="281"/>
      <c r="D151" s="272"/>
      <c r="E151" s="268"/>
      <c r="F151" s="278"/>
      <c r="G151" s="271"/>
      <c r="H151" s="282"/>
      <c r="I151" s="283" t="s">
        <v>283</v>
      </c>
      <c r="J151" s="284">
        <f>SUM(J142:J150)</f>
        <v>0.39</v>
      </c>
    </row>
    <row r="152" spans="1:10" x14ac:dyDescent="0.2">
      <c r="A152" s="20"/>
      <c r="B152" s="18"/>
      <c r="C152" s="12"/>
      <c r="D152" s="17"/>
      <c r="E152" s="9"/>
      <c r="F152" s="27"/>
      <c r="G152" s="28"/>
      <c r="H152" s="72"/>
      <c r="I152" s="139"/>
      <c r="J152" s="85"/>
    </row>
    <row r="153" spans="1:10" x14ac:dyDescent="0.2">
      <c r="A153" s="20"/>
      <c r="B153" s="18"/>
      <c r="C153" s="12"/>
      <c r="D153" s="17"/>
      <c r="E153" s="9"/>
      <c r="F153" s="27"/>
      <c r="G153" s="28"/>
      <c r="H153" s="72"/>
      <c r="I153" s="139"/>
      <c r="J153" s="85"/>
    </row>
    <row r="154" spans="1:10" ht="25.5" x14ac:dyDescent="0.2">
      <c r="A154" s="17" t="str">
        <f>'PLANILHA ORÇAMENTÁRIA'!A25</f>
        <v>1.1.15</v>
      </c>
      <c r="B154" s="156" t="str">
        <f>'PLANILHA ORÇAMENTÁRIA'!D25</f>
        <v xml:space="preserve">Retirada de marco de madeira </v>
      </c>
      <c r="C154" s="9" t="str">
        <f>'PLANILHA ORÇAMENTÁRIA'!E25</f>
        <v>m</v>
      </c>
      <c r="D154" s="79" t="s">
        <v>268</v>
      </c>
      <c r="E154" s="79" t="s">
        <v>269</v>
      </c>
      <c r="F154" s="79" t="s">
        <v>270</v>
      </c>
      <c r="G154" s="79" t="s">
        <v>271</v>
      </c>
      <c r="H154" s="79" t="s">
        <v>272</v>
      </c>
      <c r="I154" s="79" t="s">
        <v>273</v>
      </c>
      <c r="J154" s="80" t="s">
        <v>274</v>
      </c>
    </row>
    <row r="155" spans="1:10" x14ac:dyDescent="0.2">
      <c r="A155" s="17"/>
      <c r="B155" s="264" t="s">
        <v>288</v>
      </c>
      <c r="C155" s="9"/>
      <c r="D155" s="79"/>
      <c r="E155" s="79"/>
      <c r="F155" s="79">
        <v>0.8</v>
      </c>
      <c r="G155" s="79">
        <v>2.1</v>
      </c>
      <c r="H155" s="159"/>
      <c r="I155" s="79"/>
      <c r="J155" s="73">
        <f>F155+(G155*2)</f>
        <v>5</v>
      </c>
    </row>
    <row r="156" spans="1:10" x14ac:dyDescent="0.2">
      <c r="A156" s="20"/>
      <c r="B156" s="264" t="s">
        <v>276</v>
      </c>
      <c r="C156" s="9"/>
      <c r="D156" s="17"/>
      <c r="E156" s="160"/>
      <c r="F156" s="27">
        <v>0.8</v>
      </c>
      <c r="G156" s="159">
        <v>2.1</v>
      </c>
      <c r="H156" s="159"/>
      <c r="I156" s="17"/>
      <c r="J156" s="73">
        <f t="shared" ref="J156:J163" si="21">F156+(G156*2)</f>
        <v>5</v>
      </c>
    </row>
    <row r="157" spans="1:10" x14ac:dyDescent="0.2">
      <c r="A157" s="20"/>
      <c r="B157" s="250" t="s">
        <v>277</v>
      </c>
      <c r="C157" s="9"/>
      <c r="D157" s="17"/>
      <c r="E157" s="160"/>
      <c r="F157" s="27">
        <v>0.8</v>
      </c>
      <c r="G157" s="159">
        <v>2.1</v>
      </c>
      <c r="H157" s="159"/>
      <c r="I157" s="17"/>
      <c r="J157" s="73">
        <f t="shared" si="21"/>
        <v>5</v>
      </c>
    </row>
    <row r="158" spans="1:10" x14ac:dyDescent="0.2">
      <c r="A158" s="20"/>
      <c r="B158" s="250" t="s">
        <v>278</v>
      </c>
      <c r="C158" s="9"/>
      <c r="D158" s="17"/>
      <c r="E158" s="160"/>
      <c r="F158" s="27">
        <v>0.8</v>
      </c>
      <c r="G158" s="159">
        <v>2.1</v>
      </c>
      <c r="H158" s="159"/>
      <c r="I158" s="17"/>
      <c r="J158" s="73">
        <f t="shared" si="21"/>
        <v>5</v>
      </c>
    </row>
    <row r="159" spans="1:10" x14ac:dyDescent="0.2">
      <c r="A159" s="20"/>
      <c r="B159" s="250" t="s">
        <v>279</v>
      </c>
      <c r="C159" s="9"/>
      <c r="D159" s="17"/>
      <c r="E159" s="160"/>
      <c r="F159" s="27">
        <v>0.9</v>
      </c>
      <c r="G159" s="159">
        <v>2.1</v>
      </c>
      <c r="H159" s="159"/>
      <c r="I159" s="17"/>
      <c r="J159" s="73">
        <f t="shared" si="21"/>
        <v>5.1000000000000005</v>
      </c>
    </row>
    <row r="160" spans="1:10" x14ac:dyDescent="0.2">
      <c r="A160" s="20"/>
      <c r="B160" s="250" t="s">
        <v>280</v>
      </c>
      <c r="C160" s="9"/>
      <c r="D160" s="17"/>
      <c r="E160" s="160"/>
      <c r="F160" s="27">
        <v>0.8</v>
      </c>
      <c r="G160" s="159">
        <v>2.1</v>
      </c>
      <c r="H160" s="159"/>
      <c r="I160" s="17"/>
      <c r="J160" s="73">
        <f t="shared" si="21"/>
        <v>5</v>
      </c>
    </row>
    <row r="161" spans="1:10" x14ac:dyDescent="0.2">
      <c r="A161" s="20"/>
      <c r="B161" s="250" t="s">
        <v>284</v>
      </c>
      <c r="C161" s="9"/>
      <c r="D161" s="17"/>
      <c r="E161" s="160"/>
      <c r="F161" s="27">
        <v>0.9</v>
      </c>
      <c r="G161" s="159">
        <v>2.1</v>
      </c>
      <c r="H161" s="159"/>
      <c r="I161" s="17"/>
      <c r="J161" s="73">
        <f t="shared" si="21"/>
        <v>5.1000000000000005</v>
      </c>
    </row>
    <row r="162" spans="1:10" x14ac:dyDescent="0.2">
      <c r="A162" s="20"/>
      <c r="B162" s="250" t="s">
        <v>281</v>
      </c>
      <c r="C162" s="9"/>
      <c r="D162" s="17"/>
      <c r="E162" s="160"/>
      <c r="F162" s="27">
        <v>0.8</v>
      </c>
      <c r="G162" s="159">
        <v>2.1</v>
      </c>
      <c r="H162" s="159"/>
      <c r="I162" s="17"/>
      <c r="J162" s="73">
        <f t="shared" si="21"/>
        <v>5</v>
      </c>
    </row>
    <row r="163" spans="1:10" x14ac:dyDescent="0.2">
      <c r="A163" s="20"/>
      <c r="B163" s="250" t="s">
        <v>282</v>
      </c>
      <c r="C163" s="9"/>
      <c r="D163" s="17"/>
      <c r="E163" s="160"/>
      <c r="F163" s="27">
        <v>0.9</v>
      </c>
      <c r="G163" s="159">
        <v>2.1</v>
      </c>
      <c r="H163" s="159"/>
      <c r="I163" s="17"/>
      <c r="J163" s="73">
        <f t="shared" si="21"/>
        <v>5.1000000000000005</v>
      </c>
    </row>
    <row r="164" spans="1:10" x14ac:dyDescent="0.2">
      <c r="A164" s="20"/>
      <c r="B164" s="18"/>
      <c r="C164" s="12"/>
      <c r="D164" s="17"/>
      <c r="E164" s="9"/>
      <c r="F164" s="27"/>
      <c r="G164" s="28"/>
      <c r="H164" s="72"/>
      <c r="I164" s="75" t="s">
        <v>283</v>
      </c>
      <c r="J164" s="76">
        <f>SUM(J155:J163)</f>
        <v>45.300000000000004</v>
      </c>
    </row>
    <row r="165" spans="1:10" x14ac:dyDescent="0.2">
      <c r="A165" s="20"/>
      <c r="B165" s="18"/>
      <c r="C165" s="12"/>
      <c r="D165" s="17"/>
      <c r="E165" s="9"/>
      <c r="F165" s="27"/>
      <c r="G165" s="28"/>
      <c r="H165" s="72"/>
      <c r="I165" s="139"/>
      <c r="J165" s="85"/>
    </row>
    <row r="166" spans="1:10" ht="25.5" x14ac:dyDescent="0.2">
      <c r="A166" s="17" t="str">
        <f>'PLANILHA ORÇAMENTÁRIA'!A26</f>
        <v>1.1.16</v>
      </c>
      <c r="B166" s="156" t="str">
        <f>'PLANILHA ORÇAMENTÁRIA'!D26</f>
        <v>Retirada de bancada de granito para reaproveitamento</v>
      </c>
      <c r="C166" s="9" t="str">
        <f>'PLANILHA ORÇAMENTÁRIA'!E26</f>
        <v xml:space="preserve">m2 </v>
      </c>
      <c r="D166" s="79" t="s">
        <v>268</v>
      </c>
      <c r="E166" s="79" t="s">
        <v>269</v>
      </c>
      <c r="F166" s="79" t="s">
        <v>270</v>
      </c>
      <c r="G166" s="79" t="s">
        <v>271</v>
      </c>
      <c r="H166" s="79" t="s">
        <v>272</v>
      </c>
      <c r="I166" s="79" t="s">
        <v>273</v>
      </c>
      <c r="J166" s="80" t="s">
        <v>274</v>
      </c>
    </row>
    <row r="167" spans="1:10" x14ac:dyDescent="0.2">
      <c r="A167" s="20"/>
      <c r="B167" s="250" t="s">
        <v>279</v>
      </c>
      <c r="C167" s="9"/>
      <c r="D167" s="17"/>
      <c r="E167" s="160"/>
      <c r="F167" s="27"/>
      <c r="G167" s="159"/>
      <c r="H167" s="159"/>
      <c r="I167" s="17"/>
      <c r="J167" s="73"/>
    </row>
    <row r="168" spans="1:10" x14ac:dyDescent="0.2">
      <c r="A168" s="20"/>
      <c r="B168" s="158" t="s">
        <v>289</v>
      </c>
      <c r="C168" s="9"/>
      <c r="D168" s="17"/>
      <c r="E168" s="160"/>
      <c r="F168" s="27"/>
      <c r="G168" s="159"/>
      <c r="H168" s="159">
        <f>(5.27*0.55)+(4*(1.2*0.6))</f>
        <v>5.7784999999999993</v>
      </c>
      <c r="I168" s="17"/>
      <c r="J168" s="73">
        <f>H168</f>
        <v>5.7784999999999993</v>
      </c>
    </row>
    <row r="169" spans="1:10" x14ac:dyDescent="0.2">
      <c r="A169" s="20"/>
      <c r="B169" s="158" t="s">
        <v>290</v>
      </c>
      <c r="C169" s="9"/>
      <c r="D169" s="17"/>
      <c r="E169" s="160"/>
      <c r="F169" s="27"/>
      <c r="G169" s="159"/>
      <c r="H169" s="159">
        <f>(2.94*1)+(3*(2.2*0.6))+(2.64*0.6)</f>
        <v>8.484</v>
      </c>
      <c r="I169" s="17"/>
      <c r="J169" s="73">
        <f t="shared" ref="J169:J174" si="22">H169</f>
        <v>8.484</v>
      </c>
    </row>
    <row r="170" spans="1:10" x14ac:dyDescent="0.2">
      <c r="A170" s="20"/>
      <c r="B170" s="158" t="s">
        <v>291</v>
      </c>
      <c r="C170" s="9"/>
      <c r="D170" s="17"/>
      <c r="E170" s="160"/>
      <c r="F170" s="27"/>
      <c r="G170" s="159"/>
      <c r="H170" s="159">
        <f>(4*0.55)+(4*(1.2*0.6))</f>
        <v>5.08</v>
      </c>
      <c r="I170" s="17"/>
      <c r="J170" s="73">
        <f t="shared" si="22"/>
        <v>5.08</v>
      </c>
    </row>
    <row r="171" spans="1:10" x14ac:dyDescent="0.2">
      <c r="A171" s="20"/>
      <c r="B171" s="74" t="s">
        <v>280</v>
      </c>
      <c r="C171" s="9"/>
      <c r="D171" s="17"/>
      <c r="E171" s="160"/>
      <c r="F171" s="27"/>
      <c r="G171" s="159"/>
      <c r="H171" s="159">
        <v>6.8</v>
      </c>
      <c r="I171" s="17"/>
      <c r="J171" s="73">
        <f t="shared" si="22"/>
        <v>6.8</v>
      </c>
    </row>
    <row r="172" spans="1:10" x14ac:dyDescent="0.2">
      <c r="A172" s="20"/>
      <c r="B172" s="250" t="s">
        <v>284</v>
      </c>
      <c r="C172" s="9"/>
      <c r="D172" s="17"/>
      <c r="E172" s="160"/>
      <c r="F172" s="27"/>
      <c r="G172" s="159"/>
      <c r="H172" s="159">
        <v>9.1199999999999992</v>
      </c>
      <c r="I172" s="17"/>
      <c r="J172" s="73">
        <f t="shared" si="22"/>
        <v>9.1199999999999992</v>
      </c>
    </row>
    <row r="173" spans="1:10" x14ac:dyDescent="0.2">
      <c r="A173" s="20"/>
      <c r="B173" s="250" t="s">
        <v>281</v>
      </c>
      <c r="C173" s="9"/>
      <c r="D173" s="17"/>
      <c r="E173" s="160"/>
      <c r="F173" s="27"/>
      <c r="G173" s="159"/>
      <c r="H173" s="159">
        <v>8.5</v>
      </c>
      <c r="I173" s="17"/>
      <c r="J173" s="73">
        <f t="shared" si="22"/>
        <v>8.5</v>
      </c>
    </row>
    <row r="174" spans="1:10" x14ac:dyDescent="0.2">
      <c r="A174" s="20"/>
      <c r="B174" s="250" t="s">
        <v>282</v>
      </c>
      <c r="C174" s="12"/>
      <c r="D174" s="17"/>
      <c r="E174" s="9"/>
      <c r="F174" s="27"/>
      <c r="G174" s="28"/>
      <c r="H174" s="82">
        <v>29</v>
      </c>
      <c r="I174" s="17"/>
      <c r="J174" s="73">
        <f t="shared" si="22"/>
        <v>29</v>
      </c>
    </row>
    <row r="175" spans="1:10" x14ac:dyDescent="0.2">
      <c r="A175" s="20"/>
      <c r="B175" s="18"/>
      <c r="C175" s="12"/>
      <c r="D175" s="17"/>
      <c r="E175" s="9"/>
      <c r="F175" s="27"/>
      <c r="G175" s="28"/>
      <c r="H175" s="72"/>
      <c r="I175" s="75" t="s">
        <v>283</v>
      </c>
      <c r="J175" s="76">
        <f>SUM(J167:J174)</f>
        <v>72.762500000000003</v>
      </c>
    </row>
    <row r="176" spans="1:10" x14ac:dyDescent="0.2">
      <c r="A176" s="20"/>
      <c r="B176" s="18"/>
      <c r="C176" s="12"/>
      <c r="D176" s="17"/>
      <c r="E176" s="9"/>
      <c r="F176" s="27"/>
      <c r="G176" s="28"/>
      <c r="H176" s="72"/>
      <c r="I176" s="139"/>
      <c r="J176" s="85"/>
    </row>
    <row r="177" spans="1:10" ht="25.5" x14ac:dyDescent="0.2">
      <c r="A177" s="272" t="str">
        <f>'PLANILHA ORÇAMENTÁRIA'!A27</f>
        <v>1.1.17</v>
      </c>
      <c r="B177" s="267" t="str">
        <f>'PLANILHA ORÇAMENTÁRIA'!D27</f>
        <v>Retirada de forro em pvc</v>
      </c>
      <c r="C177" s="268" t="str">
        <f>'PLANILHA ORÇAMENTÁRIA'!E27</f>
        <v xml:space="preserve">m2 </v>
      </c>
      <c r="D177" s="273" t="s">
        <v>268</v>
      </c>
      <c r="E177" s="273" t="s">
        <v>269</v>
      </c>
      <c r="F177" s="273" t="s">
        <v>270</v>
      </c>
      <c r="G177" s="273" t="s">
        <v>271</v>
      </c>
      <c r="H177" s="273" t="s">
        <v>272</v>
      </c>
      <c r="I177" s="273" t="s">
        <v>273</v>
      </c>
      <c r="J177" s="274" t="s">
        <v>274</v>
      </c>
    </row>
    <row r="178" spans="1:10" x14ac:dyDescent="0.2">
      <c r="A178" s="272"/>
      <c r="B178" s="275" t="s">
        <v>288</v>
      </c>
      <c r="C178" s="268"/>
      <c r="D178" s="273"/>
      <c r="E178" s="273">
        <v>6.23</v>
      </c>
      <c r="F178" s="273">
        <v>3.32</v>
      </c>
      <c r="G178" s="273"/>
      <c r="H178" s="276">
        <f>E178*F178</f>
        <v>20.683600000000002</v>
      </c>
      <c r="I178" s="273"/>
      <c r="J178" s="269">
        <f>H178</f>
        <v>20.683600000000002</v>
      </c>
    </row>
    <row r="179" spans="1:10" x14ac:dyDescent="0.2">
      <c r="A179" s="286"/>
      <c r="B179" s="279" t="s">
        <v>279</v>
      </c>
      <c r="C179" s="268"/>
      <c r="D179" s="272"/>
      <c r="E179" s="277">
        <v>6</v>
      </c>
      <c r="F179" s="278">
        <v>5.27</v>
      </c>
      <c r="G179" s="276"/>
      <c r="H179" s="276">
        <f>E179*F179</f>
        <v>31.619999999999997</v>
      </c>
      <c r="I179" s="272"/>
      <c r="J179" s="269">
        <f>H179</f>
        <v>31.619999999999997</v>
      </c>
    </row>
    <row r="180" spans="1:10" x14ac:dyDescent="0.2">
      <c r="A180" s="286"/>
      <c r="B180" s="279" t="s">
        <v>280</v>
      </c>
      <c r="C180" s="268"/>
      <c r="D180" s="272"/>
      <c r="E180" s="277">
        <v>7</v>
      </c>
      <c r="F180" s="278">
        <v>3.53</v>
      </c>
      <c r="G180" s="276"/>
      <c r="H180" s="276">
        <f>E180*F180</f>
        <v>24.709999999999997</v>
      </c>
      <c r="I180" s="272"/>
      <c r="J180" s="269">
        <f>H180</f>
        <v>24.709999999999997</v>
      </c>
    </row>
    <row r="181" spans="1:10" x14ac:dyDescent="0.2">
      <c r="A181" s="286"/>
      <c r="B181" s="280"/>
      <c r="C181" s="281"/>
      <c r="D181" s="272"/>
      <c r="E181" s="268"/>
      <c r="F181" s="278"/>
      <c r="G181" s="271"/>
      <c r="H181" s="282"/>
      <c r="I181" s="283" t="s">
        <v>283</v>
      </c>
      <c r="J181" s="284">
        <f>SUM(J178:J180)</f>
        <v>77.013599999999997</v>
      </c>
    </row>
    <row r="182" spans="1:10" x14ac:dyDescent="0.2">
      <c r="A182" s="286"/>
      <c r="B182" s="280"/>
      <c r="C182" s="281"/>
      <c r="D182" s="272"/>
      <c r="E182" s="268"/>
      <c r="F182" s="278"/>
      <c r="G182" s="271"/>
      <c r="H182" s="282"/>
      <c r="I182" s="287"/>
      <c r="J182" s="288"/>
    </row>
    <row r="183" spans="1:10" x14ac:dyDescent="0.2">
      <c r="A183" s="11">
        <f>'PLANILHA ORÇAMENTÁRIA'!A29</f>
        <v>2</v>
      </c>
      <c r="B183" s="7" t="str">
        <f>'PLANILHA ORÇAMENTÁRIA'!D29</f>
        <v>INSTALAÇÃO DO CANTEIRO DE OBRAS</v>
      </c>
      <c r="C183" s="5"/>
      <c r="D183" s="5"/>
      <c r="E183" s="5"/>
      <c r="F183" s="6"/>
      <c r="G183" s="26"/>
      <c r="H183" s="8"/>
      <c r="I183" s="70"/>
      <c r="J183" s="70"/>
    </row>
    <row r="184" spans="1:10" x14ac:dyDescent="0.2">
      <c r="A184" s="20" t="str">
        <f>'PLANILHA ORÇAMENTÁRIA'!A30</f>
        <v>2.1</v>
      </c>
      <c r="B184" s="157" t="str">
        <f>'PLANILHA ORÇAMENTÁRIA'!D30</f>
        <v>TAPUMES, BARRACÕES E COBERTURAS</v>
      </c>
      <c r="C184" s="12"/>
      <c r="D184" s="17"/>
      <c r="E184" s="9"/>
      <c r="F184" s="27"/>
      <c r="G184" s="28"/>
      <c r="H184" s="72"/>
      <c r="I184" s="17"/>
      <c r="J184" s="17"/>
    </row>
    <row r="185" spans="1:10" ht="25.5" x14ac:dyDescent="0.2">
      <c r="A185" s="32" t="str">
        <f>'PLANILHA ORÇAMENTÁRIA'!A31</f>
        <v>2.1.1</v>
      </c>
      <c r="B185" s="18" t="str">
        <f>'PLANILHA ORÇAMENTÁRIA'!D31</f>
        <v>Placa de obra nas dimensões de 2.0 x 4.0 m, padrão IOPES</v>
      </c>
      <c r="C185" s="17" t="str">
        <f>'PLANILHA ORÇAMENTÁRIA'!E31</f>
        <v>m2</v>
      </c>
      <c r="D185" s="79" t="s">
        <v>268</v>
      </c>
      <c r="E185" s="79" t="s">
        <v>269</v>
      </c>
      <c r="F185" s="79" t="s">
        <v>270</v>
      </c>
      <c r="G185" s="79" t="s">
        <v>271</v>
      </c>
      <c r="H185" s="79" t="s">
        <v>272</v>
      </c>
      <c r="I185" s="79" t="s">
        <v>273</v>
      </c>
      <c r="J185" s="80" t="s">
        <v>274</v>
      </c>
    </row>
    <row r="186" spans="1:10" x14ac:dyDescent="0.2">
      <c r="A186" s="32"/>
      <c r="B186" s="71"/>
      <c r="C186" s="17"/>
      <c r="D186" s="17"/>
      <c r="E186" s="73">
        <v>4</v>
      </c>
      <c r="F186" s="73">
        <v>2</v>
      </c>
      <c r="G186" s="17"/>
      <c r="H186" s="82">
        <f>E186*F186</f>
        <v>8</v>
      </c>
      <c r="I186" s="17"/>
      <c r="J186" s="73">
        <f>H186</f>
        <v>8</v>
      </c>
    </row>
    <row r="187" spans="1:10" x14ac:dyDescent="0.2">
      <c r="A187" s="32"/>
      <c r="B187" s="18"/>
      <c r="C187" s="17"/>
      <c r="D187" s="17"/>
      <c r="E187" s="17"/>
      <c r="F187" s="17"/>
      <c r="G187" s="17"/>
      <c r="H187" s="72"/>
      <c r="I187" s="75" t="s">
        <v>283</v>
      </c>
      <c r="J187" s="76">
        <f>SUM(J186)</f>
        <v>8</v>
      </c>
    </row>
    <row r="188" spans="1:10" x14ac:dyDescent="0.2">
      <c r="A188" s="36"/>
      <c r="B188" s="36"/>
      <c r="C188" s="36"/>
      <c r="D188" s="17"/>
      <c r="E188" s="17"/>
      <c r="F188" s="17"/>
      <c r="G188" s="17"/>
      <c r="H188" s="17"/>
      <c r="I188" s="17"/>
      <c r="J188" s="17"/>
    </row>
    <row r="189" spans="1:10" x14ac:dyDescent="0.2">
      <c r="A189" s="11">
        <f>'PLANILHA ORÇAMENTÁRIA'!A33</f>
        <v>3</v>
      </c>
      <c r="B189" s="7" t="str">
        <f>'PLANILHA ORÇAMENTÁRIA'!D33</f>
        <v>MOVIMENTO DE TERRA</v>
      </c>
      <c r="C189" s="5"/>
      <c r="D189" s="5"/>
      <c r="E189" s="5"/>
      <c r="F189" s="6"/>
      <c r="G189" s="26"/>
      <c r="H189" s="8"/>
      <c r="I189" s="70"/>
      <c r="J189" s="70"/>
    </row>
    <row r="190" spans="1:10" x14ac:dyDescent="0.2">
      <c r="A190" s="20" t="str">
        <f>'PLANILHA ORÇAMENTÁRIA'!A34</f>
        <v>3.1</v>
      </c>
      <c r="B190" s="157" t="str">
        <f>'PLANILHA ORÇAMENTÁRIA'!D34</f>
        <v>TRANSPORTES</v>
      </c>
      <c r="C190" s="12"/>
      <c r="D190" s="17"/>
      <c r="E190" s="9"/>
      <c r="F190" s="27"/>
      <c r="G190" s="28"/>
      <c r="H190" s="72"/>
      <c r="I190" s="17"/>
      <c r="J190" s="17"/>
    </row>
    <row r="191" spans="1:10" ht="42.75" customHeight="1" x14ac:dyDescent="0.2">
      <c r="A191" s="32" t="str">
        <f>'PLANILHA ORÇAMENTÁRIA'!A35</f>
        <v>3.1.1</v>
      </c>
      <c r="B191" s="18" t="str">
        <f>'PLANILHA ORÇAMENTÁRIA'!D35</f>
        <v>Índice de preço para remoção de entulho decorrente da execução de obras (Classe A CONAMA - NBR10.004 - Classe II-B), incluindo aluguel da caçamba, carga, transporte e descarga em área licenciada</v>
      </c>
      <c r="C191" s="17" t="str">
        <f>'PLANILHA ORÇAMENTÁRIA'!E35</f>
        <v xml:space="preserve">m3 </v>
      </c>
      <c r="D191" s="79" t="s">
        <v>268</v>
      </c>
      <c r="E191" s="79" t="s">
        <v>269</v>
      </c>
      <c r="F191" s="79" t="s">
        <v>270</v>
      </c>
      <c r="G191" s="79" t="s">
        <v>271</v>
      </c>
      <c r="H191" s="79" t="s">
        <v>272</v>
      </c>
      <c r="I191" s="79" t="s">
        <v>273</v>
      </c>
      <c r="J191" s="80" t="s">
        <v>274</v>
      </c>
    </row>
    <row r="192" spans="1:10" ht="27.75" customHeight="1" x14ac:dyDescent="0.2">
      <c r="A192" s="32"/>
      <c r="B192" s="18" t="str">
        <f>B8</f>
        <v>Demolição de piso revestido com cerâmica</v>
      </c>
      <c r="C192" s="17"/>
      <c r="D192" s="79"/>
      <c r="E192" s="79"/>
      <c r="F192" s="79"/>
      <c r="G192" s="79"/>
      <c r="H192" s="79">
        <f>J18</f>
        <v>298.42400000000004</v>
      </c>
      <c r="I192" s="79">
        <f>H192*0.02</f>
        <v>5.9684800000000005</v>
      </c>
      <c r="J192" s="80">
        <f>I192</f>
        <v>5.9684800000000005</v>
      </c>
    </row>
    <row r="193" spans="1:10" ht="27.75" customHeight="1" x14ac:dyDescent="0.2">
      <c r="A193" s="32"/>
      <c r="B193" s="18" t="str">
        <f>B20</f>
        <v>Demolição de revestimento com azulejos</v>
      </c>
      <c r="C193" s="17"/>
      <c r="D193" s="79"/>
      <c r="E193" s="79"/>
      <c r="F193" s="79"/>
      <c r="G193" s="79"/>
      <c r="H193" s="79">
        <f>MC!J31</f>
        <v>188.57999999999998</v>
      </c>
      <c r="I193" s="79">
        <f>H193*0.02</f>
        <v>3.7715999999999998</v>
      </c>
      <c r="J193" s="80">
        <f t="shared" ref="J193:J202" si="23">I193</f>
        <v>3.7715999999999998</v>
      </c>
    </row>
    <row r="194" spans="1:10" ht="24.75" customHeight="1" x14ac:dyDescent="0.2">
      <c r="A194" s="32"/>
      <c r="B194" s="18" t="str">
        <f>MC!B33</f>
        <v xml:space="preserve">Demolição de alvenaria </v>
      </c>
      <c r="C194" s="17"/>
      <c r="D194" s="79"/>
      <c r="E194" s="79"/>
      <c r="F194" s="79"/>
      <c r="G194" s="79"/>
      <c r="H194" s="79"/>
      <c r="I194" s="79">
        <f>J43</f>
        <v>5.3984999999999994</v>
      </c>
      <c r="J194" s="80">
        <f t="shared" si="23"/>
        <v>5.3984999999999994</v>
      </c>
    </row>
    <row r="195" spans="1:10" ht="20.25" customHeight="1" x14ac:dyDescent="0.2">
      <c r="A195" s="32"/>
      <c r="B195" s="18" t="str">
        <f>B45</f>
        <v xml:space="preserve">Demolição manual de concreto simples (EMOP 05.001.001) </v>
      </c>
      <c r="C195" s="17"/>
      <c r="D195" s="79"/>
      <c r="E195" s="79"/>
      <c r="F195" s="79"/>
      <c r="G195" s="79"/>
      <c r="H195" s="79"/>
      <c r="I195" s="79">
        <f>J74</f>
        <v>2.4854999999999996</v>
      </c>
      <c r="J195" s="80">
        <f t="shared" si="23"/>
        <v>2.4854999999999996</v>
      </c>
    </row>
    <row r="196" spans="1:10" ht="20.25" customHeight="1" x14ac:dyDescent="0.2">
      <c r="A196" s="32"/>
      <c r="B196" s="18" t="str">
        <f>B76</f>
        <v>Demolição de piso cimentado, exclusive lastro de concreto</v>
      </c>
      <c r="C196" s="17"/>
      <c r="D196" s="79"/>
      <c r="E196" s="79"/>
      <c r="F196" s="79"/>
      <c r="G196" s="79"/>
      <c r="I196" s="79">
        <f>J78</f>
        <v>25.98</v>
      </c>
      <c r="J196" s="80">
        <f t="shared" si="23"/>
        <v>25.98</v>
      </c>
    </row>
    <row r="197" spans="1:10" ht="20.25" customHeight="1" x14ac:dyDescent="0.2">
      <c r="A197" s="32"/>
      <c r="B197" s="18" t="str">
        <f>B92</f>
        <v>Retirada de rodapé em argamassa de cimento e areia</v>
      </c>
      <c r="C197" s="17"/>
      <c r="D197" s="79"/>
      <c r="E197" s="79"/>
      <c r="F197" s="79">
        <f>J94</f>
        <v>18.760000000000002</v>
      </c>
      <c r="G197" s="79"/>
      <c r="H197" s="79"/>
      <c r="I197" s="79">
        <f>F197*0.05</f>
        <v>0.93800000000000017</v>
      </c>
      <c r="J197" s="80">
        <f t="shared" si="23"/>
        <v>0.93800000000000017</v>
      </c>
    </row>
    <row r="198" spans="1:10" ht="20.25" customHeight="1" x14ac:dyDescent="0.2">
      <c r="A198" s="32"/>
      <c r="B198" s="18" t="str">
        <f>B109</f>
        <v xml:space="preserve">Remoção de telha ondulada de fibrocimento, inclusive cumeeira </v>
      </c>
      <c r="C198" s="17"/>
      <c r="D198" s="79"/>
      <c r="E198" s="79"/>
      <c r="F198" s="79"/>
      <c r="G198" s="79"/>
      <c r="H198" s="79">
        <f>J118</f>
        <v>315.45312000000001</v>
      </c>
      <c r="I198" s="79">
        <f>H198*0.05</f>
        <v>15.772656000000001</v>
      </c>
      <c r="J198" s="80">
        <f t="shared" si="23"/>
        <v>15.772656000000001</v>
      </c>
    </row>
    <row r="199" spans="1:10" ht="20.25" customHeight="1" x14ac:dyDescent="0.2">
      <c r="A199" s="32"/>
      <c r="B199" s="18" t="str">
        <f>B130</f>
        <v>Retirada de rodapé de madeira ou cerâmica</v>
      </c>
      <c r="C199" s="17"/>
      <c r="D199" s="79"/>
      <c r="E199" s="79"/>
      <c r="F199" s="79">
        <f>J139</f>
        <v>181.57999999999998</v>
      </c>
      <c r="G199" s="79"/>
      <c r="H199" s="79"/>
      <c r="I199" s="79">
        <f>F199*0.05</f>
        <v>9.0789999999999988</v>
      </c>
      <c r="J199" s="80">
        <f t="shared" si="23"/>
        <v>9.0789999999999988</v>
      </c>
    </row>
    <row r="200" spans="1:10" ht="20.25" customHeight="1" x14ac:dyDescent="0.2">
      <c r="A200" s="32"/>
      <c r="B200" s="18" t="str">
        <f>B141</f>
        <v xml:space="preserve">Demolição de piso, soleira, peitoris e escadas em mármore ou granito, exclusive regularização </v>
      </c>
      <c r="C200" s="17"/>
      <c r="D200" s="79"/>
      <c r="E200" s="79"/>
      <c r="F200" s="79"/>
      <c r="G200" s="79"/>
      <c r="H200" s="79">
        <f>J151</f>
        <v>0.39</v>
      </c>
      <c r="I200" s="79">
        <f>H200*0.03</f>
        <v>1.17E-2</v>
      </c>
      <c r="J200" s="80">
        <f t="shared" si="23"/>
        <v>1.17E-2</v>
      </c>
    </row>
    <row r="201" spans="1:10" ht="20.25" customHeight="1" x14ac:dyDescent="0.2">
      <c r="A201" s="32"/>
      <c r="B201" s="18" t="str">
        <f>B154</f>
        <v xml:space="preserve">Retirada de marco de madeira </v>
      </c>
      <c r="C201" s="17"/>
      <c r="D201" s="79"/>
      <c r="E201" s="79"/>
      <c r="F201" s="79">
        <f>J164</f>
        <v>45.300000000000004</v>
      </c>
      <c r="G201" s="79"/>
      <c r="H201" s="79"/>
      <c r="I201" s="79">
        <f>F201*0.06</f>
        <v>2.718</v>
      </c>
      <c r="J201" s="80">
        <f t="shared" si="23"/>
        <v>2.718</v>
      </c>
    </row>
    <row r="202" spans="1:10" ht="20.25" customHeight="1" x14ac:dyDescent="0.2">
      <c r="A202" s="32"/>
      <c r="B202" s="18" t="str">
        <f>B177</f>
        <v>Retirada de forro em pvc</v>
      </c>
      <c r="C202" s="17"/>
      <c r="D202" s="79"/>
      <c r="E202" s="79"/>
      <c r="F202" s="79"/>
      <c r="G202" s="79"/>
      <c r="H202" s="79">
        <f>J181</f>
        <v>77.013599999999997</v>
      </c>
      <c r="I202" s="79">
        <f>H202*0.03</f>
        <v>2.3104079999999998</v>
      </c>
      <c r="J202" s="80">
        <f t="shared" si="23"/>
        <v>2.3104079999999998</v>
      </c>
    </row>
    <row r="203" spans="1:10" x14ac:dyDescent="0.2">
      <c r="A203" s="32"/>
      <c r="B203" s="71"/>
      <c r="C203" s="17"/>
      <c r="D203" s="17"/>
      <c r="E203" s="73"/>
      <c r="F203" s="73"/>
      <c r="G203" s="17"/>
      <c r="H203" s="82"/>
      <c r="I203" s="17"/>
      <c r="J203" s="73"/>
    </row>
    <row r="204" spans="1:10" x14ac:dyDescent="0.2">
      <c r="A204" s="32"/>
      <c r="B204" s="18"/>
      <c r="C204" s="17"/>
      <c r="D204" s="17"/>
      <c r="E204" s="17"/>
      <c r="F204" s="17"/>
      <c r="G204" s="17"/>
      <c r="H204" s="72"/>
      <c r="I204" s="75" t="s">
        <v>283</v>
      </c>
      <c r="J204" s="76">
        <f>SUM(J192:J202)</f>
        <v>74.433843999999993</v>
      </c>
    </row>
    <row r="205" spans="1:10" x14ac:dyDescent="0.2">
      <c r="A205" s="36"/>
      <c r="B205" s="36"/>
      <c r="C205" s="36"/>
      <c r="D205" s="17"/>
      <c r="E205" s="17"/>
      <c r="F205" s="17"/>
      <c r="G205" s="17"/>
      <c r="H205" s="17"/>
      <c r="I205" s="17"/>
      <c r="J205" s="17"/>
    </row>
    <row r="206" spans="1:10" x14ac:dyDescent="0.2">
      <c r="A206" s="11">
        <f>'PLANILHA ORÇAMENTÁRIA'!A37</f>
        <v>4</v>
      </c>
      <c r="B206" s="7" t="str">
        <f>'PLANILHA ORÇAMENTÁRIA'!D37</f>
        <v>ESTRUTURAS</v>
      </c>
      <c r="C206" s="5"/>
      <c r="D206" s="5"/>
      <c r="E206" s="5"/>
      <c r="F206" s="6"/>
      <c r="G206" s="26"/>
      <c r="H206" s="8"/>
      <c r="I206" s="70"/>
      <c r="J206" s="70"/>
    </row>
    <row r="207" spans="1:10" x14ac:dyDescent="0.2">
      <c r="A207" s="20" t="str">
        <f>'PLANILHA ORÇAMENTÁRIA'!A38</f>
        <v>4.1</v>
      </c>
      <c r="B207" s="157" t="str">
        <f>'PLANILHA ORÇAMENTÁRIA'!D38</f>
        <v>LAJES PRÉ-MOLDADAS</v>
      </c>
      <c r="C207" s="12"/>
      <c r="D207" s="17"/>
      <c r="E207" s="9"/>
      <c r="F207" s="27"/>
      <c r="G207" s="28"/>
      <c r="H207" s="72"/>
      <c r="I207" s="17"/>
      <c r="J207" s="17"/>
    </row>
    <row r="208" spans="1:10" ht="27" customHeight="1" x14ac:dyDescent="0.2">
      <c r="A208" s="32" t="str">
        <f>'PLANILHA ORÇAMENTÁRIA'!A39</f>
        <v>4.1.1</v>
      </c>
      <c r="B208" s="18" t="str">
        <f>'PLANILHA ORÇAMENTÁRIA'!D39</f>
        <v xml:space="preserve">Laje pré-fabricada treliçada, sobrecarga 300 Kg/m2, vão de 3.5m a 4.3m, capeamento 4cm, esp. 12cm, Fck= 150 Kg/cm2 m2 </v>
      </c>
      <c r="C208" s="17" t="str">
        <f>'PLANILHA ORÇAMENTÁRIA'!E39</f>
        <v xml:space="preserve">m2 </v>
      </c>
      <c r="D208" s="79" t="s">
        <v>268</v>
      </c>
      <c r="E208" s="79" t="s">
        <v>269</v>
      </c>
      <c r="F208" s="79" t="s">
        <v>270</v>
      </c>
      <c r="G208" s="79" t="s">
        <v>271</v>
      </c>
      <c r="H208" s="79" t="s">
        <v>272</v>
      </c>
      <c r="I208" s="79" t="s">
        <v>273</v>
      </c>
      <c r="J208" s="80" t="s">
        <v>274</v>
      </c>
    </row>
    <row r="209" spans="1:10" x14ac:dyDescent="0.2">
      <c r="A209" s="32"/>
      <c r="B209" s="275" t="s">
        <v>275</v>
      </c>
      <c r="C209" s="268"/>
      <c r="D209" s="273"/>
      <c r="E209" s="273">
        <v>3.32</v>
      </c>
      <c r="F209" s="273">
        <v>6.23</v>
      </c>
      <c r="G209" s="17"/>
      <c r="H209" s="82">
        <f>E209*F209</f>
        <v>20.683600000000002</v>
      </c>
      <c r="I209" s="17"/>
      <c r="J209" s="73">
        <f>H209</f>
        <v>20.683600000000002</v>
      </c>
    </row>
    <row r="210" spans="1:10" x14ac:dyDescent="0.2">
      <c r="A210" s="32"/>
      <c r="B210" s="279" t="s">
        <v>277</v>
      </c>
      <c r="C210" s="268"/>
      <c r="D210" s="272"/>
      <c r="E210" s="278">
        <v>4.03</v>
      </c>
      <c r="F210" s="277">
        <v>5.82</v>
      </c>
      <c r="G210" s="17"/>
      <c r="H210" s="82">
        <f t="shared" ref="H210:H214" si="24">E210*F210</f>
        <v>23.454600000000003</v>
      </c>
      <c r="I210" s="17"/>
      <c r="J210" s="73">
        <f t="shared" ref="J210:J214" si="25">H210</f>
        <v>23.454600000000003</v>
      </c>
    </row>
    <row r="211" spans="1:10" x14ac:dyDescent="0.2">
      <c r="A211" s="32"/>
      <c r="B211" s="279" t="s">
        <v>278</v>
      </c>
      <c r="C211" s="268"/>
      <c r="D211" s="272"/>
      <c r="E211" s="278">
        <v>4.25</v>
      </c>
      <c r="F211" s="277">
        <v>9.08</v>
      </c>
      <c r="G211" s="17"/>
      <c r="H211" s="82">
        <f t="shared" si="24"/>
        <v>38.590000000000003</v>
      </c>
      <c r="I211" s="17"/>
      <c r="J211" s="73">
        <f t="shared" si="25"/>
        <v>38.590000000000003</v>
      </c>
    </row>
    <row r="212" spans="1:10" x14ac:dyDescent="0.2">
      <c r="A212" s="32"/>
      <c r="B212" s="279" t="s">
        <v>279</v>
      </c>
      <c r="C212" s="268"/>
      <c r="D212" s="272"/>
      <c r="E212" s="278">
        <v>5.27</v>
      </c>
      <c r="F212" s="277">
        <v>6</v>
      </c>
      <c r="G212" s="17"/>
      <c r="H212" s="82">
        <f t="shared" si="24"/>
        <v>31.619999999999997</v>
      </c>
      <c r="I212" s="17"/>
      <c r="J212" s="73">
        <f t="shared" si="25"/>
        <v>31.619999999999997</v>
      </c>
    </row>
    <row r="213" spans="1:10" x14ac:dyDescent="0.2">
      <c r="A213" s="32"/>
      <c r="B213" s="279" t="s">
        <v>280</v>
      </c>
      <c r="C213" s="268"/>
      <c r="D213" s="272"/>
      <c r="E213" s="278">
        <v>3.53</v>
      </c>
      <c r="F213" s="277">
        <v>7</v>
      </c>
      <c r="G213" s="17"/>
      <c r="H213" s="82">
        <f t="shared" si="24"/>
        <v>24.709999999999997</v>
      </c>
      <c r="I213" s="17"/>
      <c r="J213" s="73">
        <f t="shared" si="25"/>
        <v>24.709999999999997</v>
      </c>
    </row>
    <row r="214" spans="1:10" x14ac:dyDescent="0.2">
      <c r="A214" s="32"/>
      <c r="B214" s="279" t="s">
        <v>281</v>
      </c>
      <c r="C214" s="268"/>
      <c r="D214" s="272"/>
      <c r="E214" s="278">
        <v>5</v>
      </c>
      <c r="F214" s="277">
        <v>7</v>
      </c>
      <c r="G214" s="17"/>
      <c r="H214" s="82">
        <f t="shared" si="24"/>
        <v>35</v>
      </c>
      <c r="I214" s="17"/>
      <c r="J214" s="73">
        <f t="shared" si="25"/>
        <v>35</v>
      </c>
    </row>
    <row r="215" spans="1:10" x14ac:dyDescent="0.2">
      <c r="A215" s="32"/>
      <c r="B215" s="158"/>
      <c r="C215" s="9"/>
      <c r="D215" s="17"/>
      <c r="E215" s="9"/>
      <c r="F215" s="27"/>
      <c r="G215" s="17"/>
      <c r="H215" s="82"/>
      <c r="I215" s="17"/>
      <c r="J215" s="73"/>
    </row>
    <row r="216" spans="1:10" x14ac:dyDescent="0.2">
      <c r="A216" s="32"/>
      <c r="B216" s="18"/>
      <c r="C216" s="17"/>
      <c r="D216" s="17"/>
      <c r="E216" s="17"/>
      <c r="F216" s="17"/>
      <c r="G216" s="17"/>
      <c r="H216" s="72"/>
      <c r="I216" s="75" t="s">
        <v>283</v>
      </c>
      <c r="J216" s="76">
        <f>SUM(J209:J214)</f>
        <v>174.05820000000003</v>
      </c>
    </row>
    <row r="217" spans="1:10" x14ac:dyDescent="0.2">
      <c r="A217" s="36"/>
      <c r="B217" s="36"/>
      <c r="C217" s="36"/>
      <c r="D217" s="17"/>
      <c r="E217" s="17"/>
      <c r="F217" s="17"/>
      <c r="G217" s="17"/>
      <c r="H217" s="17"/>
      <c r="I217" s="17"/>
      <c r="J217" s="17"/>
    </row>
    <row r="218" spans="1:10" x14ac:dyDescent="0.2">
      <c r="A218" s="11">
        <f>'PLANILHA ORÇAMENTÁRIA'!A41</f>
        <v>5</v>
      </c>
      <c r="B218" s="7" t="str">
        <f>'PLANILHA ORÇAMENTÁRIA'!D41</f>
        <v>ESQUADRIAS DE MADEIRA</v>
      </c>
      <c r="C218" s="5"/>
      <c r="D218" s="5"/>
      <c r="E218" s="5"/>
      <c r="F218" s="6"/>
      <c r="G218" s="26"/>
      <c r="H218" s="8"/>
      <c r="I218" s="70"/>
      <c r="J218" s="70"/>
    </row>
    <row r="219" spans="1:10" x14ac:dyDescent="0.2">
      <c r="A219" s="20" t="str">
        <f>'PLANILHA ORÇAMENTÁRIA'!A42</f>
        <v>5.1</v>
      </c>
      <c r="B219" s="157" t="str">
        <f>'PLANILHA ORÇAMENTÁRIA'!D42</f>
        <v>MARCOS E ALIZARES</v>
      </c>
      <c r="C219" s="12"/>
      <c r="D219" s="17"/>
      <c r="E219" s="9"/>
      <c r="F219" s="27"/>
      <c r="G219" s="28"/>
      <c r="H219" s="72"/>
      <c r="I219" s="17"/>
      <c r="J219" s="17"/>
    </row>
    <row r="220" spans="1:10" ht="25.5" x14ac:dyDescent="0.2">
      <c r="A220" s="17" t="str">
        <f>'PLANILHA ORÇAMENTÁRIA'!A43</f>
        <v>5.1.1</v>
      </c>
      <c r="B220" s="18" t="str">
        <f>'PLANILHA ORÇAMENTÁRIA'!D43</f>
        <v>Marco de madeira de lei de 1ª (Peroba, Ipê, Angelim Pedra ou equivalente) com 15x3 cm de batente, nas dimensões de 0.80 x 2.10 m</v>
      </c>
      <c r="C220" s="17" t="str">
        <f>'PLANILHA ORÇAMENTÁRIA'!E43</f>
        <v>und</v>
      </c>
      <c r="D220" s="79" t="s">
        <v>268</v>
      </c>
      <c r="E220" s="79" t="s">
        <v>269</v>
      </c>
      <c r="F220" s="79" t="s">
        <v>270</v>
      </c>
      <c r="G220" s="79" t="s">
        <v>271</v>
      </c>
      <c r="H220" s="79" t="s">
        <v>272</v>
      </c>
      <c r="I220" s="79" t="s">
        <v>273</v>
      </c>
      <c r="J220" s="80" t="s">
        <v>274</v>
      </c>
    </row>
    <row r="221" spans="1:10" x14ac:dyDescent="0.2">
      <c r="A221" s="17"/>
      <c r="B221" s="264" t="s">
        <v>288</v>
      </c>
      <c r="C221" s="9"/>
      <c r="D221" s="79">
        <v>1</v>
      </c>
      <c r="E221" s="79"/>
      <c r="F221" s="79"/>
      <c r="G221" s="79"/>
      <c r="H221" s="159"/>
      <c r="I221" s="79"/>
      <c r="J221" s="73">
        <f>D221</f>
        <v>1</v>
      </c>
    </row>
    <row r="222" spans="1:10" x14ac:dyDescent="0.2">
      <c r="A222" s="20"/>
      <c r="B222" s="264" t="s">
        <v>276</v>
      </c>
      <c r="C222" s="9"/>
      <c r="D222" s="79">
        <v>1</v>
      </c>
      <c r="E222" s="160"/>
      <c r="F222" s="27"/>
      <c r="G222" s="159"/>
      <c r="H222" s="159"/>
      <c r="I222" s="17"/>
      <c r="J222" s="73">
        <f t="shared" ref="J222:J226" si="26">D222</f>
        <v>1</v>
      </c>
    </row>
    <row r="223" spans="1:10" x14ac:dyDescent="0.2">
      <c r="A223" s="20"/>
      <c r="B223" s="250" t="s">
        <v>277</v>
      </c>
      <c r="C223" s="9"/>
      <c r="D223" s="79">
        <v>1</v>
      </c>
      <c r="E223" s="160"/>
      <c r="F223" s="27"/>
      <c r="G223" s="159"/>
      <c r="H223" s="159"/>
      <c r="I223" s="17"/>
      <c r="J223" s="73">
        <f t="shared" si="26"/>
        <v>1</v>
      </c>
    </row>
    <row r="224" spans="1:10" x14ac:dyDescent="0.2">
      <c r="A224" s="20"/>
      <c r="B224" s="250" t="s">
        <v>278</v>
      </c>
      <c r="C224" s="9"/>
      <c r="D224" s="79">
        <v>1</v>
      </c>
      <c r="E224" s="160"/>
      <c r="F224" s="27"/>
      <c r="G224" s="159"/>
      <c r="H224" s="159"/>
      <c r="I224" s="17"/>
      <c r="J224" s="73">
        <f t="shared" si="26"/>
        <v>1</v>
      </c>
    </row>
    <row r="225" spans="1:10" x14ac:dyDescent="0.2">
      <c r="A225" s="20"/>
      <c r="B225" s="250" t="s">
        <v>280</v>
      </c>
      <c r="C225" s="9"/>
      <c r="D225" s="79">
        <v>1</v>
      </c>
      <c r="E225" s="160"/>
      <c r="F225" s="27"/>
      <c r="G225" s="159"/>
      <c r="H225" s="159"/>
      <c r="I225" s="17"/>
      <c r="J225" s="73">
        <f t="shared" si="26"/>
        <v>1</v>
      </c>
    </row>
    <row r="226" spans="1:10" x14ac:dyDescent="0.2">
      <c r="A226" s="20"/>
      <c r="B226" s="250" t="s">
        <v>281</v>
      </c>
      <c r="C226" s="9"/>
      <c r="D226" s="79">
        <v>1</v>
      </c>
      <c r="E226" s="160"/>
      <c r="F226" s="27"/>
      <c r="G226" s="159"/>
      <c r="H226" s="159"/>
      <c r="I226" s="17"/>
      <c r="J226" s="73">
        <f t="shared" si="26"/>
        <v>1</v>
      </c>
    </row>
    <row r="227" spans="1:10" x14ac:dyDescent="0.2">
      <c r="A227" s="17"/>
      <c r="B227" s="18"/>
      <c r="C227" s="17"/>
      <c r="D227" s="79"/>
      <c r="E227" s="79"/>
      <c r="F227" s="79"/>
      <c r="G227" s="79"/>
      <c r="H227" s="79"/>
      <c r="I227" s="75" t="s">
        <v>283</v>
      </c>
      <c r="J227" s="76">
        <f>SUM(J221:J226)</f>
        <v>6</v>
      </c>
    </row>
    <row r="228" spans="1:10" x14ac:dyDescent="0.2">
      <c r="A228" s="17"/>
      <c r="B228" s="18"/>
      <c r="C228" s="36"/>
      <c r="D228" s="83"/>
      <c r="E228" s="36"/>
      <c r="F228" s="36"/>
      <c r="G228" s="36"/>
      <c r="H228" s="36"/>
      <c r="I228" s="36"/>
      <c r="J228" s="36"/>
    </row>
    <row r="229" spans="1:10" ht="25.5" x14ac:dyDescent="0.2">
      <c r="A229" s="17" t="str">
        <f>'PLANILHA ORÇAMENTÁRIA'!A44</f>
        <v>5.1.2</v>
      </c>
      <c r="B229" s="18" t="str">
        <f>'PLANILHA ORÇAMENTÁRIA'!D44</f>
        <v>Marco de madeira de lei de 1ª (Peroba, Ipê, Angelim Pedra ou equivalente) com 15 x 3 cm de batente, nas dimensões de 0.90 x 2.10 m</v>
      </c>
      <c r="C229" s="17" t="str">
        <f>'PLANILHA ORÇAMENTÁRIA'!E44</f>
        <v>und</v>
      </c>
      <c r="D229" s="79" t="s">
        <v>268</v>
      </c>
      <c r="E229" s="79" t="s">
        <v>269</v>
      </c>
      <c r="F229" s="79" t="s">
        <v>270</v>
      </c>
      <c r="G229" s="79" t="s">
        <v>271</v>
      </c>
      <c r="H229" s="79" t="s">
        <v>272</v>
      </c>
      <c r="I229" s="79" t="s">
        <v>273</v>
      </c>
      <c r="J229" s="80" t="s">
        <v>274</v>
      </c>
    </row>
    <row r="230" spans="1:10" x14ac:dyDescent="0.2">
      <c r="A230" s="20"/>
      <c r="B230" s="250" t="s">
        <v>279</v>
      </c>
      <c r="C230" s="9"/>
      <c r="D230" s="79">
        <v>1</v>
      </c>
      <c r="E230" s="160"/>
      <c r="F230" s="27"/>
      <c r="G230" s="159"/>
      <c r="H230" s="159"/>
      <c r="I230" s="17"/>
      <c r="J230" s="73">
        <f>D230</f>
        <v>1</v>
      </c>
    </row>
    <row r="231" spans="1:10" x14ac:dyDescent="0.2">
      <c r="A231" s="20"/>
      <c r="B231" s="250" t="s">
        <v>284</v>
      </c>
      <c r="C231" s="9"/>
      <c r="D231" s="79">
        <v>1</v>
      </c>
      <c r="E231" s="160"/>
      <c r="F231" s="27"/>
      <c r="G231" s="159"/>
      <c r="H231" s="159"/>
      <c r="I231" s="17"/>
      <c r="J231" s="73">
        <f>D231</f>
        <v>1</v>
      </c>
    </row>
    <row r="232" spans="1:10" x14ac:dyDescent="0.2">
      <c r="A232" s="20"/>
      <c r="B232" s="250" t="s">
        <v>282</v>
      </c>
      <c r="C232" s="9"/>
      <c r="D232" s="79">
        <v>1</v>
      </c>
      <c r="E232" s="160"/>
      <c r="F232" s="27"/>
      <c r="G232" s="159"/>
      <c r="H232" s="159"/>
      <c r="I232" s="17"/>
      <c r="J232" s="73">
        <f>D232</f>
        <v>1</v>
      </c>
    </row>
    <row r="233" spans="1:10" x14ac:dyDescent="0.2">
      <c r="A233" s="17"/>
      <c r="B233" s="18"/>
      <c r="C233" s="17"/>
      <c r="D233" s="79"/>
      <c r="E233" s="79"/>
      <c r="F233" s="79"/>
      <c r="G233" s="79"/>
      <c r="H233" s="79"/>
      <c r="I233" s="75" t="s">
        <v>283</v>
      </c>
      <c r="J233" s="76">
        <f>SUM(J230:J232)</f>
        <v>3</v>
      </c>
    </row>
    <row r="234" spans="1:10" x14ac:dyDescent="0.2">
      <c r="A234" s="20"/>
      <c r="B234" s="16"/>
      <c r="C234" s="17"/>
      <c r="D234" s="83"/>
      <c r="E234" s="36"/>
      <c r="F234" s="36"/>
      <c r="G234" s="36"/>
      <c r="H234" s="36"/>
      <c r="I234" s="36"/>
      <c r="J234" s="36"/>
    </row>
    <row r="235" spans="1:10" x14ac:dyDescent="0.2">
      <c r="A235" s="20"/>
      <c r="B235" s="157"/>
      <c r="C235" s="12"/>
      <c r="D235" s="17"/>
      <c r="E235" s="9"/>
      <c r="F235" s="27"/>
      <c r="G235" s="28"/>
      <c r="H235" s="72"/>
      <c r="I235" s="17"/>
      <c r="J235" s="17"/>
    </row>
    <row r="236" spans="1:10" ht="68.25" customHeight="1" x14ac:dyDescent="0.2">
      <c r="A236" s="20" t="str">
        <f>'PLANILHA ORÇAMENTÁRIA'!A45</f>
        <v>5.2</v>
      </c>
      <c r="B236" s="16" t="str">
        <f>'PLANILHA ORÇAMENTÁRIA'!D45</f>
        <v>PORTA EM MADEIRA DE LEI TIPO ANGELIM PEDRA OU EQUIV. C/ ENCHIMENTO EM MADEIRA DE 1ª QUALIDADE ESP 30MM, COM VISOR DE VIDRO, INCL. ALIZARES, DOBRADIÇAS E FECHADURAS EXT EM LATÃO CROMADO LAFONTE/EQUIV , EXCL. MARCO, NAS DIMENSÕES:</v>
      </c>
      <c r="C236" s="12"/>
      <c r="D236" s="17"/>
      <c r="E236" s="9"/>
      <c r="F236" s="27"/>
      <c r="G236" s="28"/>
      <c r="H236" s="72"/>
      <c r="I236" s="17"/>
      <c r="J236" s="17"/>
    </row>
    <row r="237" spans="1:10" ht="51" x14ac:dyDescent="0.2">
      <c r="A237" s="17" t="str">
        <f>'PLANILHA ORÇAMENTÁRIA'!A46</f>
        <v>5.2.1</v>
      </c>
      <c r="B237" s="18" t="str">
        <f>'PLANILHA ORÇAMENTÁRIA'!D46</f>
        <v>Porta em madeira de Lei tipo Angelim Pedra ou equiv. c/ enchimento em madeira de 1ª qualidade esp. 30mm, com visor de vidro, inclusive alizares, dobradiças e fechaduras externas em latão cromado La Fonte/equiv. exclusive marco, nas dimensões: 0.80 x 2.10m</v>
      </c>
      <c r="C237" s="17" t="str">
        <f>'PLANILHA ORÇAMENTÁRIA'!E46</f>
        <v xml:space="preserve">und </v>
      </c>
      <c r="D237" s="79" t="s">
        <v>268</v>
      </c>
      <c r="E237" s="79" t="s">
        <v>269</v>
      </c>
      <c r="F237" s="79" t="s">
        <v>270</v>
      </c>
      <c r="G237" s="79" t="s">
        <v>271</v>
      </c>
      <c r="H237" s="79" t="s">
        <v>272</v>
      </c>
      <c r="I237" s="79" t="s">
        <v>273</v>
      </c>
      <c r="J237" s="80" t="s">
        <v>274</v>
      </c>
    </row>
    <row r="238" spans="1:10" x14ac:dyDescent="0.2">
      <c r="A238" s="17"/>
      <c r="B238" s="264" t="s">
        <v>288</v>
      </c>
      <c r="C238" s="9"/>
      <c r="D238" s="79">
        <v>1</v>
      </c>
      <c r="E238" s="79"/>
      <c r="F238" s="79"/>
      <c r="G238" s="79"/>
      <c r="H238" s="159"/>
      <c r="I238" s="79"/>
      <c r="J238" s="73">
        <f>D238</f>
        <v>1</v>
      </c>
    </row>
    <row r="239" spans="1:10" x14ac:dyDescent="0.2">
      <c r="A239" s="20"/>
      <c r="B239" s="264" t="s">
        <v>276</v>
      </c>
      <c r="C239" s="9"/>
      <c r="D239" s="79">
        <v>1</v>
      </c>
      <c r="E239" s="160"/>
      <c r="F239" s="27"/>
      <c r="G239" s="159"/>
      <c r="H239" s="159"/>
      <c r="I239" s="17"/>
      <c r="J239" s="73">
        <f t="shared" ref="J239:J243" si="27">D239</f>
        <v>1</v>
      </c>
    </row>
    <row r="240" spans="1:10" x14ac:dyDescent="0.2">
      <c r="A240" s="20"/>
      <c r="B240" s="250" t="s">
        <v>277</v>
      </c>
      <c r="C240" s="9"/>
      <c r="D240" s="79">
        <v>1</v>
      </c>
      <c r="E240" s="160"/>
      <c r="F240" s="27"/>
      <c r="G240" s="159"/>
      <c r="H240" s="159"/>
      <c r="I240" s="17"/>
      <c r="J240" s="73">
        <f t="shared" si="27"/>
        <v>1</v>
      </c>
    </row>
    <row r="241" spans="1:10" x14ac:dyDescent="0.2">
      <c r="A241" s="20"/>
      <c r="B241" s="250" t="s">
        <v>278</v>
      </c>
      <c r="C241" s="9"/>
      <c r="D241" s="79">
        <v>1</v>
      </c>
      <c r="E241" s="160"/>
      <c r="F241" s="27"/>
      <c r="G241" s="159"/>
      <c r="H241" s="159"/>
      <c r="I241" s="17"/>
      <c r="J241" s="73">
        <f t="shared" si="27"/>
        <v>1</v>
      </c>
    </row>
    <row r="242" spans="1:10" x14ac:dyDescent="0.2">
      <c r="A242" s="20"/>
      <c r="B242" s="250" t="s">
        <v>280</v>
      </c>
      <c r="C242" s="9"/>
      <c r="D242" s="79">
        <v>1</v>
      </c>
      <c r="E242" s="160"/>
      <c r="F242" s="27"/>
      <c r="G242" s="159"/>
      <c r="H242" s="159"/>
      <c r="I242" s="17"/>
      <c r="J242" s="73">
        <f t="shared" si="27"/>
        <v>1</v>
      </c>
    </row>
    <row r="243" spans="1:10" x14ac:dyDescent="0.2">
      <c r="A243" s="20"/>
      <c r="B243" s="250" t="s">
        <v>281</v>
      </c>
      <c r="C243" s="9"/>
      <c r="D243" s="79">
        <v>1</v>
      </c>
      <c r="E243" s="160"/>
      <c r="F243" s="27"/>
      <c r="G243" s="159"/>
      <c r="H243" s="159"/>
      <c r="I243" s="17"/>
      <c r="J243" s="73">
        <f t="shared" si="27"/>
        <v>1</v>
      </c>
    </row>
    <row r="244" spans="1:10" x14ac:dyDescent="0.2">
      <c r="A244" s="17"/>
      <c r="B244" s="18"/>
      <c r="C244" s="17"/>
      <c r="D244" s="79"/>
      <c r="E244" s="79"/>
      <c r="F244" s="79"/>
      <c r="G244" s="79"/>
      <c r="H244" s="79"/>
      <c r="I244" s="75" t="s">
        <v>283</v>
      </c>
      <c r="J244" s="76">
        <f>SUM(J238:J243)</f>
        <v>6</v>
      </c>
    </row>
    <row r="245" spans="1:10" x14ac:dyDescent="0.2">
      <c r="A245" s="17"/>
      <c r="B245" s="71"/>
      <c r="C245" s="17"/>
      <c r="D245" s="79"/>
      <c r="E245" s="79"/>
      <c r="F245" s="79"/>
      <c r="G245" s="79"/>
      <c r="H245" s="79"/>
      <c r="I245" s="79"/>
      <c r="J245" s="80"/>
    </row>
    <row r="246" spans="1:10" ht="51" x14ac:dyDescent="0.2">
      <c r="A246" s="17" t="str">
        <f>'PLANILHA ORÇAMENTÁRIA'!A47</f>
        <v>5.2.2</v>
      </c>
      <c r="B246" s="18" t="str">
        <f>'PLANILHA ORÇAMENTÁRIA'!D47</f>
        <v>Porta em madeira de Lei tipo Angelim Pedra ou equiv. c/ enchimento em madeira de 1ª qualidade esp. 30mm, com visor de vidro, inclusive alizares, dobradiças e fechaduras externas em latão cromado La Fonte/equiv. exclusive marco, nas dimensões: 0.90 x 2.10m</v>
      </c>
      <c r="C246" s="17" t="str">
        <f>'PLANILHA ORÇAMENTÁRIA'!E47</f>
        <v xml:space="preserve">und </v>
      </c>
      <c r="D246" s="79" t="s">
        <v>268</v>
      </c>
      <c r="E246" s="79" t="s">
        <v>269</v>
      </c>
      <c r="F246" s="79" t="s">
        <v>270</v>
      </c>
      <c r="G246" s="79" t="s">
        <v>271</v>
      </c>
      <c r="H246" s="79" t="s">
        <v>272</v>
      </c>
      <c r="I246" s="79" t="s">
        <v>273</v>
      </c>
      <c r="J246" s="80" t="s">
        <v>274</v>
      </c>
    </row>
    <row r="247" spans="1:10" x14ac:dyDescent="0.2">
      <c r="A247" s="20"/>
      <c r="B247" s="250" t="s">
        <v>279</v>
      </c>
      <c r="C247" s="9"/>
      <c r="D247" s="79">
        <v>1</v>
      </c>
      <c r="E247" s="160"/>
      <c r="F247" s="27"/>
      <c r="G247" s="159"/>
      <c r="H247" s="159"/>
      <c r="I247" s="17"/>
      <c r="J247" s="73">
        <f>D247</f>
        <v>1</v>
      </c>
    </row>
    <row r="248" spans="1:10" x14ac:dyDescent="0.2">
      <c r="A248" s="20"/>
      <c r="B248" s="250" t="s">
        <v>284</v>
      </c>
      <c r="C248" s="9"/>
      <c r="D248" s="79">
        <v>1</v>
      </c>
      <c r="E248" s="160"/>
      <c r="F248" s="27"/>
      <c r="G248" s="159"/>
      <c r="H248" s="159"/>
      <c r="I248" s="17"/>
      <c r="J248" s="73">
        <f>D248</f>
        <v>1</v>
      </c>
    </row>
    <row r="249" spans="1:10" x14ac:dyDescent="0.2">
      <c r="A249" s="17"/>
      <c r="B249" s="250" t="s">
        <v>282</v>
      </c>
      <c r="C249" s="17"/>
      <c r="D249" s="79">
        <v>1</v>
      </c>
      <c r="E249" s="79"/>
      <c r="F249" s="79"/>
      <c r="G249" s="79"/>
      <c r="H249" s="79"/>
      <c r="I249" s="79"/>
      <c r="J249" s="73">
        <f>D249</f>
        <v>1</v>
      </c>
    </row>
    <row r="250" spans="1:10" x14ac:dyDescent="0.2">
      <c r="A250" s="17"/>
      <c r="B250" s="18"/>
      <c r="C250" s="17"/>
      <c r="D250" s="79"/>
      <c r="E250" s="79"/>
      <c r="F250" s="79"/>
      <c r="G250" s="79"/>
      <c r="H250" s="79"/>
      <c r="I250" s="75" t="s">
        <v>283</v>
      </c>
      <c r="J250" s="76">
        <f>SUM(J247:J249)</f>
        <v>3</v>
      </c>
    </row>
    <row r="251" spans="1:10" x14ac:dyDescent="0.2">
      <c r="A251" s="17"/>
      <c r="B251" s="71"/>
      <c r="C251" s="17"/>
      <c r="D251" s="79"/>
      <c r="E251" s="79"/>
      <c r="F251" s="79"/>
      <c r="G251" s="79"/>
      <c r="H251" s="79"/>
      <c r="I251" s="79"/>
      <c r="J251" s="80"/>
    </row>
    <row r="252" spans="1:10" x14ac:dyDescent="0.2">
      <c r="A252" s="11">
        <f>'PLANILHA ORÇAMENTÁRIA'!A49</f>
        <v>6</v>
      </c>
      <c r="B252" s="7" t="str">
        <f>'PLANILHA ORÇAMENTÁRIA'!D49</f>
        <v>ESQUADRIAS METÁLICAS</v>
      </c>
      <c r="C252" s="5"/>
      <c r="D252" s="5"/>
      <c r="E252" s="5"/>
      <c r="F252" s="6"/>
      <c r="G252" s="26"/>
      <c r="H252" s="8"/>
      <c r="I252" s="70"/>
      <c r="J252" s="70"/>
    </row>
    <row r="253" spans="1:10" x14ac:dyDescent="0.2">
      <c r="A253" s="20" t="str">
        <f>'PLANILHA ORÇAMENTÁRIA'!A50</f>
        <v>6.1</v>
      </c>
      <c r="B253" s="157" t="str">
        <f>'PLANILHA ORÇAMENTÁRIA'!D50</f>
        <v>GRADES E PORTÕES</v>
      </c>
      <c r="C253" s="12"/>
      <c r="D253" s="17"/>
      <c r="E253" s="9"/>
      <c r="F253" s="27"/>
      <c r="G253" s="28"/>
      <c r="H253" s="72"/>
      <c r="I253" s="17"/>
      <c r="J253" s="17"/>
    </row>
    <row r="254" spans="1:10" ht="25.5" x14ac:dyDescent="0.2">
      <c r="A254" s="17" t="str">
        <f>'PLANILHA ORÇAMENTÁRIA'!A51</f>
        <v>6.1.1</v>
      </c>
      <c r="B254" s="18" t="str">
        <f>'PLANILHA ORÇAMENTÁRIA'!D51</f>
        <v xml:space="preserve">Portão de ferro de abrir em barra chata, inclusive chumbamento  </v>
      </c>
      <c r="C254" s="17" t="str">
        <f>'PLANILHA ORÇAMENTÁRIA'!E51</f>
        <v xml:space="preserve">m2 </v>
      </c>
      <c r="D254" s="79" t="s">
        <v>268</v>
      </c>
      <c r="E254" s="79" t="s">
        <v>269</v>
      </c>
      <c r="F254" s="79" t="s">
        <v>270</v>
      </c>
      <c r="G254" s="79" t="s">
        <v>271</v>
      </c>
      <c r="H254" s="79" t="s">
        <v>272</v>
      </c>
      <c r="I254" s="79" t="s">
        <v>273</v>
      </c>
      <c r="J254" s="80" t="s">
        <v>274</v>
      </c>
    </row>
    <row r="255" spans="1:10" x14ac:dyDescent="0.2">
      <c r="A255" s="17"/>
      <c r="B255" s="264" t="s">
        <v>288</v>
      </c>
      <c r="C255" s="17"/>
      <c r="D255" s="79"/>
      <c r="E255" s="79"/>
      <c r="F255" s="79">
        <v>0.9</v>
      </c>
      <c r="G255" s="79">
        <v>2.1</v>
      </c>
      <c r="H255" s="79">
        <f>F255*G255</f>
        <v>1.8900000000000001</v>
      </c>
      <c r="I255" s="79"/>
      <c r="J255" s="80">
        <f>H255</f>
        <v>1.8900000000000001</v>
      </c>
    </row>
    <row r="256" spans="1:10" x14ac:dyDescent="0.2">
      <c r="A256" s="17"/>
      <c r="B256" s="264" t="s">
        <v>276</v>
      </c>
      <c r="C256" s="17"/>
      <c r="D256" s="79"/>
      <c r="E256" s="79"/>
      <c r="F256" s="79">
        <v>0.9</v>
      </c>
      <c r="G256" s="79">
        <v>2.1</v>
      </c>
      <c r="H256" s="79">
        <f t="shared" ref="H256:H263" si="28">F256*G256</f>
        <v>1.8900000000000001</v>
      </c>
      <c r="I256" s="79"/>
      <c r="J256" s="80">
        <f t="shared" ref="J256:J263" si="29">H256</f>
        <v>1.8900000000000001</v>
      </c>
    </row>
    <row r="257" spans="1:10" x14ac:dyDescent="0.2">
      <c r="A257" s="17"/>
      <c r="B257" s="250" t="s">
        <v>277</v>
      </c>
      <c r="C257" s="17"/>
      <c r="D257" s="79"/>
      <c r="E257" s="79"/>
      <c r="F257" s="79">
        <v>0.9</v>
      </c>
      <c r="G257" s="79">
        <v>2.1</v>
      </c>
      <c r="H257" s="79">
        <f t="shared" si="28"/>
        <v>1.8900000000000001</v>
      </c>
      <c r="I257" s="79"/>
      <c r="J257" s="80">
        <f t="shared" si="29"/>
        <v>1.8900000000000001</v>
      </c>
    </row>
    <row r="258" spans="1:10" x14ac:dyDescent="0.2">
      <c r="A258" s="17"/>
      <c r="B258" s="250" t="s">
        <v>278</v>
      </c>
      <c r="C258" s="17"/>
      <c r="D258" s="79"/>
      <c r="E258" s="79"/>
      <c r="F258" s="79">
        <v>0.9</v>
      </c>
      <c r="G258" s="79">
        <v>2.1</v>
      </c>
      <c r="H258" s="79">
        <f t="shared" si="28"/>
        <v>1.8900000000000001</v>
      </c>
      <c r="I258" s="79"/>
      <c r="J258" s="80">
        <f t="shared" si="29"/>
        <v>1.8900000000000001</v>
      </c>
    </row>
    <row r="259" spans="1:10" x14ac:dyDescent="0.2">
      <c r="A259" s="17"/>
      <c r="B259" s="250" t="s">
        <v>279</v>
      </c>
      <c r="C259" s="17"/>
      <c r="D259" s="79"/>
      <c r="E259" s="79"/>
      <c r="F259" s="79">
        <v>1</v>
      </c>
      <c r="G259" s="79">
        <v>2.1</v>
      </c>
      <c r="H259" s="79">
        <f t="shared" si="28"/>
        <v>2.1</v>
      </c>
      <c r="I259" s="79"/>
      <c r="J259" s="80">
        <f t="shared" si="29"/>
        <v>2.1</v>
      </c>
    </row>
    <row r="260" spans="1:10" x14ac:dyDescent="0.2">
      <c r="A260" s="17"/>
      <c r="B260" s="250" t="s">
        <v>280</v>
      </c>
      <c r="C260" s="17"/>
      <c r="D260" s="79"/>
      <c r="E260" s="79"/>
      <c r="F260" s="79">
        <v>0.9</v>
      </c>
      <c r="G260" s="79">
        <v>2.1</v>
      </c>
      <c r="H260" s="79">
        <f t="shared" si="28"/>
        <v>1.8900000000000001</v>
      </c>
      <c r="I260" s="79"/>
      <c r="J260" s="80">
        <f t="shared" si="29"/>
        <v>1.8900000000000001</v>
      </c>
    </row>
    <row r="261" spans="1:10" x14ac:dyDescent="0.2">
      <c r="A261" s="17"/>
      <c r="B261" s="250" t="s">
        <v>284</v>
      </c>
      <c r="C261" s="17"/>
      <c r="D261" s="79"/>
      <c r="E261" s="79"/>
      <c r="F261" s="79">
        <v>0.9</v>
      </c>
      <c r="G261" s="79">
        <v>2.1</v>
      </c>
      <c r="H261" s="79">
        <f t="shared" si="28"/>
        <v>1.8900000000000001</v>
      </c>
      <c r="I261" s="79"/>
      <c r="J261" s="80">
        <f t="shared" si="29"/>
        <v>1.8900000000000001</v>
      </c>
    </row>
    <row r="262" spans="1:10" x14ac:dyDescent="0.2">
      <c r="A262" s="17"/>
      <c r="B262" s="250" t="s">
        <v>281</v>
      </c>
      <c r="C262" s="17"/>
      <c r="D262" s="79"/>
      <c r="E262" s="79"/>
      <c r="F262" s="79">
        <v>0.9</v>
      </c>
      <c r="G262" s="79">
        <v>2.1</v>
      </c>
      <c r="H262" s="79">
        <f t="shared" si="28"/>
        <v>1.8900000000000001</v>
      </c>
      <c r="I262" s="350"/>
      <c r="J262" s="80">
        <f t="shared" si="29"/>
        <v>1.8900000000000001</v>
      </c>
    </row>
    <row r="263" spans="1:10" x14ac:dyDescent="0.2">
      <c r="A263" s="17"/>
      <c r="B263" s="250" t="s">
        <v>282</v>
      </c>
      <c r="C263" s="17"/>
      <c r="D263" s="79"/>
      <c r="E263" s="79"/>
      <c r="F263" s="79">
        <v>0.8</v>
      </c>
      <c r="G263" s="79">
        <v>2.1</v>
      </c>
      <c r="H263" s="79">
        <f t="shared" si="28"/>
        <v>1.6800000000000002</v>
      </c>
      <c r="I263" s="79"/>
      <c r="J263" s="80">
        <f t="shared" si="29"/>
        <v>1.6800000000000002</v>
      </c>
    </row>
    <row r="264" spans="1:10" x14ac:dyDescent="0.2">
      <c r="A264" s="17"/>
      <c r="B264" s="250"/>
      <c r="C264" s="17"/>
      <c r="D264" s="79"/>
      <c r="E264" s="79"/>
      <c r="F264" s="79"/>
      <c r="G264" s="79"/>
      <c r="H264" s="79"/>
      <c r="I264" s="75" t="s">
        <v>283</v>
      </c>
      <c r="J264" s="76">
        <f>SUM(J255:J263)</f>
        <v>17.010000000000002</v>
      </c>
    </row>
    <row r="265" spans="1:10" x14ac:dyDescent="0.2">
      <c r="A265" s="17"/>
      <c r="B265" s="250"/>
      <c r="C265" s="17"/>
      <c r="D265" s="79"/>
      <c r="E265" s="79"/>
      <c r="F265" s="79"/>
      <c r="G265" s="79"/>
      <c r="H265" s="79"/>
      <c r="I265" s="350"/>
      <c r="J265" s="343"/>
    </row>
    <row r="266" spans="1:10" ht="25.5" x14ac:dyDescent="0.2">
      <c r="A266" s="17" t="str">
        <f>'PLANILHA ORÇAMENTÁRIA'!A52</f>
        <v>6.1.2</v>
      </c>
      <c r="B266" s="18" t="str">
        <f>'PLANILHA ORÇAMENTÁRIA'!D52</f>
        <v xml:space="preserve">Grade de ferro em barra chata, inclusive chumbamento </v>
      </c>
      <c r="C266" s="17" t="str">
        <f>'PLANILHA ORÇAMENTÁRIA'!E52</f>
        <v xml:space="preserve">m2 </v>
      </c>
      <c r="D266" s="79" t="s">
        <v>268</v>
      </c>
      <c r="E266" s="79" t="s">
        <v>269</v>
      </c>
      <c r="F266" s="79" t="s">
        <v>270</v>
      </c>
      <c r="G266" s="79" t="s">
        <v>271</v>
      </c>
      <c r="H266" s="79" t="s">
        <v>272</v>
      </c>
      <c r="I266" s="79" t="s">
        <v>273</v>
      </c>
      <c r="J266" s="80" t="s">
        <v>274</v>
      </c>
    </row>
    <row r="267" spans="1:10" x14ac:dyDescent="0.2">
      <c r="A267" s="17"/>
      <c r="B267" s="264" t="s">
        <v>288</v>
      </c>
      <c r="C267" s="17"/>
      <c r="D267" s="79"/>
      <c r="E267" s="79">
        <v>1.45</v>
      </c>
      <c r="F267" s="79"/>
      <c r="G267" s="79">
        <v>1.1499999999999999</v>
      </c>
      <c r="H267" s="79">
        <f t="shared" ref="H267:H275" si="30">E267*G267</f>
        <v>1.6674999999999998</v>
      </c>
      <c r="I267" s="79"/>
      <c r="J267" s="80">
        <f t="shared" ref="J267:J275" si="31">H267</f>
        <v>1.6674999999999998</v>
      </c>
    </row>
    <row r="268" spans="1:10" x14ac:dyDescent="0.2">
      <c r="A268" s="17"/>
      <c r="B268" s="264" t="s">
        <v>276</v>
      </c>
      <c r="C268" s="17"/>
      <c r="D268" s="79"/>
      <c r="E268" s="79">
        <v>2.65</v>
      </c>
      <c r="F268" s="79"/>
      <c r="G268" s="79">
        <v>1.45</v>
      </c>
      <c r="H268" s="79">
        <f t="shared" si="30"/>
        <v>3.8424999999999998</v>
      </c>
      <c r="I268" s="79"/>
      <c r="J268" s="80">
        <f t="shared" si="31"/>
        <v>3.8424999999999998</v>
      </c>
    </row>
    <row r="269" spans="1:10" x14ac:dyDescent="0.2">
      <c r="A269" s="17"/>
      <c r="B269" s="250" t="s">
        <v>277</v>
      </c>
      <c r="C269" s="17"/>
      <c r="D269" s="79"/>
      <c r="E269" s="79">
        <v>1.45</v>
      </c>
      <c r="F269" s="79"/>
      <c r="G269" s="79">
        <v>1.25</v>
      </c>
      <c r="H269" s="79">
        <f t="shared" si="30"/>
        <v>1.8125</v>
      </c>
      <c r="I269" s="79"/>
      <c r="J269" s="80">
        <f t="shared" si="31"/>
        <v>1.8125</v>
      </c>
    </row>
    <row r="270" spans="1:10" x14ac:dyDescent="0.2">
      <c r="A270" s="17"/>
      <c r="B270" s="250" t="s">
        <v>278</v>
      </c>
      <c r="C270" s="17"/>
      <c r="D270" s="79"/>
      <c r="E270" s="79">
        <v>2</v>
      </c>
      <c r="F270" s="79"/>
      <c r="G270" s="79">
        <v>1.5</v>
      </c>
      <c r="H270" s="79">
        <f t="shared" si="30"/>
        <v>3</v>
      </c>
      <c r="I270" s="79"/>
      <c r="J270" s="80">
        <f t="shared" si="31"/>
        <v>3</v>
      </c>
    </row>
    <row r="271" spans="1:10" x14ac:dyDescent="0.2">
      <c r="A271" s="17"/>
      <c r="B271" s="250" t="s">
        <v>279</v>
      </c>
      <c r="C271" s="17"/>
      <c r="D271" s="79"/>
      <c r="E271" s="79">
        <v>3.8</v>
      </c>
      <c r="F271" s="79"/>
      <c r="G271" s="79">
        <v>1.45</v>
      </c>
      <c r="H271" s="79">
        <f t="shared" si="30"/>
        <v>5.51</v>
      </c>
      <c r="I271" s="79"/>
      <c r="J271" s="80">
        <f t="shared" si="31"/>
        <v>5.51</v>
      </c>
    </row>
    <row r="272" spans="1:10" x14ac:dyDescent="0.2">
      <c r="A272" s="17"/>
      <c r="B272" s="250" t="s">
        <v>280</v>
      </c>
      <c r="C272" s="17"/>
      <c r="D272" s="79"/>
      <c r="E272" s="79">
        <v>1.95</v>
      </c>
      <c r="F272" s="79"/>
      <c r="G272" s="79">
        <v>1.05</v>
      </c>
      <c r="H272" s="79">
        <f t="shared" si="30"/>
        <v>2.0474999999999999</v>
      </c>
      <c r="I272" s="79"/>
      <c r="J272" s="80">
        <f t="shared" si="31"/>
        <v>2.0474999999999999</v>
      </c>
    </row>
    <row r="273" spans="1:10" x14ac:dyDescent="0.2">
      <c r="A273" s="17"/>
      <c r="B273" s="250" t="s">
        <v>284</v>
      </c>
      <c r="C273" s="17"/>
      <c r="D273" s="79"/>
      <c r="E273" s="79">
        <v>3.05</v>
      </c>
      <c r="F273" s="79"/>
      <c r="G273" s="79">
        <v>1.35</v>
      </c>
      <c r="H273" s="79">
        <f t="shared" si="30"/>
        <v>4.1174999999999997</v>
      </c>
      <c r="I273" s="79"/>
      <c r="J273" s="80">
        <f t="shared" si="31"/>
        <v>4.1174999999999997</v>
      </c>
    </row>
    <row r="274" spans="1:10" x14ac:dyDescent="0.2">
      <c r="A274" s="17"/>
      <c r="B274" s="250" t="s">
        <v>281</v>
      </c>
      <c r="C274" s="17"/>
      <c r="D274" s="79"/>
      <c r="E274" s="79">
        <v>2.9</v>
      </c>
      <c r="F274" s="79"/>
      <c r="G274" s="79">
        <v>1</v>
      </c>
      <c r="H274" s="79">
        <f t="shared" si="30"/>
        <v>2.9</v>
      </c>
      <c r="I274" s="79"/>
      <c r="J274" s="80">
        <f t="shared" si="31"/>
        <v>2.9</v>
      </c>
    </row>
    <row r="275" spans="1:10" x14ac:dyDescent="0.2">
      <c r="A275" s="17"/>
      <c r="B275" s="250"/>
      <c r="C275" s="17"/>
      <c r="D275" s="79"/>
      <c r="E275" s="79">
        <v>2.9</v>
      </c>
      <c r="F275" s="79"/>
      <c r="G275" s="79">
        <v>1</v>
      </c>
      <c r="H275" s="79">
        <f t="shared" si="30"/>
        <v>2.9</v>
      </c>
      <c r="I275" s="79"/>
      <c r="J275" s="80">
        <f t="shared" si="31"/>
        <v>2.9</v>
      </c>
    </row>
    <row r="276" spans="1:10" x14ac:dyDescent="0.2">
      <c r="A276" s="17"/>
      <c r="B276" s="250" t="s">
        <v>282</v>
      </c>
      <c r="C276" s="17"/>
      <c r="D276" s="79"/>
      <c r="E276" s="79">
        <v>3</v>
      </c>
      <c r="F276" s="79"/>
      <c r="G276" s="79">
        <v>1.4</v>
      </c>
      <c r="H276" s="79">
        <f>E276*G276</f>
        <v>4.1999999999999993</v>
      </c>
      <c r="I276" s="79"/>
      <c r="J276" s="80">
        <f>H276</f>
        <v>4.1999999999999993</v>
      </c>
    </row>
    <row r="277" spans="1:10" x14ac:dyDescent="0.2">
      <c r="A277" s="17"/>
      <c r="B277" s="250"/>
      <c r="C277" s="17"/>
      <c r="D277" s="79"/>
      <c r="E277" s="79">
        <v>3.45</v>
      </c>
      <c r="F277" s="79"/>
      <c r="G277" s="79">
        <v>1.4</v>
      </c>
      <c r="H277" s="79">
        <f t="shared" ref="H277:H278" si="32">E277*G277</f>
        <v>4.83</v>
      </c>
      <c r="I277" s="79"/>
      <c r="J277" s="80">
        <f t="shared" ref="J277:J278" si="33">H277</f>
        <v>4.83</v>
      </c>
    </row>
    <row r="278" spans="1:10" x14ac:dyDescent="0.2">
      <c r="A278" s="17"/>
      <c r="B278" s="250"/>
      <c r="C278" s="17"/>
      <c r="D278" s="79"/>
      <c r="E278" s="79">
        <v>3.5</v>
      </c>
      <c r="F278" s="79"/>
      <c r="G278" s="79">
        <v>1.4</v>
      </c>
      <c r="H278" s="79">
        <f t="shared" si="32"/>
        <v>4.8999999999999995</v>
      </c>
      <c r="I278" s="79"/>
      <c r="J278" s="80">
        <f t="shared" si="33"/>
        <v>4.8999999999999995</v>
      </c>
    </row>
    <row r="279" spans="1:10" x14ac:dyDescent="0.2">
      <c r="A279" s="17"/>
      <c r="B279" s="18"/>
      <c r="C279" s="17"/>
      <c r="D279" s="79"/>
      <c r="E279" s="79"/>
      <c r="F279" s="79"/>
      <c r="G279" s="79"/>
      <c r="H279" s="79"/>
      <c r="I279" s="75" t="s">
        <v>283</v>
      </c>
      <c r="J279" s="76">
        <f>SUM(J267:J278)</f>
        <v>41.727499999999992</v>
      </c>
    </row>
    <row r="280" spans="1:10" x14ac:dyDescent="0.2">
      <c r="A280" s="17"/>
      <c r="B280" s="18"/>
      <c r="C280" s="17"/>
      <c r="D280" s="79"/>
      <c r="E280" s="79"/>
      <c r="F280" s="79"/>
      <c r="G280" s="79"/>
      <c r="H280" s="79"/>
      <c r="I280" s="79"/>
      <c r="J280" s="80"/>
    </row>
    <row r="281" spans="1:10" x14ac:dyDescent="0.2">
      <c r="A281" s="11">
        <f>'PLANILHA ORÇAMENTÁRIA'!A54</f>
        <v>7</v>
      </c>
      <c r="B281" s="7" t="str">
        <f>'PLANILHA ORÇAMENTÁRIA'!D54</f>
        <v>COBERTURA</v>
      </c>
      <c r="C281" s="5"/>
      <c r="D281" s="5"/>
      <c r="E281" s="5"/>
      <c r="F281" s="6"/>
      <c r="G281" s="26"/>
      <c r="H281" s="8"/>
      <c r="I281" s="70"/>
      <c r="J281" s="70"/>
    </row>
    <row r="282" spans="1:10" x14ac:dyDescent="0.2">
      <c r="A282" s="20" t="str">
        <f>'PLANILHA ORÇAMENTÁRIA'!A55</f>
        <v>7.1</v>
      </c>
      <c r="B282" s="157" t="str">
        <f>'PLANILHA ORÇAMENTÁRIA'!D55</f>
        <v>TELHADO</v>
      </c>
      <c r="C282" s="12"/>
      <c r="D282" s="17"/>
      <c r="E282" s="9"/>
      <c r="F282" s="27"/>
      <c r="G282" s="28"/>
      <c r="H282" s="72"/>
      <c r="I282" s="17"/>
      <c r="J282" s="17"/>
    </row>
    <row r="283" spans="1:10" ht="25.5" x14ac:dyDescent="0.2">
      <c r="A283" s="17" t="str">
        <f>'PLANILHA ORÇAMENTÁRIA'!A56</f>
        <v>7.1.1</v>
      </c>
      <c r="B283" s="18" t="str">
        <f>'PLANILHA ORÇAMENTÁRIA'!D56</f>
        <v>Cobertura nova de telhas onduladas de fibrocimento 6.0mm, inclusive cumeeiras e acessórios de fixação</v>
      </c>
      <c r="C283" s="17" t="str">
        <f>'PLANILHA ORÇAMENTÁRIA'!E56</f>
        <v xml:space="preserve">m2 </v>
      </c>
      <c r="D283" s="79" t="s">
        <v>268</v>
      </c>
      <c r="E283" s="79" t="s">
        <v>269</v>
      </c>
      <c r="F283" s="79" t="s">
        <v>270</v>
      </c>
      <c r="G283" s="79" t="s">
        <v>271</v>
      </c>
      <c r="H283" s="79" t="s">
        <v>272</v>
      </c>
      <c r="I283" s="79" t="s">
        <v>273</v>
      </c>
      <c r="J283" s="80" t="s">
        <v>274</v>
      </c>
    </row>
    <row r="284" spans="1:10" x14ac:dyDescent="0.2">
      <c r="A284" s="17"/>
      <c r="B284" s="275" t="s">
        <v>275</v>
      </c>
      <c r="C284" s="268"/>
      <c r="D284" s="273"/>
      <c r="E284" s="273">
        <v>3.32</v>
      </c>
      <c r="F284" s="273">
        <v>6.23</v>
      </c>
      <c r="G284" s="273"/>
      <c r="H284" s="276">
        <f>E284*F284</f>
        <v>20.683600000000002</v>
      </c>
      <c r="I284" s="346"/>
      <c r="J284" s="346">
        <f>H284*1.6</f>
        <v>33.093760000000003</v>
      </c>
    </row>
    <row r="285" spans="1:10" x14ac:dyDescent="0.2">
      <c r="A285" s="17"/>
      <c r="B285" s="275" t="s">
        <v>276</v>
      </c>
      <c r="C285" s="268"/>
      <c r="D285" s="273"/>
      <c r="E285" s="273">
        <v>3.85</v>
      </c>
      <c r="F285" s="273">
        <v>6</v>
      </c>
      <c r="G285" s="273"/>
      <c r="H285" s="276">
        <f t="shared" ref="H285:H290" si="34">E285*F285</f>
        <v>23.1</v>
      </c>
      <c r="I285" s="346"/>
      <c r="J285" s="346">
        <f t="shared" ref="J285:J290" si="35">H285*1.6</f>
        <v>36.96</v>
      </c>
    </row>
    <row r="286" spans="1:10" x14ac:dyDescent="0.2">
      <c r="A286" s="17"/>
      <c r="B286" s="279" t="s">
        <v>277</v>
      </c>
      <c r="C286" s="268"/>
      <c r="D286" s="272"/>
      <c r="E286" s="278">
        <v>4.03</v>
      </c>
      <c r="F286" s="277">
        <v>5.82</v>
      </c>
      <c r="G286" s="273"/>
      <c r="H286" s="276">
        <f t="shared" si="34"/>
        <v>23.454600000000003</v>
      </c>
      <c r="I286" s="346"/>
      <c r="J286" s="346">
        <f t="shared" si="35"/>
        <v>37.527360000000009</v>
      </c>
    </row>
    <row r="287" spans="1:10" x14ac:dyDescent="0.2">
      <c r="A287" s="17"/>
      <c r="B287" s="279" t="s">
        <v>278</v>
      </c>
      <c r="C287" s="268"/>
      <c r="D287" s="272"/>
      <c r="E287" s="278">
        <v>4.25</v>
      </c>
      <c r="F287" s="277">
        <v>9.08</v>
      </c>
      <c r="G287" s="273"/>
      <c r="H287" s="276">
        <f t="shared" si="34"/>
        <v>38.590000000000003</v>
      </c>
      <c r="I287" s="346"/>
      <c r="J287" s="346">
        <f t="shared" si="35"/>
        <v>61.744000000000007</v>
      </c>
    </row>
    <row r="288" spans="1:10" x14ac:dyDescent="0.2">
      <c r="A288" s="17"/>
      <c r="B288" s="279" t="s">
        <v>279</v>
      </c>
      <c r="C288" s="268"/>
      <c r="D288" s="272"/>
      <c r="E288" s="278">
        <v>5.27</v>
      </c>
      <c r="F288" s="277">
        <v>6</v>
      </c>
      <c r="G288" s="273"/>
      <c r="H288" s="276">
        <f t="shared" si="34"/>
        <v>31.619999999999997</v>
      </c>
      <c r="I288" s="346"/>
      <c r="J288" s="346">
        <f t="shared" si="35"/>
        <v>50.591999999999999</v>
      </c>
    </row>
    <row r="289" spans="1:10" x14ac:dyDescent="0.2">
      <c r="A289" s="17"/>
      <c r="B289" s="279" t="s">
        <v>280</v>
      </c>
      <c r="C289" s="268"/>
      <c r="D289" s="272"/>
      <c r="E289" s="278">
        <v>3.53</v>
      </c>
      <c r="F289" s="277">
        <v>7</v>
      </c>
      <c r="G289" s="273"/>
      <c r="H289" s="276">
        <f t="shared" si="34"/>
        <v>24.709999999999997</v>
      </c>
      <c r="I289" s="346"/>
      <c r="J289" s="346">
        <f t="shared" si="35"/>
        <v>39.536000000000001</v>
      </c>
    </row>
    <row r="290" spans="1:10" x14ac:dyDescent="0.2">
      <c r="A290" s="17"/>
      <c r="B290" s="279" t="s">
        <v>281</v>
      </c>
      <c r="C290" s="268"/>
      <c r="D290" s="272"/>
      <c r="E290" s="278">
        <v>5</v>
      </c>
      <c r="F290" s="277">
        <v>7</v>
      </c>
      <c r="G290" s="273"/>
      <c r="H290" s="276">
        <f t="shared" si="34"/>
        <v>35</v>
      </c>
      <c r="I290" s="346"/>
      <c r="J290" s="346">
        <f t="shared" si="35"/>
        <v>56</v>
      </c>
    </row>
    <row r="291" spans="1:10" x14ac:dyDescent="0.2">
      <c r="A291" s="17"/>
      <c r="B291" s="333"/>
      <c r="C291" s="268"/>
      <c r="D291" s="272"/>
      <c r="E291" s="337"/>
      <c r="F291" s="336"/>
      <c r="G291" s="273"/>
      <c r="H291" s="276"/>
      <c r="I291" s="75" t="s">
        <v>283</v>
      </c>
      <c r="J291" s="76">
        <f>SUM(J284:J290)</f>
        <v>315.45312000000001</v>
      </c>
    </row>
    <row r="292" spans="1:10" x14ac:dyDescent="0.2">
      <c r="A292" s="17"/>
      <c r="B292" s="358"/>
      <c r="C292" s="9"/>
      <c r="D292" s="17"/>
      <c r="E292" s="9"/>
      <c r="F292" s="27"/>
      <c r="G292" s="28"/>
      <c r="H292" s="82"/>
      <c r="I292" s="17"/>
      <c r="J292" s="73"/>
    </row>
    <row r="293" spans="1:10" ht="38.25" x14ac:dyDescent="0.2">
      <c r="A293" s="17" t="s">
        <v>614</v>
      </c>
      <c r="B293" s="18" t="str">
        <f>'PLANILHA ORÇAMENTÁRIA'!D57</f>
        <v>Estrutura de madeira de lei tipo Paraju, peroba mica, angelim pedra ou equivalente para telhado de telha ondulada de fibrocimento esp. 6mm, com pontaletes e caibros, inclusive tratamento com cupinicida, exclusive telhas</v>
      </c>
      <c r="C293" s="17" t="s">
        <v>29</v>
      </c>
      <c r="D293" s="79" t="s">
        <v>268</v>
      </c>
      <c r="E293" s="79" t="s">
        <v>269</v>
      </c>
      <c r="F293" s="79" t="s">
        <v>270</v>
      </c>
      <c r="G293" s="79" t="s">
        <v>271</v>
      </c>
      <c r="H293" s="79" t="s">
        <v>272</v>
      </c>
      <c r="I293" s="79" t="s">
        <v>273</v>
      </c>
      <c r="J293" s="80" t="s">
        <v>274</v>
      </c>
    </row>
    <row r="294" spans="1:10" x14ac:dyDescent="0.2">
      <c r="A294" s="17"/>
      <c r="B294" s="275" t="s">
        <v>275</v>
      </c>
      <c r="C294" s="268"/>
      <c r="D294" s="273"/>
      <c r="E294" s="273">
        <v>3.32</v>
      </c>
      <c r="F294" s="273">
        <v>6.23</v>
      </c>
      <c r="G294" s="273"/>
      <c r="H294" s="276">
        <f>E294*F294</f>
        <v>20.683600000000002</v>
      </c>
      <c r="I294" s="346"/>
      <c r="J294" s="346">
        <f>H294</f>
        <v>20.683600000000002</v>
      </c>
    </row>
    <row r="295" spans="1:10" x14ac:dyDescent="0.2">
      <c r="A295" s="17"/>
      <c r="B295" s="275" t="s">
        <v>276</v>
      </c>
      <c r="C295" s="268"/>
      <c r="D295" s="273"/>
      <c r="E295" s="273">
        <v>3.85</v>
      </c>
      <c r="F295" s="273">
        <v>6</v>
      </c>
      <c r="G295" s="273"/>
      <c r="H295" s="276">
        <f t="shared" ref="H295:H300" si="36">E295*F295</f>
        <v>23.1</v>
      </c>
      <c r="I295" s="346"/>
      <c r="J295" s="346">
        <f t="shared" ref="J295:J300" si="37">H295</f>
        <v>23.1</v>
      </c>
    </row>
    <row r="296" spans="1:10" x14ac:dyDescent="0.2">
      <c r="A296" s="17"/>
      <c r="B296" s="279" t="s">
        <v>277</v>
      </c>
      <c r="C296" s="268"/>
      <c r="D296" s="272"/>
      <c r="E296" s="278">
        <v>4.03</v>
      </c>
      <c r="F296" s="277">
        <v>5.82</v>
      </c>
      <c r="G296" s="273"/>
      <c r="H296" s="276">
        <f t="shared" si="36"/>
        <v>23.454600000000003</v>
      </c>
      <c r="I296" s="346"/>
      <c r="J296" s="346">
        <f t="shared" si="37"/>
        <v>23.454600000000003</v>
      </c>
    </row>
    <row r="297" spans="1:10" x14ac:dyDescent="0.2">
      <c r="A297" s="17"/>
      <c r="B297" s="279" t="s">
        <v>278</v>
      </c>
      <c r="C297" s="268"/>
      <c r="D297" s="272"/>
      <c r="E297" s="278">
        <v>4.25</v>
      </c>
      <c r="F297" s="277">
        <v>9.08</v>
      </c>
      <c r="G297" s="273"/>
      <c r="H297" s="276">
        <f t="shared" si="36"/>
        <v>38.590000000000003</v>
      </c>
      <c r="I297" s="346"/>
      <c r="J297" s="346">
        <f t="shared" si="37"/>
        <v>38.590000000000003</v>
      </c>
    </row>
    <row r="298" spans="1:10" x14ac:dyDescent="0.2">
      <c r="A298" s="17"/>
      <c r="B298" s="279" t="s">
        <v>279</v>
      </c>
      <c r="C298" s="268"/>
      <c r="D298" s="272"/>
      <c r="E298" s="278">
        <v>5.27</v>
      </c>
      <c r="F298" s="277">
        <v>6</v>
      </c>
      <c r="G298" s="273"/>
      <c r="H298" s="276">
        <f t="shared" si="36"/>
        <v>31.619999999999997</v>
      </c>
      <c r="I298" s="346"/>
      <c r="J298" s="346">
        <f t="shared" si="37"/>
        <v>31.619999999999997</v>
      </c>
    </row>
    <row r="299" spans="1:10" x14ac:dyDescent="0.2">
      <c r="A299" s="17"/>
      <c r="B299" s="279" t="s">
        <v>280</v>
      </c>
      <c r="C299" s="268"/>
      <c r="D299" s="272"/>
      <c r="E299" s="278">
        <v>3.53</v>
      </c>
      <c r="F299" s="277">
        <v>7</v>
      </c>
      <c r="G299" s="273"/>
      <c r="H299" s="276">
        <f t="shared" si="36"/>
        <v>24.709999999999997</v>
      </c>
      <c r="I299" s="346"/>
      <c r="J299" s="346">
        <f t="shared" si="37"/>
        <v>24.709999999999997</v>
      </c>
    </row>
    <row r="300" spans="1:10" x14ac:dyDescent="0.2">
      <c r="A300" s="17"/>
      <c r="B300" s="279" t="s">
        <v>281</v>
      </c>
      <c r="C300" s="268"/>
      <c r="D300" s="272"/>
      <c r="E300" s="278">
        <v>5</v>
      </c>
      <c r="F300" s="277">
        <v>7</v>
      </c>
      <c r="G300" s="273"/>
      <c r="H300" s="276">
        <f t="shared" si="36"/>
        <v>35</v>
      </c>
      <c r="I300" s="346"/>
      <c r="J300" s="346">
        <f t="shared" si="37"/>
        <v>35</v>
      </c>
    </row>
    <row r="301" spans="1:10" x14ac:dyDescent="0.2">
      <c r="A301" s="17"/>
      <c r="B301" s="333"/>
      <c r="C301" s="268"/>
      <c r="D301" s="272"/>
      <c r="E301" s="337"/>
      <c r="F301" s="336"/>
      <c r="G301" s="273"/>
      <c r="H301" s="276"/>
      <c r="I301" s="75" t="s">
        <v>283</v>
      </c>
      <c r="J301" s="76">
        <f>SUM(J294:J300)</f>
        <v>197.15820000000002</v>
      </c>
    </row>
    <row r="302" spans="1:10" x14ac:dyDescent="0.2">
      <c r="A302" s="17"/>
      <c r="B302" s="18"/>
      <c r="C302" s="17"/>
      <c r="D302" s="79"/>
      <c r="E302" s="79"/>
      <c r="F302" s="79"/>
      <c r="G302" s="79"/>
      <c r="H302" s="79"/>
      <c r="I302" s="350"/>
      <c r="J302" s="343"/>
    </row>
    <row r="303" spans="1:10" x14ac:dyDescent="0.2">
      <c r="A303" s="11">
        <f>'PLANILHA ORÇAMENTÁRIA'!A59</f>
        <v>8</v>
      </c>
      <c r="B303" s="7" t="str">
        <f>'PLANILHA ORÇAMENTÁRIA'!D59</f>
        <v>TETOS E FORROS</v>
      </c>
      <c r="C303" s="5"/>
      <c r="D303" s="5"/>
      <c r="E303" s="5"/>
      <c r="F303" s="6"/>
      <c r="G303" s="26"/>
      <c r="H303" s="8"/>
      <c r="I303" s="70"/>
      <c r="J303" s="70"/>
    </row>
    <row r="304" spans="1:10" x14ac:dyDescent="0.2">
      <c r="A304" s="20" t="str">
        <f>'PLANILHA ORÇAMENTÁRIA'!A60</f>
        <v>8.1</v>
      </c>
      <c r="B304" s="157" t="str">
        <f>'PLANILHA ORÇAMENTÁRIA'!D60</f>
        <v>REBAIXAMENTOS</v>
      </c>
      <c r="C304" s="12"/>
      <c r="D304" s="17"/>
      <c r="E304" s="9"/>
      <c r="F304" s="27"/>
      <c r="G304" s="28"/>
      <c r="H304" s="72"/>
      <c r="I304" s="17"/>
      <c r="J304" s="17"/>
    </row>
    <row r="305" spans="1:10" ht="25.5" x14ac:dyDescent="0.2">
      <c r="A305" s="17" t="str">
        <f>'PLANILHA ORÇAMENTÁRIA'!A61</f>
        <v>8.1.1</v>
      </c>
      <c r="B305" s="18" t="str">
        <f>'PLANILHA ORÇAMENTÁRIA'!D61</f>
        <v xml:space="preserve">Forro de gesso acabamento tipo liso </v>
      </c>
      <c r="C305" s="17" t="str">
        <f>'PLANILHA ORÇAMENTÁRIA'!E61</f>
        <v xml:space="preserve">m2 </v>
      </c>
      <c r="D305" s="79" t="s">
        <v>268</v>
      </c>
      <c r="E305" s="79" t="s">
        <v>269</v>
      </c>
      <c r="F305" s="79" t="s">
        <v>270</v>
      </c>
      <c r="G305" s="79" t="s">
        <v>271</v>
      </c>
      <c r="H305" s="79" t="s">
        <v>272</v>
      </c>
      <c r="I305" s="79" t="s">
        <v>273</v>
      </c>
      <c r="J305" s="80" t="s">
        <v>274</v>
      </c>
    </row>
    <row r="306" spans="1:10" x14ac:dyDescent="0.2">
      <c r="A306" s="17"/>
      <c r="B306" s="275" t="s">
        <v>275</v>
      </c>
      <c r="C306" s="268"/>
      <c r="D306" s="273"/>
      <c r="E306" s="273">
        <v>3.32</v>
      </c>
      <c r="F306" s="273">
        <v>6.23</v>
      </c>
      <c r="G306" s="273"/>
      <c r="H306" s="276">
        <f>E306*F306</f>
        <v>20.683600000000002</v>
      </c>
      <c r="I306" s="79"/>
      <c r="J306" s="80">
        <f>H306</f>
        <v>20.683600000000002</v>
      </c>
    </row>
    <row r="307" spans="1:10" x14ac:dyDescent="0.2">
      <c r="A307" s="17"/>
      <c r="B307" s="275" t="s">
        <v>276</v>
      </c>
      <c r="C307" s="268"/>
      <c r="D307" s="273"/>
      <c r="E307" s="273">
        <v>3.85</v>
      </c>
      <c r="F307" s="273">
        <v>6</v>
      </c>
      <c r="G307" s="273"/>
      <c r="H307" s="276">
        <f t="shared" ref="H307:H314" si="38">E307*F307</f>
        <v>23.1</v>
      </c>
      <c r="I307" s="79"/>
      <c r="J307" s="80">
        <f t="shared" ref="J307:J314" si="39">H307</f>
        <v>23.1</v>
      </c>
    </row>
    <row r="308" spans="1:10" x14ac:dyDescent="0.2">
      <c r="A308" s="17"/>
      <c r="B308" s="279" t="s">
        <v>277</v>
      </c>
      <c r="C308" s="268"/>
      <c r="D308" s="272"/>
      <c r="E308" s="278">
        <v>4.03</v>
      </c>
      <c r="F308" s="277">
        <v>5.82</v>
      </c>
      <c r="G308" s="273"/>
      <c r="H308" s="276">
        <f t="shared" si="38"/>
        <v>23.454600000000003</v>
      </c>
      <c r="I308" s="79"/>
      <c r="J308" s="80">
        <f t="shared" si="39"/>
        <v>23.454600000000003</v>
      </c>
    </row>
    <row r="309" spans="1:10" x14ac:dyDescent="0.2">
      <c r="A309" s="17"/>
      <c r="B309" s="279" t="s">
        <v>278</v>
      </c>
      <c r="C309" s="268"/>
      <c r="D309" s="272"/>
      <c r="E309" s="278">
        <v>4.25</v>
      </c>
      <c r="F309" s="277">
        <v>9.08</v>
      </c>
      <c r="G309" s="273"/>
      <c r="H309" s="276">
        <f t="shared" si="38"/>
        <v>38.590000000000003</v>
      </c>
      <c r="I309" s="79"/>
      <c r="J309" s="80">
        <f t="shared" si="39"/>
        <v>38.590000000000003</v>
      </c>
    </row>
    <row r="310" spans="1:10" x14ac:dyDescent="0.2">
      <c r="A310" s="17"/>
      <c r="B310" s="279" t="s">
        <v>279</v>
      </c>
      <c r="C310" s="268"/>
      <c r="D310" s="272"/>
      <c r="E310" s="278">
        <v>5.27</v>
      </c>
      <c r="F310" s="277">
        <v>6</v>
      </c>
      <c r="G310" s="273"/>
      <c r="H310" s="276">
        <f t="shared" si="38"/>
        <v>31.619999999999997</v>
      </c>
      <c r="I310" s="79"/>
      <c r="J310" s="80">
        <f t="shared" si="39"/>
        <v>31.619999999999997</v>
      </c>
    </row>
    <row r="311" spans="1:10" x14ac:dyDescent="0.2">
      <c r="A311" s="17"/>
      <c r="B311" s="279" t="s">
        <v>280</v>
      </c>
      <c r="C311" s="268"/>
      <c r="D311" s="272"/>
      <c r="E311" s="278">
        <v>3.53</v>
      </c>
      <c r="F311" s="277">
        <v>7</v>
      </c>
      <c r="G311" s="273"/>
      <c r="H311" s="276">
        <f t="shared" si="38"/>
        <v>24.709999999999997</v>
      </c>
      <c r="I311" s="79"/>
      <c r="J311" s="80">
        <f t="shared" si="39"/>
        <v>24.709999999999997</v>
      </c>
    </row>
    <row r="312" spans="1:10" x14ac:dyDescent="0.2">
      <c r="A312" s="17"/>
      <c r="B312" s="279" t="s">
        <v>284</v>
      </c>
      <c r="C312" s="268"/>
      <c r="D312" s="272"/>
      <c r="E312" s="278">
        <v>4.33</v>
      </c>
      <c r="F312" s="277">
        <v>6</v>
      </c>
      <c r="G312" s="273"/>
      <c r="H312" s="276">
        <f t="shared" si="38"/>
        <v>25.98</v>
      </c>
      <c r="I312" s="79"/>
      <c r="J312" s="80">
        <f t="shared" si="39"/>
        <v>25.98</v>
      </c>
    </row>
    <row r="313" spans="1:10" x14ac:dyDescent="0.2">
      <c r="A313" s="17"/>
      <c r="B313" s="279" t="s">
        <v>281</v>
      </c>
      <c r="C313" s="268"/>
      <c r="D313" s="272"/>
      <c r="E313" s="278">
        <v>5</v>
      </c>
      <c r="F313" s="277">
        <v>7</v>
      </c>
      <c r="G313" s="273"/>
      <c r="H313" s="276">
        <f t="shared" si="38"/>
        <v>35</v>
      </c>
      <c r="I313" s="79"/>
      <c r="J313" s="80">
        <f t="shared" si="39"/>
        <v>35</v>
      </c>
    </row>
    <row r="314" spans="1:10" x14ac:dyDescent="0.2">
      <c r="A314" s="17"/>
      <c r="B314" s="333" t="s">
        <v>282</v>
      </c>
      <c r="C314" s="268"/>
      <c r="D314" s="272"/>
      <c r="E314" s="337">
        <v>6.74</v>
      </c>
      <c r="F314" s="336">
        <v>11.17</v>
      </c>
      <c r="G314" s="79"/>
      <c r="H314" s="276">
        <f t="shared" si="38"/>
        <v>75.285800000000009</v>
      </c>
      <c r="I314" s="79"/>
      <c r="J314" s="80">
        <f t="shared" si="39"/>
        <v>75.285800000000009</v>
      </c>
    </row>
    <row r="315" spans="1:10" x14ac:dyDescent="0.2">
      <c r="A315" s="17"/>
      <c r="B315" s="18"/>
      <c r="C315" s="17"/>
      <c r="D315" s="79"/>
      <c r="E315" s="79"/>
      <c r="F315" s="79"/>
      <c r="G315" s="79"/>
      <c r="H315" s="79"/>
      <c r="I315" s="75" t="s">
        <v>283</v>
      </c>
      <c r="J315" s="76">
        <f>SUM(J306:J314)</f>
        <v>298.42400000000004</v>
      </c>
    </row>
    <row r="316" spans="1:10" x14ac:dyDescent="0.2">
      <c r="A316" s="17"/>
      <c r="B316" s="18"/>
      <c r="C316" s="17"/>
      <c r="D316" s="79"/>
      <c r="E316" s="79"/>
      <c r="F316" s="79"/>
      <c r="G316" s="79"/>
      <c r="H316" s="79"/>
      <c r="I316" s="79"/>
      <c r="J316" s="80"/>
    </row>
    <row r="317" spans="1:10" x14ac:dyDescent="0.2">
      <c r="A317" s="11">
        <f>'PLANILHA ORÇAMENTÁRIA'!A63</f>
        <v>9</v>
      </c>
      <c r="B317" s="7" t="str">
        <f>'PLANILHA ORÇAMENTÁRIA'!D63</f>
        <v>PISOS INTERNOS E EXTERNOS</v>
      </c>
      <c r="C317" s="5"/>
      <c r="D317" s="5"/>
      <c r="E317" s="5"/>
      <c r="F317" s="6"/>
      <c r="G317" s="26"/>
      <c r="H317" s="8"/>
      <c r="I317" s="70"/>
      <c r="J317" s="70"/>
    </row>
    <row r="318" spans="1:10" x14ac:dyDescent="0.2">
      <c r="A318" s="20" t="str">
        <f>'PLANILHA ORÇAMENTÁRIA'!A64</f>
        <v>9.1</v>
      </c>
      <c r="B318" s="157" t="str">
        <f>'PLANILHA ORÇAMENTÁRIA'!D64</f>
        <v>ACABAMENTOS</v>
      </c>
      <c r="C318" s="12"/>
      <c r="D318" s="17"/>
      <c r="E318" s="9"/>
      <c r="F318" s="27"/>
      <c r="G318" s="28"/>
      <c r="H318" s="72"/>
      <c r="I318" s="17"/>
      <c r="J318" s="17"/>
    </row>
    <row r="319" spans="1:10" ht="51" x14ac:dyDescent="0.2">
      <c r="A319" s="17" t="str">
        <f>'PLANILHA ORÇAMENTÁRIA'!A65</f>
        <v>9.1.1</v>
      </c>
      <c r="B319" s="18" t="str">
        <f>'PLANILHA ORÇAMENTÁRIA'!D65</f>
        <v>Piso argamassa alta resistência tipo granilite ou equiv de qualidade comprovada, esp de 10mm, com juntas plástica em quadros de 1m, na cor natural, com acabamento anti-derrapante mecanizado, inclusive regularização e=3.0cm</v>
      </c>
      <c r="C319" s="17" t="str">
        <f>'PLANILHA ORÇAMENTÁRIA'!E65</f>
        <v xml:space="preserve">m2 </v>
      </c>
      <c r="D319" s="79" t="s">
        <v>268</v>
      </c>
      <c r="E319" s="79" t="s">
        <v>269</v>
      </c>
      <c r="F319" s="79" t="s">
        <v>270</v>
      </c>
      <c r="G319" s="79" t="s">
        <v>271</v>
      </c>
      <c r="H319" s="79" t="s">
        <v>272</v>
      </c>
      <c r="I319" s="79" t="s">
        <v>273</v>
      </c>
      <c r="J319" s="80" t="s">
        <v>274</v>
      </c>
    </row>
    <row r="320" spans="1:10" x14ac:dyDescent="0.2">
      <c r="A320" s="17"/>
      <c r="B320" s="275" t="s">
        <v>275</v>
      </c>
      <c r="C320" s="268"/>
      <c r="D320" s="273"/>
      <c r="E320" s="273">
        <v>3.32</v>
      </c>
      <c r="F320" s="273">
        <v>6.23</v>
      </c>
      <c r="G320" s="273"/>
      <c r="H320" s="276">
        <f>E320*F320</f>
        <v>20.683600000000002</v>
      </c>
      <c r="I320" s="79"/>
      <c r="J320" s="80">
        <f>H320</f>
        <v>20.683600000000002</v>
      </c>
    </row>
    <row r="321" spans="1:16" x14ac:dyDescent="0.2">
      <c r="A321" s="17"/>
      <c r="B321" s="275" t="s">
        <v>276</v>
      </c>
      <c r="C321" s="268"/>
      <c r="D321" s="273"/>
      <c r="E321" s="273">
        <v>3.85</v>
      </c>
      <c r="F321" s="273">
        <v>6</v>
      </c>
      <c r="G321" s="273"/>
      <c r="H321" s="276">
        <f t="shared" ref="H321:H328" si="40">E321*F321</f>
        <v>23.1</v>
      </c>
      <c r="I321" s="79"/>
      <c r="J321" s="80">
        <f t="shared" ref="J321:J328" si="41">H321</f>
        <v>23.1</v>
      </c>
    </row>
    <row r="322" spans="1:16" x14ac:dyDescent="0.2">
      <c r="A322" s="17"/>
      <c r="B322" s="279" t="s">
        <v>277</v>
      </c>
      <c r="C322" s="268"/>
      <c r="D322" s="272"/>
      <c r="E322" s="278">
        <v>4.03</v>
      </c>
      <c r="F322" s="277">
        <v>5.82</v>
      </c>
      <c r="G322" s="273"/>
      <c r="H322" s="276">
        <f t="shared" si="40"/>
        <v>23.454600000000003</v>
      </c>
      <c r="I322" s="79"/>
      <c r="J322" s="80">
        <f t="shared" si="41"/>
        <v>23.454600000000003</v>
      </c>
    </row>
    <row r="323" spans="1:16" x14ac:dyDescent="0.2">
      <c r="A323" s="17"/>
      <c r="B323" s="279" t="s">
        <v>278</v>
      </c>
      <c r="C323" s="268"/>
      <c r="D323" s="272"/>
      <c r="E323" s="278">
        <v>4.25</v>
      </c>
      <c r="F323" s="277">
        <v>9.08</v>
      </c>
      <c r="G323" s="273"/>
      <c r="H323" s="276">
        <f t="shared" si="40"/>
        <v>38.590000000000003</v>
      </c>
      <c r="I323" s="79"/>
      <c r="J323" s="80">
        <f t="shared" si="41"/>
        <v>38.590000000000003</v>
      </c>
    </row>
    <row r="324" spans="1:16" x14ac:dyDescent="0.2">
      <c r="A324" s="17"/>
      <c r="B324" s="279" t="s">
        <v>279</v>
      </c>
      <c r="C324" s="268"/>
      <c r="D324" s="272"/>
      <c r="E324" s="278">
        <v>5.27</v>
      </c>
      <c r="F324" s="277">
        <v>6</v>
      </c>
      <c r="G324" s="273"/>
      <c r="H324" s="276">
        <f t="shared" si="40"/>
        <v>31.619999999999997</v>
      </c>
      <c r="I324" s="79"/>
      <c r="J324" s="80">
        <f t="shared" si="41"/>
        <v>31.619999999999997</v>
      </c>
    </row>
    <row r="325" spans="1:16" x14ac:dyDescent="0.2">
      <c r="A325" s="17"/>
      <c r="B325" s="279" t="s">
        <v>280</v>
      </c>
      <c r="C325" s="268"/>
      <c r="D325" s="272"/>
      <c r="E325" s="278">
        <v>3.53</v>
      </c>
      <c r="F325" s="277">
        <v>7</v>
      </c>
      <c r="G325" s="273"/>
      <c r="H325" s="276">
        <f t="shared" si="40"/>
        <v>24.709999999999997</v>
      </c>
      <c r="I325" s="79"/>
      <c r="J325" s="80">
        <f t="shared" si="41"/>
        <v>24.709999999999997</v>
      </c>
    </row>
    <row r="326" spans="1:16" x14ac:dyDescent="0.2">
      <c r="A326" s="17"/>
      <c r="B326" s="279" t="s">
        <v>284</v>
      </c>
      <c r="C326" s="268"/>
      <c r="D326" s="272"/>
      <c r="E326" s="278">
        <v>4.33</v>
      </c>
      <c r="F326" s="277">
        <v>6</v>
      </c>
      <c r="G326" s="273"/>
      <c r="H326" s="276">
        <f t="shared" si="40"/>
        <v>25.98</v>
      </c>
      <c r="I326" s="79"/>
      <c r="J326" s="80">
        <f t="shared" si="41"/>
        <v>25.98</v>
      </c>
    </row>
    <row r="327" spans="1:16" x14ac:dyDescent="0.2">
      <c r="A327" s="17"/>
      <c r="B327" s="279" t="s">
        <v>281</v>
      </c>
      <c r="C327" s="268"/>
      <c r="D327" s="272"/>
      <c r="E327" s="278">
        <v>5</v>
      </c>
      <c r="F327" s="277">
        <v>7</v>
      </c>
      <c r="G327" s="273"/>
      <c r="H327" s="276">
        <f t="shared" si="40"/>
        <v>35</v>
      </c>
      <c r="I327" s="79"/>
      <c r="J327" s="80">
        <f t="shared" si="41"/>
        <v>35</v>
      </c>
    </row>
    <row r="328" spans="1:16" x14ac:dyDescent="0.2">
      <c r="A328" s="17"/>
      <c r="B328" s="333" t="s">
        <v>282</v>
      </c>
      <c r="C328" s="268"/>
      <c r="D328" s="272"/>
      <c r="E328" s="337">
        <v>6.74</v>
      </c>
      <c r="F328" s="336">
        <v>11.17</v>
      </c>
      <c r="G328" s="79"/>
      <c r="H328" s="276">
        <f t="shared" si="40"/>
        <v>75.285800000000009</v>
      </c>
      <c r="I328" s="79"/>
      <c r="J328" s="80">
        <f t="shared" si="41"/>
        <v>75.285800000000009</v>
      </c>
    </row>
    <row r="329" spans="1:16" x14ac:dyDescent="0.2">
      <c r="A329" s="17"/>
      <c r="B329" s="250"/>
      <c r="C329" s="17"/>
      <c r="D329" s="79"/>
      <c r="E329" s="79"/>
      <c r="F329" s="79"/>
      <c r="G329" s="79"/>
      <c r="H329" s="79"/>
      <c r="I329" s="75" t="s">
        <v>283</v>
      </c>
      <c r="J329" s="76">
        <f>SUM(J320:J328)</f>
        <v>298.42400000000004</v>
      </c>
    </row>
    <row r="330" spans="1:16" x14ac:dyDescent="0.2">
      <c r="A330" s="17"/>
      <c r="B330" s="250"/>
      <c r="C330" s="17"/>
      <c r="D330" s="79"/>
      <c r="E330" s="79"/>
      <c r="F330" s="79"/>
      <c r="G330" s="79"/>
      <c r="H330" s="79"/>
      <c r="I330" s="350"/>
      <c r="J330" s="343"/>
    </row>
    <row r="331" spans="1:16" ht="38.25" x14ac:dyDescent="0.2">
      <c r="A331" s="17" t="str">
        <f>'PLANILHA ORÇAMENTÁRIA'!A66</f>
        <v>9.1.2</v>
      </c>
      <c r="B331" s="18" t="str">
        <f>'PLANILHA ORÇAMENTÁRIA'!D66</f>
        <v>Porcelanato natural, acabamento acetinado, dim. 60x60cm, ref. PLATINA NA Eliane/equiv, utilizando dupla colagem de argamassa colante para porcelanato tipo ACIII e rejunte 1mm para porcelanato</v>
      </c>
      <c r="C331" s="17" t="str">
        <f>'PLANILHA ORÇAMENTÁRIA'!E66</f>
        <v xml:space="preserve">m2 </v>
      </c>
      <c r="D331" s="79" t="s">
        <v>268</v>
      </c>
      <c r="E331" s="79" t="s">
        <v>269</v>
      </c>
      <c r="F331" s="79" t="s">
        <v>270</v>
      </c>
      <c r="G331" s="79" t="s">
        <v>271</v>
      </c>
      <c r="H331" s="79" t="s">
        <v>272</v>
      </c>
      <c r="I331" s="79" t="s">
        <v>273</v>
      </c>
      <c r="J331" s="80" t="s">
        <v>274</v>
      </c>
    </row>
    <row r="332" spans="1:16" ht="27" customHeight="1" x14ac:dyDescent="0.2">
      <c r="A332" s="17"/>
      <c r="B332" s="71" t="s">
        <v>292</v>
      </c>
      <c r="C332" s="17"/>
      <c r="D332" s="79"/>
      <c r="E332" s="79"/>
      <c r="F332" s="79"/>
      <c r="G332" s="79"/>
      <c r="H332" s="79"/>
      <c r="I332" s="320" t="s">
        <v>293</v>
      </c>
      <c r="J332" s="80"/>
    </row>
    <row r="333" spans="1:16" x14ac:dyDescent="0.2">
      <c r="A333" s="17"/>
      <c r="B333" s="264" t="s">
        <v>288</v>
      </c>
      <c r="C333" s="17"/>
      <c r="D333" s="79">
        <v>2</v>
      </c>
      <c r="E333" s="273">
        <v>6.23</v>
      </c>
      <c r="F333" s="273">
        <v>3.32</v>
      </c>
      <c r="G333" s="79">
        <v>1.2</v>
      </c>
      <c r="H333" s="79">
        <f>D333*(E333+F333)</f>
        <v>19.100000000000001</v>
      </c>
      <c r="I333" s="79"/>
      <c r="J333" s="80">
        <f>G333*H333-I333</f>
        <v>22.92</v>
      </c>
    </row>
    <row r="334" spans="1:16" x14ac:dyDescent="0.2">
      <c r="A334" s="17"/>
      <c r="B334" s="264" t="s">
        <v>276</v>
      </c>
      <c r="C334" s="17"/>
      <c r="D334" s="79">
        <v>2</v>
      </c>
      <c r="E334" s="277">
        <v>6</v>
      </c>
      <c r="F334" s="278">
        <v>3.85</v>
      </c>
      <c r="G334" s="79">
        <v>1.2</v>
      </c>
      <c r="H334" s="79">
        <f t="shared" ref="H334:H341" si="42">D334*(E334+F334)</f>
        <v>19.7</v>
      </c>
      <c r="I334" s="79"/>
      <c r="J334" s="80">
        <f t="shared" ref="J334:J341" si="43">G334*H334-I334</f>
        <v>23.639999999999997</v>
      </c>
      <c r="L334" s="275" t="s">
        <v>275</v>
      </c>
      <c r="M334" s="268"/>
      <c r="N334" s="273"/>
      <c r="O334" s="273">
        <v>6.23</v>
      </c>
      <c r="P334" s="273">
        <v>3.32</v>
      </c>
    </row>
    <row r="335" spans="1:16" x14ac:dyDescent="0.2">
      <c r="A335" s="17"/>
      <c r="B335" s="250" t="s">
        <v>277</v>
      </c>
      <c r="C335" s="17"/>
      <c r="D335" s="79">
        <v>2</v>
      </c>
      <c r="E335" s="277">
        <v>5.82</v>
      </c>
      <c r="F335" s="278">
        <v>4.03</v>
      </c>
      <c r="G335" s="79">
        <v>1.2</v>
      </c>
      <c r="H335" s="79">
        <f t="shared" si="42"/>
        <v>19.700000000000003</v>
      </c>
      <c r="I335" s="79"/>
      <c r="J335" s="80">
        <f t="shared" si="43"/>
        <v>23.640000000000004</v>
      </c>
      <c r="L335" s="275" t="s">
        <v>276</v>
      </c>
      <c r="M335" s="268"/>
      <c r="N335" s="272"/>
      <c r="O335" s="277">
        <v>6</v>
      </c>
      <c r="P335" s="278">
        <v>3.85</v>
      </c>
    </row>
    <row r="336" spans="1:16" x14ac:dyDescent="0.2">
      <c r="A336" s="17"/>
      <c r="B336" s="250" t="s">
        <v>278</v>
      </c>
      <c r="C336" s="17"/>
      <c r="D336" s="79">
        <v>2</v>
      </c>
      <c r="E336" s="277">
        <v>9.08</v>
      </c>
      <c r="F336" s="278">
        <v>4.25</v>
      </c>
      <c r="G336" s="79">
        <v>1.2</v>
      </c>
      <c r="H336" s="79">
        <f t="shared" si="42"/>
        <v>26.66</v>
      </c>
      <c r="I336" s="79"/>
      <c r="J336" s="80">
        <f t="shared" si="43"/>
        <v>31.991999999999997</v>
      </c>
      <c r="L336" s="279" t="s">
        <v>277</v>
      </c>
      <c r="M336" s="268"/>
      <c r="N336" s="272"/>
      <c r="O336" s="277">
        <v>5.82</v>
      </c>
      <c r="P336" s="278">
        <v>4.03</v>
      </c>
    </row>
    <row r="337" spans="1:16" x14ac:dyDescent="0.2">
      <c r="A337" s="17"/>
      <c r="B337" s="250" t="s">
        <v>279</v>
      </c>
      <c r="C337" s="17"/>
      <c r="D337" s="79">
        <v>2</v>
      </c>
      <c r="E337" s="277">
        <v>6</v>
      </c>
      <c r="F337" s="278">
        <v>5.27</v>
      </c>
      <c r="G337" s="79">
        <v>1.2</v>
      </c>
      <c r="H337" s="79">
        <f t="shared" si="42"/>
        <v>22.54</v>
      </c>
      <c r="I337" s="79"/>
      <c r="J337" s="80">
        <f t="shared" si="43"/>
        <v>27.047999999999998</v>
      </c>
      <c r="L337" s="279" t="s">
        <v>278</v>
      </c>
      <c r="M337" s="268"/>
      <c r="N337" s="272"/>
      <c r="O337" s="277">
        <v>9.08</v>
      </c>
      <c r="P337" s="278">
        <v>4.25</v>
      </c>
    </row>
    <row r="338" spans="1:16" x14ac:dyDescent="0.2">
      <c r="A338" s="17"/>
      <c r="B338" s="250" t="s">
        <v>280</v>
      </c>
      <c r="C338" s="17"/>
      <c r="D338" s="79">
        <v>2</v>
      </c>
      <c r="E338" s="277">
        <v>7</v>
      </c>
      <c r="F338" s="278">
        <v>3.53</v>
      </c>
      <c r="G338" s="79">
        <v>1.2</v>
      </c>
      <c r="H338" s="79">
        <f t="shared" si="42"/>
        <v>21.06</v>
      </c>
      <c r="I338" s="79"/>
      <c r="J338" s="80">
        <f t="shared" si="43"/>
        <v>25.271999999999998</v>
      </c>
      <c r="L338" s="279" t="s">
        <v>279</v>
      </c>
      <c r="M338" s="268"/>
      <c r="N338" s="272"/>
      <c r="O338" s="277">
        <v>6</v>
      </c>
      <c r="P338" s="278">
        <v>5.27</v>
      </c>
    </row>
    <row r="339" spans="1:16" x14ac:dyDescent="0.2">
      <c r="A339" s="17"/>
      <c r="B339" s="250" t="s">
        <v>284</v>
      </c>
      <c r="C339" s="17"/>
      <c r="D339" s="79">
        <v>2</v>
      </c>
      <c r="E339" s="79">
        <v>6</v>
      </c>
      <c r="F339" s="79">
        <v>4.33</v>
      </c>
      <c r="G339" s="79">
        <v>1.2</v>
      </c>
      <c r="H339" s="79">
        <f t="shared" si="42"/>
        <v>20.66</v>
      </c>
      <c r="I339" s="79"/>
      <c r="J339" s="80">
        <f t="shared" si="43"/>
        <v>24.791999999999998</v>
      </c>
      <c r="L339" s="279" t="s">
        <v>280</v>
      </c>
      <c r="M339" s="268"/>
      <c r="N339" s="272"/>
      <c r="O339" s="277">
        <v>7</v>
      </c>
      <c r="P339" s="278">
        <v>3.53</v>
      </c>
    </row>
    <row r="340" spans="1:16" x14ac:dyDescent="0.2">
      <c r="A340" s="17"/>
      <c r="B340" s="250" t="s">
        <v>281</v>
      </c>
      <c r="C340" s="17"/>
      <c r="D340" s="79">
        <v>2</v>
      </c>
      <c r="E340" s="277">
        <v>7</v>
      </c>
      <c r="F340" s="278">
        <v>5</v>
      </c>
      <c r="G340" s="79">
        <v>1.2</v>
      </c>
      <c r="H340" s="79">
        <f t="shared" si="42"/>
        <v>24</v>
      </c>
      <c r="I340" s="79"/>
      <c r="J340" s="80">
        <f t="shared" si="43"/>
        <v>28.799999999999997</v>
      </c>
      <c r="L340" s="279" t="s">
        <v>281</v>
      </c>
      <c r="M340" s="268"/>
      <c r="N340" s="272"/>
      <c r="O340" s="277">
        <v>7</v>
      </c>
      <c r="P340" s="278">
        <v>5</v>
      </c>
    </row>
    <row r="341" spans="1:16" ht="25.5" x14ac:dyDescent="0.2">
      <c r="A341" s="17"/>
      <c r="B341" s="250" t="s">
        <v>282</v>
      </c>
      <c r="C341" s="17"/>
      <c r="D341" s="79">
        <v>2</v>
      </c>
      <c r="E341" s="277">
        <v>11.17</v>
      </c>
      <c r="F341" s="278">
        <v>6.74</v>
      </c>
      <c r="G341" s="79">
        <v>1.2</v>
      </c>
      <c r="H341" s="79">
        <f t="shared" si="42"/>
        <v>35.82</v>
      </c>
      <c r="I341" s="79"/>
      <c r="J341" s="80">
        <f t="shared" si="43"/>
        <v>42.984000000000002</v>
      </c>
      <c r="L341" s="294" t="s">
        <v>282</v>
      </c>
      <c r="M341" s="295"/>
      <c r="N341" s="296"/>
      <c r="O341" s="297">
        <v>11.17</v>
      </c>
      <c r="P341" s="298">
        <v>6.74</v>
      </c>
    </row>
    <row r="342" spans="1:16" x14ac:dyDescent="0.2">
      <c r="A342" s="17"/>
      <c r="B342" s="71"/>
      <c r="C342" s="17"/>
      <c r="D342" s="79"/>
      <c r="E342" s="79"/>
      <c r="F342" s="79"/>
      <c r="G342" s="79"/>
      <c r="H342" s="79"/>
      <c r="I342" s="79"/>
      <c r="J342" s="80"/>
    </row>
    <row r="343" spans="1:16" x14ac:dyDescent="0.2">
      <c r="A343" s="17"/>
      <c r="B343" s="71"/>
      <c r="C343" s="17"/>
      <c r="D343" s="79"/>
      <c r="E343" s="79"/>
      <c r="F343" s="79"/>
      <c r="G343" s="79"/>
      <c r="H343" s="79"/>
      <c r="I343" s="79"/>
      <c r="J343" s="80"/>
    </row>
    <row r="344" spans="1:16" x14ac:dyDescent="0.2">
      <c r="A344" s="17"/>
      <c r="B344" s="18"/>
      <c r="C344" s="17"/>
      <c r="D344" s="79"/>
      <c r="E344" s="79"/>
      <c r="F344" s="79"/>
      <c r="G344" s="79"/>
      <c r="H344" s="79"/>
      <c r="I344" s="75" t="s">
        <v>283</v>
      </c>
      <c r="J344" s="76">
        <f>SUM(J341:J343)</f>
        <v>42.984000000000002</v>
      </c>
    </row>
    <row r="345" spans="1:16" x14ac:dyDescent="0.2">
      <c r="A345" s="17"/>
      <c r="B345" s="71"/>
      <c r="C345" s="17"/>
      <c r="D345" s="79"/>
      <c r="E345" s="79"/>
      <c r="F345" s="79"/>
      <c r="G345" s="79"/>
      <c r="H345" s="79"/>
      <c r="I345" s="79"/>
      <c r="J345" s="80"/>
    </row>
    <row r="346" spans="1:16" x14ac:dyDescent="0.2">
      <c r="A346" s="11">
        <f>'PLANILHA ORÇAMENTÁRIA'!A68</f>
        <v>10</v>
      </c>
      <c r="B346" s="7" t="str">
        <f>'PLANILHA ORÇAMENTÁRIA'!D68</f>
        <v>INSTALAÇÕES ELÉTRICAS</v>
      </c>
      <c r="C346" s="5"/>
      <c r="D346" s="5"/>
      <c r="E346" s="5"/>
      <c r="F346" s="6"/>
      <c r="G346" s="26"/>
      <c r="H346" s="8"/>
      <c r="I346" s="70"/>
      <c r="J346" s="70"/>
    </row>
    <row r="347" spans="1:16" x14ac:dyDescent="0.2">
      <c r="A347" s="20" t="str">
        <f>'PLANILHA ORÇAMENTÁRIA'!A69</f>
        <v>10.1</v>
      </c>
      <c r="B347" s="157" t="str">
        <f>'PLANILHA ORÇAMENTÁRIA'!D69</f>
        <v>CAIXAS DE PASSAGEM</v>
      </c>
      <c r="C347" s="12"/>
      <c r="D347" s="17"/>
      <c r="E347" s="9"/>
      <c r="F347" s="27"/>
      <c r="G347" s="28"/>
      <c r="H347" s="72"/>
      <c r="I347" s="17"/>
      <c r="J347" s="17"/>
    </row>
    <row r="348" spans="1:16" s="259" customFormat="1" ht="25.5" x14ac:dyDescent="0.2">
      <c r="A348" s="17" t="str">
        <f>'PLANILHA ORÇAMENTÁRIA'!A70</f>
        <v>10.1.1</v>
      </c>
      <c r="B348" s="18" t="str">
        <f>'PLANILHA ORÇAMENTÁRIA'!D70</f>
        <v xml:space="preserve">Caixa de passagem 200x200x100mm, chapa 18, com tampa parafusada </v>
      </c>
      <c r="C348" s="17" t="str">
        <f>'PLANILHA ORÇAMENTÁRIA'!E70</f>
        <v xml:space="preserve">und </v>
      </c>
      <c r="D348" s="79" t="s">
        <v>268</v>
      </c>
      <c r="E348" s="79" t="s">
        <v>269</v>
      </c>
      <c r="F348" s="79" t="s">
        <v>270</v>
      </c>
      <c r="G348" s="79" t="s">
        <v>271</v>
      </c>
      <c r="H348" s="79" t="s">
        <v>272</v>
      </c>
      <c r="I348" s="79" t="s">
        <v>273</v>
      </c>
      <c r="J348" s="80" t="s">
        <v>274</v>
      </c>
    </row>
    <row r="349" spans="1:16" s="259" customFormat="1" x14ac:dyDescent="0.2">
      <c r="A349" s="17"/>
      <c r="B349" s="264" t="s">
        <v>288</v>
      </c>
      <c r="C349" s="17"/>
      <c r="D349" s="79">
        <v>1</v>
      </c>
      <c r="E349" s="79"/>
      <c r="F349" s="79"/>
      <c r="G349" s="79"/>
      <c r="H349" s="79"/>
      <c r="I349" s="79"/>
      <c r="J349" s="80">
        <f>D349</f>
        <v>1</v>
      </c>
    </row>
    <row r="350" spans="1:16" s="259" customFormat="1" x14ac:dyDescent="0.2">
      <c r="A350" s="17"/>
      <c r="B350" s="264" t="s">
        <v>276</v>
      </c>
      <c r="C350" s="17"/>
      <c r="D350" s="79">
        <v>1</v>
      </c>
      <c r="E350" s="79"/>
      <c r="F350" s="79"/>
      <c r="G350" s="79"/>
      <c r="H350" s="79"/>
      <c r="I350" s="79"/>
      <c r="J350" s="80">
        <f t="shared" ref="J350:J357" si="44">D350</f>
        <v>1</v>
      </c>
    </row>
    <row r="351" spans="1:16" s="259" customFormat="1" x14ac:dyDescent="0.2">
      <c r="A351" s="17"/>
      <c r="B351" s="250" t="s">
        <v>277</v>
      </c>
      <c r="C351" s="17"/>
      <c r="D351" s="79">
        <v>1</v>
      </c>
      <c r="E351" s="79"/>
      <c r="F351" s="79"/>
      <c r="G351" s="79"/>
      <c r="H351" s="79"/>
      <c r="I351" s="79"/>
      <c r="J351" s="80">
        <f t="shared" si="44"/>
        <v>1</v>
      </c>
    </row>
    <row r="352" spans="1:16" s="259" customFormat="1" x14ac:dyDescent="0.2">
      <c r="A352" s="17"/>
      <c r="B352" s="250" t="s">
        <v>278</v>
      </c>
      <c r="C352" s="17"/>
      <c r="D352" s="79">
        <v>1</v>
      </c>
      <c r="E352" s="79"/>
      <c r="F352" s="79"/>
      <c r="G352" s="79"/>
      <c r="H352" s="79"/>
      <c r="I352" s="79"/>
      <c r="J352" s="80">
        <f t="shared" si="44"/>
        <v>1</v>
      </c>
    </row>
    <row r="353" spans="1:10" s="259" customFormat="1" x14ac:dyDescent="0.2">
      <c r="A353" s="17"/>
      <c r="B353" s="250" t="s">
        <v>279</v>
      </c>
      <c r="C353" s="17"/>
      <c r="D353" s="79">
        <v>1</v>
      </c>
      <c r="E353" s="79"/>
      <c r="F353" s="79"/>
      <c r="G353" s="79"/>
      <c r="H353" s="79"/>
      <c r="I353" s="79"/>
      <c r="J353" s="80">
        <f t="shared" si="44"/>
        <v>1</v>
      </c>
    </row>
    <row r="354" spans="1:10" s="259" customFormat="1" x14ac:dyDescent="0.2">
      <c r="A354" s="17"/>
      <c r="B354" s="250" t="s">
        <v>280</v>
      </c>
      <c r="C354" s="17"/>
      <c r="D354" s="79">
        <v>1</v>
      </c>
      <c r="E354" s="79"/>
      <c r="F354" s="79"/>
      <c r="G354" s="79"/>
      <c r="H354" s="79"/>
      <c r="I354" s="79"/>
      <c r="J354" s="80">
        <f t="shared" si="44"/>
        <v>1</v>
      </c>
    </row>
    <row r="355" spans="1:10" s="259" customFormat="1" x14ac:dyDescent="0.2">
      <c r="A355" s="17"/>
      <c r="B355" s="250" t="s">
        <v>284</v>
      </c>
      <c r="C355" s="17"/>
      <c r="D355" s="79">
        <v>1</v>
      </c>
      <c r="E355" s="79"/>
      <c r="F355" s="79"/>
      <c r="G355" s="79"/>
      <c r="H355" s="79"/>
      <c r="I355" s="79"/>
      <c r="J355" s="80">
        <f t="shared" si="44"/>
        <v>1</v>
      </c>
    </row>
    <row r="356" spans="1:10" s="259" customFormat="1" x14ac:dyDescent="0.2">
      <c r="A356" s="17"/>
      <c r="B356" s="250" t="s">
        <v>281</v>
      </c>
      <c r="C356" s="17"/>
      <c r="D356" s="79">
        <v>1</v>
      </c>
      <c r="E356" s="79"/>
      <c r="F356" s="79"/>
      <c r="G356" s="79"/>
      <c r="H356" s="79"/>
      <c r="I356" s="79"/>
      <c r="J356" s="80">
        <f t="shared" si="44"/>
        <v>1</v>
      </c>
    </row>
    <row r="357" spans="1:10" s="259" customFormat="1" x14ac:dyDescent="0.2">
      <c r="A357" s="255"/>
      <c r="B357" s="250" t="s">
        <v>282</v>
      </c>
      <c r="C357" s="255"/>
      <c r="D357" s="79">
        <v>1</v>
      </c>
      <c r="E357" s="257"/>
      <c r="F357" s="257"/>
      <c r="G357" s="257"/>
      <c r="H357" s="257"/>
      <c r="I357" s="257"/>
      <c r="J357" s="80">
        <f t="shared" si="44"/>
        <v>1</v>
      </c>
    </row>
    <row r="358" spans="1:10" x14ac:dyDescent="0.2">
      <c r="A358" s="17"/>
      <c r="B358" s="18"/>
      <c r="C358" s="17"/>
      <c r="D358" s="79"/>
      <c r="E358" s="79"/>
      <c r="F358" s="79"/>
      <c r="G358" s="79"/>
      <c r="H358" s="79"/>
      <c r="I358" s="75" t="s">
        <v>283</v>
      </c>
      <c r="J358" s="76">
        <f>SUM(J349:J357)</f>
        <v>9</v>
      </c>
    </row>
    <row r="359" spans="1:10" x14ac:dyDescent="0.2">
      <c r="A359" s="17"/>
      <c r="B359" s="71"/>
      <c r="C359" s="17"/>
      <c r="D359" s="79"/>
      <c r="E359" s="79"/>
      <c r="F359" s="79"/>
      <c r="G359" s="79"/>
      <c r="H359" s="79"/>
      <c r="I359" s="79"/>
      <c r="J359" s="80"/>
    </row>
    <row r="360" spans="1:10" x14ac:dyDescent="0.2">
      <c r="A360" s="20" t="str">
        <f>'PLANILHA ORÇAMENTÁRIA'!A71</f>
        <v>10.2</v>
      </c>
      <c r="B360" s="157" t="str">
        <f>'PLANILHA ORÇAMENTÁRIA'!D71</f>
        <v>INSTALAÇÕES APARENTES</v>
      </c>
      <c r="C360" s="12"/>
      <c r="D360" s="17"/>
      <c r="E360" s="9"/>
      <c r="F360" s="27"/>
      <c r="G360" s="28"/>
      <c r="H360" s="72"/>
      <c r="I360" s="17"/>
      <c r="J360" s="17"/>
    </row>
    <row r="361" spans="1:10" ht="25.5" x14ac:dyDescent="0.2">
      <c r="A361" s="17" t="str">
        <f>'PLANILHA ORÇAMENTÁRIA'!A72</f>
        <v>10.2.1</v>
      </c>
      <c r="B361" s="18" t="str">
        <f>'PLANILHA ORÇAMENTÁRIA'!D72</f>
        <v xml:space="preserve">Eletroduto aparente de PVC rígido roscável diâmetro 3/4", inclusive abraçadeira de fixação </v>
      </c>
      <c r="C361" s="17" t="str">
        <f>'PLANILHA ORÇAMENTÁRIA'!E72</f>
        <v>m</v>
      </c>
      <c r="D361" s="79" t="s">
        <v>268</v>
      </c>
      <c r="E361" s="79" t="s">
        <v>269</v>
      </c>
      <c r="F361" s="79" t="s">
        <v>270</v>
      </c>
      <c r="G361" s="79" t="s">
        <v>271</v>
      </c>
      <c r="H361" s="79" t="s">
        <v>272</v>
      </c>
      <c r="I361" s="79" t="s">
        <v>273</v>
      </c>
      <c r="J361" s="80" t="s">
        <v>274</v>
      </c>
    </row>
    <row r="362" spans="1:10" x14ac:dyDescent="0.2">
      <c r="A362" s="17"/>
      <c r="B362" s="264" t="s">
        <v>288</v>
      </c>
      <c r="C362" s="17"/>
      <c r="D362" s="79">
        <v>21.32</v>
      </c>
      <c r="E362" s="79"/>
      <c r="F362" s="79"/>
      <c r="G362" s="79"/>
      <c r="H362" s="79"/>
      <c r="I362" s="79"/>
      <c r="J362" s="80">
        <f>D362</f>
        <v>21.32</v>
      </c>
    </row>
    <row r="363" spans="1:10" x14ac:dyDescent="0.2">
      <c r="A363" s="17"/>
      <c r="B363" s="264" t="s">
        <v>276</v>
      </c>
      <c r="C363" s="17"/>
      <c r="D363" s="79">
        <v>21.2</v>
      </c>
      <c r="E363" s="79"/>
      <c r="F363" s="79"/>
      <c r="G363" s="79"/>
      <c r="H363" s="79"/>
      <c r="I363" s="79"/>
      <c r="J363" s="80">
        <f t="shared" ref="J363:J370" si="45">D363</f>
        <v>21.2</v>
      </c>
    </row>
    <row r="364" spans="1:10" x14ac:dyDescent="0.2">
      <c r="A364" s="17"/>
      <c r="B364" s="250" t="s">
        <v>277</v>
      </c>
      <c r="C364" s="17"/>
      <c r="D364" s="79">
        <v>20.399999999999999</v>
      </c>
      <c r="E364" s="79"/>
      <c r="F364" s="79"/>
      <c r="G364" s="79"/>
      <c r="H364" s="79"/>
      <c r="I364" s="79"/>
      <c r="J364" s="80">
        <f t="shared" si="45"/>
        <v>20.399999999999999</v>
      </c>
    </row>
    <row r="365" spans="1:10" x14ac:dyDescent="0.2">
      <c r="A365" s="17"/>
      <c r="B365" s="250" t="s">
        <v>278</v>
      </c>
      <c r="C365" s="17"/>
      <c r="D365" s="79">
        <v>35.5</v>
      </c>
      <c r="E365" s="79"/>
      <c r="F365" s="79"/>
      <c r="G365" s="79"/>
      <c r="H365" s="79"/>
      <c r="I365" s="79"/>
      <c r="J365" s="80">
        <f t="shared" si="45"/>
        <v>35.5</v>
      </c>
    </row>
    <row r="366" spans="1:10" x14ac:dyDescent="0.2">
      <c r="A366" s="17"/>
      <c r="B366" s="250" t="s">
        <v>279</v>
      </c>
      <c r="C366" s="17"/>
      <c r="D366" s="79">
        <v>19</v>
      </c>
      <c r="E366" s="79"/>
      <c r="F366" s="79"/>
      <c r="G366" s="79"/>
      <c r="H366" s="79"/>
      <c r="I366" s="79"/>
      <c r="J366" s="80">
        <f t="shared" si="45"/>
        <v>19</v>
      </c>
    </row>
    <row r="367" spans="1:10" x14ac:dyDescent="0.2">
      <c r="A367" s="17"/>
      <c r="B367" s="250" t="s">
        <v>280</v>
      </c>
      <c r="C367" s="17"/>
      <c r="D367" s="79">
        <v>24</v>
      </c>
      <c r="E367" s="79"/>
      <c r="F367" s="79"/>
      <c r="G367" s="79"/>
      <c r="H367" s="79"/>
      <c r="I367" s="79"/>
      <c r="J367" s="80">
        <f t="shared" si="45"/>
        <v>24</v>
      </c>
    </row>
    <row r="368" spans="1:10" x14ac:dyDescent="0.2">
      <c r="A368" s="17"/>
      <c r="B368" s="250" t="s">
        <v>284</v>
      </c>
      <c r="C368" s="17"/>
      <c r="D368" s="79">
        <v>26.33</v>
      </c>
      <c r="E368" s="79"/>
      <c r="F368" s="79"/>
      <c r="G368" s="79"/>
      <c r="H368" s="79"/>
      <c r="I368" s="79"/>
      <c r="J368" s="80">
        <f t="shared" si="45"/>
        <v>26.33</v>
      </c>
    </row>
    <row r="369" spans="1:10" x14ac:dyDescent="0.2">
      <c r="A369" s="17"/>
      <c r="B369" s="250" t="s">
        <v>281</v>
      </c>
      <c r="C369" s="17"/>
      <c r="D369" s="79">
        <v>31</v>
      </c>
      <c r="E369" s="79"/>
      <c r="F369" s="79"/>
      <c r="G369" s="79"/>
      <c r="H369" s="79"/>
      <c r="I369" s="79"/>
      <c r="J369" s="80">
        <f t="shared" si="45"/>
        <v>31</v>
      </c>
    </row>
    <row r="370" spans="1:10" x14ac:dyDescent="0.2">
      <c r="A370" s="17"/>
      <c r="B370" s="250" t="s">
        <v>282</v>
      </c>
      <c r="C370" s="17"/>
      <c r="D370" s="79">
        <v>47</v>
      </c>
      <c r="E370" s="79"/>
      <c r="F370" s="79"/>
      <c r="G370" s="79"/>
      <c r="H370" s="79"/>
      <c r="I370" s="79"/>
      <c r="J370" s="80">
        <f t="shared" si="45"/>
        <v>47</v>
      </c>
    </row>
    <row r="371" spans="1:10" x14ac:dyDescent="0.2">
      <c r="A371" s="17"/>
      <c r="B371" s="140"/>
      <c r="C371" s="73"/>
      <c r="D371" s="73"/>
      <c r="E371" s="73"/>
      <c r="F371" s="73"/>
      <c r="G371" s="73"/>
      <c r="H371" s="73"/>
      <c r="I371" s="73"/>
      <c r="J371" s="73"/>
    </row>
    <row r="372" spans="1:10" x14ac:dyDescent="0.2">
      <c r="A372" s="17"/>
      <c r="B372" s="18"/>
      <c r="C372" s="17"/>
      <c r="D372" s="79"/>
      <c r="E372" s="79"/>
      <c r="F372" s="79"/>
      <c r="G372" s="79"/>
      <c r="H372" s="79"/>
      <c r="I372" s="75" t="s">
        <v>283</v>
      </c>
      <c r="J372" s="76">
        <f>SUM(J362:J371)</f>
        <v>245.75</v>
      </c>
    </row>
    <row r="373" spans="1:10" x14ac:dyDescent="0.2">
      <c r="A373" s="17"/>
      <c r="B373" s="140"/>
      <c r="C373" s="73"/>
      <c r="D373" s="79"/>
      <c r="E373" s="79"/>
      <c r="F373" s="79"/>
      <c r="G373" s="79"/>
      <c r="H373" s="79"/>
      <c r="I373" s="79"/>
      <c r="J373" s="80"/>
    </row>
    <row r="374" spans="1:10" ht="25.5" x14ac:dyDescent="0.2">
      <c r="A374" s="17" t="str">
        <f>'PLANILHA ORÇAMENTÁRIA'!A73</f>
        <v>10.2.2</v>
      </c>
      <c r="B374" s="18" t="str">
        <f>'PLANILHA ORÇAMENTÁRIA'!D73</f>
        <v>Caixa de ligação de alumínio silício, tipo CONDULETES, sem rosca, no formato LR, inclusive tampa com vedação, diâmetro 3/4"</v>
      </c>
      <c r="C374" s="17" t="str">
        <f>'PLANILHA ORÇAMENTÁRIA'!E73</f>
        <v xml:space="preserve">und </v>
      </c>
      <c r="D374" s="79" t="s">
        <v>268</v>
      </c>
      <c r="E374" s="79" t="s">
        <v>269</v>
      </c>
      <c r="F374" s="79" t="s">
        <v>270</v>
      </c>
      <c r="G374" s="79" t="s">
        <v>271</v>
      </c>
      <c r="H374" s="79" t="s">
        <v>272</v>
      </c>
      <c r="I374" s="79" t="s">
        <v>273</v>
      </c>
      <c r="J374" s="80" t="s">
        <v>274</v>
      </c>
    </row>
    <row r="375" spans="1:10" x14ac:dyDescent="0.2">
      <c r="A375" s="17"/>
      <c r="B375" s="264" t="s">
        <v>288</v>
      </c>
      <c r="C375" s="17"/>
      <c r="D375" s="79">
        <v>5</v>
      </c>
      <c r="E375" s="79"/>
      <c r="F375" s="79"/>
      <c r="G375" s="79"/>
      <c r="H375" s="79"/>
      <c r="I375" s="79"/>
      <c r="J375" s="80">
        <f>D375</f>
        <v>5</v>
      </c>
    </row>
    <row r="376" spans="1:10" x14ac:dyDescent="0.2">
      <c r="A376" s="17"/>
      <c r="B376" s="264" t="s">
        <v>276</v>
      </c>
      <c r="C376" s="17"/>
      <c r="D376" s="79">
        <v>5</v>
      </c>
      <c r="E376" s="79"/>
      <c r="F376" s="79"/>
      <c r="G376" s="79"/>
      <c r="H376" s="79"/>
      <c r="I376" s="79"/>
      <c r="J376" s="80">
        <f t="shared" ref="J376:J383" si="46">D376</f>
        <v>5</v>
      </c>
    </row>
    <row r="377" spans="1:10" x14ac:dyDescent="0.2">
      <c r="A377" s="17"/>
      <c r="B377" s="250" t="s">
        <v>277</v>
      </c>
      <c r="C377" s="17"/>
      <c r="D377" s="79">
        <v>5</v>
      </c>
      <c r="E377" s="79"/>
      <c r="F377" s="79"/>
      <c r="G377" s="79"/>
      <c r="H377" s="79"/>
      <c r="I377" s="79"/>
      <c r="J377" s="80">
        <f t="shared" si="46"/>
        <v>5</v>
      </c>
    </row>
    <row r="378" spans="1:10" x14ac:dyDescent="0.2">
      <c r="A378" s="17"/>
      <c r="B378" s="250" t="s">
        <v>278</v>
      </c>
      <c r="C378" s="17"/>
      <c r="D378" s="79">
        <v>5</v>
      </c>
      <c r="E378" s="79"/>
      <c r="F378" s="79"/>
      <c r="G378" s="79"/>
      <c r="H378" s="79"/>
      <c r="I378" s="79"/>
      <c r="J378" s="80">
        <f t="shared" si="46"/>
        <v>5</v>
      </c>
    </row>
    <row r="379" spans="1:10" x14ac:dyDescent="0.2">
      <c r="A379" s="17"/>
      <c r="B379" s="250" t="s">
        <v>279</v>
      </c>
      <c r="C379" s="17"/>
      <c r="D379" s="79">
        <v>5</v>
      </c>
      <c r="E379" s="79"/>
      <c r="F379" s="79"/>
      <c r="G379" s="79"/>
      <c r="H379" s="79"/>
      <c r="I379" s="79"/>
      <c r="J379" s="80">
        <f t="shared" si="46"/>
        <v>5</v>
      </c>
    </row>
    <row r="380" spans="1:10" x14ac:dyDescent="0.2">
      <c r="A380" s="17"/>
      <c r="B380" s="250" t="s">
        <v>280</v>
      </c>
      <c r="C380" s="17"/>
      <c r="D380" s="79">
        <v>5</v>
      </c>
      <c r="E380" s="79"/>
      <c r="F380" s="79"/>
      <c r="G380" s="79"/>
      <c r="H380" s="79"/>
      <c r="I380" s="79"/>
      <c r="J380" s="80">
        <f t="shared" si="46"/>
        <v>5</v>
      </c>
    </row>
    <row r="381" spans="1:10" x14ac:dyDescent="0.2">
      <c r="A381" s="17"/>
      <c r="B381" s="250" t="s">
        <v>284</v>
      </c>
      <c r="C381" s="17"/>
      <c r="D381" s="79">
        <v>5</v>
      </c>
      <c r="E381" s="79"/>
      <c r="F381" s="79"/>
      <c r="G381" s="79"/>
      <c r="H381" s="79"/>
      <c r="I381" s="79"/>
      <c r="J381" s="80">
        <f t="shared" si="46"/>
        <v>5</v>
      </c>
    </row>
    <row r="382" spans="1:10" x14ac:dyDescent="0.2">
      <c r="A382" s="17"/>
      <c r="B382" s="250" t="s">
        <v>281</v>
      </c>
      <c r="C382" s="17"/>
      <c r="D382" s="79">
        <v>5</v>
      </c>
      <c r="E382" s="79"/>
      <c r="F382" s="79"/>
      <c r="G382" s="79"/>
      <c r="H382" s="79"/>
      <c r="I382" s="79"/>
      <c r="J382" s="80">
        <f t="shared" si="46"/>
        <v>5</v>
      </c>
    </row>
    <row r="383" spans="1:10" x14ac:dyDescent="0.2">
      <c r="A383" s="17"/>
      <c r="B383" s="250" t="s">
        <v>282</v>
      </c>
      <c r="C383" s="17"/>
      <c r="D383" s="79">
        <v>5</v>
      </c>
      <c r="E383" s="79"/>
      <c r="F383" s="79"/>
      <c r="G383" s="79"/>
      <c r="H383" s="79"/>
      <c r="I383" s="79"/>
      <c r="J383" s="80">
        <f t="shared" si="46"/>
        <v>5</v>
      </c>
    </row>
    <row r="384" spans="1:10" x14ac:dyDescent="0.2">
      <c r="A384" s="17"/>
      <c r="B384" s="140"/>
      <c r="C384" s="73"/>
      <c r="D384" s="73"/>
      <c r="E384" s="73"/>
      <c r="F384" s="73"/>
      <c r="G384" s="73"/>
      <c r="H384" s="73"/>
      <c r="I384" s="73"/>
      <c r="J384" s="73"/>
    </row>
    <row r="385" spans="1:10" x14ac:dyDescent="0.2">
      <c r="A385" s="17"/>
      <c r="B385" s="18"/>
      <c r="C385" s="17"/>
      <c r="D385" s="79"/>
      <c r="E385" s="79"/>
      <c r="F385" s="79"/>
      <c r="G385" s="79"/>
      <c r="H385" s="79"/>
      <c r="I385" s="75" t="s">
        <v>283</v>
      </c>
      <c r="J385" s="76">
        <f>SUM(J375:J384)</f>
        <v>45</v>
      </c>
    </row>
    <row r="386" spans="1:10" x14ac:dyDescent="0.2">
      <c r="A386" s="36"/>
      <c r="B386" s="36"/>
      <c r="C386" s="36"/>
      <c r="D386" s="83"/>
      <c r="E386" s="36"/>
      <c r="F386" s="36"/>
      <c r="G386" s="36"/>
      <c r="H386" s="36"/>
      <c r="I386" s="36"/>
      <c r="J386" s="36"/>
    </row>
    <row r="387" spans="1:10" x14ac:dyDescent="0.2">
      <c r="A387" s="20" t="str">
        <f>'PLANILHA ORÇAMENTÁRIA'!A74</f>
        <v>10.3</v>
      </c>
      <c r="B387" s="157" t="str">
        <f>'PLANILHA ORÇAMENTÁRIA'!D74</f>
        <v>FIOS E CABOS</v>
      </c>
      <c r="C387" s="12"/>
      <c r="D387" s="17"/>
      <c r="E387" s="9"/>
      <c r="F387" s="27"/>
      <c r="G387" s="28"/>
      <c r="H387" s="72"/>
      <c r="I387" s="17"/>
      <c r="J387" s="17"/>
    </row>
    <row r="388" spans="1:10" ht="25.5" x14ac:dyDescent="0.2">
      <c r="A388" s="17" t="str">
        <f>'PLANILHA ORÇAMENTÁRIA'!A75</f>
        <v>10.3.1</v>
      </c>
      <c r="B388" s="18" t="str">
        <f>'PLANILHA ORÇAMENTÁRIA'!D75</f>
        <v xml:space="preserve">Fio de cobre termoplástico, com isolamento para 750V, seção de 2.5 mm2 </v>
      </c>
      <c r="C388" s="17" t="str">
        <f>'PLANILHA ORÇAMENTÁRIA'!E75</f>
        <v xml:space="preserve">m </v>
      </c>
      <c r="D388" s="79" t="s">
        <v>268</v>
      </c>
      <c r="E388" s="79" t="s">
        <v>269</v>
      </c>
      <c r="F388" s="79" t="s">
        <v>270</v>
      </c>
      <c r="G388" s="79" t="s">
        <v>271</v>
      </c>
      <c r="H388" s="79" t="s">
        <v>272</v>
      </c>
      <c r="I388" s="79" t="s">
        <v>273</v>
      </c>
      <c r="J388" s="80" t="s">
        <v>274</v>
      </c>
    </row>
    <row r="389" spans="1:10" x14ac:dyDescent="0.2">
      <c r="A389" s="17"/>
      <c r="B389" s="264" t="s">
        <v>288</v>
      </c>
      <c r="C389" s="17"/>
      <c r="D389" s="79">
        <v>44</v>
      </c>
      <c r="E389" s="79"/>
      <c r="F389" s="79"/>
      <c r="G389" s="79"/>
      <c r="H389" s="79"/>
      <c r="I389" s="79"/>
      <c r="J389" s="80">
        <f>D389</f>
        <v>44</v>
      </c>
    </row>
    <row r="390" spans="1:10" x14ac:dyDescent="0.2">
      <c r="A390" s="17"/>
      <c r="B390" s="264" t="s">
        <v>276</v>
      </c>
      <c r="C390" s="17"/>
      <c r="D390" s="79">
        <v>43.5</v>
      </c>
      <c r="E390" s="79"/>
      <c r="F390" s="79"/>
      <c r="G390" s="79"/>
      <c r="H390" s="79"/>
      <c r="I390" s="79"/>
      <c r="J390" s="80">
        <f t="shared" ref="J390:J397" si="47">D390</f>
        <v>43.5</v>
      </c>
    </row>
    <row r="391" spans="1:10" x14ac:dyDescent="0.2">
      <c r="A391" s="17"/>
      <c r="B391" s="250" t="s">
        <v>277</v>
      </c>
      <c r="C391" s="17"/>
      <c r="D391" s="79">
        <v>42.5</v>
      </c>
      <c r="E391" s="79"/>
      <c r="F391" s="79"/>
      <c r="G391" s="79"/>
      <c r="H391" s="79"/>
      <c r="I391" s="79"/>
      <c r="J391" s="80">
        <f t="shared" si="47"/>
        <v>42.5</v>
      </c>
    </row>
    <row r="392" spans="1:10" x14ac:dyDescent="0.2">
      <c r="A392" s="17"/>
      <c r="B392" s="250" t="s">
        <v>278</v>
      </c>
      <c r="C392" s="17"/>
      <c r="D392" s="79">
        <v>56.5</v>
      </c>
      <c r="E392" s="79"/>
      <c r="F392" s="79"/>
      <c r="G392" s="79"/>
      <c r="H392" s="79"/>
      <c r="I392" s="79"/>
      <c r="J392" s="80">
        <f t="shared" si="47"/>
        <v>56.5</v>
      </c>
    </row>
    <row r="393" spans="1:10" x14ac:dyDescent="0.2">
      <c r="A393" s="17"/>
      <c r="B393" s="250" t="s">
        <v>279</v>
      </c>
      <c r="C393" s="17"/>
      <c r="D393" s="79">
        <v>37</v>
      </c>
      <c r="E393" s="79"/>
      <c r="F393" s="79"/>
      <c r="G393" s="79"/>
      <c r="H393" s="79"/>
      <c r="I393" s="79"/>
      <c r="J393" s="80">
        <f t="shared" si="47"/>
        <v>37</v>
      </c>
    </row>
    <row r="394" spans="1:10" x14ac:dyDescent="0.2">
      <c r="A394" s="17"/>
      <c r="B394" s="250" t="s">
        <v>280</v>
      </c>
      <c r="C394" s="17"/>
      <c r="D394" s="79">
        <v>44</v>
      </c>
      <c r="E394" s="79"/>
      <c r="F394" s="79"/>
      <c r="G394" s="79"/>
      <c r="H394" s="79"/>
      <c r="I394" s="79"/>
      <c r="J394" s="80">
        <f t="shared" si="47"/>
        <v>44</v>
      </c>
    </row>
    <row r="395" spans="1:10" x14ac:dyDescent="0.2">
      <c r="A395" s="17"/>
      <c r="B395" s="250" t="s">
        <v>284</v>
      </c>
      <c r="C395" s="17"/>
      <c r="D395" s="79">
        <v>39</v>
      </c>
      <c r="E395" s="79"/>
      <c r="F395" s="79"/>
      <c r="G395" s="79"/>
      <c r="H395" s="79"/>
      <c r="I395" s="79"/>
      <c r="J395" s="80">
        <f t="shared" si="47"/>
        <v>39</v>
      </c>
    </row>
    <row r="396" spans="1:10" x14ac:dyDescent="0.2">
      <c r="A396" s="17"/>
      <c r="B396" s="250" t="s">
        <v>281</v>
      </c>
      <c r="C396" s="17"/>
      <c r="D396" s="79">
        <v>43</v>
      </c>
      <c r="E396" s="79"/>
      <c r="F396" s="79"/>
      <c r="G396" s="79"/>
      <c r="H396" s="79"/>
      <c r="I396" s="79"/>
      <c r="J396" s="80">
        <f t="shared" si="47"/>
        <v>43</v>
      </c>
    </row>
    <row r="397" spans="1:10" x14ac:dyDescent="0.2">
      <c r="A397" s="17"/>
      <c r="B397" s="250" t="s">
        <v>282</v>
      </c>
      <c r="C397" s="17"/>
      <c r="D397" s="79">
        <v>71</v>
      </c>
      <c r="E397" s="79"/>
      <c r="F397" s="79"/>
      <c r="G397" s="79"/>
      <c r="H397" s="79"/>
      <c r="I397" s="79"/>
      <c r="J397" s="80">
        <f t="shared" si="47"/>
        <v>71</v>
      </c>
    </row>
    <row r="398" spans="1:10" x14ac:dyDescent="0.2">
      <c r="A398" s="17"/>
      <c r="B398" s="140"/>
      <c r="C398" s="73"/>
      <c r="D398" s="73"/>
      <c r="E398" s="73"/>
      <c r="F398" s="73"/>
      <c r="G398" s="73"/>
      <c r="H398" s="73"/>
      <c r="I398" s="73"/>
      <c r="J398" s="73"/>
    </row>
    <row r="399" spans="1:10" x14ac:dyDescent="0.2">
      <c r="A399" s="17"/>
      <c r="B399" s="18"/>
      <c r="C399" s="17"/>
      <c r="D399" s="79"/>
      <c r="E399" s="79"/>
      <c r="F399" s="79"/>
      <c r="G399" s="79"/>
      <c r="H399" s="79"/>
      <c r="I399" s="75" t="s">
        <v>283</v>
      </c>
      <c r="J399" s="76">
        <f>SUM(J389:J398)</f>
        <v>420.5</v>
      </c>
    </row>
    <row r="400" spans="1:10" x14ac:dyDescent="0.2">
      <c r="A400" s="36"/>
      <c r="B400" s="18"/>
      <c r="C400" s="36"/>
      <c r="D400" s="83"/>
      <c r="E400" s="36"/>
      <c r="F400" s="36"/>
      <c r="G400" s="36"/>
      <c r="H400" s="36"/>
      <c r="I400" s="36"/>
      <c r="J400" s="36"/>
    </row>
    <row r="401" spans="1:10" ht="25.5" x14ac:dyDescent="0.2">
      <c r="A401" s="17" t="str">
        <f>'PLANILHA ORÇAMENTÁRIA'!A76</f>
        <v>10.3.2</v>
      </c>
      <c r="B401" s="18" t="str">
        <f>'PLANILHA ORÇAMENTÁRIA'!D76</f>
        <v xml:space="preserve">Fio ou cabo de cobre termoplástico, com isolamento para 750V, seção de 4.0 mm2  </v>
      </c>
      <c r="C401" s="17" t="str">
        <f>'PLANILHA ORÇAMENTÁRIA'!E76</f>
        <v>m</v>
      </c>
      <c r="D401" s="79" t="s">
        <v>268</v>
      </c>
      <c r="E401" s="79" t="s">
        <v>269</v>
      </c>
      <c r="F401" s="79" t="s">
        <v>270</v>
      </c>
      <c r="G401" s="79" t="s">
        <v>271</v>
      </c>
      <c r="H401" s="79" t="s">
        <v>272</v>
      </c>
      <c r="I401" s="79" t="s">
        <v>273</v>
      </c>
      <c r="J401" s="80" t="s">
        <v>274</v>
      </c>
    </row>
    <row r="402" spans="1:10" x14ac:dyDescent="0.2">
      <c r="A402" s="17"/>
      <c r="B402" s="264" t="s">
        <v>288</v>
      </c>
      <c r="C402" s="17"/>
      <c r="D402" s="79">
        <v>30</v>
      </c>
      <c r="E402" s="79"/>
      <c r="F402" s="79"/>
      <c r="G402" s="79"/>
      <c r="H402" s="79"/>
      <c r="I402" s="79"/>
      <c r="J402" s="80">
        <f>D402</f>
        <v>30</v>
      </c>
    </row>
    <row r="403" spans="1:10" x14ac:dyDescent="0.2">
      <c r="A403" s="17"/>
      <c r="B403" s="264" t="s">
        <v>276</v>
      </c>
      <c r="C403" s="17"/>
      <c r="D403" s="79">
        <v>30</v>
      </c>
      <c r="E403" s="79"/>
      <c r="F403" s="79"/>
      <c r="G403" s="79"/>
      <c r="H403" s="79"/>
      <c r="I403" s="79"/>
      <c r="J403" s="80">
        <f t="shared" ref="J403:J410" si="48">D403</f>
        <v>30</v>
      </c>
    </row>
    <row r="404" spans="1:10" x14ac:dyDescent="0.2">
      <c r="A404" s="17"/>
      <c r="B404" s="250" t="s">
        <v>277</v>
      </c>
      <c r="C404" s="17"/>
      <c r="D404" s="79">
        <v>30</v>
      </c>
      <c r="E404" s="79"/>
      <c r="F404" s="79"/>
      <c r="G404" s="79"/>
      <c r="H404" s="79"/>
      <c r="I404" s="79"/>
      <c r="J404" s="80">
        <f t="shared" si="48"/>
        <v>30</v>
      </c>
    </row>
    <row r="405" spans="1:10" x14ac:dyDescent="0.2">
      <c r="A405" s="17"/>
      <c r="B405" s="250" t="s">
        <v>278</v>
      </c>
      <c r="C405" s="17"/>
      <c r="D405" s="79">
        <v>30</v>
      </c>
      <c r="E405" s="79"/>
      <c r="F405" s="79"/>
      <c r="G405" s="79"/>
      <c r="H405" s="79"/>
      <c r="I405" s="79"/>
      <c r="J405" s="80">
        <f t="shared" si="48"/>
        <v>30</v>
      </c>
    </row>
    <row r="406" spans="1:10" x14ac:dyDescent="0.2">
      <c r="A406" s="17"/>
      <c r="B406" s="250" t="s">
        <v>279</v>
      </c>
      <c r="C406" s="17"/>
      <c r="D406" s="79">
        <v>30</v>
      </c>
      <c r="E406" s="79"/>
      <c r="F406" s="79"/>
      <c r="G406" s="79"/>
      <c r="H406" s="79"/>
      <c r="I406" s="79"/>
      <c r="J406" s="80">
        <f t="shared" si="48"/>
        <v>30</v>
      </c>
    </row>
    <row r="407" spans="1:10" x14ac:dyDescent="0.2">
      <c r="A407" s="17"/>
      <c r="B407" s="250" t="s">
        <v>280</v>
      </c>
      <c r="C407" s="17"/>
      <c r="D407" s="79">
        <v>30</v>
      </c>
      <c r="E407" s="79"/>
      <c r="F407" s="79"/>
      <c r="G407" s="79"/>
      <c r="H407" s="79"/>
      <c r="I407" s="79"/>
      <c r="J407" s="80">
        <f t="shared" si="48"/>
        <v>30</v>
      </c>
    </row>
    <row r="408" spans="1:10" x14ac:dyDescent="0.2">
      <c r="A408" s="17"/>
      <c r="B408" s="250" t="s">
        <v>284</v>
      </c>
      <c r="C408" s="17"/>
      <c r="D408" s="79">
        <v>30</v>
      </c>
      <c r="E408" s="79"/>
      <c r="F408" s="79"/>
      <c r="G408" s="79"/>
      <c r="H408" s="79"/>
      <c r="I408" s="79"/>
      <c r="J408" s="80">
        <f t="shared" si="48"/>
        <v>30</v>
      </c>
    </row>
    <row r="409" spans="1:10" x14ac:dyDescent="0.2">
      <c r="A409" s="17"/>
      <c r="B409" s="250" t="s">
        <v>281</v>
      </c>
      <c r="C409" s="17"/>
      <c r="D409" s="79">
        <v>30</v>
      </c>
      <c r="E409" s="79"/>
      <c r="F409" s="79"/>
      <c r="G409" s="79"/>
      <c r="H409" s="79"/>
      <c r="I409" s="79"/>
      <c r="J409" s="80">
        <f t="shared" si="48"/>
        <v>30</v>
      </c>
    </row>
    <row r="410" spans="1:10" x14ac:dyDescent="0.2">
      <c r="A410" s="17"/>
      <c r="B410" s="250" t="s">
        <v>282</v>
      </c>
      <c r="C410" s="17"/>
      <c r="D410" s="79">
        <v>30</v>
      </c>
      <c r="E410" s="79"/>
      <c r="F410" s="79"/>
      <c r="G410" s="79"/>
      <c r="H410" s="79"/>
      <c r="I410" s="79"/>
      <c r="J410" s="80">
        <f t="shared" si="48"/>
        <v>30</v>
      </c>
    </row>
    <row r="411" spans="1:10" x14ac:dyDescent="0.2">
      <c r="A411" s="17"/>
      <c r="B411" s="18" t="s">
        <v>620</v>
      </c>
      <c r="C411" s="17"/>
      <c r="D411" s="79"/>
      <c r="E411" s="79"/>
      <c r="F411" s="79"/>
      <c r="G411" s="79"/>
      <c r="H411" s="79"/>
      <c r="I411" s="79"/>
      <c r="J411" s="80"/>
    </row>
    <row r="412" spans="1:10" x14ac:dyDescent="0.2">
      <c r="A412" s="17"/>
      <c r="B412" s="18"/>
      <c r="C412" s="17"/>
      <c r="D412" s="79"/>
      <c r="E412" s="79"/>
      <c r="F412" s="79"/>
      <c r="G412" s="79"/>
      <c r="H412" s="79"/>
      <c r="I412" s="75" t="s">
        <v>283</v>
      </c>
      <c r="J412" s="76">
        <f>SUM(J402:J411)</f>
        <v>270</v>
      </c>
    </row>
    <row r="413" spans="1:10" x14ac:dyDescent="0.2">
      <c r="A413" s="20" t="str">
        <f>'PLANILHA ORÇAMENTÁRIA'!A77</f>
        <v>10.4</v>
      </c>
      <c r="B413" s="157" t="str">
        <f>'PLANILHA ORÇAMENTÁRIA'!D77</f>
        <v>PONTOS ELÉTRICOS</v>
      </c>
      <c r="C413" s="12"/>
      <c r="D413" s="17"/>
      <c r="E413" s="9"/>
      <c r="F413" s="27"/>
      <c r="G413" s="28"/>
      <c r="H413" s="72"/>
      <c r="I413" s="17"/>
      <c r="J413" s="17"/>
    </row>
    <row r="414" spans="1:10" ht="38.25" x14ac:dyDescent="0.2">
      <c r="A414" s="17" t="str">
        <f>'PLANILHA ORÇAMENTÁRIA'!A78</f>
        <v>10.4.1</v>
      </c>
      <c r="B414" s="18" t="str">
        <f>'PLANILHA ORÇAMENTÁRIA'!D78</f>
        <v>Ponto padrão de tomada 2 pólos mais terra - considerando eletroduto PVC rígido de 3/4" inclusive conexões (5.0m), fio isolado PVC de 2.5mm2 (16.5m) e caixa pvc 4x2" (1 und)</v>
      </c>
      <c r="C414" s="17" t="str">
        <f>'PLANILHA ORÇAMENTÁRIA'!E78</f>
        <v xml:space="preserve">und </v>
      </c>
      <c r="D414" s="79" t="s">
        <v>268</v>
      </c>
      <c r="E414" s="79" t="s">
        <v>269</v>
      </c>
      <c r="F414" s="79" t="s">
        <v>270</v>
      </c>
      <c r="G414" s="79" t="s">
        <v>271</v>
      </c>
      <c r="H414" s="79" t="s">
        <v>272</v>
      </c>
      <c r="I414" s="79" t="s">
        <v>273</v>
      </c>
      <c r="J414" s="80" t="s">
        <v>274</v>
      </c>
    </row>
    <row r="415" spans="1:10" x14ac:dyDescent="0.2">
      <c r="A415" s="17"/>
      <c r="B415" s="264" t="s">
        <v>288</v>
      </c>
      <c r="C415" s="17"/>
      <c r="D415" s="79">
        <v>3</v>
      </c>
      <c r="E415" s="79"/>
      <c r="F415" s="79"/>
      <c r="G415" s="79"/>
      <c r="H415" s="79"/>
      <c r="I415" s="79"/>
      <c r="J415" s="80">
        <f>D415</f>
        <v>3</v>
      </c>
    </row>
    <row r="416" spans="1:10" x14ac:dyDescent="0.2">
      <c r="A416" s="17"/>
      <c r="B416" s="250" t="s">
        <v>279</v>
      </c>
      <c r="C416" s="17"/>
      <c r="D416" s="79">
        <v>6</v>
      </c>
      <c r="E416" s="79"/>
      <c r="F416" s="79"/>
      <c r="G416" s="79"/>
      <c r="H416" s="79"/>
      <c r="I416" s="79"/>
      <c r="J416" s="80">
        <f t="shared" ref="J416:J419" si="49">D416</f>
        <v>6</v>
      </c>
    </row>
    <row r="417" spans="1:10" x14ac:dyDescent="0.2">
      <c r="A417" s="17"/>
      <c r="B417" s="250" t="s">
        <v>280</v>
      </c>
      <c r="C417" s="17"/>
      <c r="D417" s="79">
        <v>4</v>
      </c>
      <c r="E417" s="79"/>
      <c r="F417" s="79"/>
      <c r="G417" s="79"/>
      <c r="H417" s="79"/>
      <c r="I417" s="79"/>
      <c r="J417" s="80">
        <f t="shared" si="49"/>
        <v>4</v>
      </c>
    </row>
    <row r="418" spans="1:10" x14ac:dyDescent="0.2">
      <c r="A418" s="17"/>
      <c r="B418" s="250" t="s">
        <v>281</v>
      </c>
      <c r="C418" s="17"/>
      <c r="D418" s="79">
        <v>8</v>
      </c>
      <c r="E418" s="79"/>
      <c r="F418" s="79"/>
      <c r="G418" s="79"/>
      <c r="H418" s="79"/>
      <c r="I418" s="79"/>
      <c r="J418" s="80">
        <f t="shared" si="49"/>
        <v>8</v>
      </c>
    </row>
    <row r="419" spans="1:10" x14ac:dyDescent="0.2">
      <c r="A419" s="17"/>
      <c r="B419" s="250" t="s">
        <v>282</v>
      </c>
      <c r="C419" s="17"/>
      <c r="D419" s="79">
        <v>12</v>
      </c>
      <c r="E419" s="79"/>
      <c r="F419" s="79"/>
      <c r="G419" s="79"/>
      <c r="H419" s="79"/>
      <c r="I419" s="79"/>
      <c r="J419" s="80">
        <f t="shared" si="49"/>
        <v>12</v>
      </c>
    </row>
    <row r="420" spans="1:10" x14ac:dyDescent="0.2">
      <c r="A420" s="17"/>
      <c r="B420" s="140"/>
      <c r="C420" s="73"/>
      <c r="D420" s="73"/>
      <c r="E420" s="73"/>
      <c r="F420" s="73"/>
      <c r="G420" s="73"/>
      <c r="H420" s="73"/>
      <c r="I420" s="73"/>
      <c r="J420" s="73"/>
    </row>
    <row r="421" spans="1:10" ht="15" customHeight="1" x14ac:dyDescent="0.2">
      <c r="A421" s="17"/>
      <c r="B421" s="18"/>
      <c r="C421" s="17"/>
      <c r="D421" s="79"/>
      <c r="E421" s="79"/>
      <c r="F421" s="79"/>
      <c r="G421" s="79"/>
      <c r="H421" s="79"/>
      <c r="I421" s="75" t="s">
        <v>283</v>
      </c>
      <c r="J421" s="76">
        <f>SUM(J415:J420)</f>
        <v>33</v>
      </c>
    </row>
    <row r="422" spans="1:10" ht="15.75" customHeight="1" x14ac:dyDescent="0.2">
      <c r="A422" s="17"/>
      <c r="B422" s="140"/>
      <c r="C422" s="73"/>
      <c r="D422" s="73"/>
      <c r="E422" s="73"/>
      <c r="F422" s="73"/>
      <c r="G422" s="73"/>
      <c r="H422" s="73"/>
      <c r="I422" s="73"/>
      <c r="J422" s="73"/>
    </row>
    <row r="423" spans="1:10" ht="40.5" customHeight="1" x14ac:dyDescent="0.2">
      <c r="A423" s="17" t="str">
        <f>'PLANILHA ORÇAMENTÁRIA'!A79</f>
        <v>10.4.2</v>
      </c>
      <c r="B423" s="18" t="str">
        <f>'PLANILHA ORÇAMENTÁRIA'!D79</f>
        <v xml:space="preserve">Ponto padrão de tomada dupla 2 pólos mais terra - considerando eletroduto PVC rígido de 3/4" inclusive conexões (5.0m), fio isolado PVC de 2.5mm2 (16.5m) e caixa pvc 4x2" </v>
      </c>
      <c r="C423" s="17" t="str">
        <f>'PLANILHA ORÇAMENTÁRIA'!E79</f>
        <v xml:space="preserve">und </v>
      </c>
      <c r="D423" s="79" t="s">
        <v>268</v>
      </c>
      <c r="E423" s="79" t="s">
        <v>269</v>
      </c>
      <c r="F423" s="79" t="s">
        <v>270</v>
      </c>
      <c r="G423" s="79" t="s">
        <v>271</v>
      </c>
      <c r="H423" s="79" t="s">
        <v>272</v>
      </c>
      <c r="I423" s="79" t="s">
        <v>273</v>
      </c>
      <c r="J423" s="80" t="s">
        <v>274</v>
      </c>
    </row>
    <row r="424" spans="1:10" ht="26.25" customHeight="1" x14ac:dyDescent="0.2">
      <c r="A424" s="17"/>
      <c r="B424" s="264" t="s">
        <v>288</v>
      </c>
      <c r="C424" s="17"/>
      <c r="D424" s="79">
        <v>3</v>
      </c>
      <c r="E424" s="79"/>
      <c r="F424" s="79"/>
      <c r="G424" s="79"/>
      <c r="H424" s="79"/>
      <c r="I424" s="79"/>
      <c r="J424" s="80">
        <f>D424</f>
        <v>3</v>
      </c>
    </row>
    <row r="425" spans="1:10" ht="26.25" customHeight="1" x14ac:dyDescent="0.2">
      <c r="A425" s="17"/>
      <c r="B425" s="264" t="s">
        <v>276</v>
      </c>
      <c r="C425" s="17"/>
      <c r="D425" s="79">
        <v>6</v>
      </c>
      <c r="E425" s="79"/>
      <c r="F425" s="79"/>
      <c r="G425" s="79"/>
      <c r="H425" s="79"/>
      <c r="I425" s="79"/>
      <c r="J425" s="80">
        <f t="shared" ref="J425:J431" si="50">D425</f>
        <v>6</v>
      </c>
    </row>
    <row r="426" spans="1:10" ht="26.25" customHeight="1" x14ac:dyDescent="0.2">
      <c r="A426" s="17"/>
      <c r="B426" s="250" t="s">
        <v>277</v>
      </c>
      <c r="C426" s="17"/>
      <c r="D426" s="79">
        <v>6</v>
      </c>
      <c r="E426" s="79"/>
      <c r="F426" s="79"/>
      <c r="G426" s="79"/>
      <c r="H426" s="79"/>
      <c r="I426" s="79"/>
      <c r="J426" s="80">
        <f t="shared" si="50"/>
        <v>6</v>
      </c>
    </row>
    <row r="427" spans="1:10" ht="26.25" customHeight="1" x14ac:dyDescent="0.2">
      <c r="A427" s="17"/>
      <c r="B427" s="250" t="s">
        <v>278</v>
      </c>
      <c r="C427" s="17"/>
      <c r="D427" s="79">
        <v>10</v>
      </c>
      <c r="E427" s="79"/>
      <c r="F427" s="79"/>
      <c r="G427" s="79"/>
      <c r="H427" s="79"/>
      <c r="I427" s="79"/>
      <c r="J427" s="80">
        <f t="shared" si="50"/>
        <v>10</v>
      </c>
    </row>
    <row r="428" spans="1:10" ht="21" customHeight="1" x14ac:dyDescent="0.2">
      <c r="A428" s="17"/>
      <c r="B428" s="250" t="s">
        <v>279</v>
      </c>
      <c r="C428" s="17"/>
      <c r="D428" s="79">
        <v>3</v>
      </c>
      <c r="E428" s="79"/>
      <c r="F428" s="79"/>
      <c r="G428" s="79"/>
      <c r="H428" s="79"/>
      <c r="I428" s="79"/>
      <c r="J428" s="80">
        <f t="shared" si="50"/>
        <v>3</v>
      </c>
    </row>
    <row r="429" spans="1:10" ht="21" customHeight="1" x14ac:dyDescent="0.2">
      <c r="A429" s="17"/>
      <c r="B429" s="250" t="s">
        <v>280</v>
      </c>
      <c r="C429" s="17"/>
      <c r="D429" s="79">
        <v>4</v>
      </c>
      <c r="E429" s="79"/>
      <c r="F429" s="79"/>
      <c r="G429" s="79"/>
      <c r="H429" s="79"/>
      <c r="I429" s="79"/>
      <c r="J429" s="80">
        <f t="shared" si="50"/>
        <v>4</v>
      </c>
    </row>
    <row r="430" spans="1:10" x14ac:dyDescent="0.2">
      <c r="A430" s="17"/>
      <c r="B430" s="250" t="s">
        <v>284</v>
      </c>
      <c r="C430" s="17"/>
      <c r="D430" s="79">
        <v>6</v>
      </c>
      <c r="E430" s="79"/>
      <c r="F430" s="79"/>
      <c r="G430" s="79"/>
      <c r="H430" s="79"/>
      <c r="I430" s="79"/>
      <c r="J430" s="80">
        <f t="shared" si="50"/>
        <v>6</v>
      </c>
    </row>
    <row r="431" spans="1:10" x14ac:dyDescent="0.2">
      <c r="A431" s="17"/>
      <c r="B431" s="250" t="s">
        <v>281</v>
      </c>
      <c r="C431" s="73"/>
      <c r="D431" s="73">
        <v>4</v>
      </c>
      <c r="E431" s="73"/>
      <c r="F431" s="73"/>
      <c r="G431" s="73"/>
      <c r="H431" s="73"/>
      <c r="I431" s="73"/>
      <c r="J431" s="80">
        <f t="shared" si="50"/>
        <v>4</v>
      </c>
    </row>
    <row r="432" spans="1:10" x14ac:dyDescent="0.2">
      <c r="A432" s="17"/>
      <c r="B432" s="250" t="s">
        <v>282</v>
      </c>
      <c r="C432" s="17"/>
      <c r="D432" s="79">
        <v>12</v>
      </c>
      <c r="E432" s="79"/>
      <c r="F432" s="79"/>
      <c r="G432" s="79"/>
      <c r="H432" s="79"/>
      <c r="I432" s="350"/>
      <c r="J432" s="357">
        <f>D432</f>
        <v>12</v>
      </c>
    </row>
    <row r="433" spans="1:10" x14ac:dyDescent="0.2">
      <c r="A433" s="17"/>
      <c r="B433" s="250"/>
      <c r="C433" s="17"/>
      <c r="D433" s="79"/>
      <c r="E433" s="79"/>
      <c r="F433" s="79"/>
      <c r="G433" s="79"/>
      <c r="H433" s="79"/>
      <c r="I433" s="75" t="s">
        <v>283</v>
      </c>
      <c r="J433" s="76">
        <f>SUM(J424:J432)</f>
        <v>54</v>
      </c>
    </row>
    <row r="434" spans="1:10" x14ac:dyDescent="0.2">
      <c r="A434" s="17"/>
      <c r="B434" s="250"/>
      <c r="C434" s="17"/>
      <c r="D434" s="79"/>
      <c r="E434" s="79"/>
      <c r="F434" s="79"/>
      <c r="G434" s="79"/>
      <c r="H434" s="79"/>
      <c r="I434" s="350"/>
      <c r="J434" s="343"/>
    </row>
    <row r="435" spans="1:10" ht="63.75" x14ac:dyDescent="0.2">
      <c r="A435" s="17" t="s">
        <v>631</v>
      </c>
      <c r="B435" s="18" t="str">
        <f>'PLANILHA ORÇAMENTÁRIA'!D80</f>
        <v xml:space="preserve">Luminaria sobrepor compl., corpo ch. aço pintada branca, refletor, aletas parabólicas alum.alta pureza e refletância inclusive 2 lâmpadas LED T8 9W temp. de cor 5000k c/ 60cm - Ref. CS216AL-N - AMES, 663 - LUMAVI OU EQUIVALENTE
</v>
      </c>
      <c r="C435" s="17" t="str">
        <f>'PLANILHA ORÇAMENTÁRIA'!E90</f>
        <v xml:space="preserve">und </v>
      </c>
      <c r="D435" s="79" t="s">
        <v>268</v>
      </c>
      <c r="E435" s="79" t="s">
        <v>269</v>
      </c>
      <c r="F435" s="79" t="s">
        <v>270</v>
      </c>
      <c r="G435" s="79" t="s">
        <v>271</v>
      </c>
      <c r="H435" s="79" t="s">
        <v>272</v>
      </c>
      <c r="I435" s="79" t="s">
        <v>273</v>
      </c>
      <c r="J435" s="80" t="s">
        <v>274</v>
      </c>
    </row>
    <row r="436" spans="1:10" x14ac:dyDescent="0.2">
      <c r="A436" s="17"/>
      <c r="B436" s="264" t="s">
        <v>288</v>
      </c>
      <c r="C436" s="17"/>
      <c r="D436" s="79">
        <v>4</v>
      </c>
      <c r="E436" s="79"/>
      <c r="F436" s="79"/>
      <c r="G436" s="79"/>
      <c r="H436" s="276"/>
      <c r="I436" s="362"/>
      <c r="J436" s="357">
        <f>D436</f>
        <v>4</v>
      </c>
    </row>
    <row r="437" spans="1:10" x14ac:dyDescent="0.2">
      <c r="A437" s="17"/>
      <c r="B437" s="264" t="s">
        <v>276</v>
      </c>
      <c r="C437" s="17"/>
      <c r="D437" s="79">
        <v>4</v>
      </c>
      <c r="E437" s="79"/>
      <c r="F437" s="79"/>
      <c r="G437" s="79"/>
      <c r="H437" s="276"/>
      <c r="I437" s="362"/>
      <c r="J437" s="357">
        <f t="shared" ref="J437:J444" si="51">D437</f>
        <v>4</v>
      </c>
    </row>
    <row r="438" spans="1:10" x14ac:dyDescent="0.2">
      <c r="A438" s="17"/>
      <c r="B438" s="250" t="s">
        <v>277</v>
      </c>
      <c r="C438" s="17"/>
      <c r="D438" s="79">
        <v>4</v>
      </c>
      <c r="E438" s="79"/>
      <c r="F438" s="79"/>
      <c r="G438" s="79"/>
      <c r="H438" s="276"/>
      <c r="I438" s="362"/>
      <c r="J438" s="357">
        <f t="shared" si="51"/>
        <v>4</v>
      </c>
    </row>
    <row r="439" spans="1:10" x14ac:dyDescent="0.2">
      <c r="A439" s="17"/>
      <c r="B439" s="250" t="s">
        <v>278</v>
      </c>
      <c r="C439" s="17"/>
      <c r="D439" s="79">
        <v>6</v>
      </c>
      <c r="E439" s="79"/>
      <c r="F439" s="79"/>
      <c r="G439" s="79"/>
      <c r="H439" s="276"/>
      <c r="I439" s="362"/>
      <c r="J439" s="357">
        <f t="shared" si="51"/>
        <v>6</v>
      </c>
    </row>
    <row r="440" spans="1:10" x14ac:dyDescent="0.2">
      <c r="A440" s="17"/>
      <c r="B440" s="250" t="s">
        <v>279</v>
      </c>
      <c r="C440" s="17"/>
      <c r="D440" s="79">
        <v>6</v>
      </c>
      <c r="E440" s="79"/>
      <c r="F440" s="79"/>
      <c r="G440" s="79"/>
      <c r="H440" s="276"/>
      <c r="I440" s="362"/>
      <c r="J440" s="357">
        <f t="shared" si="51"/>
        <v>6</v>
      </c>
    </row>
    <row r="441" spans="1:10" x14ac:dyDescent="0.2">
      <c r="A441" s="17"/>
      <c r="B441" s="250" t="s">
        <v>280</v>
      </c>
      <c r="C441" s="17"/>
      <c r="D441" s="79">
        <v>4</v>
      </c>
      <c r="E441" s="79"/>
      <c r="F441" s="79"/>
      <c r="G441" s="79"/>
      <c r="H441" s="276"/>
      <c r="I441" s="362"/>
      <c r="J441" s="357">
        <f t="shared" si="51"/>
        <v>4</v>
      </c>
    </row>
    <row r="442" spans="1:10" x14ac:dyDescent="0.2">
      <c r="A442" s="17"/>
      <c r="B442" s="250" t="s">
        <v>284</v>
      </c>
      <c r="C442" s="17"/>
      <c r="D442" s="79">
        <v>4</v>
      </c>
      <c r="E442" s="79"/>
      <c r="F442" s="79"/>
      <c r="G442" s="79"/>
      <c r="H442" s="276"/>
      <c r="I442" s="362"/>
      <c r="J442" s="357">
        <f t="shared" si="51"/>
        <v>4</v>
      </c>
    </row>
    <row r="443" spans="1:10" x14ac:dyDescent="0.2">
      <c r="A443" s="17"/>
      <c r="B443" s="250" t="s">
        <v>281</v>
      </c>
      <c r="C443" s="17"/>
      <c r="D443" s="79">
        <v>6</v>
      </c>
      <c r="E443" s="79"/>
      <c r="F443" s="79"/>
      <c r="G443" s="79"/>
      <c r="H443" s="338"/>
      <c r="I443" s="362"/>
      <c r="J443" s="357">
        <f t="shared" si="51"/>
        <v>6</v>
      </c>
    </row>
    <row r="444" spans="1:10" x14ac:dyDescent="0.2">
      <c r="A444" s="17"/>
      <c r="B444" s="250" t="s">
        <v>282</v>
      </c>
      <c r="C444" s="17"/>
      <c r="D444" s="79">
        <v>12</v>
      </c>
      <c r="E444" s="79"/>
      <c r="F444" s="79"/>
      <c r="G444" s="79"/>
      <c r="H444" s="338"/>
      <c r="I444" s="362"/>
      <c r="J444" s="357">
        <f t="shared" si="51"/>
        <v>12</v>
      </c>
    </row>
    <row r="445" spans="1:10" x14ac:dyDescent="0.2">
      <c r="A445" s="17"/>
      <c r="B445" s="250"/>
      <c r="C445" s="17"/>
      <c r="D445" s="79"/>
      <c r="E445" s="79"/>
      <c r="F445" s="79"/>
      <c r="G445" s="79"/>
      <c r="H445" s="79"/>
      <c r="I445" s="75" t="s">
        <v>283</v>
      </c>
      <c r="J445" s="76">
        <f>SUM(J436:J444)</f>
        <v>50</v>
      </c>
    </row>
    <row r="446" spans="1:10" x14ac:dyDescent="0.2">
      <c r="A446" s="20" t="str">
        <f>'PLANILHA ORÇAMENTÁRIA'!A81</f>
        <v>10.5</v>
      </c>
      <c r="B446" s="157" t="str">
        <f>'PLANILHA ORÇAMENTÁRIA'!D81</f>
        <v>QUADROS DE DISTRIBUIÇÃO</v>
      </c>
      <c r="C446" s="12"/>
      <c r="D446" s="17"/>
      <c r="E446" s="9"/>
      <c r="F446" s="27"/>
      <c r="G446" s="28"/>
      <c r="H446" s="72"/>
      <c r="I446" s="17"/>
      <c r="J446" s="17"/>
    </row>
    <row r="447" spans="1:10" ht="25.5" x14ac:dyDescent="0.2">
      <c r="A447" s="17" t="str">
        <f>'PLANILHA ORÇAMENTÁRIA'!A82</f>
        <v>10.5.1</v>
      </c>
      <c r="B447" s="18" t="str">
        <f>'PLANILHA ORÇAMENTÁRIA'!D82</f>
        <v>Quadro de entrada para alimentação</v>
      </c>
      <c r="C447" s="17" t="str">
        <f>'PLANILHA ORÇAMENTÁRIA'!E82</f>
        <v xml:space="preserve">und </v>
      </c>
      <c r="D447" s="79" t="s">
        <v>268</v>
      </c>
      <c r="E447" s="79" t="s">
        <v>269</v>
      </c>
      <c r="F447" s="79" t="s">
        <v>270</v>
      </c>
      <c r="G447" s="79" t="s">
        <v>271</v>
      </c>
      <c r="H447" s="79" t="s">
        <v>272</v>
      </c>
      <c r="I447" s="79" t="s">
        <v>273</v>
      </c>
      <c r="J447" s="80" t="s">
        <v>274</v>
      </c>
    </row>
    <row r="448" spans="1:10" x14ac:dyDescent="0.2">
      <c r="A448" s="17"/>
      <c r="B448" s="264" t="s">
        <v>288</v>
      </c>
      <c r="C448" s="17"/>
      <c r="D448" s="79">
        <v>1</v>
      </c>
      <c r="E448" s="79"/>
      <c r="F448" s="79"/>
      <c r="G448" s="79"/>
      <c r="H448" s="79"/>
      <c r="I448" s="79"/>
      <c r="J448" s="80">
        <f>D448</f>
        <v>1</v>
      </c>
    </row>
    <row r="449" spans="1:10" x14ac:dyDescent="0.2">
      <c r="A449" s="17"/>
      <c r="B449" s="264" t="s">
        <v>276</v>
      </c>
      <c r="C449" s="17"/>
      <c r="D449" s="79">
        <v>1</v>
      </c>
      <c r="E449" s="79"/>
      <c r="F449" s="79"/>
      <c r="G449" s="79"/>
      <c r="H449" s="79"/>
      <c r="I449" s="79"/>
      <c r="J449" s="80">
        <f t="shared" ref="J449:J456" si="52">D449</f>
        <v>1</v>
      </c>
    </row>
    <row r="450" spans="1:10" x14ac:dyDescent="0.2">
      <c r="A450" s="17"/>
      <c r="B450" s="250" t="s">
        <v>277</v>
      </c>
      <c r="C450" s="17"/>
      <c r="D450" s="79">
        <v>1</v>
      </c>
      <c r="E450" s="79"/>
      <c r="F450" s="79"/>
      <c r="G450" s="79"/>
      <c r="H450" s="79"/>
      <c r="I450" s="79"/>
      <c r="J450" s="80">
        <f t="shared" si="52"/>
        <v>1</v>
      </c>
    </row>
    <row r="451" spans="1:10" x14ac:dyDescent="0.2">
      <c r="A451" s="17"/>
      <c r="B451" s="250" t="s">
        <v>278</v>
      </c>
      <c r="C451" s="17"/>
      <c r="D451" s="79">
        <v>1</v>
      </c>
      <c r="E451" s="79"/>
      <c r="F451" s="79"/>
      <c r="G451" s="79"/>
      <c r="H451" s="79"/>
      <c r="I451" s="79"/>
      <c r="J451" s="80">
        <f t="shared" si="52"/>
        <v>1</v>
      </c>
    </row>
    <row r="452" spans="1:10" x14ac:dyDescent="0.2">
      <c r="A452" s="17"/>
      <c r="B452" s="250" t="s">
        <v>279</v>
      </c>
      <c r="C452" s="17"/>
      <c r="D452" s="79">
        <v>1</v>
      </c>
      <c r="E452" s="79"/>
      <c r="F452" s="79"/>
      <c r="G452" s="79"/>
      <c r="H452" s="79"/>
      <c r="I452" s="79"/>
      <c r="J452" s="80">
        <f t="shared" si="52"/>
        <v>1</v>
      </c>
    </row>
    <row r="453" spans="1:10" x14ac:dyDescent="0.2">
      <c r="A453" s="17"/>
      <c r="B453" s="250" t="s">
        <v>280</v>
      </c>
      <c r="C453" s="17"/>
      <c r="D453" s="79">
        <v>1</v>
      </c>
      <c r="E453" s="79"/>
      <c r="F453" s="79"/>
      <c r="G453" s="79"/>
      <c r="H453" s="79"/>
      <c r="I453" s="79"/>
      <c r="J453" s="80">
        <f t="shared" si="52"/>
        <v>1</v>
      </c>
    </row>
    <row r="454" spans="1:10" x14ac:dyDescent="0.2">
      <c r="A454" s="17"/>
      <c r="B454" s="250" t="s">
        <v>284</v>
      </c>
      <c r="C454" s="17"/>
      <c r="D454" s="79">
        <v>1</v>
      </c>
      <c r="E454" s="79"/>
      <c r="F454" s="79"/>
      <c r="G454" s="79"/>
      <c r="H454" s="79"/>
      <c r="I454" s="79"/>
      <c r="J454" s="80">
        <f t="shared" si="52"/>
        <v>1</v>
      </c>
    </row>
    <row r="455" spans="1:10" x14ac:dyDescent="0.2">
      <c r="A455" s="17"/>
      <c r="B455" s="250" t="s">
        <v>281</v>
      </c>
      <c r="C455" s="17"/>
      <c r="D455" s="79">
        <v>1</v>
      </c>
      <c r="E455" s="79"/>
      <c r="F455" s="79"/>
      <c r="G455" s="79"/>
      <c r="H455" s="79"/>
      <c r="I455" s="79"/>
      <c r="J455" s="80">
        <f t="shared" si="52"/>
        <v>1</v>
      </c>
    </row>
    <row r="456" spans="1:10" x14ac:dyDescent="0.2">
      <c r="A456" s="17"/>
      <c r="B456" s="250" t="s">
        <v>282</v>
      </c>
      <c r="C456" s="17"/>
      <c r="D456" s="79">
        <v>1</v>
      </c>
      <c r="E456" s="79"/>
      <c r="F456" s="79"/>
      <c r="G456" s="79"/>
      <c r="H456" s="79"/>
      <c r="I456" s="79"/>
      <c r="J456" s="80">
        <f t="shared" si="52"/>
        <v>1</v>
      </c>
    </row>
    <row r="457" spans="1:10" x14ac:dyDescent="0.2">
      <c r="A457" s="17"/>
      <c r="B457" s="18"/>
      <c r="C457" s="17"/>
      <c r="D457" s="79"/>
      <c r="E457" s="79"/>
      <c r="F457" s="79"/>
      <c r="G457" s="79"/>
      <c r="H457" s="79"/>
      <c r="I457" s="75" t="s">
        <v>283</v>
      </c>
      <c r="J457" s="76">
        <f>SUM(J448:J456)</f>
        <v>9</v>
      </c>
    </row>
    <row r="458" spans="1:10" x14ac:dyDescent="0.2">
      <c r="A458" s="17"/>
      <c r="B458" s="18"/>
      <c r="C458" s="17"/>
      <c r="D458" s="79"/>
      <c r="E458" s="79"/>
      <c r="F458" s="79"/>
      <c r="G458" s="79"/>
      <c r="H458" s="79"/>
      <c r="I458" s="79"/>
      <c r="J458" s="80"/>
    </row>
    <row r="459" spans="1:10" x14ac:dyDescent="0.2">
      <c r="A459" s="11">
        <f>'PLANILHA ORÇAMENTÁRIA'!A84</f>
        <v>11</v>
      </c>
      <c r="B459" s="7" t="str">
        <f>'PLANILHA ORÇAMENTÁRIA'!D84</f>
        <v>OUTRAS INSTALAÇÕES</v>
      </c>
      <c r="C459" s="5"/>
      <c r="D459" s="170"/>
      <c r="E459" s="70"/>
      <c r="F459" s="70"/>
      <c r="G459" s="70"/>
      <c r="H459" s="70"/>
      <c r="I459" s="70"/>
      <c r="J459" s="70"/>
    </row>
    <row r="460" spans="1:10" x14ac:dyDescent="0.2">
      <c r="A460" s="20" t="str">
        <f>'PLANILHA ORÇAMENTÁRIA'!A85</f>
        <v>11.1</v>
      </c>
      <c r="B460" s="157" t="str">
        <f>'PLANILHA ORÇAMENTÁRIA'!D85</f>
        <v>CAIXAS DE PASSAGEM</v>
      </c>
      <c r="C460" s="12"/>
      <c r="D460" s="17"/>
      <c r="E460" s="9"/>
      <c r="F460" s="27"/>
      <c r="G460" s="28"/>
      <c r="H460" s="72"/>
      <c r="I460" s="17"/>
      <c r="J460" s="17"/>
    </row>
    <row r="461" spans="1:10" s="259" customFormat="1" ht="25.5" x14ac:dyDescent="0.2">
      <c r="A461" s="17" t="str">
        <f>'PLANILHA ORÇAMENTÁRIA'!A86</f>
        <v>11.1.1</v>
      </c>
      <c r="B461" s="18" t="str">
        <f>'PLANILHA ORÇAMENTÁRIA'!D86</f>
        <v xml:space="preserve">Caixa de passagem 200x200x100mm, chapa 18, com tampa parafusada </v>
      </c>
      <c r="C461" s="17" t="str">
        <f>'PLANILHA ORÇAMENTÁRIA'!E86</f>
        <v xml:space="preserve">und </v>
      </c>
      <c r="D461" s="79" t="s">
        <v>268</v>
      </c>
      <c r="E461" s="79" t="s">
        <v>269</v>
      </c>
      <c r="F461" s="79" t="s">
        <v>270</v>
      </c>
      <c r="G461" s="79" t="s">
        <v>271</v>
      </c>
      <c r="H461" s="79" t="s">
        <v>272</v>
      </c>
      <c r="I461" s="79" t="s">
        <v>273</v>
      </c>
      <c r="J461" s="80" t="s">
        <v>274</v>
      </c>
    </row>
    <row r="462" spans="1:10" s="259" customFormat="1" x14ac:dyDescent="0.2">
      <c r="A462" s="17"/>
      <c r="B462" s="264" t="s">
        <v>288</v>
      </c>
      <c r="C462" s="17"/>
      <c r="D462" s="79">
        <v>1</v>
      </c>
      <c r="E462" s="79"/>
      <c r="F462" s="79"/>
      <c r="G462" s="79"/>
      <c r="H462" s="79"/>
      <c r="I462" s="79"/>
      <c r="J462" s="80">
        <f>D462</f>
        <v>1</v>
      </c>
    </row>
    <row r="463" spans="1:10" s="259" customFormat="1" x14ac:dyDescent="0.2">
      <c r="A463" s="17"/>
      <c r="B463" s="264" t="s">
        <v>276</v>
      </c>
      <c r="C463" s="17"/>
      <c r="D463" s="79">
        <v>1</v>
      </c>
      <c r="E463" s="79"/>
      <c r="F463" s="79"/>
      <c r="G463" s="79"/>
      <c r="H463" s="79"/>
      <c r="I463" s="79"/>
      <c r="J463" s="80">
        <f t="shared" ref="J463:J470" si="53">D463</f>
        <v>1</v>
      </c>
    </row>
    <row r="464" spans="1:10" s="259" customFormat="1" x14ac:dyDescent="0.2">
      <c r="A464" s="17"/>
      <c r="B464" s="250" t="s">
        <v>277</v>
      </c>
      <c r="C464" s="17"/>
      <c r="D464" s="79">
        <v>1</v>
      </c>
      <c r="E464" s="79"/>
      <c r="F464" s="79"/>
      <c r="G464" s="79"/>
      <c r="H464" s="79"/>
      <c r="I464" s="79"/>
      <c r="J464" s="80">
        <f t="shared" si="53"/>
        <v>1</v>
      </c>
    </row>
    <row r="465" spans="1:10" s="259" customFormat="1" x14ac:dyDescent="0.2">
      <c r="A465" s="17"/>
      <c r="B465" s="250" t="s">
        <v>278</v>
      </c>
      <c r="C465" s="17"/>
      <c r="D465" s="79">
        <v>1</v>
      </c>
      <c r="E465" s="79"/>
      <c r="F465" s="79"/>
      <c r="G465" s="79"/>
      <c r="H465" s="79"/>
      <c r="I465" s="79"/>
      <c r="J465" s="80">
        <f t="shared" si="53"/>
        <v>1</v>
      </c>
    </row>
    <row r="466" spans="1:10" s="259" customFormat="1" x14ac:dyDescent="0.2">
      <c r="A466" s="17"/>
      <c r="B466" s="250" t="s">
        <v>279</v>
      </c>
      <c r="C466" s="17"/>
      <c r="D466" s="79">
        <v>1</v>
      </c>
      <c r="E466" s="79"/>
      <c r="F466" s="79"/>
      <c r="G466" s="79"/>
      <c r="H466" s="79"/>
      <c r="I466" s="79"/>
      <c r="J466" s="80">
        <f t="shared" si="53"/>
        <v>1</v>
      </c>
    </row>
    <row r="467" spans="1:10" s="259" customFormat="1" x14ac:dyDescent="0.2">
      <c r="A467" s="17"/>
      <c r="B467" s="250" t="s">
        <v>280</v>
      </c>
      <c r="C467" s="17"/>
      <c r="D467" s="79">
        <v>1</v>
      </c>
      <c r="E467" s="79"/>
      <c r="F467" s="79"/>
      <c r="G467" s="79"/>
      <c r="H467" s="79"/>
      <c r="I467" s="79"/>
      <c r="J467" s="80">
        <f t="shared" si="53"/>
        <v>1</v>
      </c>
    </row>
    <row r="468" spans="1:10" s="259" customFormat="1" x14ac:dyDescent="0.2">
      <c r="A468" s="17"/>
      <c r="B468" s="250" t="s">
        <v>284</v>
      </c>
      <c r="C468" s="17"/>
      <c r="D468" s="79">
        <v>1</v>
      </c>
      <c r="E468" s="79"/>
      <c r="F468" s="79"/>
      <c r="G468" s="79"/>
      <c r="H468" s="79"/>
      <c r="I468" s="79"/>
      <c r="J468" s="80">
        <f t="shared" si="53"/>
        <v>1</v>
      </c>
    </row>
    <row r="469" spans="1:10" s="259" customFormat="1" x14ac:dyDescent="0.2">
      <c r="A469" s="17"/>
      <c r="B469" s="250" t="s">
        <v>281</v>
      </c>
      <c r="C469" s="17"/>
      <c r="D469" s="79">
        <v>1</v>
      </c>
      <c r="E469" s="79"/>
      <c r="F469" s="79"/>
      <c r="G469" s="79"/>
      <c r="H469" s="79"/>
      <c r="I469" s="79"/>
      <c r="J469" s="80">
        <f t="shared" si="53"/>
        <v>1</v>
      </c>
    </row>
    <row r="470" spans="1:10" s="259" customFormat="1" x14ac:dyDescent="0.2">
      <c r="A470" s="17"/>
      <c r="B470" s="250" t="s">
        <v>282</v>
      </c>
      <c r="C470" s="255"/>
      <c r="D470" s="79">
        <v>1</v>
      </c>
      <c r="E470" s="257"/>
      <c r="F470" s="257"/>
      <c r="G470" s="257"/>
      <c r="H470" s="257"/>
      <c r="I470" s="257"/>
      <c r="J470" s="80">
        <f t="shared" si="53"/>
        <v>1</v>
      </c>
    </row>
    <row r="471" spans="1:10" s="259" customFormat="1" x14ac:dyDescent="0.2">
      <c r="A471" s="255"/>
      <c r="B471" s="256"/>
      <c r="C471" s="255"/>
      <c r="D471" s="257"/>
      <c r="E471" s="257"/>
      <c r="F471" s="257"/>
      <c r="G471" s="257"/>
      <c r="H471" s="257"/>
      <c r="I471" s="257"/>
      <c r="J471" s="258"/>
    </row>
    <row r="472" spans="1:10" x14ac:dyDescent="0.2">
      <c r="A472" s="17"/>
      <c r="B472" s="18"/>
      <c r="C472" s="17"/>
      <c r="D472" s="79"/>
      <c r="E472" s="79"/>
      <c r="F472" s="79"/>
      <c r="G472" s="79"/>
      <c r="H472" s="79"/>
      <c r="I472" s="75" t="s">
        <v>283</v>
      </c>
      <c r="J472" s="76">
        <f>SUM(J462:J471)</f>
        <v>9</v>
      </c>
    </row>
    <row r="473" spans="1:10" x14ac:dyDescent="0.2">
      <c r="A473" s="20" t="str">
        <f>'PLANILHA ORÇAMENTÁRIA'!A87</f>
        <v>11.2</v>
      </c>
      <c r="B473" s="157" t="str">
        <f>'PLANILHA ORÇAMENTÁRIA'!D87</f>
        <v>INSTALAÇÕES DE REDE LOGICA</v>
      </c>
      <c r="C473" s="12"/>
      <c r="D473" s="17"/>
      <c r="E473" s="9"/>
      <c r="F473" s="27"/>
      <c r="G473" s="28"/>
      <c r="H473" s="72"/>
      <c r="I473" s="17"/>
      <c r="J473" s="17"/>
    </row>
    <row r="474" spans="1:10" ht="25.5" x14ac:dyDescent="0.2">
      <c r="A474" s="17" t="str">
        <f>'PLANILHA ORÇAMENTÁRIA'!A88</f>
        <v>11.2.1</v>
      </c>
      <c r="B474" s="18" t="str">
        <f>'PLANILHA ORÇAMENTÁRIA'!D88</f>
        <v xml:space="preserve">Espelho 4" x 2" com conector RJ 45 fêmea CAT. 5e </v>
      </c>
      <c r="C474" s="17" t="str">
        <f>'PLANILHA ORÇAMENTÁRIA'!E88</f>
        <v xml:space="preserve">und </v>
      </c>
      <c r="D474" s="79" t="s">
        <v>268</v>
      </c>
      <c r="E474" s="79" t="s">
        <v>269</v>
      </c>
      <c r="F474" s="79" t="s">
        <v>270</v>
      </c>
      <c r="G474" s="79" t="s">
        <v>271</v>
      </c>
      <c r="H474" s="79" t="s">
        <v>272</v>
      </c>
      <c r="I474" s="79" t="s">
        <v>273</v>
      </c>
      <c r="J474" s="80" t="s">
        <v>274</v>
      </c>
    </row>
    <row r="475" spans="1:10" x14ac:dyDescent="0.2">
      <c r="A475" s="17"/>
      <c r="B475" s="264" t="s">
        <v>288</v>
      </c>
      <c r="C475" s="17"/>
      <c r="D475" s="79">
        <v>3</v>
      </c>
      <c r="E475" s="79"/>
      <c r="F475" s="79"/>
      <c r="G475" s="79"/>
      <c r="H475" s="79"/>
      <c r="I475" s="79"/>
      <c r="J475" s="80">
        <f>D475</f>
        <v>3</v>
      </c>
    </row>
    <row r="476" spans="1:10" x14ac:dyDescent="0.2">
      <c r="A476" s="17"/>
      <c r="B476" s="250" t="s">
        <v>279</v>
      </c>
      <c r="C476" s="17"/>
      <c r="D476" s="79">
        <v>6</v>
      </c>
      <c r="E476" s="79"/>
      <c r="F476" s="79"/>
      <c r="G476" s="79"/>
      <c r="H476" s="79"/>
      <c r="I476" s="79"/>
      <c r="J476" s="80">
        <f t="shared" ref="J476:J479" si="54">D476</f>
        <v>6</v>
      </c>
    </row>
    <row r="477" spans="1:10" x14ac:dyDescent="0.2">
      <c r="A477" s="17"/>
      <c r="B477" s="250" t="s">
        <v>280</v>
      </c>
      <c r="C477" s="17"/>
      <c r="D477" s="79">
        <v>4</v>
      </c>
      <c r="E477" s="79"/>
      <c r="F477" s="79"/>
      <c r="G477" s="79"/>
      <c r="H477" s="79"/>
      <c r="I477" s="79"/>
      <c r="J477" s="80">
        <f t="shared" si="54"/>
        <v>4</v>
      </c>
    </row>
    <row r="478" spans="1:10" x14ac:dyDescent="0.2">
      <c r="A478" s="17"/>
      <c r="B478" s="250" t="s">
        <v>281</v>
      </c>
      <c r="C478" s="17"/>
      <c r="D478" s="79">
        <v>8</v>
      </c>
      <c r="E478" s="79"/>
      <c r="F478" s="79"/>
      <c r="G478" s="79"/>
      <c r="H478" s="79"/>
      <c r="I478" s="79"/>
      <c r="J478" s="80">
        <f t="shared" si="54"/>
        <v>8</v>
      </c>
    </row>
    <row r="479" spans="1:10" x14ac:dyDescent="0.2">
      <c r="A479" s="17"/>
      <c r="B479" s="250" t="s">
        <v>282</v>
      </c>
      <c r="C479" s="17"/>
      <c r="D479" s="79">
        <v>12</v>
      </c>
      <c r="E479" s="79"/>
      <c r="F479" s="79"/>
      <c r="G479" s="79"/>
      <c r="H479" s="79"/>
      <c r="I479" s="79"/>
      <c r="J479" s="80">
        <f t="shared" si="54"/>
        <v>12</v>
      </c>
    </row>
    <row r="480" spans="1:10" x14ac:dyDescent="0.2">
      <c r="A480" s="17"/>
      <c r="B480" s="18"/>
      <c r="C480" s="17"/>
      <c r="D480" s="79"/>
      <c r="E480" s="79"/>
      <c r="F480" s="79"/>
      <c r="G480" s="79"/>
      <c r="H480" s="79"/>
      <c r="I480" s="79"/>
      <c r="J480" s="80"/>
    </row>
    <row r="481" spans="1:10" x14ac:dyDescent="0.2">
      <c r="A481" s="17"/>
      <c r="B481" s="18"/>
      <c r="C481" s="17"/>
      <c r="D481" s="73"/>
      <c r="E481" s="73"/>
      <c r="F481" s="73"/>
      <c r="G481" s="73"/>
      <c r="H481" s="73"/>
      <c r="I481" s="77" t="s">
        <v>283</v>
      </c>
      <c r="J481" s="76">
        <f>SUM(J475:J480)</f>
        <v>33</v>
      </c>
    </row>
    <row r="482" spans="1:10" x14ac:dyDescent="0.2">
      <c r="A482" s="17"/>
      <c r="B482" s="18"/>
      <c r="C482" s="17"/>
      <c r="D482" s="73"/>
      <c r="E482" s="73"/>
      <c r="F482" s="73"/>
      <c r="G482" s="73"/>
      <c r="H482" s="73"/>
      <c r="I482" s="84"/>
      <c r="J482" s="85"/>
    </row>
    <row r="483" spans="1:10" ht="25.5" x14ac:dyDescent="0.2">
      <c r="A483" s="17" t="str">
        <f>'PLANILHA ORÇAMENTÁRIA'!A89</f>
        <v>11.2.2</v>
      </c>
      <c r="B483" s="88" t="str">
        <f>'PLANILHA ORÇAMENTÁRIA'!D89</f>
        <v>Fornecimento e instalação de Cabo de rede par trançado 4 pares Categoria 5e</v>
      </c>
      <c r="C483" s="17" t="str">
        <f>'PLANILHA ORÇAMENTÁRIA'!E89</f>
        <v xml:space="preserve"> m </v>
      </c>
      <c r="D483" s="79" t="s">
        <v>268</v>
      </c>
      <c r="E483" s="79" t="s">
        <v>269</v>
      </c>
      <c r="F483" s="79" t="s">
        <v>270</v>
      </c>
      <c r="G483" s="79" t="s">
        <v>271</v>
      </c>
      <c r="H483" s="79" t="s">
        <v>272</v>
      </c>
      <c r="I483" s="79" t="s">
        <v>273</v>
      </c>
      <c r="J483" s="80" t="s">
        <v>274</v>
      </c>
    </row>
    <row r="484" spans="1:10" x14ac:dyDescent="0.2">
      <c r="A484" s="17"/>
      <c r="B484" s="264" t="s">
        <v>288</v>
      </c>
      <c r="C484" s="17"/>
      <c r="D484" s="79">
        <v>108</v>
      </c>
      <c r="E484" s="79"/>
      <c r="F484" s="79"/>
      <c r="G484" s="79"/>
      <c r="H484" s="79"/>
      <c r="I484" s="79"/>
      <c r="J484" s="80">
        <f>D484</f>
        <v>108</v>
      </c>
    </row>
    <row r="485" spans="1:10" x14ac:dyDescent="0.2">
      <c r="A485" s="17"/>
      <c r="B485" s="264" t="s">
        <v>276</v>
      </c>
      <c r="C485" s="17"/>
      <c r="D485" s="79">
        <v>107</v>
      </c>
      <c r="E485" s="79"/>
      <c r="F485" s="79"/>
      <c r="G485" s="79"/>
      <c r="H485" s="79"/>
      <c r="I485" s="79"/>
      <c r="J485" s="80">
        <f t="shared" ref="J485:J492" si="55">D485</f>
        <v>107</v>
      </c>
    </row>
    <row r="486" spans="1:10" x14ac:dyDescent="0.2">
      <c r="A486" s="17"/>
      <c r="B486" s="250" t="s">
        <v>277</v>
      </c>
      <c r="C486" s="17"/>
      <c r="D486" s="79">
        <v>82.5</v>
      </c>
      <c r="E486" s="79"/>
      <c r="F486" s="79"/>
      <c r="G486" s="79"/>
      <c r="H486" s="79"/>
      <c r="I486" s="79"/>
      <c r="J486" s="80">
        <f t="shared" si="55"/>
        <v>82.5</v>
      </c>
    </row>
    <row r="487" spans="1:10" x14ac:dyDescent="0.2">
      <c r="A487" s="17"/>
      <c r="B487" s="250" t="s">
        <v>278</v>
      </c>
      <c r="C487" s="17"/>
      <c r="D487" s="79">
        <v>194</v>
      </c>
      <c r="E487" s="79"/>
      <c r="F487" s="79"/>
      <c r="G487" s="79"/>
      <c r="H487" s="79"/>
      <c r="I487" s="79"/>
      <c r="J487" s="80">
        <f t="shared" si="55"/>
        <v>194</v>
      </c>
    </row>
    <row r="488" spans="1:10" x14ac:dyDescent="0.2">
      <c r="A488" s="17"/>
      <c r="B488" s="250" t="s">
        <v>279</v>
      </c>
      <c r="C488" s="17"/>
      <c r="D488" s="79">
        <v>137</v>
      </c>
      <c r="E488" s="79"/>
      <c r="F488" s="79"/>
      <c r="G488" s="79"/>
      <c r="H488" s="79"/>
      <c r="I488" s="79"/>
      <c r="J488" s="80">
        <f t="shared" si="55"/>
        <v>137</v>
      </c>
    </row>
    <row r="489" spans="1:10" x14ac:dyDescent="0.2">
      <c r="A489" s="17"/>
      <c r="B489" s="250" t="s">
        <v>280</v>
      </c>
      <c r="C489" s="17"/>
      <c r="D489" s="79">
        <v>103</v>
      </c>
      <c r="E489" s="79"/>
      <c r="F489" s="79"/>
      <c r="G489" s="79"/>
      <c r="H489" s="79"/>
      <c r="I489" s="79"/>
      <c r="J489" s="80">
        <f t="shared" si="55"/>
        <v>103</v>
      </c>
    </row>
    <row r="490" spans="1:10" x14ac:dyDescent="0.2">
      <c r="A490" s="17"/>
      <c r="B490" s="250" t="s">
        <v>284</v>
      </c>
      <c r="C490" s="17"/>
      <c r="D490" s="79">
        <v>99.5</v>
      </c>
      <c r="E490" s="79"/>
      <c r="F490" s="79"/>
      <c r="G490" s="79"/>
      <c r="H490" s="79"/>
      <c r="I490" s="79"/>
      <c r="J490" s="80">
        <f t="shared" si="55"/>
        <v>99.5</v>
      </c>
    </row>
    <row r="491" spans="1:10" x14ac:dyDescent="0.2">
      <c r="A491" s="17"/>
      <c r="B491" s="250" t="s">
        <v>281</v>
      </c>
      <c r="C491" s="17"/>
      <c r="D491" s="79">
        <v>120</v>
      </c>
      <c r="E491" s="79"/>
      <c r="F491" s="79"/>
      <c r="G491" s="79"/>
      <c r="H491" s="79"/>
      <c r="I491" s="79"/>
      <c r="J491" s="80">
        <f t="shared" si="55"/>
        <v>120</v>
      </c>
    </row>
    <row r="492" spans="1:10" x14ac:dyDescent="0.2">
      <c r="A492" s="17"/>
      <c r="B492" s="250" t="s">
        <v>282</v>
      </c>
      <c r="C492" s="17"/>
      <c r="D492" s="79">
        <v>180</v>
      </c>
      <c r="E492" s="79"/>
      <c r="F492" s="79"/>
      <c r="G492" s="79"/>
      <c r="H492" s="79"/>
      <c r="I492" s="79"/>
      <c r="J492" s="80">
        <f t="shared" si="55"/>
        <v>180</v>
      </c>
    </row>
    <row r="493" spans="1:10" x14ac:dyDescent="0.2">
      <c r="A493" s="17"/>
      <c r="B493" s="88"/>
      <c r="C493" s="17"/>
      <c r="D493" s="79"/>
      <c r="E493" s="79"/>
      <c r="F493" s="79"/>
      <c r="G493" s="79"/>
      <c r="H493" s="79"/>
      <c r="I493" s="79"/>
      <c r="J493" s="80"/>
    </row>
    <row r="494" spans="1:10" x14ac:dyDescent="0.2">
      <c r="A494" s="17"/>
      <c r="B494" s="18"/>
      <c r="C494" s="17"/>
      <c r="D494" s="73"/>
      <c r="E494" s="73"/>
      <c r="F494" s="73"/>
      <c r="G494" s="73"/>
      <c r="H494" s="73"/>
      <c r="I494" s="77" t="s">
        <v>283</v>
      </c>
      <c r="J494" s="76">
        <f>SUM(J484:J492)</f>
        <v>1131</v>
      </c>
    </row>
    <row r="495" spans="1:10" x14ac:dyDescent="0.2">
      <c r="A495" s="17"/>
      <c r="B495" s="71"/>
      <c r="C495" s="17"/>
      <c r="D495" s="73"/>
      <c r="E495" s="36"/>
      <c r="F495" s="73"/>
      <c r="G495" s="73"/>
      <c r="H495" s="73"/>
      <c r="I495" s="73"/>
      <c r="J495" s="73"/>
    </row>
    <row r="496" spans="1:10" ht="25.5" x14ac:dyDescent="0.2">
      <c r="A496" s="17" t="str">
        <f>'PLANILHA ORÇAMENTÁRIA'!A90</f>
        <v>11.2.3</v>
      </c>
      <c r="B496" s="18" t="str">
        <f>'PLANILHA ORÇAMENTÁRIA'!D90</f>
        <v xml:space="preserve">Patch Cord Multilan Extra Flexível CAT 5e U/UTP RJ-45 - 1,50 m </v>
      </c>
      <c r="C496" s="17" t="str">
        <f>'PLANILHA ORÇAMENTÁRIA'!E90</f>
        <v xml:space="preserve">und </v>
      </c>
      <c r="D496" s="79" t="s">
        <v>268</v>
      </c>
      <c r="E496" s="79" t="s">
        <v>269</v>
      </c>
      <c r="F496" s="79" t="s">
        <v>270</v>
      </c>
      <c r="G496" s="79" t="s">
        <v>271</v>
      </c>
      <c r="H496" s="79" t="s">
        <v>272</v>
      </c>
      <c r="I496" s="79" t="s">
        <v>273</v>
      </c>
      <c r="J496" s="80" t="s">
        <v>274</v>
      </c>
    </row>
    <row r="497" spans="1:10" x14ac:dyDescent="0.2">
      <c r="A497" s="17"/>
      <c r="B497" s="264" t="s">
        <v>288</v>
      </c>
      <c r="C497" s="17"/>
      <c r="D497" s="79">
        <v>9</v>
      </c>
      <c r="E497" s="79"/>
      <c r="F497" s="79"/>
      <c r="G497" s="79"/>
      <c r="H497" s="79"/>
      <c r="I497" s="79"/>
      <c r="J497" s="80">
        <f>D497</f>
        <v>9</v>
      </c>
    </row>
    <row r="498" spans="1:10" x14ac:dyDescent="0.2">
      <c r="A498" s="17"/>
      <c r="B498" s="264" t="s">
        <v>276</v>
      </c>
      <c r="C498" s="17"/>
      <c r="D498" s="79">
        <v>12</v>
      </c>
      <c r="E498" s="79"/>
      <c r="F498" s="79"/>
      <c r="G498" s="79"/>
      <c r="H498" s="79"/>
      <c r="I498" s="79"/>
      <c r="J498" s="80">
        <f t="shared" ref="J498:J505" si="56">D498</f>
        <v>12</v>
      </c>
    </row>
    <row r="499" spans="1:10" x14ac:dyDescent="0.2">
      <c r="A499" s="17"/>
      <c r="B499" s="250" t="s">
        <v>277</v>
      </c>
      <c r="C499" s="17"/>
      <c r="D499" s="79">
        <v>6</v>
      </c>
      <c r="E499" s="79"/>
      <c r="F499" s="79"/>
      <c r="G499" s="79"/>
      <c r="H499" s="79"/>
      <c r="I499" s="79"/>
      <c r="J499" s="80">
        <f t="shared" si="56"/>
        <v>6</v>
      </c>
    </row>
    <row r="500" spans="1:10" x14ac:dyDescent="0.2">
      <c r="A500" s="17"/>
      <c r="B500" s="250" t="s">
        <v>278</v>
      </c>
      <c r="C500" s="17"/>
      <c r="D500" s="79">
        <v>20</v>
      </c>
      <c r="E500" s="79"/>
      <c r="F500" s="79"/>
      <c r="G500" s="79"/>
      <c r="H500" s="79"/>
      <c r="I500" s="79"/>
      <c r="J500" s="80">
        <f t="shared" si="56"/>
        <v>20</v>
      </c>
    </row>
    <row r="501" spans="1:10" x14ac:dyDescent="0.2">
      <c r="A501" s="17"/>
      <c r="B501" s="250" t="s">
        <v>279</v>
      </c>
      <c r="C501" s="17"/>
      <c r="D501" s="79">
        <v>12</v>
      </c>
      <c r="E501" s="79"/>
      <c r="F501" s="79"/>
      <c r="G501" s="79"/>
      <c r="H501" s="79"/>
      <c r="I501" s="79"/>
      <c r="J501" s="80">
        <f t="shared" si="56"/>
        <v>12</v>
      </c>
    </row>
    <row r="502" spans="1:10" x14ac:dyDescent="0.2">
      <c r="A502" s="17"/>
      <c r="B502" s="250" t="s">
        <v>280</v>
      </c>
      <c r="C502" s="17"/>
      <c r="D502" s="79">
        <v>12</v>
      </c>
      <c r="E502" s="79"/>
      <c r="F502" s="79"/>
      <c r="G502" s="79"/>
      <c r="H502" s="79"/>
      <c r="I502" s="79"/>
      <c r="J502" s="80">
        <f t="shared" si="56"/>
        <v>12</v>
      </c>
    </row>
    <row r="503" spans="1:10" x14ac:dyDescent="0.2">
      <c r="A503" s="17"/>
      <c r="B503" s="250" t="s">
        <v>284</v>
      </c>
      <c r="C503" s="17"/>
      <c r="D503" s="79">
        <v>12</v>
      </c>
      <c r="E503" s="79"/>
      <c r="F503" s="79"/>
      <c r="G503" s="79"/>
      <c r="H503" s="79"/>
      <c r="I503" s="79"/>
      <c r="J503" s="80">
        <f t="shared" si="56"/>
        <v>12</v>
      </c>
    </row>
    <row r="504" spans="1:10" x14ac:dyDescent="0.2">
      <c r="A504" s="17"/>
      <c r="B504" s="250" t="s">
        <v>281</v>
      </c>
      <c r="C504" s="17"/>
      <c r="D504" s="79">
        <v>16</v>
      </c>
      <c r="E504" s="79"/>
      <c r="F504" s="79"/>
      <c r="G504" s="79"/>
      <c r="H504" s="79"/>
      <c r="I504" s="79"/>
      <c r="J504" s="80">
        <f t="shared" si="56"/>
        <v>16</v>
      </c>
    </row>
    <row r="505" spans="1:10" x14ac:dyDescent="0.2">
      <c r="A505" s="17"/>
      <c r="B505" s="250" t="s">
        <v>282</v>
      </c>
      <c r="C505" s="17"/>
      <c r="D505" s="79">
        <v>24</v>
      </c>
      <c r="E505" s="73"/>
      <c r="F505" s="73"/>
      <c r="G505" s="73"/>
      <c r="H505" s="73"/>
      <c r="I505" s="73"/>
      <c r="J505" s="80">
        <f t="shared" si="56"/>
        <v>24</v>
      </c>
    </row>
    <row r="506" spans="1:10" x14ac:dyDescent="0.2">
      <c r="A506" s="17"/>
      <c r="B506" s="359" t="s">
        <v>621</v>
      </c>
      <c r="C506" s="17"/>
      <c r="D506" s="73"/>
      <c r="E506" s="73"/>
      <c r="F506" s="73"/>
      <c r="G506" s="73"/>
      <c r="H506" s="73"/>
      <c r="I506" s="73"/>
      <c r="J506" s="73"/>
    </row>
    <row r="507" spans="1:10" x14ac:dyDescent="0.2">
      <c r="A507" s="17"/>
      <c r="B507" s="18"/>
      <c r="C507" s="17"/>
      <c r="D507" s="73"/>
      <c r="E507" s="73"/>
      <c r="F507" s="73"/>
      <c r="G507" s="73"/>
      <c r="H507" s="73"/>
      <c r="I507" s="77" t="s">
        <v>283</v>
      </c>
      <c r="J507" s="76">
        <f>SUM(J497:J506)</f>
        <v>123</v>
      </c>
    </row>
    <row r="508" spans="1:10" x14ac:dyDescent="0.2">
      <c r="A508" s="17"/>
      <c r="B508" s="18"/>
      <c r="C508" s="17"/>
      <c r="D508" s="73"/>
      <c r="E508" s="73"/>
      <c r="F508" s="73"/>
      <c r="G508" s="73"/>
      <c r="H508" s="73"/>
      <c r="I508" s="249"/>
      <c r="J508" s="73"/>
    </row>
    <row r="509" spans="1:10" ht="25.5" x14ac:dyDescent="0.2">
      <c r="A509" s="17" t="str">
        <f>'PLANILHA ORÇAMENTÁRIA'!A91</f>
        <v>11.2.4</v>
      </c>
      <c r="B509" s="18" t="str">
        <f>'PLANILHA ORÇAMENTÁRIA'!D91</f>
        <v xml:space="preserve">Patch Cord Multilan Extra Flexível CAT 5e U/UTP RJ-45 - 3,00 m </v>
      </c>
      <c r="C509" s="17" t="str">
        <f>'PLANILHA ORÇAMENTÁRIA'!E91</f>
        <v xml:space="preserve">und </v>
      </c>
      <c r="D509" s="79" t="s">
        <v>268</v>
      </c>
      <c r="E509" s="79" t="s">
        <v>269</v>
      </c>
      <c r="F509" s="79" t="s">
        <v>270</v>
      </c>
      <c r="G509" s="79" t="s">
        <v>271</v>
      </c>
      <c r="H509" s="79" t="s">
        <v>272</v>
      </c>
      <c r="I509" s="79" t="s">
        <v>273</v>
      </c>
      <c r="J509" s="80" t="s">
        <v>274</v>
      </c>
    </row>
    <row r="510" spans="1:10" x14ac:dyDescent="0.2">
      <c r="A510" s="17"/>
      <c r="B510" s="250" t="s">
        <v>279</v>
      </c>
      <c r="C510" s="17"/>
      <c r="D510" s="79">
        <v>3</v>
      </c>
      <c r="E510" s="79"/>
      <c r="F510" s="79"/>
      <c r="G510" s="79"/>
      <c r="H510" s="79"/>
      <c r="I510" s="79"/>
      <c r="J510" s="80">
        <f t="shared" ref="J510:J512" si="57">D510</f>
        <v>3</v>
      </c>
    </row>
    <row r="511" spans="1:10" x14ac:dyDescent="0.2">
      <c r="A511" s="17"/>
      <c r="B511" s="250" t="s">
        <v>281</v>
      </c>
      <c r="C511" s="17"/>
      <c r="D511" s="79">
        <v>4</v>
      </c>
      <c r="E511" s="79"/>
      <c r="F511" s="79"/>
      <c r="G511" s="79"/>
      <c r="H511" s="79"/>
      <c r="I511" s="79"/>
      <c r="J511" s="80">
        <f t="shared" si="57"/>
        <v>4</v>
      </c>
    </row>
    <row r="512" spans="1:10" x14ac:dyDescent="0.2">
      <c r="A512" s="17"/>
      <c r="B512" s="250" t="s">
        <v>282</v>
      </c>
      <c r="C512" s="17"/>
      <c r="D512" s="79">
        <v>12</v>
      </c>
      <c r="E512" s="73"/>
      <c r="F512" s="73"/>
      <c r="G512" s="73"/>
      <c r="H512" s="73"/>
      <c r="I512" s="73"/>
      <c r="J512" s="80">
        <f t="shared" si="57"/>
        <v>12</v>
      </c>
    </row>
    <row r="513" spans="1:10" x14ac:dyDescent="0.2">
      <c r="A513" s="17"/>
      <c r="B513" s="359" t="s">
        <v>621</v>
      </c>
      <c r="C513" s="17"/>
      <c r="D513" s="73"/>
      <c r="E513" s="73"/>
      <c r="F513" s="73"/>
      <c r="G513" s="73"/>
      <c r="H513" s="73"/>
      <c r="I513" s="73"/>
      <c r="J513" s="73"/>
    </row>
    <row r="514" spans="1:10" x14ac:dyDescent="0.2">
      <c r="A514" s="17"/>
      <c r="B514" s="18"/>
      <c r="C514" s="17"/>
      <c r="D514" s="73"/>
      <c r="E514" s="73"/>
      <c r="F514" s="73"/>
      <c r="G514" s="73"/>
      <c r="H514" s="73"/>
      <c r="I514" s="77" t="s">
        <v>283</v>
      </c>
      <c r="J514" s="76">
        <f>SUM(J510:J513)</f>
        <v>19</v>
      </c>
    </row>
    <row r="515" spans="1:10" x14ac:dyDescent="0.2">
      <c r="A515" s="17"/>
      <c r="B515" s="71"/>
      <c r="C515" s="17"/>
      <c r="D515" s="73"/>
      <c r="E515" s="36"/>
      <c r="F515" s="73"/>
      <c r="G515" s="73"/>
      <c r="H515" s="73"/>
      <c r="I515" s="73"/>
      <c r="J515" s="73"/>
    </row>
    <row r="516" spans="1:10" ht="25.5" x14ac:dyDescent="0.2">
      <c r="A516" s="17" t="str">
        <f>'PLANILHA ORÇAMENTÁRIA'!A92</f>
        <v>11.2.5</v>
      </c>
      <c r="B516" s="18" t="str">
        <f>'PLANILHA ORÇAMENTÁRIA'!D92</f>
        <v xml:space="preserve">Espelho 4" x 4" com 2 conector RJ 45 fêmea CAT. 5e und </v>
      </c>
      <c r="C516" s="17" t="str">
        <f>'PLANILHA ORÇAMENTÁRIA'!E92</f>
        <v xml:space="preserve">und </v>
      </c>
      <c r="D516" s="79" t="s">
        <v>268</v>
      </c>
      <c r="E516" s="79" t="s">
        <v>269</v>
      </c>
      <c r="F516" s="79" t="s">
        <v>270</v>
      </c>
      <c r="G516" s="79" t="s">
        <v>271</v>
      </c>
      <c r="H516" s="79" t="s">
        <v>272</v>
      </c>
      <c r="I516" s="79" t="s">
        <v>273</v>
      </c>
      <c r="J516" s="80" t="s">
        <v>274</v>
      </c>
    </row>
    <row r="517" spans="1:10" x14ac:dyDescent="0.2">
      <c r="A517" s="17"/>
      <c r="B517" s="264" t="s">
        <v>288</v>
      </c>
      <c r="C517" s="17"/>
      <c r="D517" s="79">
        <v>3</v>
      </c>
      <c r="E517" s="79"/>
      <c r="F517" s="79"/>
      <c r="G517" s="79"/>
      <c r="H517" s="79"/>
      <c r="I517" s="79"/>
      <c r="J517" s="80">
        <f>D517</f>
        <v>3</v>
      </c>
    </row>
    <row r="518" spans="1:10" x14ac:dyDescent="0.2">
      <c r="A518" s="17"/>
      <c r="B518" s="264" t="s">
        <v>276</v>
      </c>
      <c r="C518" s="17"/>
      <c r="D518" s="79">
        <v>6</v>
      </c>
      <c r="E518" s="79"/>
      <c r="F518" s="79"/>
      <c r="G518" s="79"/>
      <c r="H518" s="79"/>
      <c r="I518" s="79"/>
      <c r="J518" s="80">
        <f t="shared" ref="J518:J525" si="58">D518</f>
        <v>6</v>
      </c>
    </row>
    <row r="519" spans="1:10" x14ac:dyDescent="0.2">
      <c r="A519" s="17"/>
      <c r="B519" s="250" t="s">
        <v>277</v>
      </c>
      <c r="C519" s="17"/>
      <c r="D519" s="79">
        <v>6</v>
      </c>
      <c r="E519" s="79"/>
      <c r="F519" s="79"/>
      <c r="G519" s="79"/>
      <c r="H519" s="79"/>
      <c r="I519" s="79"/>
      <c r="J519" s="80">
        <f t="shared" si="58"/>
        <v>6</v>
      </c>
    </row>
    <row r="520" spans="1:10" x14ac:dyDescent="0.2">
      <c r="A520" s="17"/>
      <c r="B520" s="250" t="s">
        <v>278</v>
      </c>
      <c r="C520" s="17"/>
      <c r="D520" s="79">
        <v>10</v>
      </c>
      <c r="E520" s="79"/>
      <c r="F520" s="79"/>
      <c r="G520" s="79"/>
      <c r="H520" s="79"/>
      <c r="I520" s="79"/>
      <c r="J520" s="80">
        <f t="shared" si="58"/>
        <v>10</v>
      </c>
    </row>
    <row r="521" spans="1:10" x14ac:dyDescent="0.2">
      <c r="A521" s="17"/>
      <c r="B521" s="250" t="s">
        <v>279</v>
      </c>
      <c r="C521" s="17"/>
      <c r="D521" s="79">
        <v>6</v>
      </c>
      <c r="E521" s="79"/>
      <c r="F521" s="79"/>
      <c r="G521" s="79"/>
      <c r="H521" s="79"/>
      <c r="I521" s="79"/>
      <c r="J521" s="80">
        <f t="shared" si="58"/>
        <v>6</v>
      </c>
    </row>
    <row r="522" spans="1:10" x14ac:dyDescent="0.2">
      <c r="A522" s="17"/>
      <c r="B522" s="250" t="s">
        <v>280</v>
      </c>
      <c r="C522" s="17"/>
      <c r="D522" s="79">
        <v>6</v>
      </c>
      <c r="E522" s="79"/>
      <c r="F522" s="79"/>
      <c r="G522" s="79"/>
      <c r="H522" s="79"/>
      <c r="I522" s="79"/>
      <c r="J522" s="80">
        <f t="shared" si="58"/>
        <v>6</v>
      </c>
    </row>
    <row r="523" spans="1:10" x14ac:dyDescent="0.2">
      <c r="A523" s="17"/>
      <c r="B523" s="250" t="s">
        <v>284</v>
      </c>
      <c r="C523" s="17"/>
      <c r="D523" s="79">
        <v>6</v>
      </c>
      <c r="E523" s="79"/>
      <c r="F523" s="79"/>
      <c r="G523" s="79"/>
      <c r="H523" s="79"/>
      <c r="I523" s="79"/>
      <c r="J523" s="80">
        <f t="shared" si="58"/>
        <v>6</v>
      </c>
    </row>
    <row r="524" spans="1:10" x14ac:dyDescent="0.2">
      <c r="A524" s="17"/>
      <c r="B524" s="250" t="s">
        <v>281</v>
      </c>
      <c r="C524" s="17"/>
      <c r="D524" s="79">
        <v>8</v>
      </c>
      <c r="E524" s="79"/>
      <c r="F524" s="79"/>
      <c r="G524" s="79"/>
      <c r="H524" s="79"/>
      <c r="I524" s="79"/>
      <c r="J524" s="80">
        <f t="shared" si="58"/>
        <v>8</v>
      </c>
    </row>
    <row r="525" spans="1:10" x14ac:dyDescent="0.2">
      <c r="A525" s="17"/>
      <c r="B525" s="250" t="s">
        <v>282</v>
      </c>
      <c r="C525" s="17"/>
      <c r="D525" s="79">
        <v>12</v>
      </c>
      <c r="E525" s="79"/>
      <c r="F525" s="79"/>
      <c r="G525" s="79"/>
      <c r="H525" s="79"/>
      <c r="I525" s="79"/>
      <c r="J525" s="80">
        <f t="shared" si="58"/>
        <v>12</v>
      </c>
    </row>
    <row r="526" spans="1:10" x14ac:dyDescent="0.2">
      <c r="A526" s="17"/>
      <c r="B526" s="18"/>
      <c r="C526" s="17"/>
      <c r="D526" s="79"/>
      <c r="E526" s="79"/>
      <c r="F526" s="79"/>
      <c r="G526" s="79"/>
      <c r="H526" s="79"/>
      <c r="I526" s="79"/>
      <c r="J526" s="80"/>
    </row>
    <row r="527" spans="1:10" x14ac:dyDescent="0.2">
      <c r="A527" s="17"/>
      <c r="B527" s="71"/>
      <c r="C527" s="17"/>
      <c r="D527" s="73"/>
      <c r="E527" s="73"/>
      <c r="F527" s="73"/>
      <c r="G527" s="73"/>
      <c r="H527" s="73"/>
      <c r="I527" s="73"/>
      <c r="J527" s="73"/>
    </row>
    <row r="528" spans="1:10" x14ac:dyDescent="0.2">
      <c r="A528" s="17"/>
      <c r="B528" s="71"/>
      <c r="C528" s="17"/>
      <c r="D528" s="73"/>
      <c r="E528" s="73"/>
      <c r="F528" s="73"/>
      <c r="G528" s="73"/>
      <c r="H528" s="73"/>
      <c r="I528" s="73"/>
      <c r="J528" s="73"/>
    </row>
    <row r="529" spans="1:10" x14ac:dyDescent="0.2">
      <c r="A529" s="17"/>
      <c r="B529" s="18"/>
      <c r="C529" s="17"/>
      <c r="D529" s="73"/>
      <c r="E529" s="73"/>
      <c r="F529" s="73"/>
      <c r="G529" s="73"/>
      <c r="H529" s="73"/>
      <c r="I529" s="77" t="s">
        <v>283</v>
      </c>
      <c r="J529" s="76">
        <f>SUM(J517:J528)</f>
        <v>63</v>
      </c>
    </row>
    <row r="530" spans="1:10" x14ac:dyDescent="0.2">
      <c r="A530" s="17"/>
      <c r="B530" s="71"/>
      <c r="C530" s="17"/>
      <c r="D530" s="73"/>
      <c r="E530" s="36"/>
      <c r="F530" s="73"/>
      <c r="G530" s="73"/>
      <c r="H530" s="73"/>
      <c r="I530" s="73"/>
      <c r="J530" s="73"/>
    </row>
    <row r="531" spans="1:10" ht="25.5" x14ac:dyDescent="0.2">
      <c r="A531" s="17" t="str">
        <f>'PLANILHA ORÇAMENTÁRIA'!A93</f>
        <v>11.2.6</v>
      </c>
      <c r="B531" s="88" t="str">
        <f>'PLANILHA ORÇAMENTÁRIA'!D93</f>
        <v xml:space="preserve">Eletroduto aparente de PVC rígido roscável diâmetro 1 1/2", inclusive abraçadeira de fixação </v>
      </c>
      <c r="C531" s="17" t="str">
        <f>'PLANILHA ORÇAMENTÁRIA'!E93</f>
        <v>m</v>
      </c>
      <c r="D531" s="79" t="s">
        <v>268</v>
      </c>
      <c r="E531" s="79" t="s">
        <v>269</v>
      </c>
      <c r="F531" s="79" t="s">
        <v>270</v>
      </c>
      <c r="G531" s="79" t="s">
        <v>271</v>
      </c>
      <c r="H531" s="79" t="s">
        <v>272</v>
      </c>
      <c r="I531" s="79" t="s">
        <v>273</v>
      </c>
      <c r="J531" s="80" t="s">
        <v>274</v>
      </c>
    </row>
    <row r="532" spans="1:10" x14ac:dyDescent="0.2">
      <c r="A532" s="17"/>
      <c r="B532" s="264" t="s">
        <v>288</v>
      </c>
      <c r="C532" s="17"/>
      <c r="D532" s="79">
        <v>21.32</v>
      </c>
      <c r="E532" s="79"/>
      <c r="F532" s="79"/>
      <c r="G532" s="79"/>
      <c r="H532" s="79"/>
      <c r="I532" s="79"/>
      <c r="J532" s="80">
        <f>D532</f>
        <v>21.32</v>
      </c>
    </row>
    <row r="533" spans="1:10" x14ac:dyDescent="0.2">
      <c r="A533" s="17"/>
      <c r="B533" s="264" t="s">
        <v>276</v>
      </c>
      <c r="C533" s="17"/>
      <c r="D533" s="79">
        <v>21.2</v>
      </c>
      <c r="E533" s="79"/>
      <c r="F533" s="79"/>
      <c r="G533" s="79"/>
      <c r="H533" s="79"/>
      <c r="I533" s="79"/>
      <c r="J533" s="80">
        <f t="shared" ref="J533:J538" si="59">D533</f>
        <v>21.2</v>
      </c>
    </row>
    <row r="534" spans="1:10" x14ac:dyDescent="0.2">
      <c r="A534" s="17"/>
      <c r="B534" s="250" t="s">
        <v>277</v>
      </c>
      <c r="C534" s="17"/>
      <c r="D534" s="79">
        <v>20.399999999999999</v>
      </c>
      <c r="E534" s="79"/>
      <c r="F534" s="79"/>
      <c r="G534" s="79"/>
      <c r="H534" s="79"/>
      <c r="I534" s="79"/>
      <c r="J534" s="80">
        <f t="shared" si="59"/>
        <v>20.399999999999999</v>
      </c>
    </row>
    <row r="535" spans="1:10" x14ac:dyDescent="0.2">
      <c r="A535" s="17"/>
      <c r="B535" s="250" t="s">
        <v>279</v>
      </c>
      <c r="C535" s="17"/>
      <c r="D535" s="79">
        <v>19</v>
      </c>
      <c r="E535" s="79"/>
      <c r="F535" s="79"/>
      <c r="G535" s="79"/>
      <c r="H535" s="79"/>
      <c r="I535" s="79"/>
      <c r="J535" s="80">
        <f t="shared" si="59"/>
        <v>19</v>
      </c>
    </row>
    <row r="536" spans="1:10" x14ac:dyDescent="0.2">
      <c r="A536" s="17"/>
      <c r="B536" s="250" t="s">
        <v>280</v>
      </c>
      <c r="C536" s="17"/>
      <c r="D536" s="79">
        <v>24</v>
      </c>
      <c r="E536" s="79"/>
      <c r="F536" s="79"/>
      <c r="G536" s="79"/>
      <c r="H536" s="79"/>
      <c r="I536" s="79"/>
      <c r="J536" s="80">
        <f t="shared" si="59"/>
        <v>24</v>
      </c>
    </row>
    <row r="537" spans="1:10" x14ac:dyDescent="0.2">
      <c r="A537" s="17"/>
      <c r="B537" s="250" t="s">
        <v>284</v>
      </c>
      <c r="C537" s="17"/>
      <c r="D537" s="79">
        <v>26.33</v>
      </c>
      <c r="E537" s="79"/>
      <c r="F537" s="79"/>
      <c r="G537" s="79"/>
      <c r="H537" s="79"/>
      <c r="I537" s="79"/>
      <c r="J537" s="80">
        <f t="shared" si="59"/>
        <v>26.33</v>
      </c>
    </row>
    <row r="538" spans="1:10" x14ac:dyDescent="0.2">
      <c r="A538" s="17"/>
      <c r="B538" s="250" t="s">
        <v>281</v>
      </c>
      <c r="C538" s="17"/>
      <c r="D538" s="79">
        <v>31</v>
      </c>
      <c r="E538" s="79"/>
      <c r="F538" s="79"/>
      <c r="G538" s="79"/>
      <c r="H538" s="79"/>
      <c r="I538" s="79"/>
      <c r="J538" s="80">
        <f t="shared" si="59"/>
        <v>31</v>
      </c>
    </row>
    <row r="539" spans="1:10" x14ac:dyDescent="0.2">
      <c r="A539" s="17"/>
      <c r="B539" s="250"/>
      <c r="C539" s="17"/>
      <c r="D539" s="79"/>
      <c r="E539" s="79"/>
      <c r="F539" s="79"/>
      <c r="G539" s="79"/>
      <c r="H539" s="79"/>
      <c r="I539" s="79"/>
      <c r="J539" s="80"/>
    </row>
    <row r="540" spans="1:10" x14ac:dyDescent="0.2">
      <c r="A540" s="17"/>
      <c r="B540" s="88"/>
      <c r="C540" s="17"/>
      <c r="D540" s="79"/>
      <c r="E540" s="79"/>
      <c r="F540" s="79"/>
      <c r="G540" s="79"/>
      <c r="H540" s="79"/>
      <c r="I540" s="79"/>
      <c r="J540" s="80"/>
    </row>
    <row r="541" spans="1:10" x14ac:dyDescent="0.2">
      <c r="A541" s="17"/>
      <c r="B541" s="18"/>
      <c r="C541" s="17"/>
      <c r="D541" s="73"/>
      <c r="E541" s="73"/>
      <c r="F541" s="73"/>
      <c r="G541" s="73"/>
      <c r="H541" s="73"/>
      <c r="I541" s="77" t="s">
        <v>283</v>
      </c>
      <c r="J541" s="76">
        <f>SUM(J532:J538)</f>
        <v>163.25</v>
      </c>
    </row>
    <row r="542" spans="1:10" x14ac:dyDescent="0.2">
      <c r="A542" s="17"/>
      <c r="B542" s="71"/>
      <c r="C542" s="17"/>
      <c r="D542" s="73"/>
      <c r="E542" s="36"/>
      <c r="F542" s="73"/>
      <c r="G542" s="73"/>
      <c r="H542" s="73"/>
      <c r="I542" s="73"/>
      <c r="J542" s="73"/>
    </row>
    <row r="543" spans="1:10" ht="25.5" x14ac:dyDescent="0.2">
      <c r="A543" s="17" t="str">
        <f>'PLANILHA ORÇAMENTÁRIA'!A94</f>
        <v>11.2.7</v>
      </c>
      <c r="B543" s="18" t="str">
        <f>'PLANILHA ORÇAMENTÁRIA'!D94</f>
        <v xml:space="preserve">Eletroduto aparente de PVC rígido roscável diâmetro 2", inclusive abraçadeira de fixação </v>
      </c>
      <c r="C543" s="17" t="str">
        <f>'PLANILHA ORÇAMENTÁRIA'!E94</f>
        <v>m</v>
      </c>
      <c r="D543" s="79" t="s">
        <v>268</v>
      </c>
      <c r="E543" s="79" t="s">
        <v>269</v>
      </c>
      <c r="F543" s="79" t="s">
        <v>270</v>
      </c>
      <c r="G543" s="79" t="s">
        <v>271</v>
      </c>
      <c r="H543" s="79" t="s">
        <v>272</v>
      </c>
      <c r="I543" s="79" t="s">
        <v>273</v>
      </c>
      <c r="J543" s="80" t="s">
        <v>274</v>
      </c>
    </row>
    <row r="544" spans="1:10" x14ac:dyDescent="0.2">
      <c r="A544" s="17"/>
      <c r="B544" s="250" t="s">
        <v>278</v>
      </c>
      <c r="C544" s="17"/>
      <c r="D544" s="79">
        <v>35.5</v>
      </c>
      <c r="E544" s="79"/>
      <c r="F544" s="79"/>
      <c r="G544" s="79"/>
      <c r="H544" s="79"/>
      <c r="I544" s="79"/>
      <c r="J544" s="80">
        <f>D544</f>
        <v>35.5</v>
      </c>
    </row>
    <row r="545" spans="1:10" x14ac:dyDescent="0.2">
      <c r="A545" s="17"/>
      <c r="B545" s="250" t="s">
        <v>282</v>
      </c>
      <c r="C545" s="17"/>
      <c r="D545" s="79">
        <v>47</v>
      </c>
      <c r="E545" s="79"/>
      <c r="F545" s="79"/>
      <c r="G545" s="79"/>
      <c r="H545" s="79"/>
      <c r="I545" s="79"/>
      <c r="J545" s="80">
        <f>D545</f>
        <v>47</v>
      </c>
    </row>
    <row r="546" spans="1:10" x14ac:dyDescent="0.2">
      <c r="A546" s="17"/>
      <c r="B546" s="18"/>
      <c r="C546" s="17"/>
      <c r="D546" s="79"/>
      <c r="E546" s="79"/>
      <c r="F546" s="79"/>
      <c r="G546" s="79"/>
      <c r="H546" s="79"/>
      <c r="I546" s="79"/>
      <c r="J546" s="80"/>
    </row>
    <row r="547" spans="1:10" x14ac:dyDescent="0.2">
      <c r="A547" s="17"/>
      <c r="B547" s="18"/>
      <c r="C547" s="17"/>
      <c r="D547" s="73"/>
      <c r="E547" s="73"/>
      <c r="F547" s="73"/>
      <c r="G547" s="73"/>
      <c r="H547" s="73"/>
      <c r="I547" s="77" t="s">
        <v>283</v>
      </c>
      <c r="J547" s="76">
        <f>SUM(J544:J545)</f>
        <v>82.5</v>
      </c>
    </row>
    <row r="548" spans="1:10" x14ac:dyDescent="0.2">
      <c r="A548" s="17"/>
      <c r="B548" s="71"/>
      <c r="C548" s="17"/>
      <c r="D548" s="73"/>
      <c r="E548" s="36"/>
      <c r="F548" s="73"/>
      <c r="G548" s="73"/>
      <c r="H548" s="73"/>
      <c r="I548" s="73"/>
      <c r="J548" s="73"/>
    </row>
    <row r="549" spans="1:10" ht="25.5" x14ac:dyDescent="0.2">
      <c r="A549" s="17" t="str">
        <f>'PLANILHA ORÇAMENTÁRIA'!A95</f>
        <v>11.2.8</v>
      </c>
      <c r="B549" s="88" t="str">
        <f>'PLANILHA ORÇAMENTÁRIA'!D95</f>
        <v>Caixa de ligação de alumínio silício, tipo CONDULETES, sem rosca, inclusive tampa com vedação, diâmetro 1 1/2"</v>
      </c>
      <c r="C549" s="17" t="str">
        <f>'PLANILHA ORÇAMENTÁRIA'!E95</f>
        <v xml:space="preserve">und </v>
      </c>
      <c r="D549" s="79" t="s">
        <v>268</v>
      </c>
      <c r="E549" s="79" t="s">
        <v>269</v>
      </c>
      <c r="F549" s="79" t="s">
        <v>270</v>
      </c>
      <c r="G549" s="79" t="s">
        <v>271</v>
      </c>
      <c r="H549" s="79" t="s">
        <v>272</v>
      </c>
      <c r="I549" s="79" t="s">
        <v>273</v>
      </c>
      <c r="J549" s="80" t="s">
        <v>274</v>
      </c>
    </row>
    <row r="550" spans="1:10" x14ac:dyDescent="0.2">
      <c r="A550" s="17"/>
      <c r="B550" s="264" t="s">
        <v>288</v>
      </c>
      <c r="C550" s="17"/>
      <c r="D550" s="79">
        <v>6</v>
      </c>
      <c r="E550" s="79"/>
      <c r="F550" s="79"/>
      <c r="G550" s="79"/>
      <c r="H550" s="79"/>
      <c r="I550" s="79"/>
      <c r="J550" s="80">
        <f>D550</f>
        <v>6</v>
      </c>
    </row>
    <row r="551" spans="1:10" x14ac:dyDescent="0.2">
      <c r="A551" s="17"/>
      <c r="B551" s="264" t="s">
        <v>276</v>
      </c>
      <c r="C551" s="17"/>
      <c r="D551" s="79">
        <v>6</v>
      </c>
      <c r="E551" s="79"/>
      <c r="F551" s="79"/>
      <c r="G551" s="79"/>
      <c r="H551" s="79"/>
      <c r="I551" s="79"/>
      <c r="J551" s="80">
        <f t="shared" ref="J551:J559" si="60">D551</f>
        <v>6</v>
      </c>
    </row>
    <row r="552" spans="1:10" x14ac:dyDescent="0.2">
      <c r="A552" s="17"/>
      <c r="B552" s="250" t="s">
        <v>277</v>
      </c>
      <c r="C552" s="17"/>
      <c r="D552" s="79">
        <v>6</v>
      </c>
      <c r="E552" s="79"/>
      <c r="F552" s="79"/>
      <c r="G552" s="79"/>
      <c r="H552" s="79"/>
      <c r="I552" s="79"/>
      <c r="J552" s="80">
        <f t="shared" si="60"/>
        <v>6</v>
      </c>
    </row>
    <row r="553" spans="1:10" x14ac:dyDescent="0.2">
      <c r="A553" s="17"/>
      <c r="B553" s="250" t="s">
        <v>278</v>
      </c>
      <c r="C553" s="17"/>
      <c r="D553" s="79">
        <v>10</v>
      </c>
      <c r="E553" s="79"/>
      <c r="F553" s="79"/>
      <c r="G553" s="79"/>
      <c r="H553" s="79"/>
      <c r="I553" s="79"/>
      <c r="J553" s="80">
        <f t="shared" si="60"/>
        <v>10</v>
      </c>
    </row>
    <row r="554" spans="1:10" x14ac:dyDescent="0.2">
      <c r="A554" s="17"/>
      <c r="B554" s="250" t="s">
        <v>279</v>
      </c>
      <c r="C554" s="17"/>
      <c r="D554" s="79">
        <v>9</v>
      </c>
      <c r="E554" s="79"/>
      <c r="F554" s="79"/>
      <c r="G554" s="79"/>
      <c r="H554" s="79"/>
      <c r="I554" s="79"/>
      <c r="J554" s="80">
        <f t="shared" si="60"/>
        <v>9</v>
      </c>
    </row>
    <row r="555" spans="1:10" x14ac:dyDescent="0.2">
      <c r="A555" s="17"/>
      <c r="B555" s="250" t="s">
        <v>280</v>
      </c>
      <c r="C555" s="17"/>
      <c r="D555" s="79">
        <v>8</v>
      </c>
      <c r="E555" s="79"/>
      <c r="F555" s="79"/>
      <c r="G555" s="79"/>
      <c r="H555" s="79"/>
      <c r="I555" s="79"/>
      <c r="J555" s="80">
        <f t="shared" si="60"/>
        <v>8</v>
      </c>
    </row>
    <row r="556" spans="1:10" x14ac:dyDescent="0.2">
      <c r="A556" s="17"/>
      <c r="B556" s="250" t="s">
        <v>284</v>
      </c>
      <c r="C556" s="17"/>
      <c r="D556" s="79">
        <v>6</v>
      </c>
      <c r="E556" s="79"/>
      <c r="F556" s="79"/>
      <c r="G556" s="79"/>
      <c r="H556" s="79"/>
      <c r="I556" s="79"/>
      <c r="J556" s="80">
        <f t="shared" si="60"/>
        <v>6</v>
      </c>
    </row>
    <row r="557" spans="1:10" x14ac:dyDescent="0.2">
      <c r="A557" s="17"/>
      <c r="B557" s="250" t="s">
        <v>281</v>
      </c>
      <c r="C557" s="17"/>
      <c r="D557" s="79">
        <v>12</v>
      </c>
      <c r="E557" s="79"/>
      <c r="F557" s="79"/>
      <c r="G557" s="79"/>
      <c r="H557" s="79"/>
      <c r="I557" s="79"/>
      <c r="J557" s="80">
        <f t="shared" si="60"/>
        <v>12</v>
      </c>
    </row>
    <row r="558" spans="1:10" x14ac:dyDescent="0.2">
      <c r="A558" s="17"/>
      <c r="B558" s="250" t="s">
        <v>282</v>
      </c>
      <c r="C558" s="17"/>
      <c r="D558" s="79">
        <v>24</v>
      </c>
      <c r="E558" s="73"/>
      <c r="F558" s="73"/>
      <c r="G558" s="73"/>
      <c r="H558" s="73"/>
      <c r="I558" s="73"/>
      <c r="J558" s="80">
        <f t="shared" si="60"/>
        <v>24</v>
      </c>
    </row>
    <row r="559" spans="1:10" x14ac:dyDescent="0.2">
      <c r="A559" s="17"/>
      <c r="B559" s="359" t="s">
        <v>622</v>
      </c>
      <c r="C559" s="17"/>
      <c r="D559" s="73">
        <f>7*4</f>
        <v>28</v>
      </c>
      <c r="E559" s="73"/>
      <c r="F559" s="73"/>
      <c r="G559" s="73"/>
      <c r="H559" s="73"/>
      <c r="I559" s="73"/>
      <c r="J559" s="80">
        <f t="shared" si="60"/>
        <v>28</v>
      </c>
    </row>
    <row r="560" spans="1:10" x14ac:dyDescent="0.2">
      <c r="A560" s="17"/>
      <c r="B560" s="18"/>
      <c r="C560" s="17"/>
      <c r="D560" s="73"/>
      <c r="E560" s="73"/>
      <c r="F560" s="73"/>
      <c r="G560" s="73"/>
      <c r="H560" s="73"/>
      <c r="I560" s="77" t="s">
        <v>283</v>
      </c>
      <c r="J560" s="76">
        <f>SUM(J550:J559)</f>
        <v>115</v>
      </c>
    </row>
    <row r="561" spans="1:10" x14ac:dyDescent="0.2">
      <c r="A561" s="17"/>
      <c r="B561" s="71"/>
      <c r="C561" s="17"/>
      <c r="D561" s="73"/>
      <c r="E561" s="36"/>
      <c r="F561" s="73"/>
      <c r="G561" s="73"/>
      <c r="H561" s="73"/>
      <c r="I561" s="73"/>
      <c r="J561" s="73"/>
    </row>
    <row r="562" spans="1:10" ht="25.5" x14ac:dyDescent="0.2">
      <c r="A562" s="17" t="str">
        <f>'PLANILHA ORÇAMENTÁRIA'!A96</f>
        <v>11.2.9</v>
      </c>
      <c r="B562" s="88" t="str">
        <f>'PLANILHA ORÇAMENTÁRIA'!D96</f>
        <v>Caixa de ligação de alumínio silício, tipo CONDULETES, sem rosca,inclusive tampa com vedação, diâmetro 2"</v>
      </c>
      <c r="C562" s="17" t="str">
        <f>'PLANILHA ORÇAMENTÁRIA'!E96</f>
        <v xml:space="preserve">und </v>
      </c>
      <c r="D562" s="79" t="s">
        <v>268</v>
      </c>
      <c r="E562" s="79" t="s">
        <v>269</v>
      </c>
      <c r="F562" s="79" t="s">
        <v>270</v>
      </c>
      <c r="G562" s="79" t="s">
        <v>271</v>
      </c>
      <c r="H562" s="79" t="s">
        <v>272</v>
      </c>
      <c r="I562" s="79" t="s">
        <v>273</v>
      </c>
      <c r="J562" s="80" t="s">
        <v>274</v>
      </c>
    </row>
    <row r="563" spans="1:10" x14ac:dyDescent="0.2">
      <c r="A563" s="17"/>
      <c r="B563" s="250" t="s">
        <v>278</v>
      </c>
      <c r="C563" s="17"/>
      <c r="D563" s="79">
        <v>10</v>
      </c>
      <c r="E563" s="79"/>
      <c r="F563" s="79"/>
      <c r="G563" s="79"/>
      <c r="H563" s="79"/>
      <c r="I563" s="79"/>
      <c r="J563" s="80">
        <f>D563</f>
        <v>10</v>
      </c>
    </row>
    <row r="564" spans="1:10" x14ac:dyDescent="0.2">
      <c r="A564" s="17"/>
      <c r="B564" s="250" t="s">
        <v>282</v>
      </c>
      <c r="C564" s="17"/>
      <c r="D564" s="79">
        <v>24</v>
      </c>
      <c r="E564" s="79"/>
      <c r="F564" s="79"/>
      <c r="G564" s="79"/>
      <c r="H564" s="79"/>
      <c r="I564" s="79"/>
      <c r="J564" s="80">
        <f t="shared" ref="J564:J565" si="61">D564</f>
        <v>24</v>
      </c>
    </row>
    <row r="565" spans="1:10" x14ac:dyDescent="0.2">
      <c r="A565" s="17"/>
      <c r="B565" s="359" t="s">
        <v>622</v>
      </c>
      <c r="C565" s="17"/>
      <c r="D565" s="73">
        <f>2*4</f>
        <v>8</v>
      </c>
      <c r="E565" s="79"/>
      <c r="F565" s="79"/>
      <c r="G565" s="79"/>
      <c r="H565" s="79"/>
      <c r="I565" s="79"/>
      <c r="J565" s="80">
        <f t="shared" si="61"/>
        <v>8</v>
      </c>
    </row>
    <row r="566" spans="1:10" x14ac:dyDescent="0.2">
      <c r="A566" s="17"/>
      <c r="B566" s="18"/>
      <c r="C566" s="17"/>
      <c r="D566" s="73"/>
      <c r="E566" s="73"/>
      <c r="F566" s="73"/>
      <c r="G566" s="73"/>
      <c r="H566" s="73"/>
      <c r="I566" s="77" t="s">
        <v>283</v>
      </c>
      <c r="J566" s="76">
        <f>SUM(J563:J565)</f>
        <v>42</v>
      </c>
    </row>
    <row r="567" spans="1:10" x14ac:dyDescent="0.2">
      <c r="A567" s="17"/>
      <c r="B567" s="71"/>
      <c r="C567" s="17"/>
      <c r="D567" s="73"/>
      <c r="E567" s="36"/>
      <c r="F567" s="73"/>
      <c r="G567" s="73"/>
      <c r="H567" s="73"/>
      <c r="I567" s="73"/>
      <c r="J567" s="73"/>
    </row>
    <row r="568" spans="1:10" ht="25.5" x14ac:dyDescent="0.2">
      <c r="A568" s="17" t="str">
        <f>'PLANILHA ORÇAMENTÁRIA'!A97</f>
        <v>11.2.10</v>
      </c>
      <c r="B568" s="18" t="str">
        <f>'PLANILHA ORÇAMENTÁRIA'!D97</f>
        <v>Fornecimento e instalação de Mini Rack de Parede Padrão 19" - 08 U´s x 470mm (completo)</v>
      </c>
      <c r="C568" s="17" t="str">
        <f>'PLANILHA ORÇAMENTÁRIA'!E97</f>
        <v xml:space="preserve">und </v>
      </c>
      <c r="D568" s="79" t="s">
        <v>268</v>
      </c>
      <c r="E568" s="79" t="s">
        <v>269</v>
      </c>
      <c r="F568" s="79" t="s">
        <v>270</v>
      </c>
      <c r="G568" s="79" t="s">
        <v>271</v>
      </c>
      <c r="H568" s="79" t="s">
        <v>272</v>
      </c>
      <c r="I568" s="79" t="s">
        <v>273</v>
      </c>
      <c r="J568" s="80" t="s">
        <v>274</v>
      </c>
    </row>
    <row r="569" spans="1:10" x14ac:dyDescent="0.2">
      <c r="A569" s="17"/>
      <c r="B569" s="264" t="s">
        <v>288</v>
      </c>
      <c r="C569" s="17"/>
      <c r="D569" s="79">
        <v>1</v>
      </c>
      <c r="E569" s="79"/>
      <c r="F569" s="79"/>
      <c r="G569" s="79"/>
      <c r="H569" s="79"/>
      <c r="I569" s="79"/>
      <c r="J569" s="80">
        <f>D569</f>
        <v>1</v>
      </c>
    </row>
    <row r="570" spans="1:10" x14ac:dyDescent="0.2">
      <c r="A570" s="17"/>
      <c r="B570" s="264" t="s">
        <v>276</v>
      </c>
      <c r="C570" s="17"/>
      <c r="D570" s="79">
        <v>1</v>
      </c>
      <c r="E570" s="79"/>
      <c r="F570" s="79"/>
      <c r="G570" s="79"/>
      <c r="H570" s="79"/>
      <c r="I570" s="79"/>
      <c r="J570" s="80">
        <f t="shared" ref="J570:J576" si="62">D570</f>
        <v>1</v>
      </c>
    </row>
    <row r="571" spans="1:10" x14ac:dyDescent="0.2">
      <c r="A571" s="17"/>
      <c r="B571" s="250" t="s">
        <v>277</v>
      </c>
      <c r="C571" s="17"/>
      <c r="D571" s="79">
        <v>1</v>
      </c>
      <c r="E571" s="79"/>
      <c r="F571" s="79"/>
      <c r="G571" s="79"/>
      <c r="H571" s="79"/>
      <c r="I571" s="79"/>
      <c r="J571" s="80">
        <f t="shared" si="62"/>
        <v>1</v>
      </c>
    </row>
    <row r="572" spans="1:10" x14ac:dyDescent="0.2">
      <c r="A572" s="17"/>
      <c r="B572" s="250" t="s">
        <v>278</v>
      </c>
      <c r="C572" s="17"/>
      <c r="D572" s="79">
        <v>1</v>
      </c>
      <c r="E572" s="79"/>
      <c r="F572" s="79"/>
      <c r="G572" s="79"/>
      <c r="H572" s="79"/>
      <c r="I572" s="79"/>
      <c r="J572" s="80">
        <f t="shared" si="62"/>
        <v>1</v>
      </c>
    </row>
    <row r="573" spans="1:10" x14ac:dyDescent="0.2">
      <c r="A573" s="17"/>
      <c r="B573" s="250" t="s">
        <v>279</v>
      </c>
      <c r="C573" s="17"/>
      <c r="D573" s="79">
        <v>1</v>
      </c>
      <c r="E573" s="79"/>
      <c r="F573" s="79"/>
      <c r="G573" s="79"/>
      <c r="H573" s="79"/>
      <c r="I573" s="79"/>
      <c r="J573" s="80">
        <f t="shared" si="62"/>
        <v>1</v>
      </c>
    </row>
    <row r="574" spans="1:10" x14ac:dyDescent="0.2">
      <c r="A574" s="17"/>
      <c r="B574" s="250" t="s">
        <v>280</v>
      </c>
      <c r="C574" s="17"/>
      <c r="D574" s="79">
        <v>1</v>
      </c>
      <c r="E574" s="79"/>
      <c r="F574" s="79"/>
      <c r="G574" s="79"/>
      <c r="H574" s="79"/>
      <c r="I574" s="79"/>
      <c r="J574" s="80">
        <f t="shared" si="62"/>
        <v>1</v>
      </c>
    </row>
    <row r="575" spans="1:10" x14ac:dyDescent="0.2">
      <c r="A575" s="17"/>
      <c r="B575" s="250" t="s">
        <v>284</v>
      </c>
      <c r="C575" s="17"/>
      <c r="D575" s="79">
        <v>1</v>
      </c>
      <c r="E575" s="73"/>
      <c r="F575" s="73"/>
      <c r="G575" s="73"/>
      <c r="H575" s="73"/>
      <c r="I575" s="73"/>
      <c r="J575" s="80">
        <f t="shared" si="62"/>
        <v>1</v>
      </c>
    </row>
    <row r="576" spans="1:10" x14ac:dyDescent="0.2">
      <c r="A576" s="17"/>
      <c r="B576" s="250" t="s">
        <v>281</v>
      </c>
      <c r="C576" s="17"/>
      <c r="D576" s="79">
        <v>1</v>
      </c>
      <c r="E576" s="73"/>
      <c r="F576" s="73"/>
      <c r="G576" s="73"/>
      <c r="H576" s="73"/>
      <c r="I576" s="73"/>
      <c r="J576" s="80">
        <f t="shared" si="62"/>
        <v>1</v>
      </c>
    </row>
    <row r="577" spans="1:10" x14ac:dyDescent="0.2">
      <c r="A577" s="17"/>
      <c r="B577" s="250"/>
      <c r="C577" s="17"/>
      <c r="D577" s="73"/>
      <c r="E577" s="73"/>
      <c r="F577" s="73"/>
      <c r="G577" s="73"/>
      <c r="H577" s="73"/>
      <c r="I577" s="77" t="s">
        <v>283</v>
      </c>
      <c r="J577" s="76">
        <f>SUM(J569:J576)</f>
        <v>8</v>
      </c>
    </row>
    <row r="578" spans="1:10" x14ac:dyDescent="0.2">
      <c r="A578" s="17"/>
      <c r="B578" s="71"/>
      <c r="C578" s="17"/>
      <c r="D578" s="73"/>
      <c r="E578" s="36"/>
      <c r="F578" s="73"/>
      <c r="G578" s="73"/>
      <c r="H578" s="73"/>
      <c r="I578" s="73"/>
      <c r="J578" s="73"/>
    </row>
    <row r="579" spans="1:10" ht="25.5" x14ac:dyDescent="0.2">
      <c r="A579" s="17" t="str">
        <f>'PLANILHA ORÇAMENTÁRIA'!A98</f>
        <v>11.2.11</v>
      </c>
      <c r="B579" s="18" t="str">
        <f>'PLANILHA ORÇAMENTÁRIA'!D98</f>
        <v>Fornecimento e instalação de Mini Rack de Parede Padrão 19" - 12 U´s x 570mm  (completo)</v>
      </c>
      <c r="C579" s="17" t="str">
        <f>'PLANILHA ORÇAMENTÁRIA'!E98</f>
        <v xml:space="preserve">und </v>
      </c>
      <c r="D579" s="79" t="s">
        <v>268</v>
      </c>
      <c r="E579" s="79" t="s">
        <v>269</v>
      </c>
      <c r="F579" s="79" t="s">
        <v>270</v>
      </c>
      <c r="G579" s="79" t="s">
        <v>271</v>
      </c>
      <c r="H579" s="79" t="s">
        <v>272</v>
      </c>
      <c r="I579" s="79" t="s">
        <v>273</v>
      </c>
      <c r="J579" s="80" t="s">
        <v>274</v>
      </c>
    </row>
    <row r="580" spans="1:10" x14ac:dyDescent="0.2">
      <c r="A580" s="17"/>
      <c r="B580" s="250" t="s">
        <v>282</v>
      </c>
      <c r="C580" s="17"/>
      <c r="D580" s="73">
        <v>1</v>
      </c>
      <c r="E580" s="73"/>
      <c r="F580" s="73"/>
      <c r="G580" s="73"/>
      <c r="H580" s="73"/>
      <c r="I580" s="73"/>
      <c r="J580" s="73">
        <f>D580</f>
        <v>1</v>
      </c>
    </row>
    <row r="581" spans="1:10" x14ac:dyDescent="0.2">
      <c r="A581" s="17"/>
      <c r="B581" s="71"/>
      <c r="C581" s="17"/>
      <c r="D581" s="73"/>
      <c r="E581" s="73"/>
      <c r="F581" s="73"/>
      <c r="G581" s="73"/>
      <c r="H581" s="73"/>
      <c r="I581" s="73"/>
      <c r="J581" s="73"/>
    </row>
    <row r="582" spans="1:10" x14ac:dyDescent="0.2">
      <c r="A582" s="17"/>
      <c r="B582" s="18"/>
      <c r="C582" s="17"/>
      <c r="D582" s="73"/>
      <c r="E582" s="73"/>
      <c r="F582" s="73"/>
      <c r="G582" s="73"/>
      <c r="H582" s="73"/>
      <c r="I582" s="77" t="s">
        <v>283</v>
      </c>
      <c r="J582" s="76">
        <f>SUM(J580:J581)</f>
        <v>1</v>
      </c>
    </row>
    <row r="583" spans="1:10" x14ac:dyDescent="0.2">
      <c r="A583" s="17"/>
      <c r="B583" s="18"/>
      <c r="C583" s="17"/>
      <c r="D583" s="73"/>
      <c r="E583" s="73"/>
      <c r="F583" s="73"/>
      <c r="G583" s="73"/>
      <c r="H583" s="73"/>
      <c r="I583" s="249"/>
      <c r="J583" s="73"/>
    </row>
    <row r="584" spans="1:10" x14ac:dyDescent="0.2">
      <c r="A584" s="11">
        <f>'PLANILHA ORÇAMENTÁRIA'!A100</f>
        <v>12</v>
      </c>
      <c r="B584" s="7" t="str">
        <f>'PLANILHA ORÇAMENTÁRIA'!D100</f>
        <v>APARELHOS FIXOS</v>
      </c>
      <c r="C584" s="5"/>
      <c r="D584" s="5"/>
      <c r="E584" s="5"/>
      <c r="F584" s="6"/>
      <c r="G584" s="26"/>
      <c r="H584" s="8"/>
      <c r="I584" s="70"/>
      <c r="J584" s="70"/>
    </row>
    <row r="585" spans="1:10" x14ac:dyDescent="0.2">
      <c r="A585" s="20" t="str">
        <f>'PLANILHA ORÇAMENTÁRIA'!A101</f>
        <v>12.1</v>
      </c>
      <c r="B585" s="157" t="str">
        <f>'PLANILHA ORÇAMENTÁRIA'!D101</f>
        <v>BANCADAS</v>
      </c>
      <c r="C585" s="12"/>
      <c r="D585" s="17"/>
      <c r="E585" s="9"/>
      <c r="F585" s="27"/>
      <c r="G585" s="28"/>
      <c r="H585" s="72"/>
      <c r="I585" s="17"/>
      <c r="J585" s="17"/>
    </row>
    <row r="586" spans="1:10" ht="27" customHeight="1" x14ac:dyDescent="0.2">
      <c r="A586" s="32" t="str">
        <f>'PLANILHA ORÇAMENTÁRIA'!A102</f>
        <v>12.1</v>
      </c>
      <c r="B586" s="18" t="str">
        <f>'PLANILHA ORÇAMENTÁRIA'!D102</f>
        <v>Fornecimento e instalação de Bancada de granito preto  São gabriel espessura = 2cm com borda de 6cm</v>
      </c>
      <c r="C586" s="17" t="str">
        <f>'PLANILHA ORÇAMENTÁRIA'!E102</f>
        <v xml:space="preserve">m2 </v>
      </c>
      <c r="D586" s="79" t="s">
        <v>268</v>
      </c>
      <c r="E586" s="79" t="s">
        <v>269</v>
      </c>
      <c r="F586" s="79" t="s">
        <v>270</v>
      </c>
      <c r="G586" s="79" t="s">
        <v>271</v>
      </c>
      <c r="H586" s="79" t="s">
        <v>272</v>
      </c>
      <c r="I586" s="79" t="s">
        <v>273</v>
      </c>
      <c r="J586" s="80" t="s">
        <v>274</v>
      </c>
    </row>
    <row r="587" spans="1:10" ht="15" customHeight="1" x14ac:dyDescent="0.2">
      <c r="A587" s="32"/>
      <c r="B587" s="264" t="s">
        <v>288</v>
      </c>
      <c r="C587" s="17"/>
      <c r="D587" s="79">
        <v>3</v>
      </c>
      <c r="E587" s="79">
        <v>1.6</v>
      </c>
      <c r="F587" s="79">
        <v>0.6</v>
      </c>
      <c r="G587" s="79"/>
      <c r="H587" s="79">
        <f>D587*E587*F587</f>
        <v>2.8800000000000003</v>
      </c>
      <c r="I587" s="79"/>
      <c r="J587" s="80">
        <f>H587</f>
        <v>2.8800000000000003</v>
      </c>
    </row>
    <row r="588" spans="1:10" ht="15" customHeight="1" x14ac:dyDescent="0.2">
      <c r="A588" s="32"/>
      <c r="B588" s="264"/>
      <c r="C588" s="17"/>
      <c r="D588" s="79">
        <v>3</v>
      </c>
      <c r="E588" s="79">
        <v>0.8</v>
      </c>
      <c r="F588" s="79">
        <v>0.6</v>
      </c>
      <c r="G588" s="79"/>
      <c r="H588" s="79">
        <f t="shared" ref="H588:H604" si="63">D588*E588*F588</f>
        <v>1.4400000000000002</v>
      </c>
      <c r="I588" s="79"/>
      <c r="J588" s="80">
        <f t="shared" ref="J588:J604" si="64">H588</f>
        <v>1.4400000000000002</v>
      </c>
    </row>
    <row r="589" spans="1:10" ht="15" customHeight="1" x14ac:dyDescent="0.2">
      <c r="A589" s="32"/>
      <c r="B589" s="264" t="s">
        <v>276</v>
      </c>
      <c r="C589" s="17"/>
      <c r="D589" s="79">
        <v>3</v>
      </c>
      <c r="E589" s="79">
        <v>1.5</v>
      </c>
      <c r="F589" s="79">
        <v>0.6</v>
      </c>
      <c r="G589" s="79"/>
      <c r="H589" s="79">
        <f t="shared" si="63"/>
        <v>2.6999999999999997</v>
      </c>
      <c r="I589" s="79"/>
      <c r="J589" s="80">
        <f t="shared" si="64"/>
        <v>2.6999999999999997</v>
      </c>
    </row>
    <row r="590" spans="1:10" ht="15" customHeight="1" x14ac:dyDescent="0.2">
      <c r="A590" s="32"/>
      <c r="B590" s="264"/>
      <c r="C590" s="17"/>
      <c r="D590" s="79">
        <v>3</v>
      </c>
      <c r="E590" s="79">
        <v>1.5</v>
      </c>
      <c r="F590" s="79">
        <v>0.6</v>
      </c>
      <c r="G590" s="79"/>
      <c r="H590" s="79">
        <f t="shared" si="63"/>
        <v>2.6999999999999997</v>
      </c>
      <c r="I590" s="79"/>
      <c r="J590" s="80">
        <f t="shared" si="64"/>
        <v>2.6999999999999997</v>
      </c>
    </row>
    <row r="591" spans="1:10" ht="15" customHeight="1" x14ac:dyDescent="0.2">
      <c r="A591" s="32"/>
      <c r="B591" s="250" t="s">
        <v>277</v>
      </c>
      <c r="C591" s="17"/>
      <c r="D591" s="79">
        <v>3</v>
      </c>
      <c r="E591" s="79">
        <v>1.5649999999999999</v>
      </c>
      <c r="F591" s="79">
        <v>0.6</v>
      </c>
      <c r="G591" s="79"/>
      <c r="H591" s="79">
        <f t="shared" si="63"/>
        <v>2.8170000000000002</v>
      </c>
      <c r="I591" s="79"/>
      <c r="J591" s="80">
        <f t="shared" si="64"/>
        <v>2.8170000000000002</v>
      </c>
    </row>
    <row r="592" spans="1:10" ht="15" customHeight="1" x14ac:dyDescent="0.2">
      <c r="A592" s="32"/>
      <c r="B592" s="250"/>
      <c r="C592" s="17"/>
      <c r="D592" s="79">
        <v>3</v>
      </c>
      <c r="E592" s="79">
        <v>1.5649999999999999</v>
      </c>
      <c r="F592" s="79">
        <v>0.6</v>
      </c>
      <c r="G592" s="79"/>
      <c r="H592" s="79">
        <f t="shared" si="63"/>
        <v>2.8170000000000002</v>
      </c>
      <c r="I592" s="79"/>
      <c r="J592" s="80">
        <f t="shared" si="64"/>
        <v>2.8170000000000002</v>
      </c>
    </row>
    <row r="593" spans="1:10" ht="15" customHeight="1" x14ac:dyDescent="0.2">
      <c r="A593" s="32"/>
      <c r="B593" s="250" t="s">
        <v>278</v>
      </c>
      <c r="C593" s="17"/>
      <c r="D593" s="79">
        <v>5</v>
      </c>
      <c r="E593" s="79">
        <v>1.635</v>
      </c>
      <c r="F593" s="79">
        <v>0.6</v>
      </c>
      <c r="G593" s="79"/>
      <c r="H593" s="79">
        <f t="shared" si="63"/>
        <v>4.9050000000000002</v>
      </c>
      <c r="I593" s="79"/>
      <c r="J593" s="80">
        <f t="shared" si="64"/>
        <v>4.9050000000000002</v>
      </c>
    </row>
    <row r="594" spans="1:10" ht="15" customHeight="1" x14ac:dyDescent="0.2">
      <c r="A594" s="32"/>
      <c r="B594" s="250"/>
      <c r="C594" s="17"/>
      <c r="D594" s="79">
        <v>5</v>
      </c>
      <c r="E594" s="79">
        <v>1.635</v>
      </c>
      <c r="F594" s="79">
        <v>0.6</v>
      </c>
      <c r="G594" s="79"/>
      <c r="H594" s="79">
        <f t="shared" si="63"/>
        <v>4.9050000000000002</v>
      </c>
      <c r="I594" s="79"/>
      <c r="J594" s="80">
        <f t="shared" si="64"/>
        <v>4.9050000000000002</v>
      </c>
    </row>
    <row r="595" spans="1:10" ht="15" customHeight="1" x14ac:dyDescent="0.2">
      <c r="A595" s="32"/>
      <c r="B595" s="250" t="s">
        <v>279</v>
      </c>
      <c r="C595" s="17"/>
      <c r="D595" s="79">
        <v>3</v>
      </c>
      <c r="E595" s="79">
        <v>2.4</v>
      </c>
      <c r="F595" s="79">
        <v>0.6</v>
      </c>
      <c r="G595" s="79"/>
      <c r="H595" s="79">
        <f t="shared" si="63"/>
        <v>4.3199999999999994</v>
      </c>
      <c r="I595" s="79"/>
      <c r="J595" s="80">
        <f t="shared" si="64"/>
        <v>4.3199999999999994</v>
      </c>
    </row>
    <row r="596" spans="1:10" ht="15" customHeight="1" x14ac:dyDescent="0.2">
      <c r="A596" s="32"/>
      <c r="B596" s="250"/>
      <c r="C596" s="17"/>
      <c r="D596" s="79">
        <v>3</v>
      </c>
      <c r="E596" s="79">
        <v>1.7</v>
      </c>
      <c r="F596" s="79">
        <v>0.6</v>
      </c>
      <c r="G596" s="79"/>
      <c r="H596" s="79">
        <f t="shared" si="63"/>
        <v>3.0599999999999996</v>
      </c>
      <c r="I596" s="79"/>
      <c r="J596" s="80">
        <f t="shared" si="64"/>
        <v>3.0599999999999996</v>
      </c>
    </row>
    <row r="597" spans="1:10" ht="15" customHeight="1" x14ac:dyDescent="0.2">
      <c r="A597" s="32"/>
      <c r="B597" s="250" t="s">
        <v>280</v>
      </c>
      <c r="C597" s="17"/>
      <c r="D597" s="79">
        <v>4</v>
      </c>
      <c r="E597" s="79">
        <v>1.7</v>
      </c>
      <c r="F597" s="79">
        <v>0.6</v>
      </c>
      <c r="G597" s="79"/>
      <c r="H597" s="79">
        <f t="shared" si="63"/>
        <v>4.08</v>
      </c>
      <c r="I597" s="79"/>
      <c r="J597" s="80">
        <f t="shared" si="64"/>
        <v>4.08</v>
      </c>
    </row>
    <row r="598" spans="1:10" ht="15" customHeight="1" x14ac:dyDescent="0.2">
      <c r="A598" s="32"/>
      <c r="B598" s="250"/>
      <c r="C598" s="17"/>
      <c r="D598" s="79">
        <v>4</v>
      </c>
      <c r="E598" s="79">
        <v>1.04</v>
      </c>
      <c r="F598" s="79">
        <v>0.6</v>
      </c>
      <c r="G598" s="79"/>
      <c r="H598" s="79">
        <f t="shared" si="63"/>
        <v>2.496</v>
      </c>
      <c r="I598" s="79"/>
      <c r="J598" s="80">
        <f t="shared" si="64"/>
        <v>2.496</v>
      </c>
    </row>
    <row r="599" spans="1:10" ht="15" customHeight="1" x14ac:dyDescent="0.2">
      <c r="A599" s="32"/>
      <c r="B599" s="250" t="s">
        <v>284</v>
      </c>
      <c r="C599" s="17"/>
      <c r="D599" s="79">
        <v>3</v>
      </c>
      <c r="E599" s="79">
        <v>1.665</v>
      </c>
      <c r="F599" s="79">
        <v>0.6</v>
      </c>
      <c r="G599" s="79"/>
      <c r="H599" s="79">
        <f t="shared" si="63"/>
        <v>2.9969999999999999</v>
      </c>
      <c r="I599" s="79"/>
      <c r="J599" s="80">
        <f t="shared" si="64"/>
        <v>2.9969999999999999</v>
      </c>
    </row>
    <row r="600" spans="1:10" ht="15" customHeight="1" x14ac:dyDescent="0.2">
      <c r="A600" s="32"/>
      <c r="B600" s="250"/>
      <c r="C600" s="17"/>
      <c r="D600" s="79">
        <v>3</v>
      </c>
      <c r="E600" s="79">
        <v>1.665</v>
      </c>
      <c r="F600" s="79">
        <v>0.6</v>
      </c>
      <c r="G600" s="79"/>
      <c r="H600" s="79">
        <f t="shared" si="63"/>
        <v>2.9969999999999999</v>
      </c>
      <c r="I600" s="79"/>
      <c r="J600" s="80">
        <f t="shared" si="64"/>
        <v>2.9969999999999999</v>
      </c>
    </row>
    <row r="601" spans="1:10" ht="15" customHeight="1" x14ac:dyDescent="0.2">
      <c r="A601" s="32"/>
      <c r="B601" s="250" t="s">
        <v>281</v>
      </c>
      <c r="C601" s="17"/>
      <c r="D601" s="79">
        <v>4</v>
      </c>
      <c r="E601" s="79">
        <v>2.4</v>
      </c>
      <c r="F601" s="79">
        <v>0.6</v>
      </c>
      <c r="G601" s="79"/>
      <c r="H601" s="79">
        <f t="shared" si="63"/>
        <v>5.76</v>
      </c>
      <c r="I601" s="79"/>
      <c r="J601" s="80">
        <f t="shared" si="64"/>
        <v>5.76</v>
      </c>
    </row>
    <row r="602" spans="1:10" ht="15" customHeight="1" x14ac:dyDescent="0.2">
      <c r="A602" s="32"/>
      <c r="B602" s="250"/>
      <c r="C602" s="17"/>
      <c r="D602" s="79">
        <v>4</v>
      </c>
      <c r="E602" s="79">
        <v>1.6</v>
      </c>
      <c r="F602" s="79">
        <v>0.6</v>
      </c>
      <c r="G602" s="79"/>
      <c r="H602" s="79">
        <f t="shared" si="63"/>
        <v>3.84</v>
      </c>
      <c r="I602" s="79"/>
      <c r="J602" s="80">
        <f t="shared" si="64"/>
        <v>3.84</v>
      </c>
    </row>
    <row r="603" spans="1:10" ht="18.75" customHeight="1" x14ac:dyDescent="0.2">
      <c r="A603" s="32"/>
      <c r="B603" s="250" t="s">
        <v>282</v>
      </c>
      <c r="C603" s="17"/>
      <c r="D603" s="79">
        <v>6</v>
      </c>
      <c r="E603" s="79">
        <v>2.77</v>
      </c>
      <c r="F603" s="79">
        <v>0.6</v>
      </c>
      <c r="G603" s="79"/>
      <c r="H603" s="79">
        <f t="shared" si="63"/>
        <v>9.9719999999999995</v>
      </c>
      <c r="I603" s="79"/>
      <c r="J603" s="80">
        <f t="shared" si="64"/>
        <v>9.9719999999999995</v>
      </c>
    </row>
    <row r="604" spans="1:10" ht="18.75" customHeight="1" x14ac:dyDescent="0.2">
      <c r="A604" s="32"/>
      <c r="B604" s="250"/>
      <c r="C604" s="17"/>
      <c r="D604" s="79">
        <v>6</v>
      </c>
      <c r="E604" s="79">
        <v>2.77</v>
      </c>
      <c r="F604" s="79">
        <v>0.6</v>
      </c>
      <c r="G604" s="79"/>
      <c r="H604" s="79">
        <f t="shared" si="63"/>
        <v>9.9719999999999995</v>
      </c>
      <c r="I604" s="79"/>
      <c r="J604" s="80">
        <f t="shared" si="64"/>
        <v>9.9719999999999995</v>
      </c>
    </row>
    <row r="605" spans="1:10" x14ac:dyDescent="0.2">
      <c r="A605" s="32"/>
      <c r="B605" s="71" t="s">
        <v>625</v>
      </c>
      <c r="C605" s="17"/>
      <c r="D605" s="17"/>
      <c r="E605" s="73"/>
      <c r="F605" s="73"/>
      <c r="G605" s="17"/>
      <c r="H605" s="82"/>
      <c r="I605" s="17"/>
      <c r="J605" s="73"/>
    </row>
    <row r="606" spans="1:10" x14ac:dyDescent="0.2">
      <c r="A606" s="32"/>
      <c r="B606" s="264" t="s">
        <v>288</v>
      </c>
      <c r="C606" s="17"/>
      <c r="D606" s="79">
        <v>3</v>
      </c>
      <c r="E606" s="79">
        <v>0.75</v>
      </c>
      <c r="F606" s="79">
        <v>0.6</v>
      </c>
      <c r="G606" s="17"/>
      <c r="H606" s="82">
        <f>D606*E606*F606</f>
        <v>1.3499999999999999</v>
      </c>
      <c r="I606" s="17"/>
      <c r="J606" s="73">
        <f>H606</f>
        <v>1.3499999999999999</v>
      </c>
    </row>
    <row r="607" spans="1:10" x14ac:dyDescent="0.2">
      <c r="A607" s="32"/>
      <c r="B607" s="264"/>
      <c r="C607" s="17"/>
      <c r="D607" s="79">
        <v>3</v>
      </c>
      <c r="E607" s="79">
        <v>0.75</v>
      </c>
      <c r="F607" s="79">
        <v>0.6</v>
      </c>
      <c r="G607" s="17"/>
      <c r="H607" s="82">
        <f t="shared" ref="H607:H623" si="65">D607*E607*F607</f>
        <v>1.3499999999999999</v>
      </c>
      <c r="I607" s="17"/>
      <c r="J607" s="73">
        <f t="shared" ref="J607:J623" si="66">H607</f>
        <v>1.3499999999999999</v>
      </c>
    </row>
    <row r="608" spans="1:10" x14ac:dyDescent="0.2">
      <c r="A608" s="32"/>
      <c r="B608" s="264" t="s">
        <v>276</v>
      </c>
      <c r="C608" s="17"/>
      <c r="D608" s="79">
        <v>3</v>
      </c>
      <c r="E608" s="79">
        <v>0.75</v>
      </c>
      <c r="F608" s="79">
        <v>0.6</v>
      </c>
      <c r="G608" s="17"/>
      <c r="H608" s="82">
        <f t="shared" si="65"/>
        <v>1.3499999999999999</v>
      </c>
      <c r="I608" s="17"/>
      <c r="J608" s="73">
        <f t="shared" si="66"/>
        <v>1.3499999999999999</v>
      </c>
    </row>
    <row r="609" spans="1:10" x14ac:dyDescent="0.2">
      <c r="A609" s="32"/>
      <c r="B609" s="264"/>
      <c r="C609" s="17"/>
      <c r="D609" s="79">
        <v>3</v>
      </c>
      <c r="E609" s="79">
        <v>0.75</v>
      </c>
      <c r="F609" s="79">
        <v>0.6</v>
      </c>
      <c r="G609" s="17"/>
      <c r="H609" s="82">
        <f t="shared" si="65"/>
        <v>1.3499999999999999</v>
      </c>
      <c r="I609" s="17"/>
      <c r="J609" s="73">
        <f t="shared" si="66"/>
        <v>1.3499999999999999</v>
      </c>
    </row>
    <row r="610" spans="1:10" x14ac:dyDescent="0.2">
      <c r="A610" s="32"/>
      <c r="B610" s="250" t="s">
        <v>277</v>
      </c>
      <c r="C610" s="17"/>
      <c r="D610" s="79">
        <v>3</v>
      </c>
      <c r="E610" s="79">
        <v>0.75</v>
      </c>
      <c r="F610" s="79">
        <v>0.6</v>
      </c>
      <c r="G610" s="17"/>
      <c r="H610" s="82">
        <f t="shared" si="65"/>
        <v>1.3499999999999999</v>
      </c>
      <c r="I610" s="17"/>
      <c r="J610" s="73">
        <f t="shared" si="66"/>
        <v>1.3499999999999999</v>
      </c>
    </row>
    <row r="611" spans="1:10" x14ac:dyDescent="0.2">
      <c r="A611" s="32"/>
      <c r="B611" s="250"/>
      <c r="C611" s="17"/>
      <c r="D611" s="79">
        <v>3</v>
      </c>
      <c r="E611" s="79">
        <v>0.75</v>
      </c>
      <c r="F611" s="79">
        <v>0.6</v>
      </c>
      <c r="G611" s="17"/>
      <c r="H611" s="82">
        <f t="shared" si="65"/>
        <v>1.3499999999999999</v>
      </c>
      <c r="I611" s="17"/>
      <c r="J611" s="73">
        <f t="shared" si="66"/>
        <v>1.3499999999999999</v>
      </c>
    </row>
    <row r="612" spans="1:10" x14ac:dyDescent="0.2">
      <c r="A612" s="32"/>
      <c r="B612" s="250" t="s">
        <v>278</v>
      </c>
      <c r="C612" s="17"/>
      <c r="D612" s="79">
        <v>5</v>
      </c>
      <c r="E612" s="79">
        <v>0.75</v>
      </c>
      <c r="F612" s="79">
        <v>0.6</v>
      </c>
      <c r="G612" s="17"/>
      <c r="H612" s="82">
        <f t="shared" si="65"/>
        <v>2.25</v>
      </c>
      <c r="I612" s="17"/>
      <c r="J612" s="73">
        <f t="shared" si="66"/>
        <v>2.25</v>
      </c>
    </row>
    <row r="613" spans="1:10" x14ac:dyDescent="0.2">
      <c r="A613" s="32"/>
      <c r="B613" s="250"/>
      <c r="C613" s="17"/>
      <c r="D613" s="79">
        <v>5</v>
      </c>
      <c r="E613" s="79">
        <v>0.75</v>
      </c>
      <c r="F613" s="79">
        <v>0.6</v>
      </c>
      <c r="G613" s="17"/>
      <c r="H613" s="82">
        <f t="shared" si="65"/>
        <v>2.25</v>
      </c>
      <c r="I613" s="17"/>
      <c r="J613" s="73">
        <f t="shared" si="66"/>
        <v>2.25</v>
      </c>
    </row>
    <row r="614" spans="1:10" x14ac:dyDescent="0.2">
      <c r="A614" s="32"/>
      <c r="B614" s="250" t="s">
        <v>279</v>
      </c>
      <c r="C614" s="17"/>
      <c r="D614" s="79">
        <v>3</v>
      </c>
      <c r="E614" s="79">
        <v>0.75</v>
      </c>
      <c r="F614" s="79">
        <v>0.6</v>
      </c>
      <c r="G614" s="17"/>
      <c r="H614" s="82">
        <f t="shared" si="65"/>
        <v>1.3499999999999999</v>
      </c>
      <c r="I614" s="17"/>
      <c r="J614" s="73">
        <f t="shared" si="66"/>
        <v>1.3499999999999999</v>
      </c>
    </row>
    <row r="615" spans="1:10" x14ac:dyDescent="0.2">
      <c r="A615" s="32"/>
      <c r="B615" s="250"/>
      <c r="C615" s="17"/>
      <c r="D615" s="79">
        <v>3</v>
      </c>
      <c r="E615" s="79">
        <v>0.75</v>
      </c>
      <c r="F615" s="79">
        <v>0.6</v>
      </c>
      <c r="G615" s="17"/>
      <c r="H615" s="82">
        <f t="shared" si="65"/>
        <v>1.3499999999999999</v>
      </c>
      <c r="I615" s="17"/>
      <c r="J615" s="73">
        <f t="shared" si="66"/>
        <v>1.3499999999999999</v>
      </c>
    </row>
    <row r="616" spans="1:10" x14ac:dyDescent="0.2">
      <c r="A616" s="32"/>
      <c r="B616" s="250" t="s">
        <v>280</v>
      </c>
      <c r="C616" s="17"/>
      <c r="D616" s="79">
        <v>4</v>
      </c>
      <c r="E616" s="79">
        <v>0.75</v>
      </c>
      <c r="F616" s="79">
        <v>0.6</v>
      </c>
      <c r="G616" s="17"/>
      <c r="H616" s="82">
        <f t="shared" si="65"/>
        <v>1.7999999999999998</v>
      </c>
      <c r="I616" s="17"/>
      <c r="J616" s="73">
        <f t="shared" si="66"/>
        <v>1.7999999999999998</v>
      </c>
    </row>
    <row r="617" spans="1:10" x14ac:dyDescent="0.2">
      <c r="A617" s="32"/>
      <c r="B617" s="250"/>
      <c r="C617" s="17"/>
      <c r="D617" s="79">
        <v>4</v>
      </c>
      <c r="E617" s="79">
        <v>0.75</v>
      </c>
      <c r="F617" s="79">
        <v>0.6</v>
      </c>
      <c r="G617" s="17"/>
      <c r="H617" s="82">
        <f t="shared" si="65"/>
        <v>1.7999999999999998</v>
      </c>
      <c r="I617" s="17"/>
      <c r="J617" s="73">
        <f t="shared" si="66"/>
        <v>1.7999999999999998</v>
      </c>
    </row>
    <row r="618" spans="1:10" x14ac:dyDescent="0.2">
      <c r="A618" s="32"/>
      <c r="B618" s="250" t="s">
        <v>284</v>
      </c>
      <c r="C618" s="17"/>
      <c r="D618" s="79">
        <v>3</v>
      </c>
      <c r="E618" s="79">
        <v>0.75</v>
      </c>
      <c r="F618" s="79">
        <v>0.6</v>
      </c>
      <c r="G618" s="17"/>
      <c r="H618" s="82">
        <f t="shared" si="65"/>
        <v>1.3499999999999999</v>
      </c>
      <c r="I618" s="17"/>
      <c r="J618" s="73">
        <f t="shared" si="66"/>
        <v>1.3499999999999999</v>
      </c>
    </row>
    <row r="619" spans="1:10" x14ac:dyDescent="0.2">
      <c r="A619" s="32"/>
      <c r="B619" s="250"/>
      <c r="C619" s="17"/>
      <c r="D619" s="79">
        <v>3</v>
      </c>
      <c r="E619" s="79">
        <v>0.75</v>
      </c>
      <c r="F619" s="79">
        <v>0.6</v>
      </c>
      <c r="G619" s="17"/>
      <c r="H619" s="82">
        <f t="shared" si="65"/>
        <v>1.3499999999999999</v>
      </c>
      <c r="I619" s="17"/>
      <c r="J619" s="73">
        <f t="shared" si="66"/>
        <v>1.3499999999999999</v>
      </c>
    </row>
    <row r="620" spans="1:10" x14ac:dyDescent="0.2">
      <c r="A620" s="32"/>
      <c r="B620" s="250" t="s">
        <v>281</v>
      </c>
      <c r="C620" s="17"/>
      <c r="D620" s="79">
        <v>4</v>
      </c>
      <c r="E620" s="79">
        <v>0.75</v>
      </c>
      <c r="F620" s="79">
        <v>0.6</v>
      </c>
      <c r="G620" s="17"/>
      <c r="H620" s="82">
        <f t="shared" si="65"/>
        <v>1.7999999999999998</v>
      </c>
      <c r="I620" s="17"/>
      <c r="J620" s="73">
        <f t="shared" si="66"/>
        <v>1.7999999999999998</v>
      </c>
    </row>
    <row r="621" spans="1:10" x14ac:dyDescent="0.2">
      <c r="A621" s="32"/>
      <c r="B621" s="250"/>
      <c r="C621" s="17"/>
      <c r="D621" s="79">
        <v>4</v>
      </c>
      <c r="E621" s="79">
        <v>0.75</v>
      </c>
      <c r="F621" s="79">
        <v>0.6</v>
      </c>
      <c r="G621" s="17"/>
      <c r="H621" s="82">
        <f t="shared" si="65"/>
        <v>1.7999999999999998</v>
      </c>
      <c r="I621" s="17"/>
      <c r="J621" s="73">
        <f t="shared" si="66"/>
        <v>1.7999999999999998</v>
      </c>
    </row>
    <row r="622" spans="1:10" x14ac:dyDescent="0.2">
      <c r="A622" s="32"/>
      <c r="B622" s="250" t="s">
        <v>282</v>
      </c>
      <c r="C622" s="17"/>
      <c r="D622" s="79">
        <v>6</v>
      </c>
      <c r="E622" s="79">
        <v>0.75</v>
      </c>
      <c r="F622" s="79">
        <v>0.6</v>
      </c>
      <c r="G622" s="17"/>
      <c r="H622" s="82">
        <f t="shared" si="65"/>
        <v>2.6999999999999997</v>
      </c>
      <c r="I622" s="17"/>
      <c r="J622" s="73">
        <f t="shared" si="66"/>
        <v>2.6999999999999997</v>
      </c>
    </row>
    <row r="623" spans="1:10" x14ac:dyDescent="0.2">
      <c r="A623" s="32"/>
      <c r="B623" s="250"/>
      <c r="C623" s="17"/>
      <c r="D623" s="79">
        <v>6</v>
      </c>
      <c r="E623" s="79">
        <v>0.75</v>
      </c>
      <c r="F623" s="79">
        <v>0.6</v>
      </c>
      <c r="G623" s="17"/>
      <c r="H623" s="82">
        <f t="shared" si="65"/>
        <v>2.6999999999999997</v>
      </c>
      <c r="I623" s="17"/>
      <c r="J623" s="73">
        <f t="shared" si="66"/>
        <v>2.6999999999999997</v>
      </c>
    </row>
    <row r="624" spans="1:10" x14ac:dyDescent="0.2">
      <c r="A624" s="32"/>
      <c r="B624" s="250"/>
      <c r="C624" s="17"/>
      <c r="D624" s="79"/>
      <c r="E624" s="79"/>
      <c r="F624" s="79"/>
      <c r="G624" s="17"/>
      <c r="H624" s="82"/>
      <c r="I624" s="77" t="s">
        <v>283</v>
      </c>
      <c r="J624" s="76">
        <f>SUM(J588:J623)</f>
        <v>102.37799999999994</v>
      </c>
    </row>
    <row r="625" spans="1:10" x14ac:dyDescent="0.2">
      <c r="A625" s="32"/>
      <c r="B625" s="71"/>
      <c r="C625" s="17"/>
      <c r="D625" s="17"/>
      <c r="E625" s="73"/>
      <c r="F625" s="73"/>
      <c r="G625" s="17"/>
      <c r="H625" s="82"/>
      <c r="I625" s="17"/>
      <c r="J625" s="73"/>
    </row>
    <row r="626" spans="1:10" x14ac:dyDescent="0.2">
      <c r="A626" s="11">
        <f>'PLANILHA ORÇAMENTÁRIA'!A104</f>
        <v>13</v>
      </c>
      <c r="B626" s="7" t="str">
        <f>'PLANILHA ORÇAMENTÁRIA'!D104</f>
        <v>APARELHOS ELÉTRICOS</v>
      </c>
      <c r="C626" s="5"/>
      <c r="D626" s="170"/>
      <c r="E626" s="70"/>
      <c r="F626" s="70"/>
      <c r="G626" s="70"/>
      <c r="H626" s="70"/>
      <c r="I626" s="70"/>
      <c r="J626" s="70"/>
    </row>
    <row r="627" spans="1:10" x14ac:dyDescent="0.2">
      <c r="A627" s="20" t="str">
        <f>'PLANILHA ORÇAMENTÁRIA'!A105</f>
        <v>13.1</v>
      </c>
      <c r="B627" s="157" t="str">
        <f>'PLANILHA ORÇAMENTÁRIA'!D105</f>
        <v>AR REFRIGERADO</v>
      </c>
      <c r="C627" s="12"/>
      <c r="D627" s="17"/>
      <c r="E627" s="9"/>
      <c r="F627" s="27"/>
      <c r="G627" s="28"/>
      <c r="H627" s="72"/>
      <c r="I627" s="17"/>
      <c r="J627" s="17"/>
    </row>
    <row r="628" spans="1:10" ht="40.5" customHeight="1" x14ac:dyDescent="0.2">
      <c r="A628" s="17" t="s">
        <v>237</v>
      </c>
      <c r="B628" s="156" t="str">
        <f>'PLANILHA ORÇAMENTÁRIA'!D106</f>
        <v xml:space="preserve"> Fornecimento e Instalação de Unidade Evaporadora e Condensadora de Ar Condicionado tipo Split Inverter
Hi-Wall (Parede) de 12.000 BTU´s 220V - Ciclo Frio - Classificação A (Selo PROCEL), inclusive amortecedores vibra-stop  (BDI =15,57%)
</v>
      </c>
      <c r="C628" s="17" t="s">
        <v>124</v>
      </c>
      <c r="D628" s="79" t="s">
        <v>268</v>
      </c>
      <c r="E628" s="79" t="s">
        <v>269</v>
      </c>
      <c r="F628" s="79" t="s">
        <v>270</v>
      </c>
      <c r="G628" s="79" t="s">
        <v>271</v>
      </c>
      <c r="H628" s="79" t="s">
        <v>272</v>
      </c>
      <c r="I628" s="79" t="s">
        <v>273</v>
      </c>
      <c r="J628" s="80" t="s">
        <v>274</v>
      </c>
    </row>
    <row r="629" spans="1:10" ht="20.25" customHeight="1" x14ac:dyDescent="0.2">
      <c r="A629" s="17"/>
      <c r="B629" s="275" t="s">
        <v>275</v>
      </c>
      <c r="C629" s="268"/>
      <c r="D629" s="273">
        <v>1</v>
      </c>
      <c r="E629" s="273"/>
      <c r="F629" s="273"/>
      <c r="G629" s="273"/>
      <c r="H629" s="276">
        <v>20.683600000000002</v>
      </c>
      <c r="I629" s="79"/>
      <c r="J629" s="80">
        <f>D629</f>
        <v>1</v>
      </c>
    </row>
    <row r="630" spans="1:10" ht="20.25" customHeight="1" x14ac:dyDescent="0.2">
      <c r="A630" s="17"/>
      <c r="B630" s="275" t="s">
        <v>276</v>
      </c>
      <c r="C630" s="268"/>
      <c r="D630" s="273">
        <v>1</v>
      </c>
      <c r="E630" s="273"/>
      <c r="F630" s="273"/>
      <c r="G630" s="273"/>
      <c r="H630" s="276">
        <v>23.1</v>
      </c>
      <c r="I630" s="79"/>
      <c r="J630" s="80">
        <f t="shared" ref="J630:J632" si="67">D630</f>
        <v>1</v>
      </c>
    </row>
    <row r="631" spans="1:10" ht="20.25" customHeight="1" x14ac:dyDescent="0.2">
      <c r="A631" s="17"/>
      <c r="B631" s="279" t="s">
        <v>277</v>
      </c>
      <c r="C631" s="268"/>
      <c r="D631" s="273">
        <v>1</v>
      </c>
      <c r="E631" s="278"/>
      <c r="F631" s="277"/>
      <c r="G631" s="273"/>
      <c r="H631" s="276">
        <v>23.454600000000003</v>
      </c>
      <c r="I631" s="79"/>
      <c r="J631" s="80">
        <f t="shared" si="67"/>
        <v>1</v>
      </c>
    </row>
    <row r="632" spans="1:10" ht="20.25" customHeight="1" x14ac:dyDescent="0.2">
      <c r="A632" s="17"/>
      <c r="B632" s="279" t="s">
        <v>280</v>
      </c>
      <c r="C632" s="268"/>
      <c r="D632" s="273">
        <v>1</v>
      </c>
      <c r="E632" s="278"/>
      <c r="F632" s="277"/>
      <c r="G632" s="273"/>
      <c r="H632" s="276">
        <v>24.709999999999997</v>
      </c>
      <c r="I632" s="79"/>
      <c r="J632" s="80">
        <f t="shared" si="67"/>
        <v>1</v>
      </c>
    </row>
    <row r="633" spans="1:10" x14ac:dyDescent="0.2">
      <c r="A633" s="17"/>
      <c r="B633" s="156"/>
      <c r="C633" s="17"/>
      <c r="D633" s="273"/>
      <c r="E633" s="79"/>
      <c r="F633" s="79"/>
      <c r="G633" s="79"/>
      <c r="H633" s="79"/>
      <c r="I633" s="79"/>
      <c r="J633" s="80"/>
    </row>
    <row r="634" spans="1:10" x14ac:dyDescent="0.2">
      <c r="A634" s="17"/>
      <c r="B634" s="71"/>
      <c r="C634" s="17"/>
      <c r="D634" s="79"/>
      <c r="E634" s="79"/>
      <c r="F634" s="79"/>
      <c r="G634" s="79"/>
      <c r="H634" s="79"/>
      <c r="I634" s="77" t="s">
        <v>283</v>
      </c>
      <c r="J634" s="76">
        <f>SUM(J629:J632)</f>
        <v>4</v>
      </c>
    </row>
    <row r="635" spans="1:10" x14ac:dyDescent="0.2">
      <c r="A635" s="329"/>
      <c r="B635" s="157"/>
      <c r="C635" s="12"/>
      <c r="D635" s="17"/>
      <c r="E635" s="9"/>
      <c r="F635" s="27"/>
      <c r="G635" s="28"/>
      <c r="H635" s="72"/>
      <c r="I635" s="17"/>
      <c r="J635" s="17"/>
    </row>
    <row r="636" spans="1:10" ht="51" x14ac:dyDescent="0.2">
      <c r="A636" s="17" t="str">
        <f>'PLANILHA ORÇAMENTÁRIA'!A107</f>
        <v>13.1.2</v>
      </c>
      <c r="B636" s="156" t="str">
        <f>'PLANILHA ORÇAMENTÁRIA'!D107</f>
        <v>Fornecimento e Instalação de Unidade Evaporadora e Condensadora de Ar Condicionado tipo Split Inverter Hi-Wall (Parede) de 18.000 BTU´s 220V - Ciclo Frio - Classificação A (Selo PROCEL), inclusive amortecedores vibra-stop  (BDI =15,57%)</v>
      </c>
      <c r="C636" s="17" t="str">
        <f>'PLANILHA ORÇAMENTÁRIA'!E107</f>
        <v xml:space="preserve">und </v>
      </c>
      <c r="D636" s="79" t="s">
        <v>268</v>
      </c>
      <c r="E636" s="79" t="s">
        <v>269</v>
      </c>
      <c r="F636" s="79" t="s">
        <v>270</v>
      </c>
      <c r="G636" s="79" t="s">
        <v>271</v>
      </c>
      <c r="H636" s="79" t="s">
        <v>272</v>
      </c>
      <c r="I636" s="79" t="s">
        <v>273</v>
      </c>
      <c r="J636" s="80" t="s">
        <v>274</v>
      </c>
    </row>
    <row r="637" spans="1:10" x14ac:dyDescent="0.2">
      <c r="A637" s="17"/>
      <c r="B637" s="279" t="s">
        <v>284</v>
      </c>
      <c r="C637" s="268"/>
      <c r="D637" s="273">
        <v>1</v>
      </c>
      <c r="E637" s="79"/>
      <c r="F637" s="79"/>
      <c r="G637" s="79"/>
      <c r="H637" s="79"/>
      <c r="I637" s="79"/>
      <c r="J637" s="80">
        <f>D637</f>
        <v>1</v>
      </c>
    </row>
    <row r="638" spans="1:10" x14ac:dyDescent="0.2">
      <c r="A638" s="17"/>
      <c r="B638" s="279" t="s">
        <v>281</v>
      </c>
      <c r="C638" s="268"/>
      <c r="D638" s="273">
        <v>1</v>
      </c>
      <c r="E638" s="79"/>
      <c r="F638" s="79"/>
      <c r="G638" s="79"/>
      <c r="H638" s="79"/>
      <c r="I638" s="79"/>
      <c r="J638" s="80">
        <f t="shared" ref="J638:J640" si="68">D638</f>
        <v>1</v>
      </c>
    </row>
    <row r="639" spans="1:10" x14ac:dyDescent="0.2">
      <c r="A639" s="17"/>
      <c r="B639" s="279" t="s">
        <v>278</v>
      </c>
      <c r="C639" s="268"/>
      <c r="D639" s="273">
        <v>1</v>
      </c>
      <c r="E639" s="278"/>
      <c r="F639" s="277"/>
      <c r="G639" s="273"/>
      <c r="H639" s="360"/>
      <c r="I639" s="79"/>
      <c r="J639" s="80">
        <f t="shared" si="68"/>
        <v>1</v>
      </c>
    </row>
    <row r="640" spans="1:10" x14ac:dyDescent="0.2">
      <c r="A640" s="17"/>
      <c r="B640" s="279" t="s">
        <v>279</v>
      </c>
      <c r="C640" s="268"/>
      <c r="D640" s="273">
        <v>1</v>
      </c>
      <c r="E640" s="278"/>
      <c r="F640" s="277"/>
      <c r="G640" s="273"/>
      <c r="H640" s="360"/>
      <c r="I640" s="79"/>
      <c r="J640" s="80">
        <f t="shared" si="68"/>
        <v>1</v>
      </c>
    </row>
    <row r="641" spans="1:10" x14ac:dyDescent="0.2">
      <c r="A641" s="17"/>
      <c r="B641" s="71"/>
      <c r="C641" s="17"/>
      <c r="D641" s="79"/>
      <c r="E641" s="79"/>
      <c r="F641" s="79"/>
      <c r="G641" s="79"/>
      <c r="H641" s="79"/>
      <c r="I641" s="79"/>
      <c r="J641" s="80"/>
    </row>
    <row r="642" spans="1:10" x14ac:dyDescent="0.2">
      <c r="A642" s="17"/>
      <c r="B642" s="71"/>
      <c r="C642" s="17"/>
      <c r="D642" s="79"/>
      <c r="E642" s="79"/>
      <c r="F642" s="79"/>
      <c r="G642" s="79"/>
      <c r="H642" s="79"/>
      <c r="I642" s="77" t="s">
        <v>283</v>
      </c>
      <c r="J642" s="76">
        <f>SUM(J637:J641)</f>
        <v>4</v>
      </c>
    </row>
    <row r="643" spans="1:10" x14ac:dyDescent="0.2">
      <c r="A643" s="17"/>
      <c r="B643" s="18"/>
      <c r="C643" s="17"/>
      <c r="D643" s="83"/>
      <c r="E643" s="36"/>
      <c r="F643" s="36"/>
      <c r="G643" s="36"/>
      <c r="H643" s="36"/>
      <c r="I643" s="36"/>
      <c r="J643" s="36"/>
    </row>
    <row r="644" spans="1:10" ht="61.5" customHeight="1" x14ac:dyDescent="0.2">
      <c r="A644" s="17" t="str">
        <f>'PLANILHA ORÇAMENTÁRIA'!A108</f>
        <v>13.1.3</v>
      </c>
      <c r="B644" s="156" t="str">
        <f>'PLANILHA ORÇAMENTÁRIA'!D108</f>
        <v>Fornecimento e Instalação de Unidade Evaporadora e Condensadora de Ar Condicionado tipo Split Inverter Hi-Wall (Parede) de 24.000 BTU´s 220V - Ciclo Frio - Classificação A (Selo PROCEL), inclusive amortecedores vibra-stop  (BDI =15,57%)</v>
      </c>
      <c r="C644" s="17" t="str">
        <f>'PLANILHA ORÇAMENTÁRIA'!E108</f>
        <v xml:space="preserve">und </v>
      </c>
      <c r="D644" s="79" t="s">
        <v>268</v>
      </c>
      <c r="E644" s="79" t="s">
        <v>269</v>
      </c>
      <c r="F644" s="79" t="s">
        <v>270</v>
      </c>
      <c r="G644" s="79" t="s">
        <v>271</v>
      </c>
      <c r="H644" s="79" t="s">
        <v>272</v>
      </c>
      <c r="I644" s="79" t="s">
        <v>273</v>
      </c>
      <c r="J644" s="80" t="s">
        <v>274</v>
      </c>
    </row>
    <row r="645" spans="1:10" ht="30.75" customHeight="1" x14ac:dyDescent="0.2">
      <c r="A645" s="17"/>
      <c r="B645" s="333" t="s">
        <v>282</v>
      </c>
      <c r="C645" s="268"/>
      <c r="D645" s="273">
        <v>1</v>
      </c>
      <c r="E645" s="337"/>
      <c r="F645" s="336"/>
      <c r="G645" s="79"/>
      <c r="H645" s="360"/>
      <c r="I645" s="79"/>
      <c r="J645" s="80">
        <f>D645</f>
        <v>1</v>
      </c>
    </row>
    <row r="646" spans="1:10" x14ac:dyDescent="0.2">
      <c r="A646" s="17"/>
      <c r="B646" s="71"/>
      <c r="C646" s="17"/>
      <c r="D646" s="79"/>
      <c r="E646" s="79"/>
      <c r="F646" s="79"/>
      <c r="G646" s="79"/>
      <c r="H646" s="79"/>
      <c r="I646" s="79"/>
      <c r="J646" s="80"/>
    </row>
    <row r="647" spans="1:10" x14ac:dyDescent="0.2">
      <c r="A647" s="17"/>
      <c r="B647" s="71"/>
      <c r="C647" s="17"/>
      <c r="D647" s="79"/>
      <c r="E647" s="79"/>
      <c r="F647" s="79"/>
      <c r="G647" s="79"/>
      <c r="H647" s="79"/>
      <c r="I647" s="77" t="s">
        <v>283</v>
      </c>
      <c r="J647" s="76">
        <f>J645</f>
        <v>1</v>
      </c>
    </row>
    <row r="648" spans="1:10" x14ac:dyDescent="0.2">
      <c r="A648" s="17"/>
      <c r="B648" s="71"/>
      <c r="C648" s="17"/>
      <c r="D648" s="79"/>
      <c r="E648" s="79"/>
      <c r="F648" s="79"/>
      <c r="G648" s="79"/>
      <c r="H648" s="79"/>
      <c r="I648" s="79"/>
      <c r="J648" s="80"/>
    </row>
    <row r="649" spans="1:10" x14ac:dyDescent="0.2">
      <c r="A649" s="11">
        <f>'PLANILHA ORÇAMENTÁRIA'!A110</f>
        <v>14</v>
      </c>
      <c r="B649" s="7" t="str">
        <f>'PLANILHA ORÇAMENTÁRIA'!D110</f>
        <v>PINTURA</v>
      </c>
      <c r="C649" s="5"/>
      <c r="D649" s="170"/>
      <c r="E649" s="70"/>
      <c r="F649" s="70"/>
      <c r="G649" s="70"/>
      <c r="H649" s="70"/>
      <c r="I649" s="70"/>
      <c r="J649" s="70"/>
    </row>
    <row r="650" spans="1:10" x14ac:dyDescent="0.2">
      <c r="A650" s="20" t="str">
        <f>'PLANILHA ORÇAMENTÁRIA'!A111</f>
        <v>14.1</v>
      </c>
      <c r="B650" s="16" t="str">
        <f>'PLANILHA ORÇAMENTÁRIA'!D111</f>
        <v>SOBRE PAREDES E FORROS</v>
      </c>
      <c r="C650" s="17"/>
      <c r="D650" s="83"/>
      <c r="E650" s="36"/>
      <c r="F650" s="36"/>
      <c r="G650" s="36"/>
      <c r="H650" s="36"/>
      <c r="I650" s="36"/>
      <c r="J650" s="36"/>
    </row>
    <row r="651" spans="1:10" ht="25.5" x14ac:dyDescent="0.2">
      <c r="A651" s="32" t="str">
        <f>'PLANILHA ORÇAMENTÁRIA'!A112</f>
        <v>14.1.1</v>
      </c>
      <c r="B651" s="18" t="str">
        <f>'PLANILHA ORÇAMENTÁRIA'!D112</f>
        <v xml:space="preserve">Emassamento de paredes e forros, com duas demãos de massa acrílica, marcas de referência Suvinil, Coral ou Metalatex </v>
      </c>
      <c r="C651" s="17" t="str">
        <f>'PLANILHA ORÇAMENTÁRIA'!E112</f>
        <v xml:space="preserve">m2 </v>
      </c>
      <c r="D651" s="79" t="s">
        <v>268</v>
      </c>
      <c r="E651" s="79" t="s">
        <v>269</v>
      </c>
      <c r="F651" s="79" t="s">
        <v>270</v>
      </c>
      <c r="G651" s="79" t="s">
        <v>271</v>
      </c>
      <c r="H651" s="79" t="s">
        <v>272</v>
      </c>
      <c r="I651" s="79" t="s">
        <v>273</v>
      </c>
      <c r="J651" s="80" t="s">
        <v>274</v>
      </c>
    </row>
    <row r="652" spans="1:10" x14ac:dyDescent="0.2">
      <c r="A652" s="32"/>
      <c r="B652" s="18" t="s">
        <v>627</v>
      </c>
      <c r="C652" s="17"/>
      <c r="D652" s="79"/>
      <c r="E652" s="79"/>
      <c r="F652" s="79"/>
      <c r="G652" s="79"/>
      <c r="H652" s="79"/>
      <c r="I652" s="79"/>
      <c r="J652" s="80"/>
    </row>
    <row r="653" spans="1:10" x14ac:dyDescent="0.2">
      <c r="A653" s="32"/>
      <c r="B653" s="264" t="s">
        <v>288</v>
      </c>
      <c r="C653" s="17"/>
      <c r="D653" s="79">
        <v>2</v>
      </c>
      <c r="E653" s="273">
        <v>6.23</v>
      </c>
      <c r="F653" s="273">
        <v>3.32</v>
      </c>
      <c r="G653" s="79">
        <v>1.7</v>
      </c>
      <c r="H653" s="79">
        <f>(E653+F653)*D653*G653</f>
        <v>32.47</v>
      </c>
      <c r="I653" s="79"/>
      <c r="J653" s="80">
        <f>H653</f>
        <v>32.47</v>
      </c>
    </row>
    <row r="654" spans="1:10" x14ac:dyDescent="0.2">
      <c r="A654" s="32"/>
      <c r="B654" s="264" t="s">
        <v>276</v>
      </c>
      <c r="C654" s="17"/>
      <c r="D654" s="79">
        <v>2</v>
      </c>
      <c r="E654" s="277">
        <v>6</v>
      </c>
      <c r="F654" s="278">
        <v>3.85</v>
      </c>
      <c r="G654" s="79">
        <v>1.7</v>
      </c>
      <c r="H654" s="79">
        <f t="shared" ref="H654:H661" si="69">(E654+F654)*D654*G654</f>
        <v>33.489999999999995</v>
      </c>
      <c r="I654" s="79"/>
      <c r="J654" s="80">
        <f t="shared" ref="J654:J671" si="70">H654</f>
        <v>33.489999999999995</v>
      </c>
    </row>
    <row r="655" spans="1:10" x14ac:dyDescent="0.2">
      <c r="A655" s="32"/>
      <c r="B655" s="250" t="s">
        <v>277</v>
      </c>
      <c r="C655" s="17"/>
      <c r="D655" s="79">
        <v>2</v>
      </c>
      <c r="E655" s="277">
        <v>5.82</v>
      </c>
      <c r="F655" s="278">
        <v>4.03</v>
      </c>
      <c r="G655" s="79">
        <v>1.7</v>
      </c>
      <c r="H655" s="79">
        <f t="shared" si="69"/>
        <v>33.49</v>
      </c>
      <c r="I655" s="79"/>
      <c r="J655" s="80">
        <f t="shared" si="70"/>
        <v>33.49</v>
      </c>
    </row>
    <row r="656" spans="1:10" x14ac:dyDescent="0.2">
      <c r="A656" s="32"/>
      <c r="B656" s="250" t="s">
        <v>278</v>
      </c>
      <c r="C656" s="17"/>
      <c r="D656" s="79">
        <v>2</v>
      </c>
      <c r="E656" s="277">
        <v>9.08</v>
      </c>
      <c r="F656" s="278">
        <v>4.25</v>
      </c>
      <c r="G656" s="79">
        <v>1.7</v>
      </c>
      <c r="H656" s="79">
        <f t="shared" si="69"/>
        <v>45.321999999999996</v>
      </c>
      <c r="I656" s="79"/>
      <c r="J656" s="80">
        <f t="shared" si="70"/>
        <v>45.321999999999996</v>
      </c>
    </row>
    <row r="657" spans="1:10" x14ac:dyDescent="0.2">
      <c r="A657" s="32"/>
      <c r="B657" s="250" t="s">
        <v>279</v>
      </c>
      <c r="C657" s="17"/>
      <c r="D657" s="79">
        <v>2</v>
      </c>
      <c r="E657" s="277">
        <v>6</v>
      </c>
      <c r="F657" s="278">
        <v>5.27</v>
      </c>
      <c r="G657" s="79">
        <v>1.7</v>
      </c>
      <c r="H657" s="79">
        <f t="shared" si="69"/>
        <v>38.317999999999998</v>
      </c>
      <c r="I657" s="79"/>
      <c r="J657" s="80">
        <f t="shared" si="70"/>
        <v>38.317999999999998</v>
      </c>
    </row>
    <row r="658" spans="1:10" x14ac:dyDescent="0.2">
      <c r="A658" s="32"/>
      <c r="B658" s="250" t="s">
        <v>280</v>
      </c>
      <c r="C658" s="17"/>
      <c r="D658" s="79">
        <v>2</v>
      </c>
      <c r="E658" s="277">
        <v>7</v>
      </c>
      <c r="F658" s="278">
        <v>3.53</v>
      </c>
      <c r="G658" s="79">
        <v>1.7</v>
      </c>
      <c r="H658" s="79">
        <f t="shared" si="69"/>
        <v>35.802</v>
      </c>
      <c r="I658" s="79"/>
      <c r="J658" s="80">
        <f t="shared" si="70"/>
        <v>35.802</v>
      </c>
    </row>
    <row r="659" spans="1:10" x14ac:dyDescent="0.2">
      <c r="A659" s="32"/>
      <c r="B659" s="250" t="s">
        <v>284</v>
      </c>
      <c r="C659" s="17"/>
      <c r="D659" s="79">
        <v>2</v>
      </c>
      <c r="E659" s="79">
        <v>6</v>
      </c>
      <c r="F659" s="79">
        <v>4.33</v>
      </c>
      <c r="G659" s="79">
        <v>1.7</v>
      </c>
      <c r="H659" s="79">
        <f t="shared" si="69"/>
        <v>35.122</v>
      </c>
      <c r="I659" s="79"/>
      <c r="J659" s="80">
        <f t="shared" si="70"/>
        <v>35.122</v>
      </c>
    </row>
    <row r="660" spans="1:10" x14ac:dyDescent="0.2">
      <c r="A660" s="32"/>
      <c r="B660" s="250" t="s">
        <v>281</v>
      </c>
      <c r="C660" s="17"/>
      <c r="D660" s="79">
        <v>2</v>
      </c>
      <c r="E660" s="277">
        <v>7</v>
      </c>
      <c r="F660" s="278">
        <v>5</v>
      </c>
      <c r="G660" s="79">
        <v>1.7</v>
      </c>
      <c r="H660" s="79">
        <f t="shared" si="69"/>
        <v>40.799999999999997</v>
      </c>
      <c r="I660" s="79"/>
      <c r="J660" s="80">
        <f t="shared" si="70"/>
        <v>40.799999999999997</v>
      </c>
    </row>
    <row r="661" spans="1:10" x14ac:dyDescent="0.2">
      <c r="A661" s="32"/>
      <c r="B661" s="250" t="s">
        <v>282</v>
      </c>
      <c r="C661" s="17"/>
      <c r="D661" s="79">
        <v>2</v>
      </c>
      <c r="E661" s="277">
        <v>11.17</v>
      </c>
      <c r="F661" s="278">
        <v>6.74</v>
      </c>
      <c r="G661" s="79">
        <v>1.7</v>
      </c>
      <c r="H661" s="79">
        <f t="shared" si="69"/>
        <v>60.893999999999998</v>
      </c>
      <c r="I661" s="79"/>
      <c r="J661" s="80">
        <f t="shared" si="70"/>
        <v>60.893999999999998</v>
      </c>
    </row>
    <row r="662" spans="1:10" x14ac:dyDescent="0.2">
      <c r="A662" s="32"/>
      <c r="B662" s="18" t="s">
        <v>628</v>
      </c>
      <c r="C662" s="17"/>
      <c r="D662" s="79"/>
      <c r="E662" s="79"/>
      <c r="F662" s="79"/>
      <c r="G662" s="79"/>
      <c r="H662" s="79"/>
      <c r="I662" s="79"/>
      <c r="J662" s="80"/>
    </row>
    <row r="663" spans="1:10" x14ac:dyDescent="0.2">
      <c r="A663" s="32"/>
      <c r="B663" s="264" t="s">
        <v>288</v>
      </c>
      <c r="C663" s="17"/>
      <c r="D663" s="79"/>
      <c r="E663" s="273">
        <v>6.23</v>
      </c>
      <c r="F663" s="273">
        <v>3.32</v>
      </c>
      <c r="G663" s="79"/>
      <c r="H663" s="79">
        <f>E663*F663</f>
        <v>20.683600000000002</v>
      </c>
      <c r="I663" s="79"/>
      <c r="J663" s="80">
        <f t="shared" si="70"/>
        <v>20.683600000000002</v>
      </c>
    </row>
    <row r="664" spans="1:10" x14ac:dyDescent="0.2">
      <c r="A664" s="32"/>
      <c r="B664" s="264" t="s">
        <v>276</v>
      </c>
      <c r="C664" s="17"/>
      <c r="D664" s="79"/>
      <c r="E664" s="277">
        <v>6</v>
      </c>
      <c r="F664" s="278">
        <v>3.85</v>
      </c>
      <c r="G664" s="79"/>
      <c r="H664" s="79">
        <f t="shared" ref="H664:H671" si="71">E664*F664</f>
        <v>23.1</v>
      </c>
      <c r="I664" s="79"/>
      <c r="J664" s="80">
        <f t="shared" si="70"/>
        <v>23.1</v>
      </c>
    </row>
    <row r="665" spans="1:10" x14ac:dyDescent="0.2">
      <c r="A665" s="32"/>
      <c r="B665" s="250" t="s">
        <v>277</v>
      </c>
      <c r="C665" s="17"/>
      <c r="D665" s="79"/>
      <c r="E665" s="277">
        <v>5.82</v>
      </c>
      <c r="F665" s="278">
        <v>4.03</v>
      </c>
      <c r="G665" s="79"/>
      <c r="H665" s="79">
        <f t="shared" si="71"/>
        <v>23.454600000000003</v>
      </c>
      <c r="I665" s="79"/>
      <c r="J665" s="80">
        <f t="shared" si="70"/>
        <v>23.454600000000003</v>
      </c>
    </row>
    <row r="666" spans="1:10" x14ac:dyDescent="0.2">
      <c r="A666" s="32"/>
      <c r="B666" s="250" t="s">
        <v>278</v>
      </c>
      <c r="C666" s="17"/>
      <c r="D666" s="79"/>
      <c r="E666" s="277">
        <v>9.08</v>
      </c>
      <c r="F666" s="278">
        <v>4.25</v>
      </c>
      <c r="G666" s="79"/>
      <c r="H666" s="79">
        <f t="shared" si="71"/>
        <v>38.590000000000003</v>
      </c>
      <c r="I666" s="79"/>
      <c r="J666" s="80">
        <f t="shared" si="70"/>
        <v>38.590000000000003</v>
      </c>
    </row>
    <row r="667" spans="1:10" x14ac:dyDescent="0.2">
      <c r="A667" s="32"/>
      <c r="B667" s="250" t="s">
        <v>279</v>
      </c>
      <c r="C667" s="17"/>
      <c r="D667" s="79"/>
      <c r="E667" s="277">
        <v>6</v>
      </c>
      <c r="F667" s="278">
        <v>5.27</v>
      </c>
      <c r="G667" s="79"/>
      <c r="H667" s="79">
        <f t="shared" si="71"/>
        <v>31.619999999999997</v>
      </c>
      <c r="I667" s="79"/>
      <c r="J667" s="80">
        <f t="shared" si="70"/>
        <v>31.619999999999997</v>
      </c>
    </row>
    <row r="668" spans="1:10" x14ac:dyDescent="0.2">
      <c r="A668" s="32"/>
      <c r="B668" s="250" t="s">
        <v>280</v>
      </c>
      <c r="C668" s="17"/>
      <c r="D668" s="79"/>
      <c r="E668" s="277">
        <v>7</v>
      </c>
      <c r="F668" s="278">
        <v>3.53</v>
      </c>
      <c r="G668" s="79"/>
      <c r="H668" s="79">
        <f t="shared" si="71"/>
        <v>24.709999999999997</v>
      </c>
      <c r="I668" s="79"/>
      <c r="J668" s="80">
        <f t="shared" si="70"/>
        <v>24.709999999999997</v>
      </c>
    </row>
    <row r="669" spans="1:10" x14ac:dyDescent="0.2">
      <c r="A669" s="32"/>
      <c r="B669" s="250" t="s">
        <v>284</v>
      </c>
      <c r="C669" s="17"/>
      <c r="D669" s="79"/>
      <c r="E669" s="79">
        <v>6</v>
      </c>
      <c r="F669" s="79">
        <v>4.33</v>
      </c>
      <c r="G669" s="79"/>
      <c r="H669" s="79">
        <f t="shared" si="71"/>
        <v>25.98</v>
      </c>
      <c r="I669" s="79"/>
      <c r="J669" s="80">
        <f t="shared" si="70"/>
        <v>25.98</v>
      </c>
    </row>
    <row r="670" spans="1:10" x14ac:dyDescent="0.2">
      <c r="A670" s="32"/>
      <c r="B670" s="250" t="s">
        <v>281</v>
      </c>
      <c r="C670" s="17"/>
      <c r="D670" s="79"/>
      <c r="E670" s="277">
        <v>7</v>
      </c>
      <c r="F670" s="278">
        <v>5</v>
      </c>
      <c r="G670" s="79"/>
      <c r="H670" s="79">
        <f t="shared" si="71"/>
        <v>35</v>
      </c>
      <c r="I670" s="79"/>
      <c r="J670" s="80">
        <f t="shared" si="70"/>
        <v>35</v>
      </c>
    </row>
    <row r="671" spans="1:10" x14ac:dyDescent="0.2">
      <c r="A671" s="32"/>
      <c r="B671" s="250" t="s">
        <v>282</v>
      </c>
      <c r="C671" s="17"/>
      <c r="D671" s="79"/>
      <c r="E671" s="277">
        <v>11.17</v>
      </c>
      <c r="F671" s="278">
        <v>6.74</v>
      </c>
      <c r="G671" s="79"/>
      <c r="H671" s="79">
        <f t="shared" si="71"/>
        <v>75.285800000000009</v>
      </c>
      <c r="I671" s="79"/>
      <c r="J671" s="80">
        <f t="shared" si="70"/>
        <v>75.285800000000009</v>
      </c>
    </row>
    <row r="672" spans="1:10" ht="14.25" customHeight="1" x14ac:dyDescent="0.2">
      <c r="A672" s="32"/>
      <c r="B672" s="78"/>
      <c r="C672" s="17"/>
      <c r="D672" s="79"/>
      <c r="E672" s="79"/>
      <c r="F672" s="79"/>
      <c r="G672" s="79"/>
      <c r="H672" s="79"/>
      <c r="I672" s="79"/>
      <c r="J672" s="80"/>
    </row>
    <row r="673" spans="1:10" x14ac:dyDescent="0.2">
      <c r="A673" s="32"/>
      <c r="B673" s="78"/>
      <c r="C673" s="17"/>
      <c r="D673" s="79"/>
      <c r="E673" s="79"/>
      <c r="F673" s="79"/>
      <c r="G673" s="79"/>
      <c r="H673" s="79"/>
      <c r="I673" s="77" t="s">
        <v>283</v>
      </c>
      <c r="J673" s="76">
        <f>SUM(J653:J672)</f>
        <v>654.13200000000006</v>
      </c>
    </row>
    <row r="674" spans="1:10" x14ac:dyDescent="0.2">
      <c r="A674" s="32"/>
      <c r="B674" s="18"/>
      <c r="C674" s="17"/>
      <c r="D674" s="83"/>
      <c r="E674" s="36"/>
      <c r="F674" s="36"/>
      <c r="G674" s="36"/>
      <c r="H674" s="36"/>
      <c r="I674" s="36"/>
      <c r="J674" s="36"/>
    </row>
    <row r="675" spans="1:10" ht="25.5" x14ac:dyDescent="0.2">
      <c r="A675" s="32" t="str">
        <f>'PLANILHA ORÇAMENTÁRIA'!A113</f>
        <v>14.1.2</v>
      </c>
      <c r="B675" s="18" t="str">
        <f>'PLANILHA ORÇAMENTÁRIA'!D113</f>
        <v xml:space="preserve">Pintura com tinta acrílica, marcas de referência Suvinil, Coral ou Metalatex, inclusive selador acrílico, em paredes e forros, a três demãos </v>
      </c>
      <c r="C675" s="17" t="str">
        <f>'PLANILHA ORÇAMENTÁRIA'!E113</f>
        <v xml:space="preserve">m2 </v>
      </c>
      <c r="D675" s="79" t="s">
        <v>268</v>
      </c>
      <c r="E675" s="79" t="s">
        <v>269</v>
      </c>
      <c r="F675" s="79" t="s">
        <v>270</v>
      </c>
      <c r="G675" s="79" t="s">
        <v>271</v>
      </c>
      <c r="H675" s="79" t="s">
        <v>272</v>
      </c>
      <c r="I675" s="79" t="s">
        <v>273</v>
      </c>
      <c r="J675" s="80" t="s">
        <v>274</v>
      </c>
    </row>
    <row r="676" spans="1:10" x14ac:dyDescent="0.2">
      <c r="A676" s="32"/>
      <c r="B676" s="18" t="s">
        <v>627</v>
      </c>
      <c r="C676" s="17"/>
      <c r="D676" s="79"/>
      <c r="E676" s="79"/>
      <c r="F676" s="79"/>
      <c r="G676" s="79"/>
      <c r="H676" s="79"/>
      <c r="I676" s="79"/>
      <c r="J676" s="80"/>
    </row>
    <row r="677" spans="1:10" x14ac:dyDescent="0.2">
      <c r="A677" s="32"/>
      <c r="B677" s="264" t="s">
        <v>288</v>
      </c>
      <c r="C677" s="17"/>
      <c r="D677" s="79">
        <v>2</v>
      </c>
      <c r="E677" s="273">
        <v>6.23</v>
      </c>
      <c r="F677" s="273">
        <v>3.32</v>
      </c>
      <c r="G677" s="79">
        <v>1.7</v>
      </c>
      <c r="H677" s="79">
        <f>(E677+F677)*D677*G677</f>
        <v>32.47</v>
      </c>
      <c r="I677" s="79"/>
      <c r="J677" s="80">
        <f>H677</f>
        <v>32.47</v>
      </c>
    </row>
    <row r="678" spans="1:10" x14ac:dyDescent="0.2">
      <c r="A678" s="32"/>
      <c r="B678" s="264" t="s">
        <v>276</v>
      </c>
      <c r="C678" s="17"/>
      <c r="D678" s="79">
        <v>2</v>
      </c>
      <c r="E678" s="277">
        <v>6</v>
      </c>
      <c r="F678" s="278">
        <v>3.85</v>
      </c>
      <c r="G678" s="79">
        <v>1.7</v>
      </c>
      <c r="H678" s="79">
        <f t="shared" ref="H678:H685" si="72">(E678+F678)*D678*G678</f>
        <v>33.489999999999995</v>
      </c>
      <c r="I678" s="79"/>
      <c r="J678" s="80">
        <f t="shared" ref="J678:J685" si="73">H678</f>
        <v>33.489999999999995</v>
      </c>
    </row>
    <row r="679" spans="1:10" x14ac:dyDescent="0.2">
      <c r="A679" s="32"/>
      <c r="B679" s="250" t="s">
        <v>277</v>
      </c>
      <c r="C679" s="17"/>
      <c r="D679" s="79">
        <v>2</v>
      </c>
      <c r="E679" s="277">
        <v>5.82</v>
      </c>
      <c r="F679" s="278">
        <v>4.03</v>
      </c>
      <c r="G679" s="79">
        <v>1.7</v>
      </c>
      <c r="H679" s="79">
        <f t="shared" si="72"/>
        <v>33.49</v>
      </c>
      <c r="I679" s="79"/>
      <c r="J679" s="80">
        <f t="shared" si="73"/>
        <v>33.49</v>
      </c>
    </row>
    <row r="680" spans="1:10" x14ac:dyDescent="0.2">
      <c r="A680" s="32"/>
      <c r="B680" s="250" t="s">
        <v>278</v>
      </c>
      <c r="C680" s="17"/>
      <c r="D680" s="79">
        <v>2</v>
      </c>
      <c r="E680" s="277">
        <v>9.08</v>
      </c>
      <c r="F680" s="278">
        <v>4.25</v>
      </c>
      <c r="G680" s="79">
        <v>1.7</v>
      </c>
      <c r="H680" s="79">
        <f t="shared" si="72"/>
        <v>45.321999999999996</v>
      </c>
      <c r="I680" s="79"/>
      <c r="J680" s="80">
        <f t="shared" si="73"/>
        <v>45.321999999999996</v>
      </c>
    </row>
    <row r="681" spans="1:10" x14ac:dyDescent="0.2">
      <c r="A681" s="32"/>
      <c r="B681" s="250" t="s">
        <v>279</v>
      </c>
      <c r="C681" s="17"/>
      <c r="D681" s="79">
        <v>2</v>
      </c>
      <c r="E681" s="277">
        <v>6</v>
      </c>
      <c r="F681" s="278">
        <v>5.27</v>
      </c>
      <c r="G681" s="79">
        <v>1.7</v>
      </c>
      <c r="H681" s="79">
        <f t="shared" si="72"/>
        <v>38.317999999999998</v>
      </c>
      <c r="I681" s="79"/>
      <c r="J681" s="80">
        <f t="shared" si="73"/>
        <v>38.317999999999998</v>
      </c>
    </row>
    <row r="682" spans="1:10" x14ac:dyDescent="0.2">
      <c r="A682" s="32"/>
      <c r="B682" s="250" t="s">
        <v>280</v>
      </c>
      <c r="C682" s="17"/>
      <c r="D682" s="79">
        <v>2</v>
      </c>
      <c r="E682" s="277">
        <v>7</v>
      </c>
      <c r="F682" s="278">
        <v>3.53</v>
      </c>
      <c r="G682" s="79">
        <v>1.7</v>
      </c>
      <c r="H682" s="79">
        <f t="shared" si="72"/>
        <v>35.802</v>
      </c>
      <c r="I682" s="79"/>
      <c r="J682" s="80">
        <f t="shared" si="73"/>
        <v>35.802</v>
      </c>
    </row>
    <row r="683" spans="1:10" x14ac:dyDescent="0.2">
      <c r="A683" s="32"/>
      <c r="B683" s="250" t="s">
        <v>284</v>
      </c>
      <c r="C683" s="17"/>
      <c r="D683" s="79">
        <v>2</v>
      </c>
      <c r="E683" s="79">
        <v>6</v>
      </c>
      <c r="F683" s="79">
        <v>4.33</v>
      </c>
      <c r="G683" s="79">
        <v>1.7</v>
      </c>
      <c r="H683" s="79">
        <f t="shared" si="72"/>
        <v>35.122</v>
      </c>
      <c r="I683" s="79"/>
      <c r="J683" s="80">
        <f t="shared" si="73"/>
        <v>35.122</v>
      </c>
    </row>
    <row r="684" spans="1:10" x14ac:dyDescent="0.2">
      <c r="A684" s="32"/>
      <c r="B684" s="250" t="s">
        <v>281</v>
      </c>
      <c r="C684" s="17"/>
      <c r="D684" s="79">
        <v>2</v>
      </c>
      <c r="E684" s="277">
        <v>7</v>
      </c>
      <c r="F684" s="278">
        <v>5</v>
      </c>
      <c r="G684" s="79">
        <v>1.7</v>
      </c>
      <c r="H684" s="79">
        <f t="shared" si="72"/>
        <v>40.799999999999997</v>
      </c>
      <c r="I684" s="79"/>
      <c r="J684" s="80">
        <f t="shared" si="73"/>
        <v>40.799999999999997</v>
      </c>
    </row>
    <row r="685" spans="1:10" x14ac:dyDescent="0.2">
      <c r="A685" s="32"/>
      <c r="B685" s="250" t="s">
        <v>282</v>
      </c>
      <c r="C685" s="17"/>
      <c r="D685" s="79">
        <v>2</v>
      </c>
      <c r="E685" s="277">
        <v>11.17</v>
      </c>
      <c r="F685" s="278">
        <v>6.74</v>
      </c>
      <c r="G685" s="79">
        <v>1.7</v>
      </c>
      <c r="H685" s="79">
        <f t="shared" si="72"/>
        <v>60.893999999999998</v>
      </c>
      <c r="I685" s="79"/>
      <c r="J685" s="80">
        <f t="shared" si="73"/>
        <v>60.893999999999998</v>
      </c>
    </row>
    <row r="686" spans="1:10" x14ac:dyDescent="0.2">
      <c r="A686" s="32"/>
      <c r="B686" s="18" t="s">
        <v>628</v>
      </c>
      <c r="C686" s="17"/>
      <c r="D686" s="79"/>
      <c r="E686" s="79"/>
      <c r="F686" s="79"/>
      <c r="G686" s="79"/>
      <c r="H686" s="79"/>
      <c r="I686" s="79"/>
      <c r="J686" s="80"/>
    </row>
    <row r="687" spans="1:10" x14ac:dyDescent="0.2">
      <c r="A687" s="32"/>
      <c r="B687" s="264" t="s">
        <v>288</v>
      </c>
      <c r="C687" s="17"/>
      <c r="D687" s="79"/>
      <c r="E687" s="273">
        <v>6.23</v>
      </c>
      <c r="F687" s="273">
        <v>3.32</v>
      </c>
      <c r="G687" s="79"/>
      <c r="H687" s="79">
        <f>E687*F687</f>
        <v>20.683600000000002</v>
      </c>
      <c r="I687" s="79"/>
      <c r="J687" s="80">
        <f t="shared" ref="J687:J695" si="74">H687</f>
        <v>20.683600000000002</v>
      </c>
    </row>
    <row r="688" spans="1:10" x14ac:dyDescent="0.2">
      <c r="A688" s="32"/>
      <c r="B688" s="264" t="s">
        <v>276</v>
      </c>
      <c r="C688" s="17"/>
      <c r="D688" s="79"/>
      <c r="E688" s="277">
        <v>6</v>
      </c>
      <c r="F688" s="278">
        <v>3.85</v>
      </c>
      <c r="G688" s="79"/>
      <c r="H688" s="79">
        <f t="shared" ref="H688:H695" si="75">E688*F688</f>
        <v>23.1</v>
      </c>
      <c r="I688" s="79"/>
      <c r="J688" s="80">
        <f t="shared" si="74"/>
        <v>23.1</v>
      </c>
    </row>
    <row r="689" spans="1:10" x14ac:dyDescent="0.2">
      <c r="A689" s="32"/>
      <c r="B689" s="250" t="s">
        <v>277</v>
      </c>
      <c r="C689" s="17"/>
      <c r="D689" s="79"/>
      <c r="E689" s="277">
        <v>5.82</v>
      </c>
      <c r="F689" s="278">
        <v>4.03</v>
      </c>
      <c r="G689" s="79"/>
      <c r="H689" s="79">
        <f t="shared" si="75"/>
        <v>23.454600000000003</v>
      </c>
      <c r="I689" s="79"/>
      <c r="J689" s="80">
        <f t="shared" si="74"/>
        <v>23.454600000000003</v>
      </c>
    </row>
    <row r="690" spans="1:10" x14ac:dyDescent="0.2">
      <c r="A690" s="32"/>
      <c r="B690" s="250" t="s">
        <v>278</v>
      </c>
      <c r="C690" s="17"/>
      <c r="D690" s="79"/>
      <c r="E690" s="277">
        <v>9.08</v>
      </c>
      <c r="F690" s="278">
        <v>4.25</v>
      </c>
      <c r="G690" s="79"/>
      <c r="H690" s="79">
        <f t="shared" si="75"/>
        <v>38.590000000000003</v>
      </c>
      <c r="I690" s="79"/>
      <c r="J690" s="80">
        <f t="shared" si="74"/>
        <v>38.590000000000003</v>
      </c>
    </row>
    <row r="691" spans="1:10" x14ac:dyDescent="0.2">
      <c r="A691" s="32"/>
      <c r="B691" s="250" t="s">
        <v>279</v>
      </c>
      <c r="C691" s="17"/>
      <c r="D691" s="79"/>
      <c r="E691" s="277">
        <v>6</v>
      </c>
      <c r="F691" s="278">
        <v>5.27</v>
      </c>
      <c r="G691" s="79"/>
      <c r="H691" s="79">
        <f t="shared" si="75"/>
        <v>31.619999999999997</v>
      </c>
      <c r="I691" s="79"/>
      <c r="J691" s="80">
        <f t="shared" si="74"/>
        <v>31.619999999999997</v>
      </c>
    </row>
    <row r="692" spans="1:10" x14ac:dyDescent="0.2">
      <c r="A692" s="32"/>
      <c r="B692" s="250" t="s">
        <v>280</v>
      </c>
      <c r="C692" s="17"/>
      <c r="D692" s="79"/>
      <c r="E692" s="277">
        <v>7</v>
      </c>
      <c r="F692" s="278">
        <v>3.53</v>
      </c>
      <c r="G692" s="79"/>
      <c r="H692" s="79">
        <f t="shared" si="75"/>
        <v>24.709999999999997</v>
      </c>
      <c r="I692" s="79"/>
      <c r="J692" s="80">
        <f t="shared" si="74"/>
        <v>24.709999999999997</v>
      </c>
    </row>
    <row r="693" spans="1:10" x14ac:dyDescent="0.2">
      <c r="A693" s="32"/>
      <c r="B693" s="250" t="s">
        <v>284</v>
      </c>
      <c r="C693" s="17"/>
      <c r="D693" s="79"/>
      <c r="E693" s="79">
        <v>6</v>
      </c>
      <c r="F693" s="79">
        <v>4.33</v>
      </c>
      <c r="G693" s="79"/>
      <c r="H693" s="79">
        <f t="shared" si="75"/>
        <v>25.98</v>
      </c>
      <c r="I693" s="79"/>
      <c r="J693" s="80">
        <f t="shared" si="74"/>
        <v>25.98</v>
      </c>
    </row>
    <row r="694" spans="1:10" x14ac:dyDescent="0.2">
      <c r="A694" s="32"/>
      <c r="B694" s="250" t="s">
        <v>281</v>
      </c>
      <c r="C694" s="17"/>
      <c r="D694" s="79"/>
      <c r="E694" s="277">
        <v>7</v>
      </c>
      <c r="F694" s="278">
        <v>5</v>
      </c>
      <c r="G694" s="79"/>
      <c r="H694" s="79">
        <f t="shared" si="75"/>
        <v>35</v>
      </c>
      <c r="I694" s="79"/>
      <c r="J694" s="80">
        <f t="shared" si="74"/>
        <v>35</v>
      </c>
    </row>
    <row r="695" spans="1:10" x14ac:dyDescent="0.2">
      <c r="A695" s="32"/>
      <c r="B695" s="250" t="s">
        <v>282</v>
      </c>
      <c r="C695" s="17"/>
      <c r="D695" s="79"/>
      <c r="E695" s="277">
        <v>11.17</v>
      </c>
      <c r="F695" s="278">
        <v>6.74</v>
      </c>
      <c r="G695" s="79"/>
      <c r="H695" s="79">
        <f t="shared" si="75"/>
        <v>75.285800000000009</v>
      </c>
      <c r="I695" s="79"/>
      <c r="J695" s="80">
        <f t="shared" si="74"/>
        <v>75.285800000000009</v>
      </c>
    </row>
    <row r="696" spans="1:10" x14ac:dyDescent="0.2">
      <c r="A696" s="32"/>
      <c r="B696" s="18"/>
      <c r="C696" s="17"/>
      <c r="D696" s="79"/>
      <c r="E696" s="79"/>
      <c r="F696" s="79"/>
      <c r="G696" s="79"/>
      <c r="H696" s="79"/>
      <c r="I696" s="79"/>
      <c r="J696" s="80"/>
    </row>
    <row r="697" spans="1:10" x14ac:dyDescent="0.2">
      <c r="A697" s="32"/>
      <c r="B697" s="78"/>
      <c r="C697" s="17"/>
      <c r="D697" s="79"/>
      <c r="E697" s="79"/>
      <c r="F697" s="79"/>
      <c r="G697" s="79"/>
      <c r="H697" s="79"/>
      <c r="I697" s="77" t="s">
        <v>283</v>
      </c>
      <c r="J697" s="76">
        <f>SUM(J677:J696)</f>
        <v>654.13200000000006</v>
      </c>
    </row>
    <row r="698" spans="1:10" x14ac:dyDescent="0.2">
      <c r="A698" s="32"/>
      <c r="B698" s="18"/>
      <c r="C698" s="17"/>
      <c r="D698" s="83"/>
      <c r="E698" s="36"/>
      <c r="F698" s="36"/>
      <c r="G698" s="36"/>
      <c r="H698" s="36"/>
      <c r="I698" s="84"/>
      <c r="J698" s="85"/>
    </row>
    <row r="699" spans="1:10" x14ac:dyDescent="0.2">
      <c r="A699" s="20" t="str">
        <f>'PLANILHA ORÇAMENTÁRIA'!A114</f>
        <v>14.2</v>
      </c>
      <c r="B699" s="16" t="str">
        <f>'PLANILHA ORÇAMENTÁRIA'!D114</f>
        <v>SOBRE MADEIRA</v>
      </c>
      <c r="C699" s="17"/>
      <c r="D699" s="83"/>
      <c r="E699" s="36"/>
      <c r="F699" s="36"/>
      <c r="G699" s="36"/>
      <c r="H699" s="36"/>
      <c r="I699" s="36"/>
      <c r="J699" s="36"/>
    </row>
    <row r="700" spans="1:10" ht="25.5" x14ac:dyDescent="0.2">
      <c r="A700" s="32" t="str">
        <f>'PLANILHA ORÇAMENTÁRIA'!A115</f>
        <v>14.2.1</v>
      </c>
      <c r="B700" s="18" t="str">
        <f>'PLANILHA ORÇAMENTÁRIA'!D115</f>
        <v>Pintura com verniz filtro solar fosco, linha Premium, em madeira, a três demãos, marcas de referência Suvinil, Coral ou Metalatex</v>
      </c>
      <c r="C700" s="17" t="str">
        <f>'PLANILHA ORÇAMENTÁRIA'!E115</f>
        <v xml:space="preserve">m2 </v>
      </c>
      <c r="D700" s="79" t="s">
        <v>268</v>
      </c>
      <c r="E700" s="79" t="s">
        <v>269</v>
      </c>
      <c r="F700" s="79" t="s">
        <v>270</v>
      </c>
      <c r="G700" s="79" t="s">
        <v>271</v>
      </c>
      <c r="H700" s="79" t="s">
        <v>272</v>
      </c>
      <c r="I700" s="79" t="s">
        <v>273</v>
      </c>
      <c r="J700" s="80" t="s">
        <v>274</v>
      </c>
    </row>
    <row r="701" spans="1:10" x14ac:dyDescent="0.2">
      <c r="A701" s="32"/>
      <c r="B701" s="264" t="s">
        <v>288</v>
      </c>
      <c r="C701" s="17"/>
      <c r="D701" s="79">
        <v>2</v>
      </c>
      <c r="E701" s="79"/>
      <c r="F701" s="79">
        <v>0.9</v>
      </c>
      <c r="G701" s="79">
        <v>2.1</v>
      </c>
      <c r="H701" s="79">
        <f>F701*G701</f>
        <v>1.8900000000000001</v>
      </c>
      <c r="I701" s="79"/>
      <c r="J701" s="80">
        <f>H701*D701</f>
        <v>3.7800000000000002</v>
      </c>
    </row>
    <row r="702" spans="1:10" x14ac:dyDescent="0.2">
      <c r="A702" s="32"/>
      <c r="B702" s="264" t="s">
        <v>276</v>
      </c>
      <c r="C702" s="17"/>
      <c r="D702" s="79">
        <v>2</v>
      </c>
      <c r="E702" s="79"/>
      <c r="F702" s="79">
        <v>0.9</v>
      </c>
      <c r="G702" s="79">
        <v>2.1</v>
      </c>
      <c r="H702" s="79">
        <f t="shared" ref="H702:H709" si="76">F702*G702</f>
        <v>1.8900000000000001</v>
      </c>
      <c r="I702" s="79"/>
      <c r="J702" s="80">
        <f t="shared" ref="J702:J709" si="77">H702*D702</f>
        <v>3.7800000000000002</v>
      </c>
    </row>
    <row r="703" spans="1:10" x14ac:dyDescent="0.2">
      <c r="A703" s="32"/>
      <c r="B703" s="250" t="s">
        <v>277</v>
      </c>
      <c r="C703" s="17"/>
      <c r="D703" s="79">
        <v>2</v>
      </c>
      <c r="E703" s="79"/>
      <c r="F703" s="79">
        <v>0.9</v>
      </c>
      <c r="G703" s="79">
        <v>2.1</v>
      </c>
      <c r="H703" s="79">
        <f t="shared" si="76"/>
        <v>1.8900000000000001</v>
      </c>
      <c r="I703" s="79"/>
      <c r="J703" s="80">
        <f t="shared" si="77"/>
        <v>3.7800000000000002</v>
      </c>
    </row>
    <row r="704" spans="1:10" x14ac:dyDescent="0.2">
      <c r="A704" s="32"/>
      <c r="B704" s="250" t="s">
        <v>278</v>
      </c>
      <c r="C704" s="17"/>
      <c r="D704" s="79">
        <v>2</v>
      </c>
      <c r="E704" s="79"/>
      <c r="F704" s="79">
        <v>0.9</v>
      </c>
      <c r="G704" s="79">
        <v>2.1</v>
      </c>
      <c r="H704" s="79">
        <f t="shared" si="76"/>
        <v>1.8900000000000001</v>
      </c>
      <c r="I704" s="79"/>
      <c r="J704" s="80">
        <f t="shared" si="77"/>
        <v>3.7800000000000002</v>
      </c>
    </row>
    <row r="705" spans="1:10" x14ac:dyDescent="0.2">
      <c r="A705" s="32"/>
      <c r="B705" s="250" t="s">
        <v>279</v>
      </c>
      <c r="C705" s="17"/>
      <c r="D705" s="79">
        <v>2</v>
      </c>
      <c r="E705" s="79"/>
      <c r="F705" s="79">
        <v>1</v>
      </c>
      <c r="G705" s="79">
        <v>2.1</v>
      </c>
      <c r="H705" s="79">
        <f t="shared" si="76"/>
        <v>2.1</v>
      </c>
      <c r="I705" s="79"/>
      <c r="J705" s="80">
        <f t="shared" si="77"/>
        <v>4.2</v>
      </c>
    </row>
    <row r="706" spans="1:10" x14ac:dyDescent="0.2">
      <c r="A706" s="32"/>
      <c r="B706" s="250" t="s">
        <v>280</v>
      </c>
      <c r="C706" s="17"/>
      <c r="D706" s="79">
        <v>2</v>
      </c>
      <c r="E706" s="79"/>
      <c r="F706" s="79">
        <v>0.9</v>
      </c>
      <c r="G706" s="79">
        <v>2.1</v>
      </c>
      <c r="H706" s="79">
        <f t="shared" si="76"/>
        <v>1.8900000000000001</v>
      </c>
      <c r="I706" s="79"/>
      <c r="J706" s="80">
        <f t="shared" si="77"/>
        <v>3.7800000000000002</v>
      </c>
    </row>
    <row r="707" spans="1:10" x14ac:dyDescent="0.2">
      <c r="A707" s="32"/>
      <c r="B707" s="250" t="s">
        <v>284</v>
      </c>
      <c r="C707" s="17"/>
      <c r="D707" s="79">
        <v>2</v>
      </c>
      <c r="E707" s="79"/>
      <c r="F707" s="79">
        <v>0.9</v>
      </c>
      <c r="G707" s="79">
        <v>2.1</v>
      </c>
      <c r="H707" s="79">
        <f t="shared" si="76"/>
        <v>1.8900000000000001</v>
      </c>
      <c r="I707" s="79"/>
      <c r="J707" s="80">
        <f t="shared" si="77"/>
        <v>3.7800000000000002</v>
      </c>
    </row>
    <row r="708" spans="1:10" x14ac:dyDescent="0.2">
      <c r="A708" s="32"/>
      <c r="B708" s="250" t="s">
        <v>281</v>
      </c>
      <c r="C708" s="17"/>
      <c r="D708" s="79">
        <v>2</v>
      </c>
      <c r="E708" s="79"/>
      <c r="F708" s="79">
        <v>0.9</v>
      </c>
      <c r="G708" s="79">
        <v>2.1</v>
      </c>
      <c r="H708" s="79">
        <f t="shared" si="76"/>
        <v>1.8900000000000001</v>
      </c>
      <c r="I708" s="350"/>
      <c r="J708" s="80">
        <f t="shared" si="77"/>
        <v>3.7800000000000002</v>
      </c>
    </row>
    <row r="709" spans="1:10" x14ac:dyDescent="0.2">
      <c r="A709" s="32"/>
      <c r="B709" s="250" t="s">
        <v>282</v>
      </c>
      <c r="C709" s="17"/>
      <c r="D709" s="79">
        <v>2</v>
      </c>
      <c r="E709" s="79"/>
      <c r="F709" s="79">
        <v>0.8</v>
      </c>
      <c r="G709" s="79">
        <v>2.1</v>
      </c>
      <c r="H709" s="79">
        <f t="shared" si="76"/>
        <v>1.6800000000000002</v>
      </c>
      <c r="I709" s="79"/>
      <c r="J709" s="80">
        <f t="shared" si="77"/>
        <v>3.3600000000000003</v>
      </c>
    </row>
    <row r="710" spans="1:10" x14ac:dyDescent="0.2">
      <c r="A710" s="32"/>
      <c r="B710" s="78"/>
      <c r="C710" s="17"/>
      <c r="D710" s="79"/>
      <c r="E710" s="79"/>
      <c r="F710" s="79"/>
      <c r="G710" s="79"/>
      <c r="H710" s="79"/>
      <c r="I710" s="79"/>
      <c r="J710" s="80"/>
    </row>
    <row r="711" spans="1:10" x14ac:dyDescent="0.2">
      <c r="A711" s="32"/>
      <c r="B711" s="78"/>
      <c r="C711" s="17"/>
      <c r="D711" s="79"/>
      <c r="E711" s="79"/>
      <c r="F711" s="79"/>
      <c r="G711" s="79"/>
      <c r="H711" s="79"/>
      <c r="I711" s="79"/>
      <c r="J711" s="80"/>
    </row>
    <row r="712" spans="1:10" x14ac:dyDescent="0.2">
      <c r="A712" s="32"/>
      <c r="B712" s="78"/>
      <c r="C712" s="17"/>
      <c r="D712" s="79"/>
      <c r="E712" s="79"/>
      <c r="F712" s="79"/>
      <c r="G712" s="79"/>
      <c r="H712" s="79"/>
      <c r="I712" s="77" t="s">
        <v>283</v>
      </c>
      <c r="J712" s="76">
        <f>SUM(J701:J709)</f>
        <v>34.020000000000003</v>
      </c>
    </row>
    <row r="713" spans="1:10" x14ac:dyDescent="0.2">
      <c r="A713" s="20" t="str">
        <f>'PLANILHA ORÇAMENTÁRIA'!A116</f>
        <v>14.3</v>
      </c>
      <c r="B713" s="16" t="str">
        <f>'PLANILHA ORÇAMENTÁRIA'!D116</f>
        <v>SOBRE METAL</v>
      </c>
      <c r="C713" s="17"/>
      <c r="D713" s="83"/>
      <c r="E713" s="36"/>
      <c r="F713" s="36"/>
      <c r="G713" s="36"/>
      <c r="H713" s="36"/>
      <c r="I713" s="36"/>
      <c r="J713" s="36"/>
    </row>
    <row r="714" spans="1:10" ht="38.25" x14ac:dyDescent="0.2">
      <c r="A714" s="32" t="str">
        <f>'PLANILHA ORÇAMENTÁRIA'!A117</f>
        <v>14.3.1</v>
      </c>
      <c r="B714" s="88" t="str">
        <f>'PLANILHA ORÇAMENTÁRIA'!D117</f>
        <v>Pintura com tinta esmalte sintético, marcas de referência Suvinil, Coral ou Metalatex, a duas demãos, inclusive fundo anticorrosivo a uma demão, em metal</v>
      </c>
      <c r="C714" s="17" t="str">
        <f>'PLANILHA ORÇAMENTÁRIA'!E117</f>
        <v xml:space="preserve">m2 </v>
      </c>
      <c r="D714" s="79" t="s">
        <v>268</v>
      </c>
      <c r="E714" s="79" t="s">
        <v>269</v>
      </c>
      <c r="F714" s="79" t="s">
        <v>270</v>
      </c>
      <c r="G714" s="79" t="s">
        <v>271</v>
      </c>
      <c r="H714" s="79" t="s">
        <v>272</v>
      </c>
      <c r="I714" s="79" t="s">
        <v>273</v>
      </c>
      <c r="J714" s="80" t="s">
        <v>274</v>
      </c>
    </row>
    <row r="715" spans="1:10" x14ac:dyDescent="0.2">
      <c r="A715" s="32"/>
      <c r="B715" s="88" t="s">
        <v>629</v>
      </c>
      <c r="C715" s="17"/>
      <c r="D715" s="79"/>
      <c r="E715" s="79"/>
      <c r="F715" s="79"/>
      <c r="G715" s="79"/>
      <c r="H715" s="79"/>
      <c r="I715" s="79"/>
      <c r="J715" s="80"/>
    </row>
    <row r="716" spans="1:10" x14ac:dyDescent="0.2">
      <c r="A716" s="32"/>
      <c r="B716" s="264" t="s">
        <v>288</v>
      </c>
      <c r="C716" s="17"/>
      <c r="D716" s="79">
        <v>2</v>
      </c>
      <c r="E716" s="79"/>
      <c r="F716" s="79">
        <v>0.9</v>
      </c>
      <c r="G716" s="79">
        <v>2.1</v>
      </c>
      <c r="H716" s="79">
        <f>F716*G716</f>
        <v>1.8900000000000001</v>
      </c>
      <c r="I716" s="79"/>
      <c r="J716" s="80">
        <f>H716*D716</f>
        <v>3.7800000000000002</v>
      </c>
    </row>
    <row r="717" spans="1:10" x14ac:dyDescent="0.2">
      <c r="A717" s="32"/>
      <c r="B717" s="264" t="s">
        <v>276</v>
      </c>
      <c r="C717" s="17"/>
      <c r="D717" s="79">
        <v>2</v>
      </c>
      <c r="E717" s="79"/>
      <c r="F717" s="79">
        <v>0.9</v>
      </c>
      <c r="G717" s="79">
        <v>2.1</v>
      </c>
      <c r="H717" s="79">
        <f t="shared" ref="H717:H724" si="78">F717*G717</f>
        <v>1.8900000000000001</v>
      </c>
      <c r="I717" s="79"/>
      <c r="J717" s="80">
        <f t="shared" ref="J717:J737" si="79">H717*D717</f>
        <v>3.7800000000000002</v>
      </c>
    </row>
    <row r="718" spans="1:10" x14ac:dyDescent="0.2">
      <c r="A718" s="32"/>
      <c r="B718" s="250" t="s">
        <v>277</v>
      </c>
      <c r="C718" s="17"/>
      <c r="D718" s="79">
        <v>2</v>
      </c>
      <c r="E718" s="79"/>
      <c r="F718" s="79">
        <v>0.9</v>
      </c>
      <c r="G718" s="79">
        <v>2.1</v>
      </c>
      <c r="H718" s="79">
        <f t="shared" si="78"/>
        <v>1.8900000000000001</v>
      </c>
      <c r="I718" s="79"/>
      <c r="J718" s="80">
        <f t="shared" si="79"/>
        <v>3.7800000000000002</v>
      </c>
    </row>
    <row r="719" spans="1:10" x14ac:dyDescent="0.2">
      <c r="A719" s="32"/>
      <c r="B719" s="250" t="s">
        <v>278</v>
      </c>
      <c r="C719" s="17"/>
      <c r="D719" s="79">
        <v>2</v>
      </c>
      <c r="E719" s="79"/>
      <c r="F719" s="79">
        <v>0.9</v>
      </c>
      <c r="G719" s="79">
        <v>2.1</v>
      </c>
      <c r="H719" s="79">
        <f t="shared" si="78"/>
        <v>1.8900000000000001</v>
      </c>
      <c r="I719" s="79"/>
      <c r="J719" s="80">
        <f t="shared" si="79"/>
        <v>3.7800000000000002</v>
      </c>
    </row>
    <row r="720" spans="1:10" x14ac:dyDescent="0.2">
      <c r="A720" s="32"/>
      <c r="B720" s="250" t="s">
        <v>279</v>
      </c>
      <c r="C720" s="17"/>
      <c r="D720" s="79">
        <v>2</v>
      </c>
      <c r="E720" s="79"/>
      <c r="F720" s="79">
        <v>1</v>
      </c>
      <c r="G720" s="79">
        <v>2.1</v>
      </c>
      <c r="H720" s="79">
        <f t="shared" si="78"/>
        <v>2.1</v>
      </c>
      <c r="I720" s="79"/>
      <c r="J720" s="80">
        <f t="shared" si="79"/>
        <v>4.2</v>
      </c>
    </row>
    <row r="721" spans="1:10" x14ac:dyDescent="0.2">
      <c r="A721" s="32"/>
      <c r="B721" s="250" t="s">
        <v>280</v>
      </c>
      <c r="C721" s="17"/>
      <c r="D721" s="79">
        <v>2</v>
      </c>
      <c r="E721" s="79"/>
      <c r="F721" s="79">
        <v>0.9</v>
      </c>
      <c r="G721" s="79">
        <v>2.1</v>
      </c>
      <c r="H721" s="79">
        <f t="shared" si="78"/>
        <v>1.8900000000000001</v>
      </c>
      <c r="I721" s="79"/>
      <c r="J721" s="80">
        <f t="shared" si="79"/>
        <v>3.7800000000000002</v>
      </c>
    </row>
    <row r="722" spans="1:10" x14ac:dyDescent="0.2">
      <c r="A722" s="32"/>
      <c r="B722" s="250" t="s">
        <v>284</v>
      </c>
      <c r="C722" s="17"/>
      <c r="D722" s="79">
        <v>2</v>
      </c>
      <c r="E722" s="79"/>
      <c r="F722" s="79">
        <v>0.9</v>
      </c>
      <c r="G722" s="79">
        <v>2.1</v>
      </c>
      <c r="H722" s="79">
        <f t="shared" si="78"/>
        <v>1.8900000000000001</v>
      </c>
      <c r="I722" s="79"/>
      <c r="J722" s="80">
        <f t="shared" si="79"/>
        <v>3.7800000000000002</v>
      </c>
    </row>
    <row r="723" spans="1:10" x14ac:dyDescent="0.2">
      <c r="A723" s="32"/>
      <c r="B723" s="250" t="s">
        <v>281</v>
      </c>
      <c r="C723" s="17"/>
      <c r="D723" s="79">
        <v>2</v>
      </c>
      <c r="E723" s="79"/>
      <c r="F723" s="79">
        <v>0.9</v>
      </c>
      <c r="G723" s="79">
        <v>2.1</v>
      </c>
      <c r="H723" s="79">
        <f t="shared" si="78"/>
        <v>1.8900000000000001</v>
      </c>
      <c r="I723" s="79"/>
      <c r="J723" s="80">
        <f t="shared" si="79"/>
        <v>3.7800000000000002</v>
      </c>
    </row>
    <row r="724" spans="1:10" x14ac:dyDescent="0.2">
      <c r="A724" s="32"/>
      <c r="B724" s="250" t="s">
        <v>282</v>
      </c>
      <c r="C724" s="17"/>
      <c r="D724" s="79">
        <v>2</v>
      </c>
      <c r="E724" s="79"/>
      <c r="F724" s="79">
        <v>0.8</v>
      </c>
      <c r="G724" s="79">
        <v>2.1</v>
      </c>
      <c r="H724" s="79">
        <f t="shared" si="78"/>
        <v>1.6800000000000002</v>
      </c>
      <c r="I724" s="79"/>
      <c r="J724" s="80">
        <f t="shared" si="79"/>
        <v>3.3600000000000003</v>
      </c>
    </row>
    <row r="725" spans="1:10" x14ac:dyDescent="0.2">
      <c r="A725" s="32"/>
      <c r="B725" s="361" t="s">
        <v>630</v>
      </c>
      <c r="C725" s="17"/>
      <c r="D725" s="79">
        <v>2</v>
      </c>
      <c r="E725" s="79"/>
      <c r="F725" s="79"/>
      <c r="G725" s="79"/>
      <c r="H725" s="79"/>
      <c r="I725" s="79"/>
      <c r="J725" s="80">
        <f t="shared" si="79"/>
        <v>0</v>
      </c>
    </row>
    <row r="726" spans="1:10" x14ac:dyDescent="0.2">
      <c r="A726" s="32"/>
      <c r="B726" s="264" t="s">
        <v>288</v>
      </c>
      <c r="C726" s="17"/>
      <c r="D726" s="79">
        <v>2</v>
      </c>
      <c r="E726" s="79">
        <v>1.45</v>
      </c>
      <c r="F726" s="79"/>
      <c r="G726" s="79">
        <v>1.1499999999999999</v>
      </c>
      <c r="H726" s="79">
        <f t="shared" ref="H726:H734" si="80">E726*G726</f>
        <v>1.6674999999999998</v>
      </c>
      <c r="I726" s="79"/>
      <c r="J726" s="80">
        <f t="shared" si="79"/>
        <v>3.3349999999999995</v>
      </c>
    </row>
    <row r="727" spans="1:10" x14ac:dyDescent="0.2">
      <c r="A727" s="32"/>
      <c r="B727" s="264" t="s">
        <v>276</v>
      </c>
      <c r="C727" s="17"/>
      <c r="D727" s="79">
        <v>2</v>
      </c>
      <c r="E727" s="79">
        <v>2.65</v>
      </c>
      <c r="F727" s="79"/>
      <c r="G727" s="79">
        <v>1.45</v>
      </c>
      <c r="H727" s="79">
        <f t="shared" si="80"/>
        <v>3.8424999999999998</v>
      </c>
      <c r="I727" s="79"/>
      <c r="J727" s="80">
        <f t="shared" si="79"/>
        <v>7.6849999999999996</v>
      </c>
    </row>
    <row r="728" spans="1:10" x14ac:dyDescent="0.2">
      <c r="A728" s="32"/>
      <c r="B728" s="250" t="s">
        <v>277</v>
      </c>
      <c r="C728" s="17"/>
      <c r="D728" s="79">
        <v>2</v>
      </c>
      <c r="E728" s="79">
        <v>1.45</v>
      </c>
      <c r="F728" s="79"/>
      <c r="G728" s="79">
        <v>1.25</v>
      </c>
      <c r="H728" s="79">
        <f t="shared" si="80"/>
        <v>1.8125</v>
      </c>
      <c r="I728" s="79"/>
      <c r="J728" s="80">
        <f t="shared" si="79"/>
        <v>3.625</v>
      </c>
    </row>
    <row r="729" spans="1:10" x14ac:dyDescent="0.2">
      <c r="A729" s="32"/>
      <c r="B729" s="250" t="s">
        <v>278</v>
      </c>
      <c r="C729" s="17"/>
      <c r="D729" s="79">
        <v>2</v>
      </c>
      <c r="E729" s="79">
        <v>2</v>
      </c>
      <c r="F729" s="79"/>
      <c r="G729" s="79">
        <v>1.5</v>
      </c>
      <c r="H729" s="79">
        <f t="shared" si="80"/>
        <v>3</v>
      </c>
      <c r="I729" s="79"/>
      <c r="J729" s="80">
        <f t="shared" si="79"/>
        <v>6</v>
      </c>
    </row>
    <row r="730" spans="1:10" x14ac:dyDescent="0.2">
      <c r="A730" s="32"/>
      <c r="B730" s="250" t="s">
        <v>279</v>
      </c>
      <c r="C730" s="17"/>
      <c r="D730" s="79">
        <v>2</v>
      </c>
      <c r="E730" s="79">
        <v>3.8</v>
      </c>
      <c r="F730" s="79"/>
      <c r="G730" s="79">
        <v>1.45</v>
      </c>
      <c r="H730" s="79">
        <f t="shared" si="80"/>
        <v>5.51</v>
      </c>
      <c r="I730" s="79"/>
      <c r="J730" s="80">
        <f t="shared" si="79"/>
        <v>11.02</v>
      </c>
    </row>
    <row r="731" spans="1:10" x14ac:dyDescent="0.2">
      <c r="A731" s="32"/>
      <c r="B731" s="250" t="s">
        <v>280</v>
      </c>
      <c r="C731" s="17"/>
      <c r="D731" s="79">
        <v>2</v>
      </c>
      <c r="E731" s="79">
        <v>1.95</v>
      </c>
      <c r="F731" s="79"/>
      <c r="G731" s="79">
        <v>1.05</v>
      </c>
      <c r="H731" s="79">
        <f t="shared" si="80"/>
        <v>2.0474999999999999</v>
      </c>
      <c r="I731" s="79"/>
      <c r="J731" s="80">
        <f t="shared" si="79"/>
        <v>4.0949999999999998</v>
      </c>
    </row>
    <row r="732" spans="1:10" x14ac:dyDescent="0.2">
      <c r="A732" s="32"/>
      <c r="B732" s="250" t="s">
        <v>284</v>
      </c>
      <c r="C732" s="17"/>
      <c r="D732" s="79">
        <v>2</v>
      </c>
      <c r="E732" s="79">
        <v>3.05</v>
      </c>
      <c r="F732" s="79"/>
      <c r="G732" s="79">
        <v>1.35</v>
      </c>
      <c r="H732" s="79">
        <f t="shared" si="80"/>
        <v>4.1174999999999997</v>
      </c>
      <c r="I732" s="79"/>
      <c r="J732" s="80">
        <f t="shared" si="79"/>
        <v>8.2349999999999994</v>
      </c>
    </row>
    <row r="733" spans="1:10" x14ac:dyDescent="0.2">
      <c r="A733" s="32"/>
      <c r="B733" s="250" t="s">
        <v>281</v>
      </c>
      <c r="C733" s="17"/>
      <c r="D733" s="79">
        <v>2</v>
      </c>
      <c r="E733" s="79">
        <v>2.9</v>
      </c>
      <c r="F733" s="79"/>
      <c r="G733" s="79">
        <v>1</v>
      </c>
      <c r="H733" s="79">
        <f t="shared" si="80"/>
        <v>2.9</v>
      </c>
      <c r="I733" s="79"/>
      <c r="J733" s="80">
        <f t="shared" si="79"/>
        <v>5.8</v>
      </c>
    </row>
    <row r="734" spans="1:10" x14ac:dyDescent="0.2">
      <c r="A734" s="32"/>
      <c r="B734" s="250"/>
      <c r="C734" s="17"/>
      <c r="D734" s="79">
        <v>2</v>
      </c>
      <c r="E734" s="79">
        <v>2.9</v>
      </c>
      <c r="F734" s="79"/>
      <c r="G734" s="79">
        <v>1</v>
      </c>
      <c r="H734" s="79">
        <f t="shared" si="80"/>
        <v>2.9</v>
      </c>
      <c r="I734" s="79"/>
      <c r="J734" s="80">
        <f t="shared" si="79"/>
        <v>5.8</v>
      </c>
    </row>
    <row r="735" spans="1:10" x14ac:dyDescent="0.2">
      <c r="A735" s="32"/>
      <c r="B735" s="250" t="s">
        <v>282</v>
      </c>
      <c r="C735" s="17"/>
      <c r="D735" s="79">
        <v>2</v>
      </c>
      <c r="E735" s="79">
        <v>3</v>
      </c>
      <c r="F735" s="79"/>
      <c r="G735" s="79">
        <v>1.4</v>
      </c>
      <c r="H735" s="79">
        <f>E735*G735</f>
        <v>4.1999999999999993</v>
      </c>
      <c r="I735" s="79"/>
      <c r="J735" s="80">
        <f t="shared" si="79"/>
        <v>8.3999999999999986</v>
      </c>
    </row>
    <row r="736" spans="1:10" x14ac:dyDescent="0.2">
      <c r="A736" s="32"/>
      <c r="B736" s="250"/>
      <c r="C736" s="17"/>
      <c r="D736" s="79">
        <v>2</v>
      </c>
      <c r="E736" s="79">
        <v>3.45</v>
      </c>
      <c r="F736" s="79"/>
      <c r="G736" s="79">
        <v>1.4</v>
      </c>
      <c r="H736" s="79">
        <f t="shared" ref="H736:H737" si="81">E736*G736</f>
        <v>4.83</v>
      </c>
      <c r="I736" s="79"/>
      <c r="J736" s="80">
        <f t="shared" si="79"/>
        <v>9.66</v>
      </c>
    </row>
    <row r="737" spans="1:10" x14ac:dyDescent="0.2">
      <c r="A737" s="32"/>
      <c r="B737" s="250"/>
      <c r="C737" s="17"/>
      <c r="D737" s="79">
        <v>2</v>
      </c>
      <c r="E737" s="79">
        <v>3.5</v>
      </c>
      <c r="F737" s="79"/>
      <c r="G737" s="79">
        <v>1.4</v>
      </c>
      <c r="H737" s="79">
        <f t="shared" si="81"/>
        <v>4.8999999999999995</v>
      </c>
      <c r="I737" s="79"/>
      <c r="J737" s="80">
        <f t="shared" si="79"/>
        <v>9.7999999999999989</v>
      </c>
    </row>
    <row r="738" spans="1:10" x14ac:dyDescent="0.2">
      <c r="A738" s="32"/>
      <c r="B738" s="250"/>
      <c r="C738" s="17"/>
      <c r="D738" s="79"/>
      <c r="E738" s="79"/>
      <c r="F738" s="79"/>
      <c r="G738" s="79"/>
      <c r="H738" s="79"/>
      <c r="I738" s="77" t="s">
        <v>283</v>
      </c>
      <c r="J738" s="76">
        <f>SUM(J716:J737)</f>
        <v>117.47499999999998</v>
      </c>
    </row>
    <row r="739" spans="1:10" x14ac:dyDescent="0.2">
      <c r="A739" s="17"/>
      <c r="B739" s="78"/>
      <c r="C739" s="17"/>
      <c r="D739" s="79"/>
      <c r="E739" s="79"/>
      <c r="F739" s="79"/>
      <c r="G739" s="79"/>
      <c r="H739" s="79"/>
      <c r="I739" s="84"/>
      <c r="J739" s="85"/>
    </row>
    <row r="740" spans="1:10" x14ac:dyDescent="0.2">
      <c r="A740" s="11">
        <f>'PLANILHA ORÇAMENTÁRIA'!A119</f>
        <v>15</v>
      </c>
      <c r="B740" s="7" t="str">
        <f>'PLANILHA ORÇAMENTÁRIA'!D119</f>
        <v>SERVIÇOS COMPLEMENTARES EXTERNOS</v>
      </c>
      <c r="C740" s="5"/>
      <c r="D740" s="170"/>
      <c r="E740" s="70"/>
      <c r="F740" s="70"/>
      <c r="G740" s="70"/>
      <c r="H740" s="70"/>
      <c r="I740" s="70"/>
      <c r="J740" s="70"/>
    </row>
    <row r="741" spans="1:10" x14ac:dyDescent="0.2">
      <c r="A741" s="20" t="str">
        <f>'PLANILHA ORÇAMENTÁRIA'!A120</f>
        <v>15.1</v>
      </c>
      <c r="B741" s="16" t="str">
        <f>'PLANILHA ORÇAMENTÁRIA'!D120</f>
        <v>TRATAMENTO, CONSERVAÇÃO E LIMPEZA</v>
      </c>
      <c r="C741" s="17"/>
      <c r="D741" s="83"/>
      <c r="E741" s="36"/>
      <c r="F741" s="36"/>
      <c r="G741" s="36"/>
      <c r="H741" s="36"/>
      <c r="I741" s="36"/>
      <c r="J741" s="36"/>
    </row>
    <row r="742" spans="1:10" ht="25.5" x14ac:dyDescent="0.2">
      <c r="A742" s="17" t="str">
        <f>'PLANILHA ORÇAMENTÁRIA'!A121</f>
        <v>15.1.1</v>
      </c>
      <c r="B742" s="156" t="str">
        <f>'PLANILHA ORÇAMENTÁRIA'!D121</f>
        <v xml:space="preserve">Limpeza geral da obra (edificação) </v>
      </c>
      <c r="C742" s="17" t="str">
        <f>'PLANILHA ORÇAMENTÁRIA'!E121</f>
        <v xml:space="preserve">m2 </v>
      </c>
      <c r="D742" s="79" t="s">
        <v>268</v>
      </c>
      <c r="E742" s="79" t="s">
        <v>269</v>
      </c>
      <c r="F742" s="79" t="s">
        <v>270</v>
      </c>
      <c r="G742" s="79" t="s">
        <v>271</v>
      </c>
      <c r="H742" s="79" t="s">
        <v>272</v>
      </c>
      <c r="I742" s="79" t="s">
        <v>273</v>
      </c>
      <c r="J742" s="80" t="s">
        <v>274</v>
      </c>
    </row>
    <row r="743" spans="1:10" x14ac:dyDescent="0.2">
      <c r="A743" s="17"/>
      <c r="B743" s="264" t="s">
        <v>288</v>
      </c>
      <c r="C743" s="17"/>
      <c r="D743" s="79"/>
      <c r="E743" s="273">
        <v>6.23</v>
      </c>
      <c r="F743" s="273">
        <v>3.32</v>
      </c>
      <c r="G743" s="79"/>
      <c r="H743" s="79">
        <f>E743*F743</f>
        <v>20.683600000000002</v>
      </c>
      <c r="I743" s="79"/>
      <c r="J743" s="80">
        <f>H743</f>
        <v>20.683600000000002</v>
      </c>
    </row>
    <row r="744" spans="1:10" x14ac:dyDescent="0.2">
      <c r="A744" s="17"/>
      <c r="B744" s="264" t="s">
        <v>276</v>
      </c>
      <c r="C744" s="17"/>
      <c r="D744" s="79"/>
      <c r="E744" s="277">
        <v>6</v>
      </c>
      <c r="F744" s="278">
        <v>3.85</v>
      </c>
      <c r="G744" s="79"/>
      <c r="H744" s="79">
        <f t="shared" ref="H744:H751" si="82">E744*F744</f>
        <v>23.1</v>
      </c>
      <c r="I744" s="79"/>
      <c r="J744" s="80">
        <f t="shared" ref="J744:J751" si="83">H744</f>
        <v>23.1</v>
      </c>
    </row>
    <row r="745" spans="1:10" x14ac:dyDescent="0.2">
      <c r="A745" s="17"/>
      <c r="B745" s="250" t="s">
        <v>277</v>
      </c>
      <c r="C745" s="17"/>
      <c r="D745" s="79"/>
      <c r="E745" s="277">
        <v>5.82</v>
      </c>
      <c r="F745" s="278">
        <v>4.03</v>
      </c>
      <c r="G745" s="79"/>
      <c r="H745" s="79">
        <f t="shared" si="82"/>
        <v>23.454600000000003</v>
      </c>
      <c r="I745" s="79"/>
      <c r="J745" s="80">
        <f t="shared" si="83"/>
        <v>23.454600000000003</v>
      </c>
    </row>
    <row r="746" spans="1:10" x14ac:dyDescent="0.2">
      <c r="A746" s="17"/>
      <c r="B746" s="250" t="s">
        <v>278</v>
      </c>
      <c r="C746" s="17"/>
      <c r="D746" s="79"/>
      <c r="E746" s="277">
        <v>9.08</v>
      </c>
      <c r="F746" s="278">
        <v>4.25</v>
      </c>
      <c r="G746" s="79"/>
      <c r="H746" s="79">
        <f t="shared" si="82"/>
        <v>38.590000000000003</v>
      </c>
      <c r="I746" s="79"/>
      <c r="J746" s="80">
        <f t="shared" si="83"/>
        <v>38.590000000000003</v>
      </c>
    </row>
    <row r="747" spans="1:10" x14ac:dyDescent="0.2">
      <c r="A747" s="17"/>
      <c r="B747" s="250" t="s">
        <v>279</v>
      </c>
      <c r="C747" s="17"/>
      <c r="D747" s="79"/>
      <c r="E747" s="277">
        <v>6</v>
      </c>
      <c r="F747" s="278">
        <v>5.27</v>
      </c>
      <c r="G747" s="79"/>
      <c r="H747" s="79">
        <f t="shared" si="82"/>
        <v>31.619999999999997</v>
      </c>
      <c r="I747" s="79"/>
      <c r="J747" s="80">
        <f t="shared" si="83"/>
        <v>31.619999999999997</v>
      </c>
    </row>
    <row r="748" spans="1:10" x14ac:dyDescent="0.2">
      <c r="A748" s="17"/>
      <c r="B748" s="250" t="s">
        <v>280</v>
      </c>
      <c r="C748" s="17"/>
      <c r="D748" s="79"/>
      <c r="E748" s="277">
        <v>7</v>
      </c>
      <c r="F748" s="278">
        <v>3.53</v>
      </c>
      <c r="G748" s="79"/>
      <c r="H748" s="79">
        <f t="shared" si="82"/>
        <v>24.709999999999997</v>
      </c>
      <c r="I748" s="79"/>
      <c r="J748" s="80">
        <f t="shared" si="83"/>
        <v>24.709999999999997</v>
      </c>
    </row>
    <row r="749" spans="1:10" x14ac:dyDescent="0.2">
      <c r="A749" s="17"/>
      <c r="B749" s="250" t="s">
        <v>284</v>
      </c>
      <c r="C749" s="17"/>
      <c r="D749" s="79"/>
      <c r="E749" s="79">
        <v>6</v>
      </c>
      <c r="F749" s="79">
        <v>4.33</v>
      </c>
      <c r="G749" s="79"/>
      <c r="H749" s="79">
        <f t="shared" si="82"/>
        <v>25.98</v>
      </c>
      <c r="I749" s="79"/>
      <c r="J749" s="80">
        <f t="shared" si="83"/>
        <v>25.98</v>
      </c>
    </row>
    <row r="750" spans="1:10" x14ac:dyDescent="0.2">
      <c r="A750" s="17"/>
      <c r="B750" s="250" t="s">
        <v>281</v>
      </c>
      <c r="C750" s="17"/>
      <c r="D750" s="79"/>
      <c r="E750" s="277">
        <v>7</v>
      </c>
      <c r="F750" s="278">
        <v>5</v>
      </c>
      <c r="G750" s="79"/>
      <c r="H750" s="79">
        <f t="shared" si="82"/>
        <v>35</v>
      </c>
      <c r="I750" s="79"/>
      <c r="J750" s="80">
        <f t="shared" si="83"/>
        <v>35</v>
      </c>
    </row>
    <row r="751" spans="1:10" x14ac:dyDescent="0.2">
      <c r="A751" s="17"/>
      <c r="B751" s="250" t="s">
        <v>282</v>
      </c>
      <c r="C751" s="17"/>
      <c r="D751" s="79"/>
      <c r="E751" s="277">
        <v>11.17</v>
      </c>
      <c r="F751" s="278">
        <v>6.74</v>
      </c>
      <c r="G751" s="79"/>
      <c r="H751" s="79">
        <f t="shared" si="82"/>
        <v>75.285800000000009</v>
      </c>
      <c r="I751" s="79"/>
      <c r="J751" s="80">
        <f t="shared" si="83"/>
        <v>75.285800000000009</v>
      </c>
    </row>
    <row r="752" spans="1:10" x14ac:dyDescent="0.2">
      <c r="A752" s="17"/>
      <c r="B752" s="71"/>
      <c r="C752" s="17"/>
      <c r="D752" s="79"/>
      <c r="E752" s="79"/>
      <c r="F752" s="79"/>
      <c r="G752" s="79"/>
      <c r="H752" s="79"/>
      <c r="I752" s="79"/>
      <c r="J752" s="80"/>
    </row>
    <row r="753" spans="1:10" x14ac:dyDescent="0.2">
      <c r="A753" s="17"/>
      <c r="B753" s="71"/>
      <c r="C753" s="17"/>
      <c r="D753" s="79"/>
      <c r="E753" s="79"/>
      <c r="F753" s="79"/>
      <c r="G753" s="79"/>
      <c r="H753" s="79"/>
      <c r="I753" s="77" t="s">
        <v>283</v>
      </c>
      <c r="J753" s="76">
        <f>SUM(J743:J752)</f>
        <v>298.42400000000004</v>
      </c>
    </row>
    <row r="754" spans="1:10" x14ac:dyDescent="0.2">
      <c r="A754" s="17"/>
      <c r="B754" s="71"/>
      <c r="C754" s="17"/>
      <c r="D754" s="79"/>
      <c r="E754" s="79"/>
      <c r="F754" s="79"/>
      <c r="G754" s="79"/>
      <c r="H754" s="79"/>
      <c r="I754" s="79"/>
      <c r="J754" s="80"/>
    </row>
  </sheetData>
  <mergeCells count="9">
    <mergeCell ref="B70:B71"/>
    <mergeCell ref="A70:A71"/>
    <mergeCell ref="B83:B84"/>
    <mergeCell ref="A83:A84"/>
    <mergeCell ref="B1:J1"/>
    <mergeCell ref="B2:D2"/>
    <mergeCell ref="I2:J3"/>
    <mergeCell ref="B3:F3"/>
    <mergeCell ref="B4:D4"/>
  </mergeCells>
  <pageMargins left="0.51181102362204722" right="0.51181102362204722" top="0.78740157480314965" bottom="0.78740157480314965" header="0.31496062992125984" footer="0.31496062992125984"/>
  <pageSetup paperSize="9" scale="65" fitToHeight="0" orientation="landscape" r:id="rId1"/>
  <rowBreaks count="1" manualBreakCount="1">
    <brk id="400"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9"/>
  <sheetViews>
    <sheetView view="pageBreakPreview" zoomScale="80" zoomScaleNormal="80" zoomScaleSheetLayoutView="80" workbookViewId="0">
      <selection activeCell="E26" sqref="E26"/>
    </sheetView>
  </sheetViews>
  <sheetFormatPr defaultRowHeight="12.75" x14ac:dyDescent="0.2"/>
  <cols>
    <col min="1" max="1" width="9.140625" style="38"/>
    <col min="2" max="2" width="18.7109375" style="38" customWidth="1"/>
    <col min="3" max="3" width="9.140625" style="38"/>
    <col min="4" max="4" width="18.5703125" style="38" customWidth="1"/>
    <col min="5" max="5" width="16.42578125" style="38" customWidth="1"/>
    <col min="6" max="6" width="19.42578125" style="38" customWidth="1"/>
    <col min="7" max="7" width="12.42578125" style="38" customWidth="1"/>
    <col min="8" max="11" width="9.140625" style="38"/>
    <col min="12" max="12" width="14.5703125" style="38" customWidth="1"/>
    <col min="13" max="14" width="9.140625" style="38"/>
    <col min="15" max="15" width="13.85546875" style="38" bestFit="1" customWidth="1"/>
    <col min="16" max="256" width="9.140625" style="38"/>
    <col min="257" max="257" width="18.7109375" style="38" customWidth="1"/>
    <col min="258" max="258" width="9.140625" style="38"/>
    <col min="259" max="259" width="18.5703125" style="38" customWidth="1"/>
    <col min="260" max="260" width="13.42578125" style="38" customWidth="1"/>
    <col min="261" max="261" width="19" style="38" customWidth="1"/>
    <col min="262" max="262" width="12.42578125" style="38" customWidth="1"/>
    <col min="263" max="512" width="9.140625" style="38"/>
    <col min="513" max="513" width="18.7109375" style="38" customWidth="1"/>
    <col min="514" max="514" width="9.140625" style="38"/>
    <col min="515" max="515" width="18.5703125" style="38" customWidth="1"/>
    <col min="516" max="516" width="13.42578125" style="38" customWidth="1"/>
    <col min="517" max="517" width="19" style="38" customWidth="1"/>
    <col min="518" max="518" width="12.42578125" style="38" customWidth="1"/>
    <col min="519" max="768" width="9.140625" style="38"/>
    <col min="769" max="769" width="18.7109375" style="38" customWidth="1"/>
    <col min="770" max="770" width="9.140625" style="38"/>
    <col min="771" max="771" width="18.5703125" style="38" customWidth="1"/>
    <col min="772" max="772" width="13.42578125" style="38" customWidth="1"/>
    <col min="773" max="773" width="19" style="38" customWidth="1"/>
    <col min="774" max="774" width="12.42578125" style="38" customWidth="1"/>
    <col min="775" max="1024" width="9.140625" style="38"/>
    <col min="1025" max="1025" width="18.7109375" style="38" customWidth="1"/>
    <col min="1026" max="1026" width="9.140625" style="38"/>
    <col min="1027" max="1027" width="18.5703125" style="38" customWidth="1"/>
    <col min="1028" max="1028" width="13.42578125" style="38" customWidth="1"/>
    <col min="1029" max="1029" width="19" style="38" customWidth="1"/>
    <col min="1030" max="1030" width="12.42578125" style="38" customWidth="1"/>
    <col min="1031" max="1280" width="9.140625" style="38"/>
    <col min="1281" max="1281" width="18.7109375" style="38" customWidth="1"/>
    <col min="1282" max="1282" width="9.140625" style="38"/>
    <col min="1283" max="1283" width="18.5703125" style="38" customWidth="1"/>
    <col min="1284" max="1284" width="13.42578125" style="38" customWidth="1"/>
    <col min="1285" max="1285" width="19" style="38" customWidth="1"/>
    <col min="1286" max="1286" width="12.42578125" style="38" customWidth="1"/>
    <col min="1287" max="1536" width="9.140625" style="38"/>
    <col min="1537" max="1537" width="18.7109375" style="38" customWidth="1"/>
    <col min="1538" max="1538" width="9.140625" style="38"/>
    <col min="1539" max="1539" width="18.5703125" style="38" customWidth="1"/>
    <col min="1540" max="1540" width="13.42578125" style="38" customWidth="1"/>
    <col min="1541" max="1541" width="19" style="38" customWidth="1"/>
    <col min="1542" max="1542" width="12.42578125" style="38" customWidth="1"/>
    <col min="1543" max="1792" width="9.140625" style="38"/>
    <col min="1793" max="1793" width="18.7109375" style="38" customWidth="1"/>
    <col min="1794" max="1794" width="9.140625" style="38"/>
    <col min="1795" max="1795" width="18.5703125" style="38" customWidth="1"/>
    <col min="1796" max="1796" width="13.42578125" style="38" customWidth="1"/>
    <col min="1797" max="1797" width="19" style="38" customWidth="1"/>
    <col min="1798" max="1798" width="12.42578125" style="38" customWidth="1"/>
    <col min="1799" max="2048" width="9.140625" style="38"/>
    <col min="2049" max="2049" width="18.7109375" style="38" customWidth="1"/>
    <col min="2050" max="2050" width="9.140625" style="38"/>
    <col min="2051" max="2051" width="18.5703125" style="38" customWidth="1"/>
    <col min="2052" max="2052" width="13.42578125" style="38" customWidth="1"/>
    <col min="2053" max="2053" width="19" style="38" customWidth="1"/>
    <col min="2054" max="2054" width="12.42578125" style="38" customWidth="1"/>
    <col min="2055" max="2304" width="9.140625" style="38"/>
    <col min="2305" max="2305" width="18.7109375" style="38" customWidth="1"/>
    <col min="2306" max="2306" width="9.140625" style="38"/>
    <col min="2307" max="2307" width="18.5703125" style="38" customWidth="1"/>
    <col min="2308" max="2308" width="13.42578125" style="38" customWidth="1"/>
    <col min="2309" max="2309" width="19" style="38" customWidth="1"/>
    <col min="2310" max="2310" width="12.42578125" style="38" customWidth="1"/>
    <col min="2311" max="2560" width="9.140625" style="38"/>
    <col min="2561" max="2561" width="18.7109375" style="38" customWidth="1"/>
    <col min="2562" max="2562" width="9.140625" style="38"/>
    <col min="2563" max="2563" width="18.5703125" style="38" customWidth="1"/>
    <col min="2564" max="2564" width="13.42578125" style="38" customWidth="1"/>
    <col min="2565" max="2565" width="19" style="38" customWidth="1"/>
    <col min="2566" max="2566" width="12.42578125" style="38" customWidth="1"/>
    <col min="2567" max="2816" width="9.140625" style="38"/>
    <col min="2817" max="2817" width="18.7109375" style="38" customWidth="1"/>
    <col min="2818" max="2818" width="9.140625" style="38"/>
    <col min="2819" max="2819" width="18.5703125" style="38" customWidth="1"/>
    <col min="2820" max="2820" width="13.42578125" style="38" customWidth="1"/>
    <col min="2821" max="2821" width="19" style="38" customWidth="1"/>
    <col min="2822" max="2822" width="12.42578125" style="38" customWidth="1"/>
    <col min="2823" max="3072" width="9.140625" style="38"/>
    <col min="3073" max="3073" width="18.7109375" style="38" customWidth="1"/>
    <col min="3074" max="3074" width="9.140625" style="38"/>
    <col min="3075" max="3075" width="18.5703125" style="38" customWidth="1"/>
    <col min="3076" max="3076" width="13.42578125" style="38" customWidth="1"/>
    <col min="3077" max="3077" width="19" style="38" customWidth="1"/>
    <col min="3078" max="3078" width="12.42578125" style="38" customWidth="1"/>
    <col min="3079" max="3328" width="9.140625" style="38"/>
    <col min="3329" max="3329" width="18.7109375" style="38" customWidth="1"/>
    <col min="3330" max="3330" width="9.140625" style="38"/>
    <col min="3331" max="3331" width="18.5703125" style="38" customWidth="1"/>
    <col min="3332" max="3332" width="13.42578125" style="38" customWidth="1"/>
    <col min="3333" max="3333" width="19" style="38" customWidth="1"/>
    <col min="3334" max="3334" width="12.42578125" style="38" customWidth="1"/>
    <col min="3335" max="3584" width="9.140625" style="38"/>
    <col min="3585" max="3585" width="18.7109375" style="38" customWidth="1"/>
    <col min="3586" max="3586" width="9.140625" style="38"/>
    <col min="3587" max="3587" width="18.5703125" style="38" customWidth="1"/>
    <col min="3588" max="3588" width="13.42578125" style="38" customWidth="1"/>
    <col min="3589" max="3589" width="19" style="38" customWidth="1"/>
    <col min="3590" max="3590" width="12.42578125" style="38" customWidth="1"/>
    <col min="3591" max="3840" width="9.140625" style="38"/>
    <col min="3841" max="3841" width="18.7109375" style="38" customWidth="1"/>
    <col min="3842" max="3842" width="9.140625" style="38"/>
    <col min="3843" max="3843" width="18.5703125" style="38" customWidth="1"/>
    <col min="3844" max="3844" width="13.42578125" style="38" customWidth="1"/>
    <col min="3845" max="3845" width="19" style="38" customWidth="1"/>
    <col min="3846" max="3846" width="12.42578125" style="38" customWidth="1"/>
    <col min="3847" max="4096" width="9.140625" style="38"/>
    <col min="4097" max="4097" width="18.7109375" style="38" customWidth="1"/>
    <col min="4098" max="4098" width="9.140625" style="38"/>
    <col min="4099" max="4099" width="18.5703125" style="38" customWidth="1"/>
    <col min="4100" max="4100" width="13.42578125" style="38" customWidth="1"/>
    <col min="4101" max="4101" width="19" style="38" customWidth="1"/>
    <col min="4102" max="4102" width="12.42578125" style="38" customWidth="1"/>
    <col min="4103" max="4352" width="9.140625" style="38"/>
    <col min="4353" max="4353" width="18.7109375" style="38" customWidth="1"/>
    <col min="4354" max="4354" width="9.140625" style="38"/>
    <col min="4355" max="4355" width="18.5703125" style="38" customWidth="1"/>
    <col min="4356" max="4356" width="13.42578125" style="38" customWidth="1"/>
    <col min="4357" max="4357" width="19" style="38" customWidth="1"/>
    <col min="4358" max="4358" width="12.42578125" style="38" customWidth="1"/>
    <col min="4359" max="4608" width="9.140625" style="38"/>
    <col min="4609" max="4609" width="18.7109375" style="38" customWidth="1"/>
    <col min="4610" max="4610" width="9.140625" style="38"/>
    <col min="4611" max="4611" width="18.5703125" style="38" customWidth="1"/>
    <col min="4612" max="4612" width="13.42578125" style="38" customWidth="1"/>
    <col min="4613" max="4613" width="19" style="38" customWidth="1"/>
    <col min="4614" max="4614" width="12.42578125" style="38" customWidth="1"/>
    <col min="4615" max="4864" width="9.140625" style="38"/>
    <col min="4865" max="4865" width="18.7109375" style="38" customWidth="1"/>
    <col min="4866" max="4866" width="9.140625" style="38"/>
    <col min="4867" max="4867" width="18.5703125" style="38" customWidth="1"/>
    <col min="4868" max="4868" width="13.42578125" style="38" customWidth="1"/>
    <col min="4869" max="4869" width="19" style="38" customWidth="1"/>
    <col min="4870" max="4870" width="12.42578125" style="38" customWidth="1"/>
    <col min="4871" max="5120" width="9.140625" style="38"/>
    <col min="5121" max="5121" width="18.7109375" style="38" customWidth="1"/>
    <col min="5122" max="5122" width="9.140625" style="38"/>
    <col min="5123" max="5123" width="18.5703125" style="38" customWidth="1"/>
    <col min="5124" max="5124" width="13.42578125" style="38" customWidth="1"/>
    <col min="5125" max="5125" width="19" style="38" customWidth="1"/>
    <col min="5126" max="5126" width="12.42578125" style="38" customWidth="1"/>
    <col min="5127" max="5376" width="9.140625" style="38"/>
    <col min="5377" max="5377" width="18.7109375" style="38" customWidth="1"/>
    <col min="5378" max="5378" width="9.140625" style="38"/>
    <col min="5379" max="5379" width="18.5703125" style="38" customWidth="1"/>
    <col min="5380" max="5380" width="13.42578125" style="38" customWidth="1"/>
    <col min="5381" max="5381" width="19" style="38" customWidth="1"/>
    <col min="5382" max="5382" width="12.42578125" style="38" customWidth="1"/>
    <col min="5383" max="5632" width="9.140625" style="38"/>
    <col min="5633" max="5633" width="18.7109375" style="38" customWidth="1"/>
    <col min="5634" max="5634" width="9.140625" style="38"/>
    <col min="5635" max="5635" width="18.5703125" style="38" customWidth="1"/>
    <col min="5636" max="5636" width="13.42578125" style="38" customWidth="1"/>
    <col min="5637" max="5637" width="19" style="38" customWidth="1"/>
    <col min="5638" max="5638" width="12.42578125" style="38" customWidth="1"/>
    <col min="5639" max="5888" width="9.140625" style="38"/>
    <col min="5889" max="5889" width="18.7109375" style="38" customWidth="1"/>
    <col min="5890" max="5890" width="9.140625" style="38"/>
    <col min="5891" max="5891" width="18.5703125" style="38" customWidth="1"/>
    <col min="5892" max="5892" width="13.42578125" style="38" customWidth="1"/>
    <col min="5893" max="5893" width="19" style="38" customWidth="1"/>
    <col min="5894" max="5894" width="12.42578125" style="38" customWidth="1"/>
    <col min="5895" max="6144" width="9.140625" style="38"/>
    <col min="6145" max="6145" width="18.7109375" style="38" customWidth="1"/>
    <col min="6146" max="6146" width="9.140625" style="38"/>
    <col min="6147" max="6147" width="18.5703125" style="38" customWidth="1"/>
    <col min="6148" max="6148" width="13.42578125" style="38" customWidth="1"/>
    <col min="6149" max="6149" width="19" style="38" customWidth="1"/>
    <col min="6150" max="6150" width="12.42578125" style="38" customWidth="1"/>
    <col min="6151" max="6400" width="9.140625" style="38"/>
    <col min="6401" max="6401" width="18.7109375" style="38" customWidth="1"/>
    <col min="6402" max="6402" width="9.140625" style="38"/>
    <col min="6403" max="6403" width="18.5703125" style="38" customWidth="1"/>
    <col min="6404" max="6404" width="13.42578125" style="38" customWidth="1"/>
    <col min="6405" max="6405" width="19" style="38" customWidth="1"/>
    <col min="6406" max="6406" width="12.42578125" style="38" customWidth="1"/>
    <col min="6407" max="6656" width="9.140625" style="38"/>
    <col min="6657" max="6657" width="18.7109375" style="38" customWidth="1"/>
    <col min="6658" max="6658" width="9.140625" style="38"/>
    <col min="6659" max="6659" width="18.5703125" style="38" customWidth="1"/>
    <col min="6660" max="6660" width="13.42578125" style="38" customWidth="1"/>
    <col min="6661" max="6661" width="19" style="38" customWidth="1"/>
    <col min="6662" max="6662" width="12.42578125" style="38" customWidth="1"/>
    <col min="6663" max="6912" width="9.140625" style="38"/>
    <col min="6913" max="6913" width="18.7109375" style="38" customWidth="1"/>
    <col min="6914" max="6914" width="9.140625" style="38"/>
    <col min="6915" max="6915" width="18.5703125" style="38" customWidth="1"/>
    <col min="6916" max="6916" width="13.42578125" style="38" customWidth="1"/>
    <col min="6917" max="6917" width="19" style="38" customWidth="1"/>
    <col min="6918" max="6918" width="12.42578125" style="38" customWidth="1"/>
    <col min="6919" max="7168" width="9.140625" style="38"/>
    <col min="7169" max="7169" width="18.7109375" style="38" customWidth="1"/>
    <col min="7170" max="7170" width="9.140625" style="38"/>
    <col min="7171" max="7171" width="18.5703125" style="38" customWidth="1"/>
    <col min="7172" max="7172" width="13.42578125" style="38" customWidth="1"/>
    <col min="7173" max="7173" width="19" style="38" customWidth="1"/>
    <col min="7174" max="7174" width="12.42578125" style="38" customWidth="1"/>
    <col min="7175" max="7424" width="9.140625" style="38"/>
    <col min="7425" max="7425" width="18.7109375" style="38" customWidth="1"/>
    <col min="7426" max="7426" width="9.140625" style="38"/>
    <col min="7427" max="7427" width="18.5703125" style="38" customWidth="1"/>
    <col min="7428" max="7428" width="13.42578125" style="38" customWidth="1"/>
    <col min="7429" max="7429" width="19" style="38" customWidth="1"/>
    <col min="7430" max="7430" width="12.42578125" style="38" customWidth="1"/>
    <col min="7431" max="7680" width="9.140625" style="38"/>
    <col min="7681" max="7681" width="18.7109375" style="38" customWidth="1"/>
    <col min="7682" max="7682" width="9.140625" style="38"/>
    <col min="7683" max="7683" width="18.5703125" style="38" customWidth="1"/>
    <col min="7684" max="7684" width="13.42578125" style="38" customWidth="1"/>
    <col min="7685" max="7685" width="19" style="38" customWidth="1"/>
    <col min="7686" max="7686" width="12.42578125" style="38" customWidth="1"/>
    <col min="7687" max="7936" width="9.140625" style="38"/>
    <col min="7937" max="7937" width="18.7109375" style="38" customWidth="1"/>
    <col min="7938" max="7938" width="9.140625" style="38"/>
    <col min="7939" max="7939" width="18.5703125" style="38" customWidth="1"/>
    <col min="7940" max="7940" width="13.42578125" style="38" customWidth="1"/>
    <col min="7941" max="7941" width="19" style="38" customWidth="1"/>
    <col min="7942" max="7942" width="12.42578125" style="38" customWidth="1"/>
    <col min="7943" max="8192" width="9.140625" style="38"/>
    <col min="8193" max="8193" width="18.7109375" style="38" customWidth="1"/>
    <col min="8194" max="8194" width="9.140625" style="38"/>
    <col min="8195" max="8195" width="18.5703125" style="38" customWidth="1"/>
    <col min="8196" max="8196" width="13.42578125" style="38" customWidth="1"/>
    <col min="8197" max="8197" width="19" style="38" customWidth="1"/>
    <col min="8198" max="8198" width="12.42578125" style="38" customWidth="1"/>
    <col min="8199" max="8448" width="9.140625" style="38"/>
    <col min="8449" max="8449" width="18.7109375" style="38" customWidth="1"/>
    <col min="8450" max="8450" width="9.140625" style="38"/>
    <col min="8451" max="8451" width="18.5703125" style="38" customWidth="1"/>
    <col min="8452" max="8452" width="13.42578125" style="38" customWidth="1"/>
    <col min="8453" max="8453" width="19" style="38" customWidth="1"/>
    <col min="8454" max="8454" width="12.42578125" style="38" customWidth="1"/>
    <col min="8455" max="8704" width="9.140625" style="38"/>
    <col min="8705" max="8705" width="18.7109375" style="38" customWidth="1"/>
    <col min="8706" max="8706" width="9.140625" style="38"/>
    <col min="8707" max="8707" width="18.5703125" style="38" customWidth="1"/>
    <col min="8708" max="8708" width="13.42578125" style="38" customWidth="1"/>
    <col min="8709" max="8709" width="19" style="38" customWidth="1"/>
    <col min="8710" max="8710" width="12.42578125" style="38" customWidth="1"/>
    <col min="8711" max="8960" width="9.140625" style="38"/>
    <col min="8961" max="8961" width="18.7109375" style="38" customWidth="1"/>
    <col min="8962" max="8962" width="9.140625" style="38"/>
    <col min="8963" max="8963" width="18.5703125" style="38" customWidth="1"/>
    <col min="8964" max="8964" width="13.42578125" style="38" customWidth="1"/>
    <col min="8965" max="8965" width="19" style="38" customWidth="1"/>
    <col min="8966" max="8966" width="12.42578125" style="38" customWidth="1"/>
    <col min="8967" max="9216" width="9.140625" style="38"/>
    <col min="9217" max="9217" width="18.7109375" style="38" customWidth="1"/>
    <col min="9218" max="9218" width="9.140625" style="38"/>
    <col min="9219" max="9219" width="18.5703125" style="38" customWidth="1"/>
    <col min="9220" max="9220" width="13.42578125" style="38" customWidth="1"/>
    <col min="9221" max="9221" width="19" style="38" customWidth="1"/>
    <col min="9222" max="9222" width="12.42578125" style="38" customWidth="1"/>
    <col min="9223" max="9472" width="9.140625" style="38"/>
    <col min="9473" max="9473" width="18.7109375" style="38" customWidth="1"/>
    <col min="9474" max="9474" width="9.140625" style="38"/>
    <col min="9475" max="9475" width="18.5703125" style="38" customWidth="1"/>
    <col min="9476" max="9476" width="13.42578125" style="38" customWidth="1"/>
    <col min="9477" max="9477" width="19" style="38" customWidth="1"/>
    <col min="9478" max="9478" width="12.42578125" style="38" customWidth="1"/>
    <col min="9479" max="9728" width="9.140625" style="38"/>
    <col min="9729" max="9729" width="18.7109375" style="38" customWidth="1"/>
    <col min="9730" max="9730" width="9.140625" style="38"/>
    <col min="9731" max="9731" width="18.5703125" style="38" customWidth="1"/>
    <col min="9732" max="9732" width="13.42578125" style="38" customWidth="1"/>
    <col min="9733" max="9733" width="19" style="38" customWidth="1"/>
    <col min="9734" max="9734" width="12.42578125" style="38" customWidth="1"/>
    <col min="9735" max="9984" width="9.140625" style="38"/>
    <col min="9985" max="9985" width="18.7109375" style="38" customWidth="1"/>
    <col min="9986" max="9986" width="9.140625" style="38"/>
    <col min="9987" max="9987" width="18.5703125" style="38" customWidth="1"/>
    <col min="9988" max="9988" width="13.42578125" style="38" customWidth="1"/>
    <col min="9989" max="9989" width="19" style="38" customWidth="1"/>
    <col min="9990" max="9990" width="12.42578125" style="38" customWidth="1"/>
    <col min="9991" max="10240" width="9.140625" style="38"/>
    <col min="10241" max="10241" width="18.7109375" style="38" customWidth="1"/>
    <col min="10242" max="10242" width="9.140625" style="38"/>
    <col min="10243" max="10243" width="18.5703125" style="38" customWidth="1"/>
    <col min="10244" max="10244" width="13.42578125" style="38" customWidth="1"/>
    <col min="10245" max="10245" width="19" style="38" customWidth="1"/>
    <col min="10246" max="10246" width="12.42578125" style="38" customWidth="1"/>
    <col min="10247" max="10496" width="9.140625" style="38"/>
    <col min="10497" max="10497" width="18.7109375" style="38" customWidth="1"/>
    <col min="10498" max="10498" width="9.140625" style="38"/>
    <col min="10499" max="10499" width="18.5703125" style="38" customWidth="1"/>
    <col min="10500" max="10500" width="13.42578125" style="38" customWidth="1"/>
    <col min="10501" max="10501" width="19" style="38" customWidth="1"/>
    <col min="10502" max="10502" width="12.42578125" style="38" customWidth="1"/>
    <col min="10503" max="10752" width="9.140625" style="38"/>
    <col min="10753" max="10753" width="18.7109375" style="38" customWidth="1"/>
    <col min="10754" max="10754" width="9.140625" style="38"/>
    <col min="10755" max="10755" width="18.5703125" style="38" customWidth="1"/>
    <col min="10756" max="10756" width="13.42578125" style="38" customWidth="1"/>
    <col min="10757" max="10757" width="19" style="38" customWidth="1"/>
    <col min="10758" max="10758" width="12.42578125" style="38" customWidth="1"/>
    <col min="10759" max="11008" width="9.140625" style="38"/>
    <col min="11009" max="11009" width="18.7109375" style="38" customWidth="1"/>
    <col min="11010" max="11010" width="9.140625" style="38"/>
    <col min="11011" max="11011" width="18.5703125" style="38" customWidth="1"/>
    <col min="11012" max="11012" width="13.42578125" style="38" customWidth="1"/>
    <col min="11013" max="11013" width="19" style="38" customWidth="1"/>
    <col min="11014" max="11014" width="12.42578125" style="38" customWidth="1"/>
    <col min="11015" max="11264" width="9.140625" style="38"/>
    <col min="11265" max="11265" width="18.7109375" style="38" customWidth="1"/>
    <col min="11266" max="11266" width="9.140625" style="38"/>
    <col min="11267" max="11267" width="18.5703125" style="38" customWidth="1"/>
    <col min="11268" max="11268" width="13.42578125" style="38" customWidth="1"/>
    <col min="11269" max="11269" width="19" style="38" customWidth="1"/>
    <col min="11270" max="11270" width="12.42578125" style="38" customWidth="1"/>
    <col min="11271" max="11520" width="9.140625" style="38"/>
    <col min="11521" max="11521" width="18.7109375" style="38" customWidth="1"/>
    <col min="11522" max="11522" width="9.140625" style="38"/>
    <col min="11523" max="11523" width="18.5703125" style="38" customWidth="1"/>
    <col min="11524" max="11524" width="13.42578125" style="38" customWidth="1"/>
    <col min="11525" max="11525" width="19" style="38" customWidth="1"/>
    <col min="11526" max="11526" width="12.42578125" style="38" customWidth="1"/>
    <col min="11527" max="11776" width="9.140625" style="38"/>
    <col min="11777" max="11777" width="18.7109375" style="38" customWidth="1"/>
    <col min="11778" max="11778" width="9.140625" style="38"/>
    <col min="11779" max="11779" width="18.5703125" style="38" customWidth="1"/>
    <col min="11780" max="11780" width="13.42578125" style="38" customWidth="1"/>
    <col min="11781" max="11781" width="19" style="38" customWidth="1"/>
    <col min="11782" max="11782" width="12.42578125" style="38" customWidth="1"/>
    <col min="11783" max="12032" width="9.140625" style="38"/>
    <col min="12033" max="12033" width="18.7109375" style="38" customWidth="1"/>
    <col min="12034" max="12034" width="9.140625" style="38"/>
    <col min="12035" max="12035" width="18.5703125" style="38" customWidth="1"/>
    <col min="12036" max="12036" width="13.42578125" style="38" customWidth="1"/>
    <col min="12037" max="12037" width="19" style="38" customWidth="1"/>
    <col min="12038" max="12038" width="12.42578125" style="38" customWidth="1"/>
    <col min="12039" max="12288" width="9.140625" style="38"/>
    <col min="12289" max="12289" width="18.7109375" style="38" customWidth="1"/>
    <col min="12290" max="12290" width="9.140625" style="38"/>
    <col min="12291" max="12291" width="18.5703125" style="38" customWidth="1"/>
    <col min="12292" max="12292" width="13.42578125" style="38" customWidth="1"/>
    <col min="12293" max="12293" width="19" style="38" customWidth="1"/>
    <col min="12294" max="12294" width="12.42578125" style="38" customWidth="1"/>
    <col min="12295" max="12544" width="9.140625" style="38"/>
    <col min="12545" max="12545" width="18.7109375" style="38" customWidth="1"/>
    <col min="12546" max="12546" width="9.140625" style="38"/>
    <col min="12547" max="12547" width="18.5703125" style="38" customWidth="1"/>
    <col min="12548" max="12548" width="13.42578125" style="38" customWidth="1"/>
    <col min="12549" max="12549" width="19" style="38" customWidth="1"/>
    <col min="12550" max="12550" width="12.42578125" style="38" customWidth="1"/>
    <col min="12551" max="12800" width="9.140625" style="38"/>
    <col min="12801" max="12801" width="18.7109375" style="38" customWidth="1"/>
    <col min="12802" max="12802" width="9.140625" style="38"/>
    <col min="12803" max="12803" width="18.5703125" style="38" customWidth="1"/>
    <col min="12804" max="12804" width="13.42578125" style="38" customWidth="1"/>
    <col min="12805" max="12805" width="19" style="38" customWidth="1"/>
    <col min="12806" max="12806" width="12.42578125" style="38" customWidth="1"/>
    <col min="12807" max="13056" width="9.140625" style="38"/>
    <col min="13057" max="13057" width="18.7109375" style="38" customWidth="1"/>
    <col min="13058" max="13058" width="9.140625" style="38"/>
    <col min="13059" max="13059" width="18.5703125" style="38" customWidth="1"/>
    <col min="13060" max="13060" width="13.42578125" style="38" customWidth="1"/>
    <col min="13061" max="13061" width="19" style="38" customWidth="1"/>
    <col min="13062" max="13062" width="12.42578125" style="38" customWidth="1"/>
    <col min="13063" max="13312" width="9.140625" style="38"/>
    <col min="13313" max="13313" width="18.7109375" style="38" customWidth="1"/>
    <col min="13314" max="13314" width="9.140625" style="38"/>
    <col min="13315" max="13315" width="18.5703125" style="38" customWidth="1"/>
    <col min="13316" max="13316" width="13.42578125" style="38" customWidth="1"/>
    <col min="13317" max="13317" width="19" style="38" customWidth="1"/>
    <col min="13318" max="13318" width="12.42578125" style="38" customWidth="1"/>
    <col min="13319" max="13568" width="9.140625" style="38"/>
    <col min="13569" max="13569" width="18.7109375" style="38" customWidth="1"/>
    <col min="13570" max="13570" width="9.140625" style="38"/>
    <col min="13571" max="13571" width="18.5703125" style="38" customWidth="1"/>
    <col min="13572" max="13572" width="13.42578125" style="38" customWidth="1"/>
    <col min="13573" max="13573" width="19" style="38" customWidth="1"/>
    <col min="13574" max="13574" width="12.42578125" style="38" customWidth="1"/>
    <col min="13575" max="13824" width="9.140625" style="38"/>
    <col min="13825" max="13825" width="18.7109375" style="38" customWidth="1"/>
    <col min="13826" max="13826" width="9.140625" style="38"/>
    <col min="13827" max="13827" width="18.5703125" style="38" customWidth="1"/>
    <col min="13828" max="13828" width="13.42578125" style="38" customWidth="1"/>
    <col min="13829" max="13829" width="19" style="38" customWidth="1"/>
    <col min="13830" max="13830" width="12.42578125" style="38" customWidth="1"/>
    <col min="13831" max="14080" width="9.140625" style="38"/>
    <col min="14081" max="14081" width="18.7109375" style="38" customWidth="1"/>
    <col min="14082" max="14082" width="9.140625" style="38"/>
    <col min="14083" max="14083" width="18.5703125" style="38" customWidth="1"/>
    <col min="14084" max="14084" width="13.42578125" style="38" customWidth="1"/>
    <col min="14085" max="14085" width="19" style="38" customWidth="1"/>
    <col min="14086" max="14086" width="12.42578125" style="38" customWidth="1"/>
    <col min="14087" max="14336" width="9.140625" style="38"/>
    <col min="14337" max="14337" width="18.7109375" style="38" customWidth="1"/>
    <col min="14338" max="14338" width="9.140625" style="38"/>
    <col min="14339" max="14339" width="18.5703125" style="38" customWidth="1"/>
    <col min="14340" max="14340" width="13.42578125" style="38" customWidth="1"/>
    <col min="14341" max="14341" width="19" style="38" customWidth="1"/>
    <col min="14342" max="14342" width="12.42578125" style="38" customWidth="1"/>
    <col min="14343" max="14592" width="9.140625" style="38"/>
    <col min="14593" max="14593" width="18.7109375" style="38" customWidth="1"/>
    <col min="14594" max="14594" width="9.140625" style="38"/>
    <col min="14595" max="14595" width="18.5703125" style="38" customWidth="1"/>
    <col min="14596" max="14596" width="13.42578125" style="38" customWidth="1"/>
    <col min="14597" max="14597" width="19" style="38" customWidth="1"/>
    <col min="14598" max="14598" width="12.42578125" style="38" customWidth="1"/>
    <col min="14599" max="14848" width="9.140625" style="38"/>
    <col min="14849" max="14849" width="18.7109375" style="38" customWidth="1"/>
    <col min="14850" max="14850" width="9.140625" style="38"/>
    <col min="14851" max="14851" width="18.5703125" style="38" customWidth="1"/>
    <col min="14852" max="14852" width="13.42578125" style="38" customWidth="1"/>
    <col min="14853" max="14853" width="19" style="38" customWidth="1"/>
    <col min="14854" max="14854" width="12.42578125" style="38" customWidth="1"/>
    <col min="14855" max="15104" width="9.140625" style="38"/>
    <col min="15105" max="15105" width="18.7109375" style="38" customWidth="1"/>
    <col min="15106" max="15106" width="9.140625" style="38"/>
    <col min="15107" max="15107" width="18.5703125" style="38" customWidth="1"/>
    <col min="15108" max="15108" width="13.42578125" style="38" customWidth="1"/>
    <col min="15109" max="15109" width="19" style="38" customWidth="1"/>
    <col min="15110" max="15110" width="12.42578125" style="38" customWidth="1"/>
    <col min="15111" max="15360" width="9.140625" style="38"/>
    <col min="15361" max="15361" width="18.7109375" style="38" customWidth="1"/>
    <col min="15362" max="15362" width="9.140625" style="38"/>
    <col min="15363" max="15363" width="18.5703125" style="38" customWidth="1"/>
    <col min="15364" max="15364" width="13.42578125" style="38" customWidth="1"/>
    <col min="15365" max="15365" width="19" style="38" customWidth="1"/>
    <col min="15366" max="15366" width="12.42578125" style="38" customWidth="1"/>
    <col min="15367" max="15616" width="9.140625" style="38"/>
    <col min="15617" max="15617" width="18.7109375" style="38" customWidth="1"/>
    <col min="15618" max="15618" width="9.140625" style="38"/>
    <col min="15619" max="15619" width="18.5703125" style="38" customWidth="1"/>
    <col min="15620" max="15620" width="13.42578125" style="38" customWidth="1"/>
    <col min="15621" max="15621" width="19" style="38" customWidth="1"/>
    <col min="15622" max="15622" width="12.42578125" style="38" customWidth="1"/>
    <col min="15623" max="15872" width="9.140625" style="38"/>
    <col min="15873" max="15873" width="18.7109375" style="38" customWidth="1"/>
    <col min="15874" max="15874" width="9.140625" style="38"/>
    <col min="15875" max="15875" width="18.5703125" style="38" customWidth="1"/>
    <col min="15876" max="15876" width="13.42578125" style="38" customWidth="1"/>
    <col min="15877" max="15877" width="19" style="38" customWidth="1"/>
    <col min="15878" max="15878" width="12.42578125" style="38" customWidth="1"/>
    <col min="15879" max="16128" width="9.140625" style="38"/>
    <col min="16129" max="16129" width="18.7109375" style="38" customWidth="1"/>
    <col min="16130" max="16130" width="9.140625" style="38"/>
    <col min="16131" max="16131" width="18.5703125" style="38" customWidth="1"/>
    <col min="16132" max="16132" width="13.42578125" style="38" customWidth="1"/>
    <col min="16133" max="16133" width="19" style="38" customWidth="1"/>
    <col min="16134" max="16134" width="12.42578125" style="38" customWidth="1"/>
    <col min="16135" max="16384" width="9.140625" style="38"/>
  </cols>
  <sheetData>
    <row r="2" spans="2:18" ht="21" customHeight="1" x14ac:dyDescent="0.2">
      <c r="B2" s="1"/>
      <c r="C2" s="366" t="s">
        <v>0</v>
      </c>
      <c r="D2" s="367"/>
      <c r="E2" s="367"/>
      <c r="F2" s="367"/>
      <c r="G2" s="367"/>
      <c r="H2" s="367"/>
      <c r="I2" s="367"/>
      <c r="J2" s="368"/>
    </row>
    <row r="3" spans="2:18" ht="30.75" customHeight="1" x14ac:dyDescent="0.2">
      <c r="B3" s="2"/>
      <c r="C3" s="374" t="s">
        <v>307</v>
      </c>
      <c r="D3" s="375"/>
      <c r="E3" s="375"/>
      <c r="F3" s="4"/>
      <c r="G3" s="3"/>
      <c r="H3" s="4"/>
      <c r="I3" s="4"/>
      <c r="J3" s="30"/>
    </row>
    <row r="4" spans="2:18" ht="21.75" customHeight="1" x14ac:dyDescent="0.2">
      <c r="B4" s="2"/>
      <c r="C4" s="374" t="s">
        <v>2</v>
      </c>
      <c r="D4" s="375"/>
      <c r="E4" s="375"/>
      <c r="F4" s="191" t="s">
        <v>3</v>
      </c>
      <c r="G4" s="196">
        <v>1.5727</v>
      </c>
      <c r="H4" s="364" t="s">
        <v>4</v>
      </c>
      <c r="I4" s="364"/>
      <c r="J4" s="365"/>
    </row>
    <row r="5" spans="2:18" ht="21.75" customHeight="1" x14ac:dyDescent="0.2">
      <c r="B5" s="2"/>
      <c r="C5" s="374" t="s">
        <v>5</v>
      </c>
      <c r="D5" s="375"/>
      <c r="E5" s="375"/>
      <c r="F5" s="197" t="s">
        <v>6</v>
      </c>
      <c r="G5" s="196">
        <v>0.3196</v>
      </c>
      <c r="H5" s="434" t="s">
        <v>7</v>
      </c>
      <c r="I5" s="434"/>
      <c r="J5" s="192" t="s">
        <v>608</v>
      </c>
    </row>
    <row r="6" spans="2:18" ht="18" customHeight="1" x14ac:dyDescent="0.2">
      <c r="B6" s="195"/>
      <c r="C6" s="376" t="s">
        <v>8</v>
      </c>
      <c r="D6" s="377"/>
      <c r="E6" s="377"/>
      <c r="F6" s="377"/>
      <c r="G6" s="377"/>
      <c r="H6" s="377"/>
      <c r="I6" s="31"/>
      <c r="J6" s="14"/>
    </row>
    <row r="7" spans="2:18" ht="11.25" customHeight="1" x14ac:dyDescent="0.2">
      <c r="B7" s="2"/>
      <c r="C7" s="174"/>
      <c r="D7" s="174"/>
      <c r="E7" s="174"/>
      <c r="F7" s="190"/>
      <c r="G7" s="22"/>
      <c r="H7" s="191"/>
      <c r="I7" s="191"/>
      <c r="J7" s="198"/>
    </row>
    <row r="8" spans="2:18" ht="25.5" customHeight="1" x14ac:dyDescent="0.2">
      <c r="B8" s="199"/>
      <c r="C8" s="193"/>
      <c r="D8" s="193"/>
      <c r="E8" s="41" t="s">
        <v>308</v>
      </c>
      <c r="F8" s="193"/>
      <c r="G8" s="193"/>
      <c r="H8" s="193"/>
      <c r="I8" s="193"/>
      <c r="J8" s="200"/>
    </row>
    <row r="9" spans="2:18" x14ac:dyDescent="0.2">
      <c r="B9" s="199"/>
      <c r="C9" s="55" t="s">
        <v>309</v>
      </c>
      <c r="D9" s="40"/>
      <c r="E9" s="41"/>
      <c r="F9" s="193"/>
      <c r="G9" s="193"/>
      <c r="H9" s="193"/>
      <c r="I9" s="193"/>
      <c r="J9" s="200"/>
    </row>
    <row r="10" spans="2:18" x14ac:dyDescent="0.2">
      <c r="B10" s="199"/>
      <c r="C10" s="40" t="s">
        <v>310</v>
      </c>
      <c r="D10" s="56"/>
      <c r="E10" s="57">
        <v>4.0599999999999997E-2</v>
      </c>
      <c r="F10" s="193"/>
      <c r="G10" s="193"/>
      <c r="H10" s="193"/>
      <c r="I10" s="193"/>
      <c r="J10" s="200"/>
      <c r="R10" s="42"/>
    </row>
    <row r="11" spans="2:18" x14ac:dyDescent="0.2">
      <c r="B11" s="199"/>
      <c r="C11" s="418" t="s">
        <v>311</v>
      </c>
      <c r="D11" s="419"/>
      <c r="E11" s="58">
        <f>E10</f>
        <v>4.0599999999999997E-2</v>
      </c>
      <c r="F11" s="201"/>
      <c r="G11" s="193"/>
      <c r="H11" s="193"/>
      <c r="I11" s="193"/>
      <c r="J11" s="200"/>
    </row>
    <row r="12" spans="2:18" x14ac:dyDescent="0.2">
      <c r="B12" s="199"/>
      <c r="C12" s="55" t="s">
        <v>312</v>
      </c>
      <c r="D12" s="40"/>
      <c r="E12" s="41"/>
      <c r="F12" s="201"/>
      <c r="G12" s="193"/>
      <c r="H12" s="193"/>
      <c r="I12" s="193"/>
      <c r="J12" s="200"/>
    </row>
    <row r="13" spans="2:18" x14ac:dyDescent="0.2">
      <c r="B13" s="199"/>
      <c r="C13" s="40" t="s">
        <v>313</v>
      </c>
      <c r="D13" s="56"/>
      <c r="E13" s="57">
        <v>5.8799999999999998E-2</v>
      </c>
      <c r="F13" s="201"/>
      <c r="G13" s="193"/>
      <c r="H13" s="193"/>
      <c r="I13" s="193"/>
      <c r="J13" s="200"/>
    </row>
    <row r="14" spans="2:18" x14ac:dyDescent="0.2">
      <c r="B14" s="199"/>
      <c r="C14" s="418" t="s">
        <v>314</v>
      </c>
      <c r="D14" s="419"/>
      <c r="E14" s="58">
        <f>E13</f>
        <v>5.8799999999999998E-2</v>
      </c>
      <c r="F14" s="201"/>
      <c r="G14" s="193"/>
      <c r="H14" s="193"/>
      <c r="I14" s="193"/>
      <c r="J14" s="200"/>
    </row>
    <row r="15" spans="2:18" x14ac:dyDescent="0.2">
      <c r="B15" s="199"/>
      <c r="C15" s="55" t="s">
        <v>315</v>
      </c>
      <c r="D15" s="172"/>
      <c r="E15" s="59"/>
      <c r="F15" s="201"/>
      <c r="G15" s="193"/>
      <c r="H15" s="193"/>
      <c r="I15" s="193"/>
      <c r="J15" s="200"/>
    </row>
    <row r="16" spans="2:18" x14ac:dyDescent="0.2">
      <c r="B16" s="199"/>
      <c r="C16" s="435" t="s">
        <v>316</v>
      </c>
      <c r="D16" s="436"/>
      <c r="E16" s="59"/>
      <c r="F16" s="201"/>
      <c r="G16" s="193"/>
      <c r="H16" s="193"/>
      <c r="I16" s="193"/>
      <c r="J16" s="200"/>
    </row>
    <row r="17" spans="2:10" x14ac:dyDescent="0.2">
      <c r="B17" s="199"/>
      <c r="C17" s="435" t="s">
        <v>317</v>
      </c>
      <c r="D17" s="436"/>
      <c r="E17" s="57">
        <v>0.05</v>
      </c>
      <c r="F17" s="201"/>
      <c r="G17" s="193"/>
      <c r="H17" s="193"/>
      <c r="I17" s="193"/>
      <c r="J17" s="200"/>
    </row>
    <row r="18" spans="2:10" x14ac:dyDescent="0.2">
      <c r="B18" s="199"/>
      <c r="C18" s="435" t="s">
        <v>318</v>
      </c>
      <c r="D18" s="436"/>
      <c r="E18" s="57">
        <v>6.4999999999999997E-3</v>
      </c>
      <c r="F18" s="201"/>
      <c r="G18" s="193"/>
      <c r="H18" s="193"/>
      <c r="I18" s="193"/>
      <c r="J18" s="200"/>
    </row>
    <row r="19" spans="2:10" x14ac:dyDescent="0.2">
      <c r="B19" s="199"/>
      <c r="C19" s="435" t="s">
        <v>319</v>
      </c>
      <c r="D19" s="436"/>
      <c r="E19" s="57">
        <v>0.03</v>
      </c>
      <c r="F19" s="201"/>
      <c r="G19" s="193"/>
      <c r="H19" s="193"/>
      <c r="I19" s="193"/>
      <c r="J19" s="200"/>
    </row>
    <row r="20" spans="2:10" x14ac:dyDescent="0.2">
      <c r="B20" s="199"/>
      <c r="C20" s="435" t="s">
        <v>320</v>
      </c>
      <c r="D20" s="436"/>
      <c r="E20" s="57">
        <v>0</v>
      </c>
      <c r="F20" s="201"/>
      <c r="G20" s="193"/>
      <c r="H20" s="193"/>
      <c r="I20" s="193"/>
      <c r="J20" s="200"/>
    </row>
    <row r="21" spans="2:10" x14ac:dyDescent="0.2">
      <c r="B21" s="199"/>
      <c r="C21" s="418" t="s">
        <v>321</v>
      </c>
      <c r="D21" s="419"/>
      <c r="E21" s="58">
        <f>SUM(E17:E20)</f>
        <v>8.6499999999999994E-2</v>
      </c>
      <c r="F21" s="201"/>
      <c r="G21" s="193"/>
      <c r="H21" s="193"/>
      <c r="I21" s="193"/>
      <c r="J21" s="200"/>
    </row>
    <row r="22" spans="2:10" x14ac:dyDescent="0.2">
      <c r="B22" s="199"/>
      <c r="C22" s="55" t="s">
        <v>322</v>
      </c>
      <c r="D22" s="40"/>
      <c r="E22" s="59"/>
      <c r="F22" s="201"/>
      <c r="G22" s="193"/>
      <c r="H22" s="193"/>
      <c r="I22" s="193"/>
      <c r="J22" s="200"/>
    </row>
    <row r="23" spans="2:10" x14ac:dyDescent="0.2">
      <c r="B23" s="199"/>
      <c r="C23" s="40" t="s">
        <v>323</v>
      </c>
      <c r="D23" s="40"/>
      <c r="E23" s="59">
        <v>6.1000000000000004E-3</v>
      </c>
      <c r="F23" s="201"/>
      <c r="G23" s="193"/>
      <c r="H23" s="193"/>
      <c r="I23" s="193"/>
      <c r="J23" s="200"/>
    </row>
    <row r="24" spans="2:10" x14ac:dyDescent="0.2">
      <c r="B24" s="199"/>
      <c r="C24" s="418" t="s">
        <v>324</v>
      </c>
      <c r="D24" s="419"/>
      <c r="E24" s="60">
        <f>E23</f>
        <v>6.1000000000000004E-3</v>
      </c>
      <c r="F24" s="201"/>
      <c r="G24" s="193"/>
      <c r="H24" s="193"/>
      <c r="I24" s="193"/>
      <c r="J24" s="200"/>
    </row>
    <row r="25" spans="2:10" x14ac:dyDescent="0.2">
      <c r="B25" s="199"/>
      <c r="C25" s="55" t="s">
        <v>325</v>
      </c>
      <c r="D25" s="40"/>
      <c r="E25" s="59"/>
      <c r="F25" s="201"/>
      <c r="G25" s="193"/>
      <c r="H25" s="193"/>
      <c r="I25" s="193"/>
      <c r="J25" s="200"/>
    </row>
    <row r="26" spans="2:10" x14ac:dyDescent="0.2">
      <c r="B26" s="199"/>
      <c r="C26" s="40" t="s">
        <v>326</v>
      </c>
      <c r="D26" s="40"/>
      <c r="E26" s="59">
        <v>5.0000000000000001E-3</v>
      </c>
      <c r="F26" s="201"/>
      <c r="G26" s="193"/>
      <c r="H26" s="193"/>
      <c r="I26" s="193"/>
      <c r="J26" s="200"/>
    </row>
    <row r="27" spans="2:10" x14ac:dyDescent="0.2">
      <c r="B27" s="199"/>
      <c r="C27" s="435" t="s">
        <v>327</v>
      </c>
      <c r="D27" s="436"/>
      <c r="E27" s="59">
        <v>5.0000000000000001E-3</v>
      </c>
      <c r="F27" s="201"/>
      <c r="G27" s="193"/>
      <c r="H27" s="193"/>
      <c r="I27" s="193"/>
      <c r="J27" s="200"/>
    </row>
    <row r="28" spans="2:10" x14ac:dyDescent="0.2">
      <c r="B28" s="199"/>
      <c r="C28" s="418" t="s">
        <v>328</v>
      </c>
      <c r="D28" s="419"/>
      <c r="E28" s="60">
        <f>SUM(E26:E27)</f>
        <v>0.01</v>
      </c>
      <c r="F28" s="201"/>
      <c r="G28" s="193"/>
      <c r="H28" s="193"/>
      <c r="I28" s="193"/>
      <c r="J28" s="200"/>
    </row>
    <row r="29" spans="2:10" x14ac:dyDescent="0.2">
      <c r="B29" s="199"/>
      <c r="C29" s="55" t="s">
        <v>329</v>
      </c>
      <c r="D29" s="40"/>
      <c r="E29" s="59"/>
      <c r="F29" s="201"/>
      <c r="G29" s="193"/>
      <c r="H29" s="193"/>
      <c r="I29" s="193"/>
      <c r="J29" s="200"/>
    </row>
    <row r="30" spans="2:10" x14ac:dyDescent="0.2">
      <c r="B30" s="199"/>
      <c r="C30" s="435" t="s">
        <v>330</v>
      </c>
      <c r="D30" s="436"/>
      <c r="E30" s="57">
        <v>0.08</v>
      </c>
      <c r="F30" s="201"/>
      <c r="G30" s="193"/>
      <c r="H30" s="193"/>
      <c r="I30" s="193"/>
      <c r="J30" s="200"/>
    </row>
    <row r="31" spans="2:10" x14ac:dyDescent="0.2">
      <c r="B31" s="199"/>
      <c r="C31" s="418" t="s">
        <v>331</v>
      </c>
      <c r="D31" s="419"/>
      <c r="E31" s="60">
        <f>E30</f>
        <v>0.08</v>
      </c>
      <c r="F31" s="201"/>
      <c r="G31" s="193"/>
      <c r="H31" s="193"/>
      <c r="I31" s="193"/>
      <c r="J31" s="200"/>
    </row>
    <row r="32" spans="2:10" x14ac:dyDescent="0.2">
      <c r="B32" s="199"/>
      <c r="C32" s="202"/>
      <c r="D32" s="202"/>
      <c r="E32" s="203"/>
      <c r="F32" s="193"/>
      <c r="G32" s="193"/>
      <c r="H32" s="193"/>
      <c r="I32" s="193"/>
      <c r="J32" s="200"/>
    </row>
    <row r="33" spans="2:15" ht="18.75" customHeight="1" x14ac:dyDescent="0.2">
      <c r="B33" s="199"/>
      <c r="C33" s="420" t="s">
        <v>332</v>
      </c>
      <c r="D33" s="421"/>
      <c r="E33" s="60">
        <f>(((1+E24)*(1+E11+E14+E28)*(1+E31)/(1-E21))-1)</f>
        <v>0.31960670738916264</v>
      </c>
      <c r="F33" s="204"/>
      <c r="G33" s="204"/>
      <c r="H33" s="193"/>
      <c r="I33" s="193"/>
      <c r="J33" s="200"/>
    </row>
    <row r="34" spans="2:15" ht="17.25" customHeight="1" x14ac:dyDescent="0.2">
      <c r="B34" s="199"/>
      <c r="C34" s="193"/>
      <c r="D34" s="193"/>
      <c r="E34" s="193"/>
      <c r="F34" s="193"/>
      <c r="G34" s="193"/>
      <c r="H34" s="193"/>
      <c r="I34" s="193"/>
      <c r="J34" s="200"/>
    </row>
    <row r="35" spans="2:15" x14ac:dyDescent="0.2">
      <c r="B35" s="205" t="s">
        <v>333</v>
      </c>
      <c r="C35" s="43"/>
      <c r="D35" s="43"/>
      <c r="E35" s="43"/>
      <c r="F35" s="61"/>
      <c r="G35" s="62"/>
      <c r="H35" s="62"/>
      <c r="I35" s="194"/>
      <c r="J35" s="206"/>
    </row>
    <row r="36" spans="2:15" x14ac:dyDescent="0.2">
      <c r="B36" s="207"/>
      <c r="C36" s="43"/>
      <c r="D36" s="43"/>
      <c r="E36" s="43"/>
      <c r="F36" s="61"/>
      <c r="G36" s="62"/>
      <c r="H36" s="62"/>
      <c r="I36" s="194"/>
      <c r="J36" s="206"/>
    </row>
    <row r="37" spans="2:15" x14ac:dyDescent="0.2">
      <c r="B37" s="208" t="s">
        <v>334</v>
      </c>
      <c r="C37" s="46" t="s">
        <v>335</v>
      </c>
      <c r="D37" s="43"/>
      <c r="E37" s="43"/>
      <c r="F37" s="61"/>
      <c r="G37" s="62"/>
      <c r="H37" s="62"/>
      <c r="I37" s="194"/>
      <c r="J37" s="206"/>
    </row>
    <row r="38" spans="2:15" x14ac:dyDescent="0.2">
      <c r="B38" s="207"/>
      <c r="C38" s="46" t="s">
        <v>336</v>
      </c>
      <c r="D38" s="43"/>
      <c r="E38" s="43"/>
      <c r="F38" s="61"/>
      <c r="G38" s="62"/>
      <c r="H38" s="62"/>
      <c r="I38" s="194"/>
      <c r="J38" s="206"/>
    </row>
    <row r="39" spans="2:15" x14ac:dyDescent="0.2">
      <c r="B39" s="207"/>
      <c r="C39" s="422" t="s">
        <v>337</v>
      </c>
      <c r="D39" s="422"/>
      <c r="E39" s="422"/>
      <c r="F39" s="422"/>
      <c r="G39" s="62"/>
      <c r="H39" s="62"/>
      <c r="I39" s="194"/>
      <c r="J39" s="206"/>
    </row>
    <row r="40" spans="2:15" x14ac:dyDescent="0.2">
      <c r="B40" s="207"/>
      <c r="C40" s="422" t="s">
        <v>338</v>
      </c>
      <c r="D40" s="422"/>
      <c r="E40" s="422"/>
      <c r="F40" s="422"/>
      <c r="G40" s="62"/>
      <c r="H40" s="62"/>
      <c r="I40" s="194"/>
      <c r="J40" s="206"/>
      <c r="L40" s="46"/>
      <c r="M40" s="43"/>
      <c r="N40" s="43"/>
      <c r="O40" s="61"/>
    </row>
    <row r="41" spans="2:15" ht="21" customHeight="1" x14ac:dyDescent="0.2">
      <c r="B41" s="207"/>
      <c r="C41" s="209" t="s">
        <v>339</v>
      </c>
      <c r="D41" s="43"/>
      <c r="E41" s="43"/>
      <c r="F41" s="61"/>
      <c r="G41" s="62"/>
      <c r="H41" s="62"/>
      <c r="I41" s="194"/>
      <c r="J41" s="206"/>
      <c r="L41" s="422"/>
      <c r="M41" s="422"/>
      <c r="N41" s="422"/>
      <c r="O41" s="422"/>
    </row>
    <row r="42" spans="2:15" x14ac:dyDescent="0.2">
      <c r="B42" s="207"/>
      <c r="C42" s="46" t="s">
        <v>340</v>
      </c>
      <c r="D42" s="43"/>
      <c r="E42" s="43"/>
      <c r="F42" s="61"/>
      <c r="G42" s="62"/>
      <c r="H42" s="62"/>
      <c r="I42" s="194"/>
      <c r="J42" s="206"/>
      <c r="L42" s="422"/>
      <c r="M42" s="422"/>
      <c r="N42" s="422"/>
      <c r="O42" s="422"/>
    </row>
    <row r="43" spans="2:15" x14ac:dyDescent="0.2">
      <c r="B43" s="207"/>
      <c r="C43" s="46" t="s">
        <v>341</v>
      </c>
      <c r="D43" s="43"/>
      <c r="E43" s="43"/>
      <c r="F43" s="61"/>
      <c r="G43" s="62"/>
      <c r="H43" s="62"/>
      <c r="I43" s="194"/>
      <c r="J43" s="206"/>
      <c r="L43" s="46"/>
      <c r="M43" s="43"/>
      <c r="N43" s="43"/>
      <c r="O43" s="61"/>
    </row>
    <row r="44" spans="2:15" x14ac:dyDescent="0.2">
      <c r="B44" s="207"/>
      <c r="C44" s="46" t="s">
        <v>342</v>
      </c>
      <c r="D44" s="43"/>
      <c r="E44" s="43"/>
      <c r="F44" s="61"/>
      <c r="G44" s="62"/>
      <c r="H44" s="62"/>
      <c r="I44" s="194"/>
      <c r="J44" s="206"/>
      <c r="L44" s="46"/>
      <c r="M44" s="43"/>
      <c r="N44" s="43"/>
      <c r="O44" s="61"/>
    </row>
    <row r="45" spans="2:15" x14ac:dyDescent="0.2">
      <c r="B45" s="207"/>
      <c r="C45" s="46" t="s">
        <v>343</v>
      </c>
      <c r="D45" s="43"/>
      <c r="E45" s="43"/>
      <c r="F45" s="61"/>
      <c r="G45" s="62"/>
      <c r="H45" s="62"/>
      <c r="I45" s="194"/>
      <c r="J45" s="206"/>
      <c r="L45" s="46"/>
      <c r="M45" s="43"/>
      <c r="N45" s="43"/>
      <c r="O45" s="61"/>
    </row>
    <row r="46" spans="2:15" ht="56.25" customHeight="1" x14ac:dyDescent="0.2">
      <c r="B46" s="207"/>
      <c r="C46" s="46" t="s">
        <v>344</v>
      </c>
      <c r="D46" s="37"/>
      <c r="E46" s="43"/>
      <c r="F46" s="61"/>
      <c r="G46" s="62"/>
      <c r="H46" s="62"/>
      <c r="I46" s="194"/>
      <c r="J46" s="206"/>
      <c r="L46" s="46"/>
      <c r="M46" s="43"/>
      <c r="N46" s="43"/>
      <c r="O46" s="61"/>
    </row>
    <row r="47" spans="2:15" ht="56.25" customHeight="1" x14ac:dyDescent="0.2">
      <c r="B47" s="425" t="s">
        <v>345</v>
      </c>
      <c r="C47" s="426"/>
      <c r="D47" s="426"/>
      <c r="E47" s="426"/>
      <c r="F47" s="426"/>
      <c r="G47" s="426"/>
      <c r="H47" s="426"/>
      <c r="I47" s="426"/>
      <c r="J47" s="427"/>
      <c r="L47" s="46"/>
      <c r="M47" s="43"/>
      <c r="N47" s="43"/>
      <c r="O47" s="61"/>
    </row>
    <row r="48" spans="2:15" ht="74.25" customHeight="1" x14ac:dyDescent="0.2">
      <c r="B48" s="428" t="s">
        <v>346</v>
      </c>
      <c r="C48" s="429"/>
      <c r="D48" s="429"/>
      <c r="E48" s="429"/>
      <c r="F48" s="429"/>
      <c r="G48" s="429"/>
      <c r="H48" s="429"/>
      <c r="I48" s="429"/>
      <c r="J48" s="430"/>
      <c r="L48" s="46"/>
      <c r="M48" s="43"/>
      <c r="N48" s="43"/>
      <c r="O48" s="61"/>
    </row>
    <row r="49" spans="2:15" ht="75" customHeight="1" x14ac:dyDescent="0.2">
      <c r="B49" s="431" t="s">
        <v>347</v>
      </c>
      <c r="C49" s="432"/>
      <c r="D49" s="432"/>
      <c r="E49" s="432"/>
      <c r="F49" s="432"/>
      <c r="G49" s="432"/>
      <c r="H49" s="432"/>
      <c r="I49" s="432"/>
      <c r="J49" s="433"/>
      <c r="L49" s="46"/>
      <c r="M49" s="43"/>
      <c r="N49" s="43"/>
      <c r="O49" s="61"/>
    </row>
    <row r="50" spans="2:15" ht="51" customHeight="1" x14ac:dyDescent="0.2">
      <c r="B50" s="47" t="s">
        <v>348</v>
      </c>
      <c r="C50" s="423" t="s">
        <v>349</v>
      </c>
      <c r="D50" s="423"/>
      <c r="E50" s="423"/>
      <c r="F50" s="423"/>
      <c r="G50" s="64"/>
      <c r="H50" s="64"/>
      <c r="I50" s="65"/>
      <c r="L50" s="46"/>
      <c r="M50" s="43"/>
      <c r="N50" s="43"/>
      <c r="O50" s="61"/>
    </row>
    <row r="51" spans="2:15" x14ac:dyDescent="0.2">
      <c r="B51" s="45"/>
      <c r="C51" s="43"/>
      <c r="D51" s="37"/>
      <c r="E51" s="43"/>
      <c r="F51" s="61"/>
      <c r="G51" s="62"/>
      <c r="H51" s="62"/>
      <c r="I51" s="63"/>
    </row>
    <row r="52" spans="2:15" x14ac:dyDescent="0.2">
      <c r="B52" s="44"/>
      <c r="C52" s="415" t="s">
        <v>350</v>
      </c>
      <c r="D52" s="415"/>
      <c r="E52" s="415"/>
      <c r="F52" s="415"/>
      <c r="G52" s="66"/>
      <c r="H52" s="66"/>
      <c r="I52" s="67"/>
    </row>
    <row r="53" spans="2:15" ht="51" customHeight="1" x14ac:dyDescent="0.2">
      <c r="B53" s="44"/>
      <c r="C53" s="416" t="s">
        <v>351</v>
      </c>
      <c r="D53" s="416"/>
      <c r="E53" s="416"/>
      <c r="F53" s="416"/>
      <c r="G53" s="416"/>
      <c r="H53" s="416"/>
      <c r="I53" s="417"/>
    </row>
    <row r="54" spans="2:15" x14ac:dyDescent="0.2">
      <c r="B54" s="44"/>
      <c r="C54" s="48"/>
      <c r="D54" s="48"/>
      <c r="E54" s="48"/>
      <c r="F54" s="48"/>
      <c r="G54" s="48"/>
      <c r="H54" s="48"/>
      <c r="I54" s="49"/>
    </row>
    <row r="55" spans="2:15" ht="13.5" thickBot="1" x14ac:dyDescent="0.25">
      <c r="B55" s="50"/>
      <c r="C55" s="51"/>
      <c r="D55" s="51"/>
      <c r="E55" s="51"/>
      <c r="F55" s="51"/>
      <c r="G55" s="51"/>
      <c r="H55" s="51"/>
      <c r="I55" s="52"/>
    </row>
    <row r="56" spans="2:15" x14ac:dyDescent="0.2">
      <c r="B56" s="44"/>
      <c r="C56" s="48"/>
      <c r="D56" s="48"/>
      <c r="E56" s="48"/>
      <c r="F56" s="48"/>
      <c r="G56" s="48"/>
      <c r="H56" s="48"/>
      <c r="I56" s="49"/>
    </row>
    <row r="57" spans="2:15" x14ac:dyDescent="0.2">
      <c r="B57" s="53"/>
      <c r="C57" s="424" t="s">
        <v>352</v>
      </c>
      <c r="D57" s="424"/>
      <c r="E57" s="424"/>
      <c r="F57" s="424"/>
      <c r="G57" s="66"/>
      <c r="H57" s="66"/>
      <c r="I57" s="67"/>
    </row>
    <row r="58" spans="2:15" ht="113.25" customHeight="1" x14ac:dyDescent="0.2">
      <c r="B58" s="53"/>
      <c r="C58" s="416" t="s">
        <v>353</v>
      </c>
      <c r="D58" s="416"/>
      <c r="E58" s="416"/>
      <c r="F58" s="416"/>
      <c r="G58" s="416"/>
      <c r="H58" s="416"/>
      <c r="I58" s="417"/>
    </row>
    <row r="59" spans="2:15" ht="14.25" customHeight="1" x14ac:dyDescent="0.2">
      <c r="B59" s="45"/>
      <c r="C59" s="415" t="s">
        <v>354</v>
      </c>
      <c r="D59" s="415"/>
      <c r="E59" s="415"/>
      <c r="F59" s="415"/>
      <c r="G59" s="66"/>
      <c r="H59" s="66"/>
      <c r="I59" s="67"/>
    </row>
    <row r="60" spans="2:15" ht="96.75" customHeight="1" x14ac:dyDescent="0.2">
      <c r="B60" s="45"/>
      <c r="C60" s="416" t="s">
        <v>355</v>
      </c>
      <c r="D60" s="416"/>
      <c r="E60" s="416"/>
      <c r="F60" s="416"/>
      <c r="G60" s="416"/>
      <c r="H60" s="416"/>
      <c r="I60" s="417"/>
    </row>
    <row r="61" spans="2:15" x14ac:dyDescent="0.2">
      <c r="B61" s="45"/>
      <c r="C61" s="48"/>
      <c r="D61" s="48"/>
      <c r="E61" s="48"/>
      <c r="F61" s="48"/>
      <c r="G61" s="48"/>
      <c r="H61" s="48"/>
      <c r="I61" s="49"/>
    </row>
    <row r="62" spans="2:15" ht="15" customHeight="1" x14ac:dyDescent="0.2">
      <c r="B62" s="45"/>
      <c r="C62" s="415" t="s">
        <v>356</v>
      </c>
      <c r="D62" s="415"/>
      <c r="E62" s="415"/>
      <c r="F62" s="415"/>
      <c r="G62" s="66"/>
      <c r="H62" s="66"/>
      <c r="I62" s="67"/>
    </row>
    <row r="63" spans="2:15" ht="45.75" customHeight="1" x14ac:dyDescent="0.2">
      <c r="B63" s="45"/>
      <c r="C63" s="416" t="s">
        <v>357</v>
      </c>
      <c r="D63" s="416"/>
      <c r="E63" s="416"/>
      <c r="F63" s="416"/>
      <c r="G63" s="416"/>
      <c r="H63" s="416"/>
      <c r="I63" s="417"/>
    </row>
    <row r="64" spans="2:15" x14ac:dyDescent="0.2">
      <c r="B64" s="45"/>
      <c r="C64" s="415" t="s">
        <v>358</v>
      </c>
      <c r="D64" s="415"/>
      <c r="E64" s="415"/>
      <c r="F64" s="415"/>
      <c r="G64" s="66"/>
      <c r="H64" s="66"/>
      <c r="I64" s="67"/>
    </row>
    <row r="65" spans="2:9" ht="60" customHeight="1" x14ac:dyDescent="0.2">
      <c r="B65" s="45"/>
      <c r="C65" s="411" t="s">
        <v>359</v>
      </c>
      <c r="D65" s="411"/>
      <c r="E65" s="411"/>
      <c r="F65" s="411"/>
      <c r="G65" s="411"/>
      <c r="H65" s="411"/>
      <c r="I65" s="412"/>
    </row>
    <row r="66" spans="2:9" ht="41.25" customHeight="1" x14ac:dyDescent="0.2">
      <c r="B66" s="45"/>
      <c r="C66" s="411" t="s">
        <v>360</v>
      </c>
      <c r="D66" s="411"/>
      <c r="E66" s="411"/>
      <c r="F66" s="411"/>
      <c r="G66" s="411"/>
      <c r="H66" s="411"/>
      <c r="I66" s="412"/>
    </row>
    <row r="67" spans="2:9" ht="37.5" customHeight="1" x14ac:dyDescent="0.2">
      <c r="B67" s="45"/>
      <c r="C67" s="411" t="s">
        <v>361</v>
      </c>
      <c r="D67" s="411"/>
      <c r="E67" s="411"/>
      <c r="F67" s="411"/>
      <c r="G67" s="411"/>
      <c r="H67" s="411"/>
      <c r="I67" s="412"/>
    </row>
    <row r="68" spans="2:9" ht="37.5" customHeight="1" x14ac:dyDescent="0.2">
      <c r="B68" s="45"/>
      <c r="C68" s="411" t="s">
        <v>362</v>
      </c>
      <c r="D68" s="411"/>
      <c r="E68" s="411"/>
      <c r="F68" s="411"/>
      <c r="G68" s="411"/>
      <c r="H68" s="411"/>
      <c r="I68" s="412"/>
    </row>
    <row r="69" spans="2:9" ht="13.5" thickBot="1" x14ac:dyDescent="0.25">
      <c r="B69" s="54"/>
      <c r="C69" s="413"/>
      <c r="D69" s="413"/>
      <c r="E69" s="413"/>
      <c r="F69" s="413"/>
      <c r="G69" s="413"/>
      <c r="H69" s="413"/>
      <c r="I69" s="414"/>
    </row>
  </sheetData>
  <mergeCells count="43">
    <mergeCell ref="C6:H6"/>
    <mergeCell ref="L41:O41"/>
    <mergeCell ref="L42:O42"/>
    <mergeCell ref="C20:D20"/>
    <mergeCell ref="C11:D11"/>
    <mergeCell ref="C16:D16"/>
    <mergeCell ref="C17:D17"/>
    <mergeCell ref="C18:D18"/>
    <mergeCell ref="C19:D19"/>
    <mergeCell ref="C14:D14"/>
    <mergeCell ref="C21:D21"/>
    <mergeCell ref="C24:D24"/>
    <mergeCell ref="C27:D27"/>
    <mergeCell ref="C28:D28"/>
    <mergeCell ref="C30:D30"/>
    <mergeCell ref="C2:J2"/>
    <mergeCell ref="C3:E3"/>
    <mergeCell ref="C4:E4"/>
    <mergeCell ref="H4:J4"/>
    <mergeCell ref="C5:E5"/>
    <mergeCell ref="H5:I5"/>
    <mergeCell ref="C60:I60"/>
    <mergeCell ref="C31:D31"/>
    <mergeCell ref="C33:D33"/>
    <mergeCell ref="C39:F39"/>
    <mergeCell ref="C40:F40"/>
    <mergeCell ref="C50:F50"/>
    <mergeCell ref="C52:F52"/>
    <mergeCell ref="C53:I53"/>
    <mergeCell ref="C57:F57"/>
    <mergeCell ref="C58:I58"/>
    <mergeCell ref="C59:F59"/>
    <mergeCell ref="B47:J47"/>
    <mergeCell ref="B48:J48"/>
    <mergeCell ref="B49:J49"/>
    <mergeCell ref="C68:I68"/>
    <mergeCell ref="C69:I69"/>
    <mergeCell ref="C62:F62"/>
    <mergeCell ref="C63:I63"/>
    <mergeCell ref="C64:F64"/>
    <mergeCell ref="C65:I65"/>
    <mergeCell ref="C66:I66"/>
    <mergeCell ref="C67:I67"/>
  </mergeCells>
  <pageMargins left="0.511811024" right="0.511811024" top="0.78740157499999996" bottom="0.78740157499999996" header="0.31496062000000002" footer="0.31496062000000002"/>
  <pageSetup paperSize="9" scale="75"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view="pageBreakPreview" zoomScaleNormal="100" zoomScaleSheetLayoutView="100" workbookViewId="0">
      <selection activeCell="H23" sqref="H23"/>
    </sheetView>
  </sheetViews>
  <sheetFormatPr defaultColWidth="9.140625" defaultRowHeight="12.75" x14ac:dyDescent="0.2"/>
  <cols>
    <col min="1" max="1" width="9.140625" style="13"/>
    <col min="2" max="2" width="10.7109375" style="21" customWidth="1"/>
    <col min="3" max="3" width="73.5703125" style="39" customWidth="1"/>
    <col min="4" max="4" width="12.7109375" style="39" customWidth="1"/>
    <col min="5" max="5" width="13.140625" style="21" customWidth="1"/>
    <col min="6" max="16384" width="9.140625" style="13"/>
  </cols>
  <sheetData>
    <row r="2" spans="2:10" s="38" customFormat="1" ht="21.75" customHeight="1" x14ac:dyDescent="0.2">
      <c r="B2" s="444"/>
      <c r="C2" s="441" t="s">
        <v>0</v>
      </c>
      <c r="D2" s="442"/>
      <c r="E2" s="443"/>
      <c r="F2" s="13"/>
      <c r="G2" s="13"/>
      <c r="H2" s="13"/>
      <c r="I2" s="13"/>
      <c r="J2" s="13"/>
    </row>
    <row r="3" spans="2:10" s="38" customFormat="1" ht="30" customHeight="1" x14ac:dyDescent="0.2">
      <c r="B3" s="445"/>
      <c r="C3" s="441" t="s">
        <v>363</v>
      </c>
      <c r="D3" s="442"/>
      <c r="E3" s="443"/>
      <c r="F3" s="13"/>
      <c r="G3" s="13"/>
      <c r="H3" s="13"/>
      <c r="I3" s="13"/>
      <c r="J3" s="13"/>
    </row>
    <row r="4" spans="2:10" s="38" customFormat="1" ht="27" customHeight="1" x14ac:dyDescent="0.2">
      <c r="B4" s="445"/>
      <c r="C4" s="441" t="s">
        <v>2</v>
      </c>
      <c r="D4" s="442"/>
      <c r="E4" s="443"/>
      <c r="F4" s="13"/>
      <c r="G4" s="13"/>
      <c r="H4" s="13"/>
      <c r="I4" s="13"/>
      <c r="J4" s="13"/>
    </row>
    <row r="5" spans="2:10" s="38" customFormat="1" ht="20.100000000000001" customHeight="1" x14ac:dyDescent="0.2">
      <c r="B5" s="446"/>
      <c r="C5" s="441" t="s">
        <v>5</v>
      </c>
      <c r="D5" s="442"/>
      <c r="E5" s="443"/>
      <c r="F5" s="13"/>
      <c r="G5" s="13"/>
      <c r="H5" s="13"/>
      <c r="I5" s="13"/>
      <c r="J5" s="13"/>
    </row>
    <row r="6" spans="2:10" s="38" customFormat="1" ht="9" customHeight="1" x14ac:dyDescent="0.2">
      <c r="B6" s="447"/>
      <c r="C6" s="447"/>
      <c r="D6" s="447"/>
      <c r="E6" s="447"/>
      <c r="F6" s="13"/>
      <c r="G6" s="13"/>
      <c r="H6" s="13"/>
      <c r="I6" s="13"/>
      <c r="J6" s="13"/>
    </row>
    <row r="7" spans="2:10" ht="15" customHeight="1" x14ac:dyDescent="0.2">
      <c r="B7" s="437" t="s">
        <v>364</v>
      </c>
      <c r="C7" s="437"/>
      <c r="D7" s="437"/>
      <c r="E7" s="175" t="s">
        <v>365</v>
      </c>
    </row>
    <row r="8" spans="2:10" x14ac:dyDescent="0.2">
      <c r="B8" s="175" t="s">
        <v>366</v>
      </c>
      <c r="C8" s="176" t="s">
        <v>367</v>
      </c>
      <c r="D8" s="176"/>
      <c r="E8" s="177">
        <v>0.2</v>
      </c>
    </row>
    <row r="9" spans="2:10" x14ac:dyDescent="0.2">
      <c r="B9" s="175" t="s">
        <v>368</v>
      </c>
      <c r="C9" s="176" t="s">
        <v>369</v>
      </c>
      <c r="D9" s="176"/>
      <c r="E9" s="177">
        <v>0.08</v>
      </c>
    </row>
    <row r="10" spans="2:10" x14ac:dyDescent="0.2">
      <c r="B10" s="175" t="s">
        <v>370</v>
      </c>
      <c r="C10" s="176" t="s">
        <v>371</v>
      </c>
      <c r="D10" s="176"/>
      <c r="E10" s="177">
        <v>1.7999999999999999E-2</v>
      </c>
    </row>
    <row r="11" spans="2:10" x14ac:dyDescent="0.2">
      <c r="B11" s="175" t="s">
        <v>372</v>
      </c>
      <c r="C11" s="176" t="s">
        <v>373</v>
      </c>
      <c r="D11" s="176"/>
      <c r="E11" s="177">
        <v>1.2999999999999999E-2</v>
      </c>
    </row>
    <row r="12" spans="2:10" x14ac:dyDescent="0.2">
      <c r="B12" s="175" t="s">
        <v>374</v>
      </c>
      <c r="C12" s="176" t="s">
        <v>375</v>
      </c>
      <c r="D12" s="176"/>
      <c r="E12" s="177" t="s">
        <v>376</v>
      </c>
    </row>
    <row r="13" spans="2:10" x14ac:dyDescent="0.2">
      <c r="B13" s="175" t="s">
        <v>377</v>
      </c>
      <c r="C13" s="176" t="s">
        <v>378</v>
      </c>
      <c r="D13" s="176"/>
      <c r="E13" s="177">
        <v>2E-3</v>
      </c>
    </row>
    <row r="14" spans="2:10" x14ac:dyDescent="0.2">
      <c r="B14" s="175" t="s">
        <v>379</v>
      </c>
      <c r="C14" s="176" t="s">
        <v>380</v>
      </c>
      <c r="D14" s="176"/>
      <c r="E14" s="177">
        <v>2.5000000000000001E-2</v>
      </c>
    </row>
    <row r="15" spans="2:10" x14ac:dyDescent="0.2">
      <c r="B15" s="175" t="s">
        <v>381</v>
      </c>
      <c r="C15" s="176" t="s">
        <v>382</v>
      </c>
      <c r="D15" s="176"/>
      <c r="E15" s="177">
        <v>0.03</v>
      </c>
    </row>
    <row r="16" spans="2:10" x14ac:dyDescent="0.2">
      <c r="B16" s="175" t="s">
        <v>383</v>
      </c>
      <c r="C16" s="176" t="s">
        <v>384</v>
      </c>
      <c r="D16" s="176"/>
      <c r="E16" s="177">
        <v>0.01</v>
      </c>
    </row>
    <row r="17" spans="2:5" ht="15" customHeight="1" x14ac:dyDescent="0.2">
      <c r="B17" s="437" t="s">
        <v>385</v>
      </c>
      <c r="C17" s="437"/>
      <c r="D17" s="437"/>
      <c r="E17" s="178">
        <f>SUM(E8:E16)</f>
        <v>0.37800000000000011</v>
      </c>
    </row>
    <row r="18" spans="2:5" x14ac:dyDescent="0.2">
      <c r="B18" s="448" t="s">
        <v>386</v>
      </c>
      <c r="C18" s="448"/>
      <c r="D18" s="179"/>
      <c r="E18" s="180" t="s">
        <v>365</v>
      </c>
    </row>
    <row r="19" spans="2:5" x14ac:dyDescent="0.2">
      <c r="B19" s="175" t="s">
        <v>387</v>
      </c>
      <c r="C19" s="176" t="s">
        <v>388</v>
      </c>
      <c r="D19" s="176"/>
      <c r="E19" s="177">
        <v>0.17519999999999999</v>
      </c>
    </row>
    <row r="20" spans="2:5" x14ac:dyDescent="0.2">
      <c r="B20" s="175" t="s">
        <v>389</v>
      </c>
      <c r="C20" s="176" t="s">
        <v>390</v>
      </c>
      <c r="D20" s="176"/>
      <c r="E20" s="177">
        <v>3.9100000000000003E-2</v>
      </c>
    </row>
    <row r="21" spans="2:5" x14ac:dyDescent="0.2">
      <c r="B21" s="175" t="s">
        <v>391</v>
      </c>
      <c r="C21" s="176" t="s">
        <v>392</v>
      </c>
      <c r="D21" s="176"/>
      <c r="E21" s="177">
        <v>7.6E-3</v>
      </c>
    </row>
    <row r="22" spans="2:5" x14ac:dyDescent="0.2">
      <c r="B22" s="175" t="s">
        <v>393</v>
      </c>
      <c r="C22" s="176" t="s">
        <v>394</v>
      </c>
      <c r="D22" s="176"/>
      <c r="E22" s="177">
        <v>1.1000000000000001E-3</v>
      </c>
    </row>
    <row r="23" spans="2:5" x14ac:dyDescent="0.2">
      <c r="B23" s="175" t="s">
        <v>395</v>
      </c>
      <c r="C23" s="176" t="s">
        <v>396</v>
      </c>
      <c r="D23" s="176"/>
      <c r="E23" s="177">
        <v>6.7000000000000002E-3</v>
      </c>
    </row>
    <row r="24" spans="2:5" x14ac:dyDescent="0.2">
      <c r="B24" s="175" t="s">
        <v>397</v>
      </c>
      <c r="C24" s="176" t="s">
        <v>398</v>
      </c>
      <c r="D24" s="176"/>
      <c r="E24" s="177">
        <v>0.1011</v>
      </c>
    </row>
    <row r="25" spans="2:5" x14ac:dyDescent="0.2">
      <c r="B25" s="175" t="s">
        <v>399</v>
      </c>
      <c r="C25" s="176" t="s">
        <v>400</v>
      </c>
      <c r="D25" s="176"/>
      <c r="E25" s="177">
        <v>3.3999999999999998E-3</v>
      </c>
    </row>
    <row r="26" spans="2:5" x14ac:dyDescent="0.2">
      <c r="B26" s="175" t="s">
        <v>401</v>
      </c>
      <c r="C26" s="176" t="s">
        <v>402</v>
      </c>
      <c r="D26" s="176"/>
      <c r="E26" s="181" t="s">
        <v>376</v>
      </c>
    </row>
    <row r="27" spans="2:5" x14ac:dyDescent="0.2">
      <c r="B27" s="175" t="s">
        <v>403</v>
      </c>
      <c r="C27" s="176" t="s">
        <v>404</v>
      </c>
      <c r="D27" s="176"/>
      <c r="E27" s="181" t="s">
        <v>376</v>
      </c>
    </row>
    <row r="28" spans="2:5" x14ac:dyDescent="0.2">
      <c r="B28" s="175" t="s">
        <v>405</v>
      </c>
      <c r="C28" s="176" t="s">
        <v>406</v>
      </c>
      <c r="D28" s="176"/>
      <c r="E28" s="181" t="s">
        <v>376</v>
      </c>
    </row>
    <row r="29" spans="2:5" x14ac:dyDescent="0.2">
      <c r="B29" s="175" t="s">
        <v>407</v>
      </c>
      <c r="C29" s="176" t="s">
        <v>408</v>
      </c>
      <c r="D29" s="176"/>
      <c r="E29" s="181" t="s">
        <v>376</v>
      </c>
    </row>
    <row r="30" spans="2:5" ht="15" customHeight="1" x14ac:dyDescent="0.2">
      <c r="B30" s="437" t="s">
        <v>409</v>
      </c>
      <c r="C30" s="437"/>
      <c r="D30" s="437"/>
      <c r="E30" s="182">
        <f>SUM(E19:E29)</f>
        <v>0.3342</v>
      </c>
    </row>
    <row r="31" spans="2:5" x14ac:dyDescent="0.2">
      <c r="B31" s="438" t="s">
        <v>410</v>
      </c>
      <c r="C31" s="438"/>
      <c r="D31" s="183"/>
      <c r="E31" s="180" t="s">
        <v>365</v>
      </c>
    </row>
    <row r="32" spans="2:5" x14ac:dyDescent="0.2">
      <c r="B32" s="175" t="s">
        <v>411</v>
      </c>
      <c r="C32" s="176" t="s">
        <v>412</v>
      </c>
      <c r="D32" s="176"/>
      <c r="E32" s="184">
        <v>5.3400000000000003E-2</v>
      </c>
    </row>
    <row r="33" spans="2:5" x14ac:dyDescent="0.2">
      <c r="B33" s="175" t="s">
        <v>413</v>
      </c>
      <c r="C33" s="176" t="s">
        <v>414</v>
      </c>
      <c r="D33" s="176"/>
      <c r="E33" s="184">
        <v>0.112</v>
      </c>
    </row>
    <row r="34" spans="2:5" x14ac:dyDescent="0.2">
      <c r="B34" s="175" t="s">
        <v>415</v>
      </c>
      <c r="C34" s="176" t="s">
        <v>416</v>
      </c>
      <c r="D34" s="176"/>
      <c r="E34" s="184">
        <v>0.1129</v>
      </c>
    </row>
    <row r="35" spans="2:5" x14ac:dyDescent="0.2">
      <c r="B35" s="175" t="s">
        <v>417</v>
      </c>
      <c r="C35" s="176" t="s">
        <v>418</v>
      </c>
      <c r="D35" s="176"/>
      <c r="E35" s="184">
        <v>8.9999999999999993E-3</v>
      </c>
    </row>
    <row r="36" spans="2:5" x14ac:dyDescent="0.2">
      <c r="B36" s="175" t="s">
        <v>419</v>
      </c>
      <c r="C36" s="176" t="s">
        <v>420</v>
      </c>
      <c r="D36" s="176"/>
      <c r="E36" s="184">
        <v>2.2599999999999999E-2</v>
      </c>
    </row>
    <row r="37" spans="2:5" x14ac:dyDescent="0.2">
      <c r="B37" s="175" t="s">
        <v>421</v>
      </c>
      <c r="C37" s="176" t="s">
        <v>422</v>
      </c>
      <c r="D37" s="176"/>
      <c r="E37" s="185" t="s">
        <v>376</v>
      </c>
    </row>
    <row r="38" spans="2:5" x14ac:dyDescent="0.2">
      <c r="B38" s="175" t="s">
        <v>423</v>
      </c>
      <c r="C38" s="176" t="s">
        <v>424</v>
      </c>
      <c r="D38" s="176"/>
      <c r="E38" s="185" t="s">
        <v>376</v>
      </c>
    </row>
    <row r="39" spans="2:5" ht="15" customHeight="1" x14ac:dyDescent="0.2">
      <c r="B39" s="437" t="s">
        <v>425</v>
      </c>
      <c r="C39" s="437"/>
      <c r="D39" s="437"/>
      <c r="E39" s="182">
        <f>SUM(E32:E38)</f>
        <v>0.30990000000000001</v>
      </c>
    </row>
    <row r="40" spans="2:5" x14ac:dyDescent="0.2">
      <c r="B40" s="439" t="s">
        <v>426</v>
      </c>
      <c r="C40" s="439"/>
      <c r="D40" s="186"/>
      <c r="E40" s="187" t="s">
        <v>365</v>
      </c>
    </row>
    <row r="41" spans="2:5" x14ac:dyDescent="0.2">
      <c r="B41" s="175" t="s">
        <v>427</v>
      </c>
      <c r="C41" s="176" t="s">
        <v>428</v>
      </c>
      <c r="D41" s="176"/>
      <c r="E41" s="177">
        <f>E17*E30</f>
        <v>0.12632760000000004</v>
      </c>
    </row>
    <row r="42" spans="2:5" ht="25.5" x14ac:dyDescent="0.2">
      <c r="B42" s="175" t="s">
        <v>429</v>
      </c>
      <c r="C42" s="188" t="s">
        <v>430</v>
      </c>
      <c r="D42" s="188"/>
      <c r="E42" s="181" t="s">
        <v>376</v>
      </c>
    </row>
    <row r="43" spans="2:5" ht="15" customHeight="1" x14ac:dyDescent="0.2">
      <c r="B43" s="437" t="s">
        <v>431</v>
      </c>
      <c r="C43" s="437"/>
      <c r="D43" s="437"/>
      <c r="E43" s="178">
        <f>SUM(E41:E42)</f>
        <v>0.12632760000000004</v>
      </c>
    </row>
    <row r="44" spans="2:5" x14ac:dyDescent="0.2">
      <c r="B44" s="440" t="s">
        <v>432</v>
      </c>
      <c r="C44" s="440"/>
      <c r="D44" s="189"/>
      <c r="E44" s="180" t="s">
        <v>365</v>
      </c>
    </row>
    <row r="45" spans="2:5" x14ac:dyDescent="0.2">
      <c r="B45" s="175" t="s">
        <v>433</v>
      </c>
      <c r="C45" s="176" t="s">
        <v>434</v>
      </c>
      <c r="D45" s="176"/>
      <c r="E45" s="184">
        <v>0.25750000000000001</v>
      </c>
    </row>
    <row r="46" spans="2:5" x14ac:dyDescent="0.2">
      <c r="B46" s="175" t="s">
        <v>435</v>
      </c>
      <c r="C46" s="176" t="s">
        <v>436</v>
      </c>
      <c r="D46" s="176"/>
      <c r="E46" s="184">
        <v>6.0299999999999999E-2</v>
      </c>
    </row>
    <row r="47" spans="2:5" ht="25.5" x14ac:dyDescent="0.2">
      <c r="B47" s="175" t="s">
        <v>437</v>
      </c>
      <c r="C47" s="188" t="s">
        <v>438</v>
      </c>
      <c r="D47" s="188"/>
      <c r="E47" s="184">
        <v>2.6700000000000002E-2</v>
      </c>
    </row>
    <row r="48" spans="2:5" x14ac:dyDescent="0.2">
      <c r="B48" s="175" t="s">
        <v>439</v>
      </c>
      <c r="C48" s="176" t="s">
        <v>440</v>
      </c>
      <c r="D48" s="176"/>
      <c r="E48" s="184">
        <v>7.9799999999999996E-2</v>
      </c>
    </row>
    <row r="49" spans="2:5" x14ac:dyDescent="0.2">
      <c r="B49" s="437" t="s">
        <v>441</v>
      </c>
      <c r="C49" s="437"/>
      <c r="D49" s="175"/>
      <c r="E49" s="178">
        <v>0.42430000000000001</v>
      </c>
    </row>
    <row r="50" spans="2:5" ht="15" customHeight="1" x14ac:dyDescent="0.2">
      <c r="B50" s="437" t="s">
        <v>442</v>
      </c>
      <c r="C50" s="437"/>
      <c r="D50" s="437"/>
      <c r="E50" s="178">
        <f>E49+E39+E30+E17+E43</f>
        <v>1.5727276000000001</v>
      </c>
    </row>
  </sheetData>
  <mergeCells count="17">
    <mergeCell ref="B30:D30"/>
    <mergeCell ref="B6:E6"/>
    <mergeCell ref="B7:D7"/>
    <mergeCell ref="B17:D17"/>
    <mergeCell ref="B18:C18"/>
    <mergeCell ref="C3:E3"/>
    <mergeCell ref="C4:E4"/>
    <mergeCell ref="C5:E5"/>
    <mergeCell ref="B2:B5"/>
    <mergeCell ref="C2:E2"/>
    <mergeCell ref="B50:D50"/>
    <mergeCell ref="B31:C31"/>
    <mergeCell ref="B39:D39"/>
    <mergeCell ref="B40:C40"/>
    <mergeCell ref="B43:D43"/>
    <mergeCell ref="B44:C44"/>
    <mergeCell ref="B49:C49"/>
  </mergeCells>
  <pageMargins left="0.511811024" right="0.511811024" top="0.78740157499999996" bottom="0.78740157499999996" header="0.31496062000000002" footer="0.31496062000000002"/>
  <pageSetup paperSize="9" scale="83" orientation="portrait" verticalDpi="300" r:id="rId1"/>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zoomScaleNormal="100" zoomScaleSheetLayoutView="100" workbookViewId="0">
      <selection activeCell="E19" sqref="E19"/>
    </sheetView>
  </sheetViews>
  <sheetFormatPr defaultRowHeight="15" x14ac:dyDescent="0.25"/>
  <cols>
    <col min="1" max="1" width="12.28515625" style="124" customWidth="1"/>
    <col min="2" max="2" width="10" style="124" bestFit="1" customWidth="1"/>
    <col min="3" max="3" width="9.140625" style="125"/>
    <col min="4" max="4" width="42.7109375" style="125" customWidth="1"/>
    <col min="5" max="5" width="20.7109375" style="125" customWidth="1"/>
    <col min="6" max="6" width="5" style="125" bestFit="1" customWidth="1"/>
    <col min="7" max="7" width="8.5703125" style="125" bestFit="1" customWidth="1"/>
    <col min="8" max="8" width="8.42578125" style="125" bestFit="1" customWidth="1"/>
    <col min="9" max="9" width="11" style="125" bestFit="1" customWidth="1"/>
  </cols>
  <sheetData>
    <row r="1" spans="1:9" x14ac:dyDescent="0.25">
      <c r="A1" s="450" t="s">
        <v>443</v>
      </c>
      <c r="B1" s="450"/>
      <c r="C1" s="450"/>
      <c r="D1" s="450"/>
      <c r="E1" s="450"/>
      <c r="F1" s="450"/>
      <c r="G1" s="450"/>
      <c r="H1" s="450"/>
      <c r="I1" s="451" t="s">
        <v>444</v>
      </c>
    </row>
    <row r="2" spans="1:9" x14ac:dyDescent="0.25">
      <c r="A2" s="450"/>
      <c r="B2" s="450"/>
      <c r="C2" s="450"/>
      <c r="D2" s="450"/>
      <c r="E2" s="450"/>
      <c r="F2" s="450"/>
      <c r="G2" s="450"/>
      <c r="H2" s="450"/>
      <c r="I2" s="451"/>
    </row>
    <row r="3" spans="1:9" x14ac:dyDescent="0.25">
      <c r="A3" s="450"/>
      <c r="B3" s="450"/>
      <c r="C3" s="450"/>
      <c r="D3" s="450"/>
      <c r="E3" s="450"/>
      <c r="F3" s="450"/>
      <c r="G3" s="450"/>
      <c r="H3" s="450"/>
      <c r="I3" s="92">
        <v>44652</v>
      </c>
    </row>
    <row r="4" spans="1:9" x14ac:dyDescent="0.25">
      <c r="A4" s="450"/>
      <c r="B4" s="450"/>
      <c r="C4" s="450"/>
      <c r="D4" s="450"/>
      <c r="E4" s="450"/>
      <c r="F4" s="450"/>
      <c r="G4" s="450"/>
      <c r="H4" s="450"/>
      <c r="I4" s="166" t="s">
        <v>73</v>
      </c>
    </row>
    <row r="5" spans="1:9" x14ac:dyDescent="0.25">
      <c r="A5" s="452" t="s">
        <v>445</v>
      </c>
      <c r="B5" s="452"/>
      <c r="C5" s="452"/>
      <c r="D5" s="452"/>
      <c r="E5" s="452"/>
      <c r="F5" s="452"/>
      <c r="G5" s="452"/>
      <c r="H5" s="452"/>
      <c r="I5" s="453" t="s">
        <v>446</v>
      </c>
    </row>
    <row r="6" spans="1:9" x14ac:dyDescent="0.25">
      <c r="A6" s="452"/>
      <c r="B6" s="452"/>
      <c r="C6" s="452"/>
      <c r="D6" s="452"/>
      <c r="E6" s="452"/>
      <c r="F6" s="452"/>
      <c r="G6" s="452"/>
      <c r="H6" s="452"/>
      <c r="I6" s="453"/>
    </row>
    <row r="7" spans="1:9" x14ac:dyDescent="0.25">
      <c r="A7" s="454" t="s">
        <v>447</v>
      </c>
      <c r="B7" s="454"/>
      <c r="C7" s="454"/>
      <c r="D7" s="454"/>
      <c r="E7" s="454"/>
      <c r="F7" s="454"/>
      <c r="G7" s="454"/>
      <c r="H7" s="454"/>
      <c r="I7" s="454"/>
    </row>
    <row r="8" spans="1:9" x14ac:dyDescent="0.25">
      <c r="A8" s="449" t="s">
        <v>448</v>
      </c>
      <c r="B8" s="449"/>
      <c r="C8" s="449"/>
      <c r="D8" s="449"/>
      <c r="E8" s="449"/>
      <c r="F8" s="449"/>
      <c r="G8" s="449"/>
      <c r="H8" s="449"/>
      <c r="I8" s="449"/>
    </row>
    <row r="9" spans="1:9" x14ac:dyDescent="0.25">
      <c r="A9" s="93" t="s">
        <v>449</v>
      </c>
      <c r="B9" s="165" t="s">
        <v>12</v>
      </c>
      <c r="C9" s="458" t="s">
        <v>450</v>
      </c>
      <c r="D9" s="458"/>
      <c r="E9" s="458"/>
      <c r="F9" s="165" t="s">
        <v>451</v>
      </c>
      <c r="G9" s="94" t="s">
        <v>452</v>
      </c>
      <c r="H9" s="95" t="s">
        <v>453</v>
      </c>
      <c r="I9" s="96" t="s">
        <v>454</v>
      </c>
    </row>
    <row r="10" spans="1:9" x14ac:dyDescent="0.25">
      <c r="A10" s="126" t="s">
        <v>455</v>
      </c>
      <c r="B10" s="163" t="s">
        <v>24</v>
      </c>
      <c r="C10" s="459" t="s">
        <v>456</v>
      </c>
      <c r="D10" s="460"/>
      <c r="E10" s="101" t="s">
        <v>457</v>
      </c>
      <c r="F10" s="163" t="s">
        <v>458</v>
      </c>
      <c r="G10" s="98">
        <v>0.8</v>
      </c>
      <c r="H10" s="102">
        <v>19.12</v>
      </c>
      <c r="I10" s="132">
        <f>G10*H10</f>
        <v>15.296000000000001</v>
      </c>
    </row>
    <row r="11" spans="1:9" ht="27.75" customHeight="1" x14ac:dyDescent="0.25">
      <c r="A11" s="126" t="s">
        <v>459</v>
      </c>
      <c r="B11" s="163" t="s">
        <v>24</v>
      </c>
      <c r="C11" s="461" t="s">
        <v>460</v>
      </c>
      <c r="D11" s="460"/>
      <c r="E11" s="101" t="s">
        <v>457</v>
      </c>
      <c r="F11" s="163" t="s">
        <v>458</v>
      </c>
      <c r="G11" s="98">
        <v>0.5</v>
      </c>
      <c r="H11" s="102">
        <v>14.18</v>
      </c>
      <c r="I11" s="132">
        <f>H11*G11</f>
        <v>7.09</v>
      </c>
    </row>
    <row r="12" spans="1:9" x14ac:dyDescent="0.25">
      <c r="A12" s="462" t="s">
        <v>461</v>
      </c>
      <c r="B12" s="462"/>
      <c r="C12" s="462"/>
      <c r="D12" s="462"/>
      <c r="E12" s="462"/>
      <c r="F12" s="462"/>
      <c r="G12" s="462"/>
      <c r="H12" s="462"/>
      <c r="I12" s="104">
        <f>I10+I11</f>
        <v>22.386000000000003</v>
      </c>
    </row>
    <row r="13" spans="1:9" x14ac:dyDescent="0.25">
      <c r="A13" s="162"/>
      <c r="B13" s="162"/>
      <c r="C13" s="162"/>
      <c r="D13" s="162"/>
      <c r="E13" s="162"/>
      <c r="F13" s="162"/>
      <c r="G13" s="162"/>
      <c r="H13" s="162"/>
      <c r="I13" s="104"/>
    </row>
    <row r="14" spans="1:9" x14ac:dyDescent="0.25">
      <c r="A14" s="449" t="s">
        <v>462</v>
      </c>
      <c r="B14" s="449"/>
      <c r="C14" s="449"/>
      <c r="D14" s="449"/>
      <c r="E14" s="449"/>
      <c r="F14" s="449"/>
      <c r="G14" s="449"/>
      <c r="H14" s="449"/>
      <c r="I14" s="449"/>
    </row>
    <row r="15" spans="1:9" x14ac:dyDescent="0.25">
      <c r="A15" s="93" t="s">
        <v>449</v>
      </c>
      <c r="B15" s="165" t="s">
        <v>12</v>
      </c>
      <c r="C15" s="458" t="s">
        <v>450</v>
      </c>
      <c r="D15" s="458"/>
      <c r="E15" s="458"/>
      <c r="F15" s="165" t="s">
        <v>451</v>
      </c>
      <c r="G15" s="94" t="s">
        <v>452</v>
      </c>
      <c r="H15" s="95" t="s">
        <v>453</v>
      </c>
      <c r="I15" s="96" t="s">
        <v>454</v>
      </c>
    </row>
    <row r="16" spans="1:9" x14ac:dyDescent="0.25">
      <c r="A16" s="117"/>
      <c r="B16" s="117"/>
      <c r="C16" s="463"/>
      <c r="D16" s="463"/>
      <c r="E16" s="463"/>
      <c r="F16" s="118"/>
      <c r="G16" s="119"/>
      <c r="H16" s="120"/>
      <c r="I16" s="121"/>
    </row>
    <row r="17" spans="1:9" x14ac:dyDescent="0.25">
      <c r="A17" s="462" t="s">
        <v>463</v>
      </c>
      <c r="B17" s="462"/>
      <c r="C17" s="462"/>
      <c r="D17" s="462"/>
      <c r="E17" s="462"/>
      <c r="F17" s="462"/>
      <c r="G17" s="462"/>
      <c r="H17" s="462"/>
      <c r="I17" s="122">
        <f>SUM(I16:I16)</f>
        <v>0</v>
      </c>
    </row>
    <row r="18" spans="1:9" x14ac:dyDescent="0.25">
      <c r="A18" s="162"/>
      <c r="B18" s="162"/>
      <c r="C18" s="162"/>
      <c r="D18" s="162"/>
      <c r="E18" s="162"/>
      <c r="F18" s="162"/>
      <c r="G18" s="162"/>
      <c r="H18" s="162"/>
      <c r="I18" s="104"/>
    </row>
    <row r="19" spans="1:9" x14ac:dyDescent="0.25">
      <c r="A19" s="162"/>
      <c r="B19" s="162"/>
      <c r="C19" s="162"/>
      <c r="D19" s="162"/>
      <c r="E19" s="162"/>
      <c r="F19" s="162"/>
      <c r="G19" s="162"/>
      <c r="H19" s="162"/>
      <c r="I19" s="104"/>
    </row>
    <row r="20" spans="1:9" x14ac:dyDescent="0.25">
      <c r="A20" s="464" t="s">
        <v>464</v>
      </c>
      <c r="B20" s="464"/>
      <c r="C20" s="464"/>
      <c r="D20" s="464"/>
      <c r="E20" s="464"/>
      <c r="F20" s="464"/>
      <c r="G20" s="464"/>
      <c r="H20" s="464"/>
      <c r="I20" s="464"/>
    </row>
    <row r="21" spans="1:9" x14ac:dyDescent="0.25">
      <c r="A21" s="100"/>
      <c r="B21" s="163"/>
      <c r="C21" s="465" t="s">
        <v>450</v>
      </c>
      <c r="D21" s="465"/>
      <c r="E21" s="465"/>
      <c r="F21" s="163" t="s">
        <v>451</v>
      </c>
      <c r="G21" s="105" t="s">
        <v>452</v>
      </c>
      <c r="H21" s="102" t="s">
        <v>453</v>
      </c>
      <c r="I21" s="103" t="s">
        <v>454</v>
      </c>
    </row>
    <row r="22" spans="1:9" x14ac:dyDescent="0.25">
      <c r="A22" s="106"/>
      <c r="B22" s="106"/>
      <c r="C22" s="455"/>
      <c r="D22" s="456"/>
      <c r="E22" s="457"/>
      <c r="F22" s="107"/>
      <c r="G22" s="107"/>
      <c r="H22" s="108"/>
      <c r="I22" s="109"/>
    </row>
    <row r="23" spans="1:9" x14ac:dyDescent="0.25">
      <c r="A23" s="462" t="s">
        <v>465</v>
      </c>
      <c r="B23" s="462"/>
      <c r="C23" s="462"/>
      <c r="D23" s="462"/>
      <c r="E23" s="462"/>
      <c r="F23" s="462"/>
      <c r="G23" s="462"/>
      <c r="H23" s="462"/>
      <c r="I23" s="110">
        <f>I22</f>
        <v>0</v>
      </c>
    </row>
    <row r="24" spans="1:9" x14ac:dyDescent="0.25">
      <c r="A24" s="467"/>
      <c r="B24" s="468"/>
      <c r="C24" s="468"/>
      <c r="D24" s="468"/>
      <c r="E24" s="468"/>
      <c r="F24" s="468"/>
      <c r="G24" s="468"/>
      <c r="H24" s="468"/>
      <c r="I24" s="469"/>
    </row>
    <row r="25" spans="1:9" x14ac:dyDescent="0.25">
      <c r="A25" s="449" t="s">
        <v>466</v>
      </c>
      <c r="B25" s="449"/>
      <c r="C25" s="449"/>
      <c r="D25" s="449"/>
      <c r="E25" s="449"/>
      <c r="F25" s="449"/>
      <c r="G25" s="449"/>
      <c r="H25" s="449"/>
      <c r="I25" s="449"/>
    </row>
    <row r="26" spans="1:9" x14ac:dyDescent="0.25">
      <c r="A26" s="466" t="s">
        <v>467</v>
      </c>
      <c r="B26" s="466"/>
      <c r="C26" s="466"/>
      <c r="D26" s="466"/>
      <c r="E26" s="466"/>
      <c r="F26" s="466"/>
      <c r="G26" s="466"/>
      <c r="H26" s="466"/>
      <c r="I26" s="123">
        <f>I12</f>
        <v>22.386000000000003</v>
      </c>
    </row>
    <row r="27" spans="1:9" x14ac:dyDescent="0.25">
      <c r="A27" s="466" t="s">
        <v>468</v>
      </c>
      <c r="B27" s="466"/>
      <c r="C27" s="466"/>
      <c r="D27" s="466"/>
      <c r="E27" s="466"/>
      <c r="F27" s="466"/>
      <c r="G27" s="466"/>
      <c r="H27" s="466"/>
      <c r="I27" s="123">
        <f>I17</f>
        <v>0</v>
      </c>
    </row>
    <row r="28" spans="1:9" x14ac:dyDescent="0.25">
      <c r="A28" s="466" t="s">
        <v>469</v>
      </c>
      <c r="B28" s="466"/>
      <c r="C28" s="466"/>
      <c r="D28" s="466"/>
      <c r="E28" s="466"/>
      <c r="F28" s="466"/>
      <c r="G28" s="466"/>
      <c r="H28" s="466"/>
      <c r="I28" s="123">
        <f>I23</f>
        <v>0</v>
      </c>
    </row>
    <row r="29" spans="1:9" x14ac:dyDescent="0.25">
      <c r="A29" s="466" t="s">
        <v>470</v>
      </c>
      <c r="B29" s="466"/>
      <c r="C29" s="466"/>
      <c r="D29" s="466"/>
      <c r="E29" s="466"/>
      <c r="F29" s="466"/>
      <c r="G29" s="466"/>
      <c r="H29" s="466"/>
      <c r="I29" s="130">
        <f>SUM(I26:I27)</f>
        <v>22.386000000000003</v>
      </c>
    </row>
  </sheetData>
  <mergeCells count="24">
    <mergeCell ref="A29:H29"/>
    <mergeCell ref="A23:H23"/>
    <mergeCell ref="A24:I24"/>
    <mergeCell ref="A25:I25"/>
    <mergeCell ref="A26:H26"/>
    <mergeCell ref="A27:H27"/>
    <mergeCell ref="A28:H28"/>
    <mergeCell ref="C22:E22"/>
    <mergeCell ref="C9:E9"/>
    <mergeCell ref="C10:D10"/>
    <mergeCell ref="C11:D11"/>
    <mergeCell ref="A12:H12"/>
    <mergeCell ref="A14:I14"/>
    <mergeCell ref="C15:E15"/>
    <mergeCell ref="C16:E16"/>
    <mergeCell ref="A17:H17"/>
    <mergeCell ref="A20:I20"/>
    <mergeCell ref="C21:E21"/>
    <mergeCell ref="A8:I8"/>
    <mergeCell ref="A1:H4"/>
    <mergeCell ref="I1:I2"/>
    <mergeCell ref="A5:H6"/>
    <mergeCell ref="I5:I6"/>
    <mergeCell ref="A7:I7"/>
  </mergeCells>
  <pageMargins left="0.511811024" right="0.511811024" top="0.78740157499999996" bottom="0.78740157499999996" header="0.31496062000000002" footer="0.31496062000000002"/>
  <pageSetup paperSize="9" scale="7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zoomScale="106" zoomScaleNormal="100" zoomScaleSheetLayoutView="106" workbookViewId="0">
      <selection activeCell="F24" sqref="F24"/>
    </sheetView>
  </sheetViews>
  <sheetFormatPr defaultRowHeight="15" x14ac:dyDescent="0.25"/>
  <cols>
    <col min="1" max="1" width="12.7109375" style="124" customWidth="1"/>
    <col min="2" max="2" width="10" style="124" bestFit="1" customWidth="1"/>
    <col min="3" max="3" width="9.140625" style="125"/>
    <col min="4" max="4" width="26.140625" style="125" customWidth="1"/>
    <col min="5" max="5" width="20.140625" style="125" customWidth="1"/>
    <col min="6" max="6" width="5" style="124" bestFit="1" customWidth="1"/>
    <col min="7" max="7" width="9.5703125" style="124" bestFit="1" customWidth="1"/>
    <col min="8" max="8" width="10.7109375" style="124" customWidth="1"/>
    <col min="9" max="9" width="13.5703125" style="124" customWidth="1"/>
  </cols>
  <sheetData>
    <row r="1" spans="1:9" x14ac:dyDescent="0.25">
      <c r="A1" s="450" t="s">
        <v>443</v>
      </c>
      <c r="B1" s="450"/>
      <c r="C1" s="450"/>
      <c r="D1" s="450"/>
      <c r="E1" s="450"/>
      <c r="F1" s="450"/>
      <c r="G1" s="450"/>
      <c r="H1" s="450"/>
      <c r="I1" s="451" t="s">
        <v>444</v>
      </c>
    </row>
    <row r="2" spans="1:9" x14ac:dyDescent="0.25">
      <c r="A2" s="450"/>
      <c r="B2" s="450"/>
      <c r="C2" s="450"/>
      <c r="D2" s="450"/>
      <c r="E2" s="450"/>
      <c r="F2" s="450"/>
      <c r="G2" s="450"/>
      <c r="H2" s="450"/>
      <c r="I2" s="451"/>
    </row>
    <row r="3" spans="1:9" x14ac:dyDescent="0.25">
      <c r="A3" s="450"/>
      <c r="B3" s="450"/>
      <c r="C3" s="450"/>
      <c r="D3" s="450"/>
      <c r="E3" s="450"/>
      <c r="F3" s="450"/>
      <c r="G3" s="450"/>
      <c r="H3" s="450"/>
      <c r="I3" s="92">
        <v>44652</v>
      </c>
    </row>
    <row r="4" spans="1:9" x14ac:dyDescent="0.25">
      <c r="A4" s="450"/>
      <c r="B4" s="450"/>
      <c r="C4" s="450"/>
      <c r="D4" s="450"/>
      <c r="E4" s="450"/>
      <c r="F4" s="450"/>
      <c r="G4" s="450"/>
      <c r="H4" s="450"/>
      <c r="I4" s="166" t="s">
        <v>184</v>
      </c>
    </row>
    <row r="5" spans="1:9" x14ac:dyDescent="0.25">
      <c r="A5" s="452" t="s">
        <v>471</v>
      </c>
      <c r="B5" s="452"/>
      <c r="C5" s="452"/>
      <c r="D5" s="452"/>
      <c r="E5" s="452"/>
      <c r="F5" s="452"/>
      <c r="G5" s="452"/>
      <c r="H5" s="452"/>
      <c r="I5" s="453" t="s">
        <v>472</v>
      </c>
    </row>
    <row r="6" spans="1:9" x14ac:dyDescent="0.25">
      <c r="A6" s="452"/>
      <c r="B6" s="452"/>
      <c r="C6" s="452"/>
      <c r="D6" s="452"/>
      <c r="E6" s="452"/>
      <c r="F6" s="452"/>
      <c r="G6" s="452"/>
      <c r="H6" s="452"/>
      <c r="I6" s="453"/>
    </row>
    <row r="7" spans="1:9" x14ac:dyDescent="0.25">
      <c r="A7" s="454" t="s">
        <v>473</v>
      </c>
      <c r="B7" s="454"/>
      <c r="C7" s="454"/>
      <c r="D7" s="454"/>
      <c r="E7" s="454"/>
      <c r="F7" s="454"/>
      <c r="G7" s="454"/>
      <c r="H7" s="454"/>
      <c r="I7" s="454"/>
    </row>
    <row r="8" spans="1:9" x14ac:dyDescent="0.25">
      <c r="A8" s="449" t="s">
        <v>448</v>
      </c>
      <c r="B8" s="449"/>
      <c r="C8" s="449"/>
      <c r="D8" s="449"/>
      <c r="E8" s="449"/>
      <c r="F8" s="449"/>
      <c r="G8" s="449"/>
      <c r="H8" s="449"/>
      <c r="I8" s="449"/>
    </row>
    <row r="9" spans="1:9" x14ac:dyDescent="0.25">
      <c r="A9" s="93" t="s">
        <v>449</v>
      </c>
      <c r="B9" s="165" t="s">
        <v>12</v>
      </c>
      <c r="C9" s="458" t="s">
        <v>450</v>
      </c>
      <c r="D9" s="458"/>
      <c r="E9" s="458"/>
      <c r="F9" s="165" t="s">
        <v>451</v>
      </c>
      <c r="G9" s="94" t="s">
        <v>452</v>
      </c>
      <c r="H9" s="144" t="s">
        <v>453</v>
      </c>
      <c r="I9" s="165" t="s">
        <v>454</v>
      </c>
    </row>
    <row r="10" spans="1:9" ht="33" customHeight="1" x14ac:dyDescent="0.25">
      <c r="A10" s="131" t="s">
        <v>474</v>
      </c>
      <c r="B10" s="126" t="s">
        <v>24</v>
      </c>
      <c r="C10" s="470" t="s">
        <v>475</v>
      </c>
      <c r="D10" s="471"/>
      <c r="E10" s="101" t="s">
        <v>457</v>
      </c>
      <c r="F10" s="165" t="s">
        <v>458</v>
      </c>
      <c r="G10" s="94">
        <v>3.4849999999999999</v>
      </c>
      <c r="H10" s="142">
        <v>19.12</v>
      </c>
      <c r="I10" s="145">
        <f>G10*H10</f>
        <v>66.633200000000002</v>
      </c>
    </row>
    <row r="11" spans="1:9" ht="27" customHeight="1" x14ac:dyDescent="0.25">
      <c r="A11" s="131" t="s">
        <v>476</v>
      </c>
      <c r="B11" s="126" t="s">
        <v>24</v>
      </c>
      <c r="C11" s="470" t="s">
        <v>477</v>
      </c>
      <c r="D11" s="472"/>
      <c r="E11" s="101" t="s">
        <v>457</v>
      </c>
      <c r="F11" s="165" t="s">
        <v>458</v>
      </c>
      <c r="G11" s="94">
        <v>3.4849999999999999</v>
      </c>
      <c r="H11" s="142">
        <v>16.13</v>
      </c>
      <c r="I11" s="145">
        <f>G11*H11</f>
        <v>56.213049999999996</v>
      </c>
    </row>
    <row r="12" spans="1:9" x14ac:dyDescent="0.25">
      <c r="A12" s="126"/>
      <c r="B12" s="163"/>
      <c r="C12" s="460"/>
      <c r="D12" s="460"/>
      <c r="E12" s="101"/>
      <c r="F12" s="163"/>
      <c r="G12" s="98"/>
      <c r="H12" s="146"/>
      <c r="I12" s="145"/>
    </row>
    <row r="13" spans="1:9" x14ac:dyDescent="0.25">
      <c r="A13" s="462" t="s">
        <v>461</v>
      </c>
      <c r="B13" s="462"/>
      <c r="C13" s="462"/>
      <c r="D13" s="462"/>
      <c r="E13" s="462"/>
      <c r="F13" s="462"/>
      <c r="G13" s="462"/>
      <c r="H13" s="462"/>
      <c r="I13" s="147">
        <f>SUM(I10:I11)</f>
        <v>122.84625</v>
      </c>
    </row>
    <row r="14" spans="1:9" x14ac:dyDescent="0.25">
      <c r="A14" s="162"/>
      <c r="B14" s="162"/>
      <c r="C14" s="162"/>
      <c r="D14" s="162"/>
      <c r="E14" s="162"/>
      <c r="F14" s="164"/>
      <c r="G14" s="164"/>
      <c r="H14" s="164"/>
      <c r="I14" s="147"/>
    </row>
    <row r="15" spans="1:9" x14ac:dyDescent="0.25">
      <c r="A15" s="449" t="s">
        <v>462</v>
      </c>
      <c r="B15" s="449"/>
      <c r="C15" s="449"/>
      <c r="D15" s="449"/>
      <c r="E15" s="449"/>
      <c r="F15" s="449"/>
      <c r="G15" s="449"/>
      <c r="H15" s="449"/>
      <c r="I15" s="449"/>
    </row>
    <row r="16" spans="1:9" x14ac:dyDescent="0.25">
      <c r="A16" s="93" t="s">
        <v>449</v>
      </c>
      <c r="B16" s="165" t="s">
        <v>12</v>
      </c>
      <c r="C16" s="458" t="s">
        <v>450</v>
      </c>
      <c r="D16" s="458"/>
      <c r="E16" s="458"/>
      <c r="F16" s="165" t="s">
        <v>451</v>
      </c>
      <c r="G16" s="94" t="s">
        <v>452</v>
      </c>
      <c r="H16" s="144" t="s">
        <v>453</v>
      </c>
      <c r="I16" s="165" t="s">
        <v>454</v>
      </c>
    </row>
    <row r="17" spans="1:9" ht="33" customHeight="1" x14ac:dyDescent="0.25">
      <c r="A17" s="111" t="s">
        <v>478</v>
      </c>
      <c r="B17" s="97" t="s">
        <v>24</v>
      </c>
      <c r="C17" s="473" t="s">
        <v>479</v>
      </c>
      <c r="D17" s="473"/>
      <c r="E17" s="473"/>
      <c r="F17" s="111" t="s">
        <v>451</v>
      </c>
      <c r="G17" s="138">
        <v>4</v>
      </c>
      <c r="H17" s="148">
        <v>0.7</v>
      </c>
      <c r="I17" s="143">
        <f t="shared" ref="I17:I23" si="0">G17*H17</f>
        <v>2.8</v>
      </c>
    </row>
    <row r="18" spans="1:9" ht="27" customHeight="1" x14ac:dyDescent="0.25">
      <c r="A18" s="111" t="s">
        <v>480</v>
      </c>
      <c r="B18" s="97" t="s">
        <v>24</v>
      </c>
      <c r="C18" s="474" t="s">
        <v>481</v>
      </c>
      <c r="D18" s="474"/>
      <c r="E18" s="474"/>
      <c r="F18" s="111" t="s">
        <v>451</v>
      </c>
      <c r="G18" s="138">
        <v>4</v>
      </c>
      <c r="H18" s="148">
        <v>1.33</v>
      </c>
      <c r="I18" s="143">
        <f t="shared" si="0"/>
        <v>5.32</v>
      </c>
    </row>
    <row r="19" spans="1:9" ht="32.25" customHeight="1" x14ac:dyDescent="0.25">
      <c r="A19" s="111" t="s">
        <v>482</v>
      </c>
      <c r="B19" s="97" t="s">
        <v>24</v>
      </c>
      <c r="C19" s="473" t="s">
        <v>483</v>
      </c>
      <c r="D19" s="473"/>
      <c r="E19" s="473"/>
      <c r="F19" s="111" t="s">
        <v>484</v>
      </c>
      <c r="G19" s="138">
        <v>16.829999999999998</v>
      </c>
      <c r="H19" s="148">
        <v>2.73</v>
      </c>
      <c r="I19" s="143">
        <f t="shared" si="0"/>
        <v>45.945899999999995</v>
      </c>
    </row>
    <row r="20" spans="1:9" ht="30.75" customHeight="1" x14ac:dyDescent="0.25">
      <c r="A20" s="111" t="s">
        <v>485</v>
      </c>
      <c r="B20" s="97" t="s">
        <v>24</v>
      </c>
      <c r="C20" s="474" t="s">
        <v>486</v>
      </c>
      <c r="D20" s="474"/>
      <c r="E20" s="474"/>
      <c r="F20" s="111" t="s">
        <v>451</v>
      </c>
      <c r="G20" s="138">
        <v>2</v>
      </c>
      <c r="H20" s="148">
        <v>3.58</v>
      </c>
      <c r="I20" s="143">
        <f t="shared" si="0"/>
        <v>7.16</v>
      </c>
    </row>
    <row r="21" spans="1:9" ht="30.75" customHeight="1" x14ac:dyDescent="0.25">
      <c r="A21" s="111" t="s">
        <v>487</v>
      </c>
      <c r="B21" s="97" t="s">
        <v>24</v>
      </c>
      <c r="C21" s="475" t="s">
        <v>488</v>
      </c>
      <c r="D21" s="476"/>
      <c r="E21" s="477"/>
      <c r="F21" s="111" t="s">
        <v>484</v>
      </c>
      <c r="G21" s="98">
        <v>5.5</v>
      </c>
      <c r="H21" s="148">
        <v>5.0599999999999996</v>
      </c>
      <c r="I21" s="143">
        <f t="shared" si="0"/>
        <v>27.83</v>
      </c>
    </row>
    <row r="22" spans="1:9" ht="30.75" customHeight="1" x14ac:dyDescent="0.25">
      <c r="A22" s="111" t="s">
        <v>489</v>
      </c>
      <c r="B22" s="97" t="s">
        <v>24</v>
      </c>
      <c r="C22" s="478" t="s">
        <v>490</v>
      </c>
      <c r="D22" s="479"/>
      <c r="E22" s="480"/>
      <c r="F22" s="111" t="s">
        <v>451</v>
      </c>
      <c r="G22" s="98">
        <v>1</v>
      </c>
      <c r="H22" s="148">
        <v>7.41</v>
      </c>
      <c r="I22" s="143">
        <f t="shared" si="0"/>
        <v>7.41</v>
      </c>
    </row>
    <row r="23" spans="1:9" ht="30.75" customHeight="1" x14ac:dyDescent="0.25">
      <c r="A23" s="111" t="s">
        <v>491</v>
      </c>
      <c r="B23" s="97" t="s">
        <v>24</v>
      </c>
      <c r="C23" s="475" t="s">
        <v>492</v>
      </c>
      <c r="D23" s="476"/>
      <c r="E23" s="477"/>
      <c r="F23" s="111" t="s">
        <v>451</v>
      </c>
      <c r="G23" s="98">
        <v>1</v>
      </c>
      <c r="H23" s="148">
        <v>26.48</v>
      </c>
      <c r="I23" s="143">
        <f t="shared" si="0"/>
        <v>26.48</v>
      </c>
    </row>
    <row r="24" spans="1:9" x14ac:dyDescent="0.25">
      <c r="A24" s="117"/>
      <c r="B24" s="117"/>
      <c r="C24" s="463"/>
      <c r="D24" s="463"/>
      <c r="E24" s="463"/>
      <c r="F24" s="118"/>
      <c r="G24" s="119"/>
      <c r="H24" s="149"/>
      <c r="I24" s="118"/>
    </row>
    <row r="25" spans="1:9" x14ac:dyDescent="0.25">
      <c r="A25" s="462" t="s">
        <v>463</v>
      </c>
      <c r="B25" s="462"/>
      <c r="C25" s="462"/>
      <c r="D25" s="462"/>
      <c r="E25" s="462"/>
      <c r="F25" s="462"/>
      <c r="G25" s="462"/>
      <c r="H25" s="462"/>
      <c r="I25" s="150">
        <f>SUM(I17:I24)</f>
        <v>122.94589999999999</v>
      </c>
    </row>
    <row r="26" spans="1:9" x14ac:dyDescent="0.25">
      <c r="A26" s="162"/>
      <c r="B26" s="162"/>
      <c r="C26" s="162"/>
      <c r="D26" s="162"/>
      <c r="E26" s="162"/>
      <c r="F26" s="164"/>
      <c r="G26" s="164"/>
      <c r="H26" s="164"/>
      <c r="I26" s="147"/>
    </row>
    <row r="27" spans="1:9" x14ac:dyDescent="0.25">
      <c r="A27" s="464" t="s">
        <v>464</v>
      </c>
      <c r="B27" s="464"/>
      <c r="C27" s="464"/>
      <c r="D27" s="464"/>
      <c r="E27" s="464"/>
      <c r="F27" s="464"/>
      <c r="G27" s="464"/>
      <c r="H27" s="464"/>
      <c r="I27" s="464"/>
    </row>
    <row r="28" spans="1:9" x14ac:dyDescent="0.25">
      <c r="A28" s="100"/>
      <c r="B28" s="163"/>
      <c r="C28" s="465" t="s">
        <v>450</v>
      </c>
      <c r="D28" s="465"/>
      <c r="E28" s="465"/>
      <c r="F28" s="163" t="s">
        <v>451</v>
      </c>
      <c r="G28" s="105" t="s">
        <v>452</v>
      </c>
      <c r="H28" s="146" t="s">
        <v>453</v>
      </c>
      <c r="I28" s="151" t="s">
        <v>454</v>
      </c>
    </row>
    <row r="29" spans="1:9" x14ac:dyDescent="0.25">
      <c r="A29" s="129"/>
      <c r="B29" s="117"/>
      <c r="C29" s="481"/>
      <c r="D29" s="482"/>
      <c r="E29" s="483"/>
      <c r="F29" s="113"/>
      <c r="G29" s="136"/>
      <c r="H29" s="149"/>
      <c r="I29" s="98"/>
    </row>
    <row r="30" spans="1:9" x14ac:dyDescent="0.25">
      <c r="A30" s="106"/>
      <c r="B30" s="106"/>
      <c r="C30" s="455"/>
      <c r="D30" s="456"/>
      <c r="E30" s="457"/>
      <c r="F30" s="106"/>
      <c r="G30" s="106"/>
      <c r="H30" s="152"/>
      <c r="I30" s="153"/>
    </row>
    <row r="31" spans="1:9" x14ac:dyDescent="0.25">
      <c r="A31" s="462" t="s">
        <v>465</v>
      </c>
      <c r="B31" s="462"/>
      <c r="C31" s="462"/>
      <c r="D31" s="462"/>
      <c r="E31" s="462"/>
      <c r="F31" s="462"/>
      <c r="G31" s="462"/>
      <c r="H31" s="462"/>
      <c r="I31" s="154">
        <f>I29</f>
        <v>0</v>
      </c>
    </row>
    <row r="32" spans="1:9" x14ac:dyDescent="0.25">
      <c r="A32" s="467"/>
      <c r="B32" s="468"/>
      <c r="C32" s="468"/>
      <c r="D32" s="468"/>
      <c r="E32" s="468"/>
      <c r="F32" s="468"/>
      <c r="G32" s="468"/>
      <c r="H32" s="468"/>
      <c r="I32" s="469"/>
    </row>
    <row r="33" spans="1:9" x14ac:dyDescent="0.25">
      <c r="A33" s="449" t="s">
        <v>466</v>
      </c>
      <c r="B33" s="449"/>
      <c r="C33" s="449"/>
      <c r="D33" s="449"/>
      <c r="E33" s="449"/>
      <c r="F33" s="449"/>
      <c r="G33" s="449"/>
      <c r="H33" s="449"/>
      <c r="I33" s="449"/>
    </row>
    <row r="34" spans="1:9" x14ac:dyDescent="0.25">
      <c r="A34" s="466" t="s">
        <v>467</v>
      </c>
      <c r="B34" s="466"/>
      <c r="C34" s="466"/>
      <c r="D34" s="466"/>
      <c r="E34" s="466"/>
      <c r="F34" s="466"/>
      <c r="G34" s="466"/>
      <c r="H34" s="466"/>
      <c r="I34" s="155">
        <f>I13</f>
        <v>122.84625</v>
      </c>
    </row>
    <row r="35" spans="1:9" x14ac:dyDescent="0.25">
      <c r="A35" s="466" t="s">
        <v>468</v>
      </c>
      <c r="B35" s="466"/>
      <c r="C35" s="466"/>
      <c r="D35" s="466"/>
      <c r="E35" s="466"/>
      <c r="F35" s="466"/>
      <c r="G35" s="466"/>
      <c r="H35" s="466"/>
      <c r="I35" s="155">
        <f>I25</f>
        <v>122.94589999999999</v>
      </c>
    </row>
    <row r="36" spans="1:9" x14ac:dyDescent="0.25">
      <c r="A36" s="466" t="s">
        <v>469</v>
      </c>
      <c r="B36" s="466"/>
      <c r="C36" s="466"/>
      <c r="D36" s="466"/>
      <c r="E36" s="466"/>
      <c r="F36" s="466"/>
      <c r="G36" s="466"/>
      <c r="H36" s="466"/>
      <c r="I36" s="155">
        <f>I31</f>
        <v>0</v>
      </c>
    </row>
    <row r="37" spans="1:9" x14ac:dyDescent="0.25">
      <c r="A37" s="466" t="s">
        <v>470</v>
      </c>
      <c r="B37" s="466"/>
      <c r="C37" s="466"/>
      <c r="D37" s="466"/>
      <c r="E37" s="466"/>
      <c r="F37" s="466"/>
      <c r="G37" s="466"/>
      <c r="H37" s="466"/>
      <c r="I37" s="147">
        <f>SUM(I34:I36)</f>
        <v>245.79214999999999</v>
      </c>
    </row>
  </sheetData>
  <mergeCells count="33">
    <mergeCell ref="A37:H37"/>
    <mergeCell ref="A25:H25"/>
    <mergeCell ref="A27:I27"/>
    <mergeCell ref="C28:E28"/>
    <mergeCell ref="C29:E29"/>
    <mergeCell ref="C30:E30"/>
    <mergeCell ref="A31:H31"/>
    <mergeCell ref="A32:I32"/>
    <mergeCell ref="A33:I33"/>
    <mergeCell ref="A34:H34"/>
    <mergeCell ref="A35:H35"/>
    <mergeCell ref="A36:H36"/>
    <mergeCell ref="C24:E24"/>
    <mergeCell ref="C9:E9"/>
    <mergeCell ref="C10:D10"/>
    <mergeCell ref="C11:D11"/>
    <mergeCell ref="C12:D12"/>
    <mergeCell ref="A13:H13"/>
    <mergeCell ref="A15:I15"/>
    <mergeCell ref="C16:E16"/>
    <mergeCell ref="C17:E17"/>
    <mergeCell ref="C18:E18"/>
    <mergeCell ref="C19:E19"/>
    <mergeCell ref="C20:E20"/>
    <mergeCell ref="C21:E21"/>
    <mergeCell ref="C23:E23"/>
    <mergeCell ref="C22:E22"/>
    <mergeCell ref="A8:I8"/>
    <mergeCell ref="A1:H4"/>
    <mergeCell ref="I1:I2"/>
    <mergeCell ref="A5:H6"/>
    <mergeCell ref="I5:I6"/>
    <mergeCell ref="A7:I7"/>
  </mergeCells>
  <pageMargins left="0.511811024" right="0.511811024" top="0.78740157499999996" bottom="0.78740157499999996" header="0.31496062000000002" footer="0.31496062000000002"/>
  <pageSetup paperSize="9" scale="7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topLeftCell="A10" zoomScale="106" zoomScaleNormal="100" zoomScaleSheetLayoutView="106" workbookViewId="0">
      <selection activeCell="I25" sqref="I25"/>
    </sheetView>
  </sheetViews>
  <sheetFormatPr defaultRowHeight="15" x14ac:dyDescent="0.25"/>
  <cols>
    <col min="1" max="1" width="12.7109375" style="124" customWidth="1"/>
    <col min="2" max="2" width="10" style="124" bestFit="1" customWidth="1"/>
    <col min="3" max="3" width="9.140625" style="125"/>
    <col min="4" max="4" width="26.140625" style="125" customWidth="1"/>
    <col min="5" max="5" width="20.140625" style="125" customWidth="1"/>
    <col min="6" max="6" width="5" style="124" bestFit="1" customWidth="1"/>
    <col min="7" max="7" width="9.5703125" style="124" bestFit="1" customWidth="1"/>
    <col min="8" max="8" width="10.7109375" style="124" customWidth="1"/>
    <col min="9" max="9" width="13.5703125" style="124" customWidth="1"/>
  </cols>
  <sheetData>
    <row r="1" spans="1:9" x14ac:dyDescent="0.25">
      <c r="A1" s="450" t="s">
        <v>443</v>
      </c>
      <c r="B1" s="450"/>
      <c r="C1" s="450"/>
      <c r="D1" s="450"/>
      <c r="E1" s="450"/>
      <c r="F1" s="450"/>
      <c r="G1" s="450"/>
      <c r="H1" s="450"/>
      <c r="I1" s="451" t="s">
        <v>444</v>
      </c>
    </row>
    <row r="2" spans="1:9" x14ac:dyDescent="0.25">
      <c r="A2" s="450"/>
      <c r="B2" s="450"/>
      <c r="C2" s="450"/>
      <c r="D2" s="450"/>
      <c r="E2" s="450"/>
      <c r="F2" s="450"/>
      <c r="G2" s="450"/>
      <c r="H2" s="450"/>
      <c r="I2" s="451"/>
    </row>
    <row r="3" spans="1:9" x14ac:dyDescent="0.25">
      <c r="A3" s="450"/>
      <c r="B3" s="450"/>
      <c r="C3" s="450"/>
      <c r="D3" s="450"/>
      <c r="E3" s="450"/>
      <c r="F3" s="450"/>
      <c r="G3" s="450"/>
      <c r="H3" s="450"/>
      <c r="I3" s="92">
        <v>44652</v>
      </c>
    </row>
    <row r="4" spans="1:9" x14ac:dyDescent="0.25">
      <c r="A4" s="450"/>
      <c r="B4" s="450"/>
      <c r="C4" s="450"/>
      <c r="D4" s="450"/>
      <c r="E4" s="450"/>
      <c r="F4" s="450"/>
      <c r="G4" s="450"/>
      <c r="H4" s="450"/>
      <c r="I4" s="166" t="s">
        <v>187</v>
      </c>
    </row>
    <row r="5" spans="1:9" x14ac:dyDescent="0.25">
      <c r="A5" s="452" t="s">
        <v>471</v>
      </c>
      <c r="B5" s="452"/>
      <c r="C5" s="452"/>
      <c r="D5" s="452"/>
      <c r="E5" s="452"/>
      <c r="F5" s="452"/>
      <c r="G5" s="452"/>
      <c r="H5" s="452"/>
      <c r="I5" s="453" t="s">
        <v>472</v>
      </c>
    </row>
    <row r="6" spans="1:9" x14ac:dyDescent="0.25">
      <c r="A6" s="452"/>
      <c r="B6" s="452"/>
      <c r="C6" s="452"/>
      <c r="D6" s="452"/>
      <c r="E6" s="452"/>
      <c r="F6" s="452"/>
      <c r="G6" s="452"/>
      <c r="H6" s="452"/>
      <c r="I6" s="453"/>
    </row>
    <row r="7" spans="1:9" x14ac:dyDescent="0.25">
      <c r="A7" s="454" t="s">
        <v>473</v>
      </c>
      <c r="B7" s="454"/>
      <c r="C7" s="454"/>
      <c r="D7" s="454"/>
      <c r="E7" s="454"/>
      <c r="F7" s="454"/>
      <c r="G7" s="454"/>
      <c r="H7" s="454"/>
      <c r="I7" s="454"/>
    </row>
    <row r="8" spans="1:9" x14ac:dyDescent="0.25">
      <c r="A8" s="449" t="s">
        <v>448</v>
      </c>
      <c r="B8" s="449"/>
      <c r="C8" s="449"/>
      <c r="D8" s="449"/>
      <c r="E8" s="449"/>
      <c r="F8" s="449"/>
      <c r="G8" s="449"/>
      <c r="H8" s="449"/>
      <c r="I8" s="449"/>
    </row>
    <row r="9" spans="1:9" x14ac:dyDescent="0.25">
      <c r="A9" s="93" t="s">
        <v>449</v>
      </c>
      <c r="B9" s="165" t="s">
        <v>12</v>
      </c>
      <c r="C9" s="458" t="s">
        <v>450</v>
      </c>
      <c r="D9" s="458"/>
      <c r="E9" s="458"/>
      <c r="F9" s="165" t="s">
        <v>451</v>
      </c>
      <c r="G9" s="94" t="s">
        <v>452</v>
      </c>
      <c r="H9" s="144" t="s">
        <v>453</v>
      </c>
      <c r="I9" s="165" t="s">
        <v>454</v>
      </c>
    </row>
    <row r="10" spans="1:9" ht="33" customHeight="1" x14ac:dyDescent="0.25">
      <c r="A10" s="131" t="s">
        <v>474</v>
      </c>
      <c r="B10" s="126" t="s">
        <v>24</v>
      </c>
      <c r="C10" s="470" t="s">
        <v>475</v>
      </c>
      <c r="D10" s="471"/>
      <c r="E10" s="101" t="s">
        <v>457</v>
      </c>
      <c r="F10" s="165" t="s">
        <v>458</v>
      </c>
      <c r="G10" s="94">
        <v>3.4849999999999999</v>
      </c>
      <c r="H10" s="142">
        <v>19.12</v>
      </c>
      <c r="I10" s="145">
        <f>G10*H10</f>
        <v>66.633200000000002</v>
      </c>
    </row>
    <row r="11" spans="1:9" ht="27" customHeight="1" x14ac:dyDescent="0.25">
      <c r="A11" s="131" t="s">
        <v>476</v>
      </c>
      <c r="B11" s="126" t="s">
        <v>24</v>
      </c>
      <c r="C11" s="470" t="s">
        <v>477</v>
      </c>
      <c r="D11" s="472"/>
      <c r="E11" s="101" t="s">
        <v>457</v>
      </c>
      <c r="F11" s="165" t="s">
        <v>458</v>
      </c>
      <c r="G11" s="94">
        <v>3.4849999999999999</v>
      </c>
      <c r="H11" s="142">
        <v>14.18</v>
      </c>
      <c r="I11" s="145">
        <f>G11*H11</f>
        <v>49.417299999999997</v>
      </c>
    </row>
    <row r="12" spans="1:9" x14ac:dyDescent="0.25">
      <c r="A12" s="126"/>
      <c r="B12" s="163"/>
      <c r="C12" s="460"/>
      <c r="D12" s="460"/>
      <c r="E12" s="101"/>
      <c r="F12" s="163"/>
      <c r="G12" s="98"/>
      <c r="H12" s="146"/>
      <c r="I12" s="145"/>
    </row>
    <row r="13" spans="1:9" x14ac:dyDescent="0.25">
      <c r="A13" s="462" t="s">
        <v>461</v>
      </c>
      <c r="B13" s="462"/>
      <c r="C13" s="462"/>
      <c r="D13" s="462"/>
      <c r="E13" s="462"/>
      <c r="F13" s="462"/>
      <c r="G13" s="462"/>
      <c r="H13" s="462"/>
      <c r="I13" s="147">
        <f>SUM(I10:I11)</f>
        <v>116.0505</v>
      </c>
    </row>
    <row r="14" spans="1:9" x14ac:dyDescent="0.25">
      <c r="A14" s="162"/>
      <c r="B14" s="162"/>
      <c r="C14" s="162"/>
      <c r="D14" s="162"/>
      <c r="E14" s="162"/>
      <c r="F14" s="164"/>
      <c r="G14" s="164"/>
      <c r="H14" s="164"/>
      <c r="I14" s="147"/>
    </row>
    <row r="15" spans="1:9" x14ac:dyDescent="0.25">
      <c r="A15" s="449" t="s">
        <v>462</v>
      </c>
      <c r="B15" s="449"/>
      <c r="C15" s="449"/>
      <c r="D15" s="449"/>
      <c r="E15" s="449"/>
      <c r="F15" s="449"/>
      <c r="G15" s="449"/>
      <c r="H15" s="449"/>
      <c r="I15" s="449"/>
    </row>
    <row r="16" spans="1:9" x14ac:dyDescent="0.25">
      <c r="A16" s="93" t="s">
        <v>449</v>
      </c>
      <c r="B16" s="165" t="s">
        <v>12</v>
      </c>
      <c r="C16" s="458" t="s">
        <v>450</v>
      </c>
      <c r="D16" s="458"/>
      <c r="E16" s="458"/>
      <c r="F16" s="165" t="s">
        <v>451</v>
      </c>
      <c r="G16" s="94" t="s">
        <v>452</v>
      </c>
      <c r="H16" s="144" t="s">
        <v>453</v>
      </c>
      <c r="I16" s="165" t="s">
        <v>454</v>
      </c>
    </row>
    <row r="17" spans="1:9" ht="33" customHeight="1" x14ac:dyDescent="0.25">
      <c r="A17" s="111" t="s">
        <v>478</v>
      </c>
      <c r="B17" s="97" t="s">
        <v>24</v>
      </c>
      <c r="C17" s="473" t="s">
        <v>479</v>
      </c>
      <c r="D17" s="473"/>
      <c r="E17" s="473"/>
      <c r="F17" s="111" t="s">
        <v>451</v>
      </c>
      <c r="G17" s="138">
        <v>4</v>
      </c>
      <c r="H17" s="148">
        <v>0.7</v>
      </c>
      <c r="I17" s="143">
        <f t="shared" ref="I17:I23" si="0">G17*H17</f>
        <v>2.8</v>
      </c>
    </row>
    <row r="18" spans="1:9" ht="27" customHeight="1" x14ac:dyDescent="0.25">
      <c r="A18" s="111" t="s">
        <v>480</v>
      </c>
      <c r="B18" s="97" t="s">
        <v>24</v>
      </c>
      <c r="C18" s="474" t="s">
        <v>481</v>
      </c>
      <c r="D18" s="474"/>
      <c r="E18" s="474"/>
      <c r="F18" s="111" t="s">
        <v>451</v>
      </c>
      <c r="G18" s="138">
        <v>4</v>
      </c>
      <c r="H18" s="148">
        <v>1.33</v>
      </c>
      <c r="I18" s="143">
        <f t="shared" si="0"/>
        <v>5.32</v>
      </c>
    </row>
    <row r="19" spans="1:9" ht="32.25" customHeight="1" x14ac:dyDescent="0.25">
      <c r="A19" s="111" t="s">
        <v>482</v>
      </c>
      <c r="B19" s="97" t="s">
        <v>24</v>
      </c>
      <c r="C19" s="473" t="s">
        <v>483</v>
      </c>
      <c r="D19" s="473"/>
      <c r="E19" s="473"/>
      <c r="F19" s="111" t="s">
        <v>484</v>
      </c>
      <c r="G19" s="138">
        <v>16.829999999999998</v>
      </c>
      <c r="H19" s="148">
        <v>2.73</v>
      </c>
      <c r="I19" s="143">
        <f t="shared" si="0"/>
        <v>45.945899999999995</v>
      </c>
    </row>
    <row r="20" spans="1:9" ht="30.75" customHeight="1" x14ac:dyDescent="0.25">
      <c r="A20" s="111" t="s">
        <v>485</v>
      </c>
      <c r="B20" s="97" t="s">
        <v>24</v>
      </c>
      <c r="C20" s="474" t="s">
        <v>486</v>
      </c>
      <c r="D20" s="474"/>
      <c r="E20" s="474"/>
      <c r="F20" s="111" t="s">
        <v>451</v>
      </c>
      <c r="G20" s="138">
        <v>2</v>
      </c>
      <c r="H20" s="148">
        <v>3.58</v>
      </c>
      <c r="I20" s="143">
        <f t="shared" si="0"/>
        <v>7.16</v>
      </c>
    </row>
    <row r="21" spans="1:9" ht="30.75" customHeight="1" x14ac:dyDescent="0.25">
      <c r="A21" s="111" t="s">
        <v>487</v>
      </c>
      <c r="B21" s="97" t="s">
        <v>24</v>
      </c>
      <c r="C21" s="475" t="s">
        <v>488</v>
      </c>
      <c r="D21" s="476"/>
      <c r="E21" s="477"/>
      <c r="F21" s="111" t="s">
        <v>484</v>
      </c>
      <c r="G21" s="98">
        <v>5.5</v>
      </c>
      <c r="H21" s="148">
        <v>5.0599999999999996</v>
      </c>
      <c r="I21" s="143">
        <f t="shared" si="0"/>
        <v>27.83</v>
      </c>
    </row>
    <row r="22" spans="1:9" ht="30.75" customHeight="1" x14ac:dyDescent="0.25">
      <c r="A22" s="111" t="s">
        <v>489</v>
      </c>
      <c r="B22" s="97" t="s">
        <v>24</v>
      </c>
      <c r="C22" s="478" t="s">
        <v>490</v>
      </c>
      <c r="D22" s="479"/>
      <c r="E22" s="480"/>
      <c r="F22" s="111" t="s">
        <v>451</v>
      </c>
      <c r="G22" s="98">
        <v>1</v>
      </c>
      <c r="H22" s="148">
        <v>7.41</v>
      </c>
      <c r="I22" s="143">
        <f t="shared" si="0"/>
        <v>7.41</v>
      </c>
    </row>
    <row r="23" spans="1:9" ht="30.75" customHeight="1" x14ac:dyDescent="0.25">
      <c r="A23" s="111" t="s">
        <v>491</v>
      </c>
      <c r="B23" s="97" t="s">
        <v>24</v>
      </c>
      <c r="C23" s="475" t="s">
        <v>492</v>
      </c>
      <c r="D23" s="476"/>
      <c r="E23" s="477"/>
      <c r="F23" s="111" t="s">
        <v>451</v>
      </c>
      <c r="G23" s="98">
        <v>2</v>
      </c>
      <c r="H23" s="148">
        <v>26.48</v>
      </c>
      <c r="I23" s="143">
        <f t="shared" si="0"/>
        <v>52.96</v>
      </c>
    </row>
    <row r="24" spans="1:9" x14ac:dyDescent="0.25">
      <c r="A24" s="117"/>
      <c r="B24" s="117"/>
      <c r="C24" s="463"/>
      <c r="D24" s="463"/>
      <c r="E24" s="463"/>
      <c r="F24" s="118"/>
      <c r="G24" s="119"/>
      <c r="H24" s="149"/>
      <c r="I24" s="118"/>
    </row>
    <row r="25" spans="1:9" x14ac:dyDescent="0.25">
      <c r="A25" s="462" t="s">
        <v>463</v>
      </c>
      <c r="B25" s="462"/>
      <c r="C25" s="462"/>
      <c r="D25" s="462"/>
      <c r="E25" s="462"/>
      <c r="F25" s="462"/>
      <c r="G25" s="462"/>
      <c r="H25" s="462"/>
      <c r="I25" s="150">
        <f>SUM(I17:I24)</f>
        <v>149.42589999999998</v>
      </c>
    </row>
    <row r="26" spans="1:9" x14ac:dyDescent="0.25">
      <c r="A26" s="162"/>
      <c r="B26" s="162"/>
      <c r="C26" s="162"/>
      <c r="D26" s="162"/>
      <c r="E26" s="162"/>
      <c r="F26" s="164"/>
      <c r="G26" s="164"/>
      <c r="H26" s="164"/>
      <c r="I26" s="147"/>
    </row>
    <row r="27" spans="1:9" x14ac:dyDescent="0.25">
      <c r="A27" s="464" t="s">
        <v>464</v>
      </c>
      <c r="B27" s="464"/>
      <c r="C27" s="464"/>
      <c r="D27" s="464"/>
      <c r="E27" s="464"/>
      <c r="F27" s="464"/>
      <c r="G27" s="464"/>
      <c r="H27" s="464"/>
      <c r="I27" s="464"/>
    </row>
    <row r="28" spans="1:9" x14ac:dyDescent="0.25">
      <c r="A28" s="100"/>
      <c r="B28" s="163"/>
      <c r="C28" s="465" t="s">
        <v>450</v>
      </c>
      <c r="D28" s="465"/>
      <c r="E28" s="465"/>
      <c r="F28" s="163" t="s">
        <v>451</v>
      </c>
      <c r="G28" s="105" t="s">
        <v>452</v>
      </c>
      <c r="H28" s="146" t="s">
        <v>453</v>
      </c>
      <c r="I28" s="151" t="s">
        <v>454</v>
      </c>
    </row>
    <row r="29" spans="1:9" x14ac:dyDescent="0.25">
      <c r="A29" s="129"/>
      <c r="B29" s="117"/>
      <c r="C29" s="481"/>
      <c r="D29" s="482"/>
      <c r="E29" s="483"/>
      <c r="F29" s="113"/>
      <c r="G29" s="136"/>
      <c r="H29" s="149"/>
      <c r="I29" s="98"/>
    </row>
    <row r="30" spans="1:9" x14ac:dyDescent="0.25">
      <c r="A30" s="106"/>
      <c r="B30" s="106"/>
      <c r="C30" s="455"/>
      <c r="D30" s="456"/>
      <c r="E30" s="457"/>
      <c r="F30" s="106"/>
      <c r="G30" s="106"/>
      <c r="H30" s="152"/>
      <c r="I30" s="153"/>
    </row>
    <row r="31" spans="1:9" x14ac:dyDescent="0.25">
      <c r="A31" s="462" t="s">
        <v>465</v>
      </c>
      <c r="B31" s="462"/>
      <c r="C31" s="462"/>
      <c r="D31" s="462"/>
      <c r="E31" s="462"/>
      <c r="F31" s="462"/>
      <c r="G31" s="462"/>
      <c r="H31" s="462"/>
      <c r="I31" s="154">
        <f>I29</f>
        <v>0</v>
      </c>
    </row>
    <row r="32" spans="1:9" x14ac:dyDescent="0.25">
      <c r="A32" s="467"/>
      <c r="B32" s="468"/>
      <c r="C32" s="468"/>
      <c r="D32" s="468"/>
      <c r="E32" s="468"/>
      <c r="F32" s="468"/>
      <c r="G32" s="468"/>
      <c r="H32" s="468"/>
      <c r="I32" s="469"/>
    </row>
    <row r="33" spans="1:9" x14ac:dyDescent="0.25">
      <c r="A33" s="449" t="s">
        <v>466</v>
      </c>
      <c r="B33" s="449"/>
      <c r="C33" s="449"/>
      <c r="D33" s="449"/>
      <c r="E33" s="449"/>
      <c r="F33" s="449"/>
      <c r="G33" s="449"/>
      <c r="H33" s="449"/>
      <c r="I33" s="449"/>
    </row>
    <row r="34" spans="1:9" x14ac:dyDescent="0.25">
      <c r="A34" s="466" t="s">
        <v>467</v>
      </c>
      <c r="B34" s="466"/>
      <c r="C34" s="466"/>
      <c r="D34" s="466"/>
      <c r="E34" s="466"/>
      <c r="F34" s="466"/>
      <c r="G34" s="466"/>
      <c r="H34" s="466"/>
      <c r="I34" s="155">
        <f>I13</f>
        <v>116.0505</v>
      </c>
    </row>
    <row r="35" spans="1:9" x14ac:dyDescent="0.25">
      <c r="A35" s="466" t="s">
        <v>468</v>
      </c>
      <c r="B35" s="466"/>
      <c r="C35" s="466"/>
      <c r="D35" s="466"/>
      <c r="E35" s="466"/>
      <c r="F35" s="466"/>
      <c r="G35" s="466"/>
      <c r="H35" s="466"/>
      <c r="I35" s="155">
        <f>I25</f>
        <v>149.42589999999998</v>
      </c>
    </row>
    <row r="36" spans="1:9" x14ac:dyDescent="0.25">
      <c r="A36" s="466" t="s">
        <v>469</v>
      </c>
      <c r="B36" s="466"/>
      <c r="C36" s="466"/>
      <c r="D36" s="466"/>
      <c r="E36" s="466"/>
      <c r="F36" s="466"/>
      <c r="G36" s="466"/>
      <c r="H36" s="466"/>
      <c r="I36" s="155">
        <f>I31</f>
        <v>0</v>
      </c>
    </row>
    <row r="37" spans="1:9" x14ac:dyDescent="0.25">
      <c r="A37" s="466" t="s">
        <v>470</v>
      </c>
      <c r="B37" s="466"/>
      <c r="C37" s="466"/>
      <c r="D37" s="466"/>
      <c r="E37" s="466"/>
      <c r="F37" s="466"/>
      <c r="G37" s="466"/>
      <c r="H37" s="466"/>
      <c r="I37" s="147">
        <f>SUM(I34:I36)</f>
        <v>265.47640000000001</v>
      </c>
    </row>
  </sheetData>
  <mergeCells count="33">
    <mergeCell ref="A15:I15"/>
    <mergeCell ref="A1:H4"/>
    <mergeCell ref="I1:I2"/>
    <mergeCell ref="A5:H6"/>
    <mergeCell ref="I5:I6"/>
    <mergeCell ref="A7:I7"/>
    <mergeCell ref="A8:I8"/>
    <mergeCell ref="C9:E9"/>
    <mergeCell ref="C10:D10"/>
    <mergeCell ref="C11:D11"/>
    <mergeCell ref="C12:D12"/>
    <mergeCell ref="A13:H13"/>
    <mergeCell ref="C28:E28"/>
    <mergeCell ref="C16:E16"/>
    <mergeCell ref="C17:E17"/>
    <mergeCell ref="C18:E18"/>
    <mergeCell ref="C19:E19"/>
    <mergeCell ref="C20:E20"/>
    <mergeCell ref="C21:E21"/>
    <mergeCell ref="C22:E22"/>
    <mergeCell ref="C23:E23"/>
    <mergeCell ref="C24:E24"/>
    <mergeCell ref="A25:H25"/>
    <mergeCell ref="A27:I27"/>
    <mergeCell ref="A35:H35"/>
    <mergeCell ref="A36:H36"/>
    <mergeCell ref="A37:H37"/>
    <mergeCell ref="C29:E29"/>
    <mergeCell ref="C30:E30"/>
    <mergeCell ref="A31:H31"/>
    <mergeCell ref="A32:I32"/>
    <mergeCell ref="A33:I33"/>
    <mergeCell ref="A34:H34"/>
  </mergeCells>
  <pageMargins left="0.511811024" right="0.511811024" top="0.78740157499999996" bottom="0.78740157499999996" header="0.31496062000000002" footer="0.31496062000000002"/>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topLeftCell="A4" zoomScale="112" zoomScaleNormal="100" zoomScaleSheetLayoutView="112" workbookViewId="0">
      <selection activeCell="G18" sqref="G18"/>
    </sheetView>
  </sheetViews>
  <sheetFormatPr defaultRowHeight="15" x14ac:dyDescent="0.25"/>
  <cols>
    <col min="1" max="1" width="13.5703125" style="124" customWidth="1"/>
    <col min="2" max="2" width="10" style="124" bestFit="1" customWidth="1"/>
    <col min="3" max="3" width="9.140625" style="125"/>
    <col min="4" max="4" width="20.5703125" style="125" customWidth="1"/>
    <col min="5" max="5" width="20.140625" style="125" customWidth="1"/>
    <col min="6" max="6" width="5" style="125" bestFit="1" customWidth="1"/>
    <col min="7" max="7" width="9.5703125" style="125" bestFit="1" customWidth="1"/>
    <col min="8" max="8" width="8.42578125" style="125" bestFit="1" customWidth="1"/>
    <col min="9" max="9" width="11" style="125" bestFit="1" customWidth="1"/>
  </cols>
  <sheetData>
    <row r="1" spans="1:9" x14ac:dyDescent="0.25">
      <c r="A1" s="450" t="s">
        <v>443</v>
      </c>
      <c r="B1" s="450"/>
      <c r="C1" s="450"/>
      <c r="D1" s="450"/>
      <c r="E1" s="450"/>
      <c r="F1" s="450"/>
      <c r="G1" s="450"/>
      <c r="H1" s="450"/>
      <c r="I1" s="451" t="s">
        <v>444</v>
      </c>
    </row>
    <row r="2" spans="1:9" x14ac:dyDescent="0.25">
      <c r="A2" s="450"/>
      <c r="B2" s="450"/>
      <c r="C2" s="450"/>
      <c r="D2" s="450"/>
      <c r="E2" s="450"/>
      <c r="F2" s="450"/>
      <c r="G2" s="450"/>
      <c r="H2" s="450"/>
      <c r="I2" s="451"/>
    </row>
    <row r="3" spans="1:9" x14ac:dyDescent="0.25">
      <c r="A3" s="450"/>
      <c r="B3" s="450"/>
      <c r="C3" s="450"/>
      <c r="D3" s="450"/>
      <c r="E3" s="450"/>
      <c r="F3" s="450"/>
      <c r="G3" s="450"/>
      <c r="H3" s="450"/>
      <c r="I3" s="92">
        <v>44652</v>
      </c>
    </row>
    <row r="4" spans="1:9" x14ac:dyDescent="0.25">
      <c r="A4" s="450"/>
      <c r="B4" s="450"/>
      <c r="C4" s="450"/>
      <c r="D4" s="450"/>
      <c r="E4" s="450"/>
      <c r="F4" s="450"/>
      <c r="G4" s="450"/>
      <c r="H4" s="450"/>
      <c r="I4" s="166" t="s">
        <v>192</v>
      </c>
    </row>
    <row r="5" spans="1:9" x14ac:dyDescent="0.25">
      <c r="A5" s="452" t="s">
        <v>493</v>
      </c>
      <c r="B5" s="452"/>
      <c r="C5" s="452"/>
      <c r="D5" s="452"/>
      <c r="E5" s="452"/>
      <c r="F5" s="452"/>
      <c r="G5" s="452"/>
      <c r="H5" s="452"/>
      <c r="I5" s="453" t="s">
        <v>494</v>
      </c>
    </row>
    <row r="6" spans="1:9" x14ac:dyDescent="0.25">
      <c r="A6" s="452"/>
      <c r="B6" s="452"/>
      <c r="C6" s="452"/>
      <c r="D6" s="452"/>
      <c r="E6" s="452"/>
      <c r="F6" s="452"/>
      <c r="G6" s="452"/>
      <c r="H6" s="452"/>
      <c r="I6" s="453"/>
    </row>
    <row r="7" spans="1:9" x14ac:dyDescent="0.25">
      <c r="A7" s="454" t="s">
        <v>495</v>
      </c>
      <c r="B7" s="454"/>
      <c r="C7" s="454"/>
      <c r="D7" s="454"/>
      <c r="E7" s="454"/>
      <c r="F7" s="454"/>
      <c r="G7" s="454"/>
      <c r="H7" s="454"/>
      <c r="I7" s="454"/>
    </row>
    <row r="8" spans="1:9" x14ac:dyDescent="0.25">
      <c r="A8" s="449" t="s">
        <v>448</v>
      </c>
      <c r="B8" s="449"/>
      <c r="C8" s="449"/>
      <c r="D8" s="449"/>
      <c r="E8" s="449"/>
      <c r="F8" s="449"/>
      <c r="G8" s="449"/>
      <c r="H8" s="449"/>
      <c r="I8" s="449"/>
    </row>
    <row r="9" spans="1:9" x14ac:dyDescent="0.25">
      <c r="A9" s="93" t="s">
        <v>449</v>
      </c>
      <c r="B9" s="165" t="s">
        <v>12</v>
      </c>
      <c r="C9" s="458" t="s">
        <v>450</v>
      </c>
      <c r="D9" s="458"/>
      <c r="E9" s="458"/>
      <c r="F9" s="165" t="s">
        <v>451</v>
      </c>
      <c r="G9" s="94" t="s">
        <v>452</v>
      </c>
      <c r="H9" s="95" t="s">
        <v>453</v>
      </c>
      <c r="I9" s="96" t="s">
        <v>454</v>
      </c>
    </row>
    <row r="10" spans="1:9" x14ac:dyDescent="0.25">
      <c r="A10" s="131" t="s">
        <v>474</v>
      </c>
      <c r="B10" s="126" t="s">
        <v>24</v>
      </c>
      <c r="C10" s="470" t="s">
        <v>475</v>
      </c>
      <c r="D10" s="471"/>
      <c r="E10" s="101" t="s">
        <v>457</v>
      </c>
      <c r="F10" s="165" t="s">
        <v>458</v>
      </c>
      <c r="G10" s="94">
        <v>3.42</v>
      </c>
      <c r="H10" s="142">
        <v>19.12</v>
      </c>
      <c r="I10" s="145">
        <f>G10*H10</f>
        <v>65.3904</v>
      </c>
    </row>
    <row r="11" spans="1:9" x14ac:dyDescent="0.25">
      <c r="A11" s="131" t="s">
        <v>476</v>
      </c>
      <c r="B11" s="126" t="s">
        <v>24</v>
      </c>
      <c r="C11" s="470" t="s">
        <v>477</v>
      </c>
      <c r="D11" s="472"/>
      <c r="E11" s="101" t="s">
        <v>457</v>
      </c>
      <c r="F11" s="165" t="s">
        <v>458</v>
      </c>
      <c r="G11" s="94">
        <v>2.5099999999999998</v>
      </c>
      <c r="H11" s="142">
        <v>14.18</v>
      </c>
      <c r="I11" s="145">
        <f>G11*H11</f>
        <v>35.591799999999999</v>
      </c>
    </row>
    <row r="12" spans="1:9" x14ac:dyDescent="0.25">
      <c r="A12" s="462" t="s">
        <v>461</v>
      </c>
      <c r="B12" s="462"/>
      <c r="C12" s="462"/>
      <c r="D12" s="462"/>
      <c r="E12" s="462"/>
      <c r="F12" s="462"/>
      <c r="G12" s="462"/>
      <c r="H12" s="462"/>
      <c r="I12" s="104">
        <f>SUM(I10:I11)</f>
        <v>100.98220000000001</v>
      </c>
    </row>
    <row r="13" spans="1:9" x14ac:dyDescent="0.25">
      <c r="A13" s="162"/>
      <c r="B13" s="162"/>
      <c r="C13" s="162"/>
      <c r="D13" s="162"/>
      <c r="E13" s="162"/>
      <c r="F13" s="162"/>
      <c r="G13" s="162"/>
      <c r="H13" s="162"/>
      <c r="I13" s="104"/>
    </row>
    <row r="14" spans="1:9" x14ac:dyDescent="0.25">
      <c r="A14" s="449" t="s">
        <v>462</v>
      </c>
      <c r="B14" s="449"/>
      <c r="C14" s="449"/>
      <c r="D14" s="449"/>
      <c r="E14" s="449"/>
      <c r="F14" s="449"/>
      <c r="G14" s="449"/>
      <c r="H14" s="449"/>
      <c r="I14" s="449"/>
    </row>
    <row r="15" spans="1:9" x14ac:dyDescent="0.25">
      <c r="A15" s="93" t="s">
        <v>449</v>
      </c>
      <c r="B15" s="165" t="s">
        <v>12</v>
      </c>
      <c r="C15" s="458" t="s">
        <v>450</v>
      </c>
      <c r="D15" s="458"/>
      <c r="E15" s="458"/>
      <c r="F15" s="165" t="s">
        <v>451</v>
      </c>
      <c r="G15" s="94" t="s">
        <v>452</v>
      </c>
      <c r="H15" s="95" t="s">
        <v>453</v>
      </c>
      <c r="I15" s="96" t="s">
        <v>454</v>
      </c>
    </row>
    <row r="16" spans="1:9" x14ac:dyDescent="0.25">
      <c r="A16" s="111" t="s">
        <v>496</v>
      </c>
      <c r="B16" s="97" t="s">
        <v>24</v>
      </c>
      <c r="C16" s="474" t="s">
        <v>497</v>
      </c>
      <c r="D16" s="474"/>
      <c r="E16" s="474"/>
      <c r="F16" s="111" t="s">
        <v>124</v>
      </c>
      <c r="G16" s="138">
        <v>1</v>
      </c>
      <c r="H16" s="148">
        <v>86.84</v>
      </c>
      <c r="I16" s="246">
        <f>G16*H16</f>
        <v>86.84</v>
      </c>
    </row>
    <row r="17" spans="1:9" ht="44.25" customHeight="1" x14ac:dyDescent="0.25">
      <c r="A17" s="111" t="s">
        <v>498</v>
      </c>
      <c r="B17" s="97" t="s">
        <v>24</v>
      </c>
      <c r="C17" s="474" t="s">
        <v>499</v>
      </c>
      <c r="D17" s="474"/>
      <c r="E17" s="474"/>
      <c r="F17" s="111" t="s">
        <v>124</v>
      </c>
      <c r="G17" s="138">
        <v>1</v>
      </c>
      <c r="H17" s="148">
        <v>19.36</v>
      </c>
      <c r="I17" s="246">
        <f>G17*H17</f>
        <v>19.36</v>
      </c>
    </row>
    <row r="18" spans="1:9" ht="34.5" customHeight="1" x14ac:dyDescent="0.25">
      <c r="A18" s="111" t="s">
        <v>500</v>
      </c>
      <c r="B18" s="97" t="s">
        <v>24</v>
      </c>
      <c r="C18" s="474" t="s">
        <v>501</v>
      </c>
      <c r="D18" s="474"/>
      <c r="E18" s="474"/>
      <c r="F18" s="111" t="s">
        <v>56</v>
      </c>
      <c r="G18" s="138">
        <v>24</v>
      </c>
      <c r="H18" s="148">
        <v>8.82</v>
      </c>
      <c r="I18" s="246">
        <f>G18*H18</f>
        <v>211.68</v>
      </c>
    </row>
    <row r="19" spans="1:9" x14ac:dyDescent="0.25">
      <c r="A19" s="117"/>
      <c r="B19" s="117"/>
      <c r="C19" s="463"/>
      <c r="D19" s="463"/>
      <c r="E19" s="463"/>
      <c r="F19" s="118"/>
      <c r="G19" s="119"/>
      <c r="H19" s="120"/>
      <c r="I19" s="121"/>
    </row>
    <row r="20" spans="1:9" x14ac:dyDescent="0.25">
      <c r="A20" s="462" t="s">
        <v>463</v>
      </c>
      <c r="B20" s="462"/>
      <c r="C20" s="462"/>
      <c r="D20" s="462"/>
      <c r="E20" s="462"/>
      <c r="F20" s="462"/>
      <c r="G20" s="462"/>
      <c r="H20" s="462"/>
      <c r="I20" s="122">
        <f>SUM(I16:I18)</f>
        <v>317.88</v>
      </c>
    </row>
    <row r="21" spans="1:9" x14ac:dyDescent="0.25">
      <c r="A21" s="162"/>
      <c r="B21" s="162"/>
      <c r="C21" s="162"/>
      <c r="D21" s="162"/>
      <c r="E21" s="162"/>
      <c r="F21" s="162"/>
      <c r="G21" s="162"/>
      <c r="H21" s="162"/>
      <c r="I21" s="104"/>
    </row>
    <row r="22" spans="1:9" x14ac:dyDescent="0.25">
      <c r="A22" s="464" t="s">
        <v>464</v>
      </c>
      <c r="B22" s="464"/>
      <c r="C22" s="464"/>
      <c r="D22" s="464"/>
      <c r="E22" s="464"/>
      <c r="F22" s="464"/>
      <c r="G22" s="464"/>
      <c r="H22" s="464"/>
      <c r="I22" s="464"/>
    </row>
    <row r="23" spans="1:9" x14ac:dyDescent="0.25">
      <c r="A23" s="100"/>
      <c r="B23" s="163"/>
      <c r="C23" s="465" t="s">
        <v>450</v>
      </c>
      <c r="D23" s="465"/>
      <c r="E23" s="465"/>
      <c r="F23" s="163" t="s">
        <v>451</v>
      </c>
      <c r="G23" s="105" t="s">
        <v>452</v>
      </c>
      <c r="H23" s="102" t="s">
        <v>453</v>
      </c>
      <c r="I23" s="103" t="s">
        <v>454</v>
      </c>
    </row>
    <row r="24" spans="1:9" x14ac:dyDescent="0.25">
      <c r="A24" s="129"/>
      <c r="B24" s="117"/>
      <c r="C24" s="481"/>
      <c r="D24" s="482"/>
      <c r="E24" s="483"/>
      <c r="F24" s="113"/>
      <c r="G24" s="136"/>
      <c r="H24" s="120"/>
      <c r="I24" s="133"/>
    </row>
    <row r="25" spans="1:9" x14ac:dyDescent="0.25">
      <c r="A25" s="106"/>
      <c r="B25" s="106"/>
      <c r="C25" s="455"/>
      <c r="D25" s="456"/>
      <c r="E25" s="457"/>
      <c r="F25" s="107"/>
      <c r="G25" s="107"/>
      <c r="H25" s="108"/>
      <c r="I25" s="109"/>
    </row>
    <row r="26" spans="1:9" x14ac:dyDescent="0.25">
      <c r="A26" s="462" t="s">
        <v>465</v>
      </c>
      <c r="B26" s="462"/>
      <c r="C26" s="462"/>
      <c r="D26" s="462"/>
      <c r="E26" s="462"/>
      <c r="F26" s="462"/>
      <c r="G26" s="462"/>
      <c r="H26" s="462"/>
      <c r="I26" s="110">
        <f>I24</f>
        <v>0</v>
      </c>
    </row>
    <row r="27" spans="1:9" x14ac:dyDescent="0.25">
      <c r="A27" s="467"/>
      <c r="B27" s="468"/>
      <c r="C27" s="468"/>
      <c r="D27" s="468"/>
      <c r="E27" s="468"/>
      <c r="F27" s="468"/>
      <c r="G27" s="468"/>
      <c r="H27" s="468"/>
      <c r="I27" s="469"/>
    </row>
    <row r="28" spans="1:9" x14ac:dyDescent="0.25">
      <c r="A28" s="449" t="s">
        <v>466</v>
      </c>
      <c r="B28" s="449"/>
      <c r="C28" s="449"/>
      <c r="D28" s="449"/>
      <c r="E28" s="449"/>
      <c r="F28" s="449"/>
      <c r="G28" s="449"/>
      <c r="H28" s="449"/>
      <c r="I28" s="449"/>
    </row>
    <row r="29" spans="1:9" x14ac:dyDescent="0.25">
      <c r="A29" s="466" t="s">
        <v>467</v>
      </c>
      <c r="B29" s="466"/>
      <c r="C29" s="466"/>
      <c r="D29" s="466"/>
      <c r="E29" s="466"/>
      <c r="F29" s="466"/>
      <c r="G29" s="466"/>
      <c r="H29" s="466"/>
      <c r="I29" s="123">
        <f>I12</f>
        <v>100.98220000000001</v>
      </c>
    </row>
    <row r="30" spans="1:9" x14ac:dyDescent="0.25">
      <c r="A30" s="466" t="s">
        <v>468</v>
      </c>
      <c r="B30" s="466"/>
      <c r="C30" s="466"/>
      <c r="D30" s="466"/>
      <c r="E30" s="466"/>
      <c r="F30" s="466"/>
      <c r="G30" s="466"/>
      <c r="H30" s="466"/>
      <c r="I30" s="123">
        <f>I20</f>
        <v>317.88</v>
      </c>
    </row>
    <row r="31" spans="1:9" x14ac:dyDescent="0.25">
      <c r="A31" s="466" t="s">
        <v>469</v>
      </c>
      <c r="B31" s="466"/>
      <c r="C31" s="466"/>
      <c r="D31" s="466"/>
      <c r="E31" s="466"/>
      <c r="F31" s="466"/>
      <c r="G31" s="466"/>
      <c r="H31" s="466"/>
      <c r="I31" s="123">
        <f>I21</f>
        <v>0</v>
      </c>
    </row>
    <row r="32" spans="1:9" x14ac:dyDescent="0.25">
      <c r="A32" s="466" t="s">
        <v>470</v>
      </c>
      <c r="B32" s="466"/>
      <c r="C32" s="466"/>
      <c r="D32" s="466"/>
      <c r="E32" s="466"/>
      <c r="F32" s="466"/>
      <c r="G32" s="466"/>
      <c r="H32" s="466"/>
      <c r="I32" s="130">
        <f>SUM(I29:I30)</f>
        <v>418.86220000000003</v>
      </c>
    </row>
  </sheetData>
  <mergeCells count="28">
    <mergeCell ref="C17:E17"/>
    <mergeCell ref="C18:E18"/>
    <mergeCell ref="A28:I28"/>
    <mergeCell ref="A29:H29"/>
    <mergeCell ref="C24:E24"/>
    <mergeCell ref="C25:E25"/>
    <mergeCell ref="A26:H26"/>
    <mergeCell ref="A30:H30"/>
    <mergeCell ref="A31:H31"/>
    <mergeCell ref="A32:H32"/>
    <mergeCell ref="A8:I8"/>
    <mergeCell ref="C9:E9"/>
    <mergeCell ref="C10:D10"/>
    <mergeCell ref="C11:D11"/>
    <mergeCell ref="A27:I27"/>
    <mergeCell ref="A12:H12"/>
    <mergeCell ref="A14:I14"/>
    <mergeCell ref="C15:E15"/>
    <mergeCell ref="C19:E19"/>
    <mergeCell ref="A20:H20"/>
    <mergeCell ref="A22:I22"/>
    <mergeCell ref="C23:E23"/>
    <mergeCell ref="C16:E16"/>
    <mergeCell ref="A1:H4"/>
    <mergeCell ref="I1:I2"/>
    <mergeCell ref="A5:H6"/>
    <mergeCell ref="I5:I6"/>
    <mergeCell ref="A7:I7"/>
  </mergeCells>
  <pageMargins left="0.511811024" right="0.511811024" top="0.78740157499999996" bottom="0.78740157499999996" header="0.31496062000000002" footer="0.31496062000000002"/>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18</vt:i4>
      </vt:variant>
      <vt:variant>
        <vt:lpstr>Intervalos nomeados</vt:lpstr>
      </vt:variant>
      <vt:variant>
        <vt:i4>10</vt:i4>
      </vt:variant>
    </vt:vector>
  </HeadingPairs>
  <TitlesOfParts>
    <vt:vector size="28" baseType="lpstr">
      <vt:lpstr>PLANILHA ORÇAMENTÁRIA</vt:lpstr>
      <vt:lpstr>CRONOGRAMA</vt:lpstr>
      <vt:lpstr>MC</vt:lpstr>
      <vt:lpstr>BDI</vt:lpstr>
      <vt:lpstr>LS</vt:lpstr>
      <vt:lpstr>COMP-01</vt:lpstr>
      <vt:lpstr>COMP-02</vt:lpstr>
      <vt:lpstr>COMP-03</vt:lpstr>
      <vt:lpstr>COMP-04</vt:lpstr>
      <vt:lpstr>COMP-05</vt:lpstr>
      <vt:lpstr>COMP-06</vt:lpstr>
      <vt:lpstr>COMP-07</vt:lpstr>
      <vt:lpstr>COMP-08</vt:lpstr>
      <vt:lpstr>COMP-09</vt:lpstr>
      <vt:lpstr>COMP-10</vt:lpstr>
      <vt:lpstr>COMP-11</vt:lpstr>
      <vt:lpstr>COMP-12</vt:lpstr>
      <vt:lpstr>COTAÇÕES </vt:lpstr>
      <vt:lpstr>BDI!Area_de_impressao</vt:lpstr>
      <vt:lpstr>'COTAÇÕES '!Area_de_impressao</vt:lpstr>
      <vt:lpstr>CRONOGRAMA!Area_de_impressao</vt:lpstr>
      <vt:lpstr>LS!Area_de_impressao</vt:lpstr>
      <vt:lpstr>MC!Area_de_impressao</vt:lpstr>
      <vt:lpstr>'PLANILHA ORÇAMENTÁRIA'!Area_de_impressao</vt:lpstr>
      <vt:lpstr>'COTAÇÕES '!Titulos_de_impressao</vt:lpstr>
      <vt:lpstr>CRONOGRAMA!Titulos_de_impressao</vt:lpstr>
      <vt:lpstr>MC!Titulos_de_impressao</vt:lpstr>
      <vt:lpstr>'PLANILHA ORÇAMENTÁRIA'!Titulos_de_impressao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thais.baptista</dc:creator>
  <cp:keywords/>
  <dc:description/>
  <cp:lastModifiedBy>allan.dantas</cp:lastModifiedBy>
  <cp:revision/>
  <cp:lastPrinted>2022-07-14T11:25:16Z</cp:lastPrinted>
  <dcterms:created xsi:type="dcterms:W3CDTF">2021-04-14T10:19:50Z</dcterms:created>
  <dcterms:modified xsi:type="dcterms:W3CDTF">2022-07-14T11:25:17Z</dcterms:modified>
  <cp:category/>
  <cp:contentStatus/>
</cp:coreProperties>
</file>