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Obras\Obras\ENGENHARIA\2.PROPOSTA - NOVAS OBRAS\37 - OBRAS EDUCAÇÃO\REFORMA MARIA OLIRIA\ORÇAMENTO\REV-01\"/>
    </mc:Choice>
  </mc:AlternateContent>
  <bookViews>
    <workbookView xWindow="0" yWindow="0" windowWidth="7470" windowHeight="2760" tabRatio="809"/>
  </bookViews>
  <sheets>
    <sheet name="PLANILHA ORÇAMENTÁRIA" sheetId="1" r:id="rId1"/>
    <sheet name="MC" sheetId="11" r:id="rId2"/>
    <sheet name="CRONOGRAMA" sheetId="22" r:id="rId3"/>
    <sheet name="BDI" sheetId="4" r:id="rId4"/>
    <sheet name="LS" sheetId="5" r:id="rId5"/>
    <sheet name="COMP-01" sheetId="24" r:id="rId6"/>
    <sheet name="COMP-02" sheetId="32" r:id="rId7"/>
    <sheet name="COMP-03" sheetId="26" r:id="rId8"/>
    <sheet name="COMP-04" sheetId="48" r:id="rId9"/>
    <sheet name="COMP-06" sheetId="28" state="hidden" r:id="rId10"/>
    <sheet name="COMP-07" sheetId="29" state="hidden" r:id="rId11"/>
    <sheet name="COMP-08" sheetId="30" state="hidden" r:id="rId12"/>
    <sheet name="COMP-09" sheetId="31" state="hidden" r:id="rId13"/>
    <sheet name="COMP-10" sheetId="39" state="hidden" r:id="rId14"/>
    <sheet name="COMP-11" sheetId="40" state="hidden" r:id="rId15"/>
    <sheet name="COMP-12" sheetId="38" state="hidden" r:id="rId16"/>
    <sheet name="COMP-14" sheetId="43" state="hidden" r:id="rId17"/>
    <sheet name="COMP-15" sheetId="44" state="hidden" r:id="rId18"/>
    <sheet name="COMP-16" sheetId="45" state="hidden" r:id="rId19"/>
    <sheet name="COMP-17" sheetId="46" state="hidden" r:id="rId20"/>
    <sheet name="COTAÇÕES " sheetId="23" state="hidden" r:id="rId21"/>
  </sheets>
  <externalReferences>
    <externalReference r:id="rId22"/>
    <externalReference r:id="rId23"/>
  </externalReferences>
  <definedNames>
    <definedName name="_xlnm.Print_Area" localSheetId="3">BDI!$B$2:$J$49</definedName>
    <definedName name="_xlnm.Print_Area" localSheetId="20">'COTAÇÕES '!$A$1:$Q$15</definedName>
    <definedName name="_xlnm.Print_Area" localSheetId="2">CRONOGRAMA!$A$1:$I$35</definedName>
    <definedName name="_xlnm.Print_Area" localSheetId="4">LS!$B$2:$E$50</definedName>
    <definedName name="_xlnm.Print_Area" localSheetId="1">MC!$A$1:$J$977</definedName>
    <definedName name="_xlnm.Print_Area" localSheetId="0">'PLANILHA ORÇAMENTÁRIA'!$A$1:$I$87</definedName>
    <definedName name="_xlnm.Print_Titles" localSheetId="2">CRONOGRAMA!$A:$D,CRONOGRAMA!$1:$7</definedName>
    <definedName name="_xlnm.Print_Titles" localSheetId="1">MC!$1:$5</definedName>
    <definedName name="_xlnm.Print_Titles" localSheetId="0">'PLANILHA ORÇAMENTÁRIA'!$1:$7</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25" i="1" l="1"/>
  <c r="H52" i="1"/>
  <c r="G16" i="1"/>
  <c r="H361" i="11" l="1"/>
  <c r="H362" i="11"/>
  <c r="H363" i="11"/>
  <c r="H360" i="11"/>
  <c r="H914" i="11"/>
  <c r="H915" i="11"/>
  <c r="H916" i="11"/>
  <c r="H913" i="11"/>
  <c r="H931" i="11" l="1"/>
  <c r="J931" i="11" s="1"/>
  <c r="H930" i="11"/>
  <c r="J930" i="11" s="1"/>
  <c r="J933" i="11" s="1"/>
  <c r="J375" i="11"/>
  <c r="J376" i="11"/>
  <c r="H376" i="11"/>
  <c r="H375" i="11"/>
  <c r="J916" i="11"/>
  <c r="J915" i="11"/>
  <c r="F915" i="11"/>
  <c r="F914" i="11"/>
  <c r="J914" i="11" s="1"/>
  <c r="J913" i="11"/>
  <c r="J912" i="11"/>
  <c r="G911" i="11"/>
  <c r="F911" i="11"/>
  <c r="J910" i="11"/>
  <c r="H910" i="11"/>
  <c r="H909" i="11"/>
  <c r="J909" i="11" s="1"/>
  <c r="H908" i="11"/>
  <c r="J908" i="11" s="1"/>
  <c r="H907" i="11"/>
  <c r="J907" i="11" s="1"/>
  <c r="J906" i="11"/>
  <c r="G905" i="11"/>
  <c r="F905" i="11"/>
  <c r="H905" i="11" s="1"/>
  <c r="J905" i="11" s="1"/>
  <c r="H904" i="11"/>
  <c r="J904" i="11" s="1"/>
  <c r="H903" i="11"/>
  <c r="J903" i="11" s="1"/>
  <c r="H902" i="11"/>
  <c r="J902" i="11" s="1"/>
  <c r="H901" i="11"/>
  <c r="J901" i="11" s="1"/>
  <c r="J900" i="11"/>
  <c r="J899" i="11"/>
  <c r="J898" i="11"/>
  <c r="J897" i="11"/>
  <c r="H897" i="11"/>
  <c r="H896" i="11"/>
  <c r="J896" i="11" s="1"/>
  <c r="H895" i="11"/>
  <c r="J895" i="11" s="1"/>
  <c r="H894" i="11"/>
  <c r="J894" i="11" s="1"/>
  <c r="J893" i="11"/>
  <c r="J892" i="11"/>
  <c r="G891" i="11"/>
  <c r="H891" i="11" s="1"/>
  <c r="J891" i="11" s="1"/>
  <c r="F891" i="11"/>
  <c r="H890" i="11"/>
  <c r="J890" i="11" s="1"/>
  <c r="H889" i="11"/>
  <c r="J889" i="11" s="1"/>
  <c r="G888" i="11"/>
  <c r="H888" i="11" s="1"/>
  <c r="J888" i="11" s="1"/>
  <c r="J887" i="11"/>
  <c r="H887" i="11"/>
  <c r="J886" i="11"/>
  <c r="G885" i="11"/>
  <c r="F885" i="11"/>
  <c r="J884" i="11"/>
  <c r="H884" i="11"/>
  <c r="H883" i="11"/>
  <c r="J883" i="11" s="1"/>
  <c r="H882" i="11"/>
  <c r="J882" i="11" s="1"/>
  <c r="H881" i="11"/>
  <c r="J881" i="11" s="1"/>
  <c r="J880" i="11"/>
  <c r="G879" i="11"/>
  <c r="F879" i="11"/>
  <c r="H879" i="11" s="1"/>
  <c r="J879" i="11" s="1"/>
  <c r="H878" i="11"/>
  <c r="J878" i="11" s="1"/>
  <c r="H877" i="11"/>
  <c r="J877" i="11" s="1"/>
  <c r="H876" i="11"/>
  <c r="J876" i="11" s="1"/>
  <c r="H875" i="11"/>
  <c r="J875" i="11" s="1"/>
  <c r="J874" i="11"/>
  <c r="J873" i="11"/>
  <c r="H872" i="11"/>
  <c r="J872" i="11" s="1"/>
  <c r="H871" i="11"/>
  <c r="J871" i="11" s="1"/>
  <c r="H870" i="11"/>
  <c r="J870" i="11" s="1"/>
  <c r="J869" i="11"/>
  <c r="J868" i="11"/>
  <c r="J867" i="11"/>
  <c r="J866" i="11"/>
  <c r="H865" i="11"/>
  <c r="J865" i="11" s="1"/>
  <c r="H864" i="11"/>
  <c r="J864" i="11" s="1"/>
  <c r="H863" i="11"/>
  <c r="J863" i="11" s="1"/>
  <c r="H862" i="11"/>
  <c r="J862" i="11" s="1"/>
  <c r="H861" i="11"/>
  <c r="J861" i="11" s="1"/>
  <c r="H860" i="11"/>
  <c r="J860" i="11" s="1"/>
  <c r="H859" i="11"/>
  <c r="J859" i="11" s="1"/>
  <c r="H858" i="11"/>
  <c r="J858" i="11" s="1"/>
  <c r="H857" i="11"/>
  <c r="J857" i="11" s="1"/>
  <c r="G856" i="11"/>
  <c r="H856" i="11" s="1"/>
  <c r="J856" i="11" s="1"/>
  <c r="H855" i="11"/>
  <c r="J855" i="11" s="1"/>
  <c r="G854" i="11"/>
  <c r="H854" i="11" s="1"/>
  <c r="J854" i="11" s="1"/>
  <c r="H853" i="11"/>
  <c r="J853" i="11" s="1"/>
  <c r="G852" i="11"/>
  <c r="H852" i="11" s="1"/>
  <c r="J852" i="11" s="1"/>
  <c r="H851" i="11"/>
  <c r="J851" i="11" s="1"/>
  <c r="J850" i="11"/>
  <c r="H849" i="11"/>
  <c r="J849" i="11" s="1"/>
  <c r="H848" i="11"/>
  <c r="J848" i="11" s="1"/>
  <c r="H847" i="11"/>
  <c r="J847" i="11" s="1"/>
  <c r="H846" i="11"/>
  <c r="J846" i="11" s="1"/>
  <c r="H845" i="11"/>
  <c r="J845" i="11" s="1"/>
  <c r="H844" i="11"/>
  <c r="J844" i="11" s="1"/>
  <c r="H843" i="11"/>
  <c r="J843" i="11" s="1"/>
  <c r="G843" i="11"/>
  <c r="H842" i="11"/>
  <c r="J842" i="11" s="1"/>
  <c r="G841" i="11"/>
  <c r="H841" i="11" s="1"/>
  <c r="J841" i="11" s="1"/>
  <c r="J840" i="11"/>
  <c r="J839" i="11"/>
  <c r="H839" i="11"/>
  <c r="H838" i="11"/>
  <c r="J838" i="11" s="1"/>
  <c r="H837" i="11"/>
  <c r="J837" i="11" s="1"/>
  <c r="H836" i="11"/>
  <c r="J836" i="11" s="1"/>
  <c r="J835" i="11"/>
  <c r="H835" i="11"/>
  <c r="H834" i="11"/>
  <c r="J834" i="11" s="1"/>
  <c r="H833" i="11"/>
  <c r="J833" i="11" s="1"/>
  <c r="H832" i="11"/>
  <c r="J832" i="11" s="1"/>
  <c r="J831" i="11"/>
  <c r="H831" i="11"/>
  <c r="H830" i="11"/>
  <c r="J830" i="11" s="1"/>
  <c r="H829" i="11"/>
  <c r="J829" i="11" s="1"/>
  <c r="H828" i="11"/>
  <c r="J828" i="11" s="1"/>
  <c r="J827" i="11"/>
  <c r="H827" i="11"/>
  <c r="H826" i="11"/>
  <c r="J826" i="11" s="1"/>
  <c r="H825" i="11"/>
  <c r="J825" i="11" s="1"/>
  <c r="H824" i="11"/>
  <c r="J824" i="11" s="1"/>
  <c r="J823" i="11"/>
  <c r="H823" i="11"/>
  <c r="H822" i="11"/>
  <c r="J822" i="11" s="1"/>
  <c r="H821" i="11"/>
  <c r="J821" i="11" s="1"/>
  <c r="H820" i="11"/>
  <c r="J820" i="11" s="1"/>
  <c r="J819" i="11"/>
  <c r="H818" i="11"/>
  <c r="J818" i="11" s="1"/>
  <c r="H817" i="11"/>
  <c r="J817" i="11" s="1"/>
  <c r="J816" i="11"/>
  <c r="H816" i="11"/>
  <c r="H815" i="11"/>
  <c r="J815" i="11" s="1"/>
  <c r="H814" i="11"/>
  <c r="J814" i="11" s="1"/>
  <c r="H813" i="11"/>
  <c r="J813" i="11" s="1"/>
  <c r="J812" i="11"/>
  <c r="J811" i="11"/>
  <c r="G810" i="11"/>
  <c r="F810" i="11"/>
  <c r="H810" i="11" s="1"/>
  <c r="J810" i="11" s="1"/>
  <c r="H809" i="11"/>
  <c r="J809" i="11" s="1"/>
  <c r="J808" i="11"/>
  <c r="H808" i="11"/>
  <c r="H807" i="11"/>
  <c r="J807" i="11" s="1"/>
  <c r="H806" i="11"/>
  <c r="J806" i="11" s="1"/>
  <c r="J805" i="11"/>
  <c r="J804" i="11"/>
  <c r="G804" i="11"/>
  <c r="F804" i="11"/>
  <c r="H804" i="11" s="1"/>
  <c r="H803" i="11"/>
  <c r="J803" i="11" s="1"/>
  <c r="H802" i="11"/>
  <c r="J802" i="11" s="1"/>
  <c r="J801" i="11"/>
  <c r="H801" i="11"/>
  <c r="H800" i="11"/>
  <c r="J800" i="11" s="1"/>
  <c r="J799" i="11"/>
  <c r="H798" i="11"/>
  <c r="J798" i="11" s="1"/>
  <c r="H797" i="11"/>
  <c r="J797" i="11" s="1"/>
  <c r="H796" i="11"/>
  <c r="J796" i="11" s="1"/>
  <c r="H795" i="11"/>
  <c r="J795" i="11" s="1"/>
  <c r="H794" i="11"/>
  <c r="J794" i="11" s="1"/>
  <c r="J793" i="11"/>
  <c r="J792" i="11"/>
  <c r="H791" i="11"/>
  <c r="J791" i="11" s="1"/>
  <c r="H790" i="11"/>
  <c r="J790" i="11" s="1"/>
  <c r="H789" i="11"/>
  <c r="J789" i="11" s="1"/>
  <c r="J788" i="11"/>
  <c r="J787" i="11"/>
  <c r="H786" i="11"/>
  <c r="J786" i="11" s="1"/>
  <c r="J785" i="11"/>
  <c r="H785" i="11"/>
  <c r="H784" i="11"/>
  <c r="J784" i="11" s="1"/>
  <c r="H783" i="11"/>
  <c r="J783" i="11" s="1"/>
  <c r="H782" i="11"/>
  <c r="J782" i="11" s="1"/>
  <c r="J781" i="11"/>
  <c r="H780" i="11"/>
  <c r="J780" i="11" s="1"/>
  <c r="H779" i="11"/>
  <c r="J779" i="11" s="1"/>
  <c r="J778" i="11"/>
  <c r="H778" i="11"/>
  <c r="H777" i="11"/>
  <c r="J777" i="11" s="1"/>
  <c r="H776" i="11"/>
  <c r="J776" i="11" s="1"/>
  <c r="J775" i="11"/>
  <c r="J774" i="11"/>
  <c r="H774" i="11"/>
  <c r="H773" i="11"/>
  <c r="J773" i="11" s="1"/>
  <c r="H772" i="11"/>
  <c r="J772" i="11" s="1"/>
  <c r="H771" i="11"/>
  <c r="J771" i="11" s="1"/>
  <c r="H770" i="11"/>
  <c r="J770" i="11" s="1"/>
  <c r="J769" i="11"/>
  <c r="H768" i="11"/>
  <c r="J768" i="11" s="1"/>
  <c r="H767" i="11"/>
  <c r="J767" i="11" s="1"/>
  <c r="H766" i="11"/>
  <c r="J766" i="11" s="1"/>
  <c r="J765" i="11"/>
  <c r="H765" i="11"/>
  <c r="H764" i="11"/>
  <c r="J764" i="11" s="1"/>
  <c r="J763" i="11"/>
  <c r="H762" i="11"/>
  <c r="J762" i="11" s="1"/>
  <c r="H761" i="11"/>
  <c r="J761" i="11" s="1"/>
  <c r="H760" i="11"/>
  <c r="J760" i="11" s="1"/>
  <c r="H759" i="11"/>
  <c r="J759" i="11" s="1"/>
  <c r="H758" i="11"/>
  <c r="J758" i="11" s="1"/>
  <c r="J757" i="11"/>
  <c r="J756" i="11"/>
  <c r="H756" i="11"/>
  <c r="H755" i="11"/>
  <c r="J755" i="11" s="1"/>
  <c r="H754" i="11"/>
  <c r="J754" i="11" s="1"/>
  <c r="H753" i="11"/>
  <c r="J753" i="11" s="1"/>
  <c r="J752" i="11"/>
  <c r="H752" i="11"/>
  <c r="J751" i="11"/>
  <c r="J750" i="11"/>
  <c r="J749" i="11"/>
  <c r="H748" i="11"/>
  <c r="J748" i="11" s="1"/>
  <c r="H747" i="11"/>
  <c r="J747" i="11" s="1"/>
  <c r="H746" i="11"/>
  <c r="J746" i="11" s="1"/>
  <c r="J745" i="11"/>
  <c r="H745" i="11"/>
  <c r="H744" i="11"/>
  <c r="J744" i="11" s="1"/>
  <c r="J743" i="11"/>
  <c r="J742" i="11"/>
  <c r="J741" i="11"/>
  <c r="H740" i="11"/>
  <c r="J740" i="11" s="1"/>
  <c r="H739" i="11"/>
  <c r="J739" i="11" s="1"/>
  <c r="H738" i="11"/>
  <c r="J738" i="11" s="1"/>
  <c r="J737" i="11"/>
  <c r="H737" i="11"/>
  <c r="H736" i="11"/>
  <c r="J736" i="11" s="1"/>
  <c r="H735" i="11"/>
  <c r="J735" i="11" s="1"/>
  <c r="H734" i="11"/>
  <c r="J734" i="11" s="1"/>
  <c r="J733" i="11"/>
  <c r="H733" i="11"/>
  <c r="H732" i="11"/>
  <c r="J732" i="11" s="1"/>
  <c r="H731" i="11"/>
  <c r="J731" i="11" s="1"/>
  <c r="H730" i="11"/>
  <c r="J730" i="11" s="1"/>
  <c r="J729" i="11"/>
  <c r="H729" i="11"/>
  <c r="H728" i="11"/>
  <c r="J728" i="11" s="1"/>
  <c r="H727" i="11"/>
  <c r="J727" i="11" s="1"/>
  <c r="H726" i="11"/>
  <c r="J726" i="11" s="1"/>
  <c r="J725" i="11"/>
  <c r="H725" i="11"/>
  <c r="H724" i="11"/>
  <c r="J724" i="11" s="1"/>
  <c r="H723" i="11"/>
  <c r="J723" i="11" s="1"/>
  <c r="H722" i="11"/>
  <c r="J722" i="11" s="1"/>
  <c r="J721" i="11"/>
  <c r="H721" i="11"/>
  <c r="J719" i="11"/>
  <c r="H718" i="11"/>
  <c r="J718" i="11" s="1"/>
  <c r="H717" i="11"/>
  <c r="J717" i="11" s="1"/>
  <c r="J716" i="11"/>
  <c r="H716" i="11"/>
  <c r="H715" i="11"/>
  <c r="J715" i="11" s="1"/>
  <c r="H714" i="11"/>
  <c r="J714" i="11" s="1"/>
  <c r="H713" i="11"/>
  <c r="J713" i="11" s="1"/>
  <c r="J712" i="11"/>
  <c r="H712" i="11"/>
  <c r="H711" i="11"/>
  <c r="J711" i="11" s="1"/>
  <c r="H710" i="11"/>
  <c r="J710" i="11" s="1"/>
  <c r="H709" i="11"/>
  <c r="J709" i="11" s="1"/>
  <c r="J708" i="11"/>
  <c r="H708" i="11"/>
  <c r="H707" i="11"/>
  <c r="J707" i="11" s="1"/>
  <c r="H706" i="11"/>
  <c r="J706" i="11" s="1"/>
  <c r="H705" i="11"/>
  <c r="J705" i="11" s="1"/>
  <c r="J704" i="11"/>
  <c r="H704" i="11"/>
  <c r="H703" i="11"/>
  <c r="J703" i="11" s="1"/>
  <c r="H702" i="11"/>
  <c r="J702" i="11" s="1"/>
  <c r="H701" i="11"/>
  <c r="J701" i="11" s="1"/>
  <c r="J700" i="11"/>
  <c r="H700" i="11"/>
  <c r="H699" i="11"/>
  <c r="J699" i="11" s="1"/>
  <c r="H698" i="11"/>
  <c r="J698" i="11" s="1"/>
  <c r="H697" i="11"/>
  <c r="J697" i="11" s="1"/>
  <c r="J696" i="11"/>
  <c r="H695" i="11"/>
  <c r="J695" i="11" s="1"/>
  <c r="J694" i="11"/>
  <c r="H693" i="11"/>
  <c r="J693" i="11" s="1"/>
  <c r="H691" i="11"/>
  <c r="J691" i="11" s="1"/>
  <c r="J690" i="11"/>
  <c r="H689" i="11"/>
  <c r="J689" i="11" s="1"/>
  <c r="J688" i="11"/>
  <c r="H687" i="11"/>
  <c r="J687" i="11" s="1"/>
  <c r="J686" i="11"/>
  <c r="H686" i="11"/>
  <c r="H685" i="11"/>
  <c r="J685" i="11" s="1"/>
  <c r="H684" i="11"/>
  <c r="J684" i="11" s="1"/>
  <c r="J683" i="11"/>
  <c r="H682" i="11"/>
  <c r="J682" i="11" s="1"/>
  <c r="J681" i="11"/>
  <c r="H681" i="11"/>
  <c r="H680" i="11"/>
  <c r="J680" i="11" s="1"/>
  <c r="H679" i="11"/>
  <c r="J679" i="11" s="1"/>
  <c r="J678" i="11"/>
  <c r="J677" i="11"/>
  <c r="H677" i="11"/>
  <c r="H676" i="11"/>
  <c r="J676" i="11" s="1"/>
  <c r="H675" i="11"/>
  <c r="J675" i="11" s="1"/>
  <c r="H674" i="11"/>
  <c r="J674" i="11" s="1"/>
  <c r="J673" i="11"/>
  <c r="H672" i="11"/>
  <c r="J672" i="11" s="1"/>
  <c r="H671" i="11"/>
  <c r="J671" i="11" s="1"/>
  <c r="J670" i="11"/>
  <c r="H670" i="11"/>
  <c r="H668" i="11"/>
  <c r="J668" i="11" s="1"/>
  <c r="J667" i="11"/>
  <c r="H666" i="11"/>
  <c r="J666" i="11" s="1"/>
  <c r="H665" i="11"/>
  <c r="J665" i="11" s="1"/>
  <c r="H664" i="11"/>
  <c r="J664" i="11" s="1"/>
  <c r="J663" i="11"/>
  <c r="H663" i="11"/>
  <c r="J662" i="11"/>
  <c r="H661" i="11"/>
  <c r="J661" i="11" s="1"/>
  <c r="H660" i="11"/>
  <c r="J660" i="11" s="1"/>
  <c r="H659" i="11"/>
  <c r="J659" i="11" s="1"/>
  <c r="H658" i="11"/>
  <c r="J658" i="11" s="1"/>
  <c r="J657" i="11"/>
  <c r="H656" i="11"/>
  <c r="J656" i="11" s="1"/>
  <c r="H655" i="11"/>
  <c r="J655" i="11" s="1"/>
  <c r="J654" i="11"/>
  <c r="H654" i="11"/>
  <c r="H653" i="11"/>
  <c r="J653" i="11" s="1"/>
  <c r="J652" i="11"/>
  <c r="H651" i="11"/>
  <c r="J651" i="11" s="1"/>
  <c r="H650" i="11"/>
  <c r="J650" i="11" s="1"/>
  <c r="H649" i="11"/>
  <c r="J649" i="11" s="1"/>
  <c r="H648" i="11"/>
  <c r="J648" i="11" s="1"/>
  <c r="J647" i="11"/>
  <c r="H646" i="11"/>
  <c r="J646" i="11" s="1"/>
  <c r="J645" i="11"/>
  <c r="H645" i="11"/>
  <c r="H644" i="11"/>
  <c r="J644" i="11" s="1"/>
  <c r="H642" i="11"/>
  <c r="J642" i="11" s="1"/>
  <c r="J641" i="11"/>
  <c r="H640" i="11"/>
  <c r="J640" i="11" s="1"/>
  <c r="H639" i="11"/>
  <c r="J639" i="11" s="1"/>
  <c r="J638" i="11"/>
  <c r="H638" i="11"/>
  <c r="H637" i="11"/>
  <c r="J637" i="11" s="1"/>
  <c r="J636" i="11"/>
  <c r="H635" i="11"/>
  <c r="J635" i="11" s="1"/>
  <c r="H634" i="11"/>
  <c r="J634" i="11" s="1"/>
  <c r="H633" i="11"/>
  <c r="J633" i="11" s="1"/>
  <c r="H632" i="11"/>
  <c r="J632" i="11" s="1"/>
  <c r="J631" i="11"/>
  <c r="H630" i="11"/>
  <c r="J630" i="11" s="1"/>
  <c r="H629" i="11"/>
  <c r="J629" i="11" s="1"/>
  <c r="H628" i="11"/>
  <c r="J628" i="11" s="1"/>
  <c r="J627" i="11"/>
  <c r="H627" i="11"/>
  <c r="J626" i="11"/>
  <c r="J625" i="11"/>
  <c r="H625" i="11"/>
  <c r="H624" i="11"/>
  <c r="J624" i="11" s="1"/>
  <c r="J623" i="11"/>
  <c r="H623" i="11"/>
  <c r="H622" i="11"/>
  <c r="J622" i="11" s="1"/>
  <c r="J621" i="11"/>
  <c r="J620" i="11"/>
  <c r="H620" i="11"/>
  <c r="H619" i="11"/>
  <c r="J619" i="11" s="1"/>
  <c r="H618" i="11"/>
  <c r="J618" i="11" s="1"/>
  <c r="J68" i="11"/>
  <c r="J73" i="11"/>
  <c r="J78" i="11"/>
  <c r="J83" i="11"/>
  <c r="J88" i="11"/>
  <c r="J90" i="11"/>
  <c r="J94" i="11"/>
  <c r="J99" i="11"/>
  <c r="J104" i="11"/>
  <c r="J109" i="11"/>
  <c r="J114" i="11"/>
  <c r="J116" i="11"/>
  <c r="J120" i="11"/>
  <c r="J122" i="11"/>
  <c r="J125" i="11"/>
  <c r="J130" i="11"/>
  <c r="J135" i="11"/>
  <c r="J137" i="11"/>
  <c r="J138" i="11"/>
  <c r="J139" i="11"/>
  <c r="J141" i="11"/>
  <c r="J143" i="11"/>
  <c r="J166" i="11"/>
  <c r="J167" i="11"/>
  <c r="J171" i="11"/>
  <c r="J174" i="11"/>
  <c r="J179" i="11"/>
  <c r="J182" i="11"/>
  <c r="J187" i="11"/>
  <c r="J188" i="11"/>
  <c r="J189" i="11"/>
  <c r="J190" i="11"/>
  <c r="J194" i="11"/>
  <c r="J196" i="11"/>
  <c r="J197" i="11"/>
  <c r="J198" i="11"/>
  <c r="J204" i="11"/>
  <c r="J210" i="11"/>
  <c r="J211" i="11"/>
  <c r="J216" i="11"/>
  <c r="J219" i="11"/>
  <c r="J222" i="11"/>
  <c r="J228" i="11"/>
  <c r="J234" i="11"/>
  <c r="J235" i="11"/>
  <c r="J239" i="11"/>
  <c r="J240" i="11"/>
  <c r="J246" i="11"/>
  <c r="J247" i="11"/>
  <c r="J252" i="11"/>
  <c r="J255" i="11"/>
  <c r="J258" i="11"/>
  <c r="J259" i="11"/>
  <c r="J266" i="11"/>
  <c r="J287" i="11"/>
  <c r="J290" i="11"/>
  <c r="J294" i="11"/>
  <c r="J297" i="11"/>
  <c r="J299" i="11"/>
  <c r="J302" i="11"/>
  <c r="J307" i="11"/>
  <c r="J310" i="11"/>
  <c r="J313" i="11"/>
  <c r="J314" i="11"/>
  <c r="J315" i="11"/>
  <c r="J316" i="11"/>
  <c r="J319" i="11"/>
  <c r="J320" i="11"/>
  <c r="J321" i="11"/>
  <c r="J327" i="11"/>
  <c r="J333" i="11"/>
  <c r="J339" i="11"/>
  <c r="J340" i="11"/>
  <c r="J342" i="11"/>
  <c r="J345" i="11"/>
  <c r="J346" i="11"/>
  <c r="J347" i="11"/>
  <c r="J348" i="11"/>
  <c r="J353" i="11"/>
  <c r="J356" i="11"/>
  <c r="J359" i="11"/>
  <c r="J363" i="11"/>
  <c r="F362" i="11"/>
  <c r="J362" i="11" s="1"/>
  <c r="F361" i="11"/>
  <c r="J361" i="11" s="1"/>
  <c r="J360" i="11"/>
  <c r="G358" i="11"/>
  <c r="F358" i="11"/>
  <c r="H357" i="11"/>
  <c r="J357" i="11" s="1"/>
  <c r="H356" i="11"/>
  <c r="H355" i="11"/>
  <c r="J355" i="11" s="1"/>
  <c r="H354" i="11"/>
  <c r="J354" i="11" s="1"/>
  <c r="G352" i="11"/>
  <c r="F352" i="11"/>
  <c r="H351" i="11"/>
  <c r="J351" i="11" s="1"/>
  <c r="H350" i="11"/>
  <c r="J350" i="11" s="1"/>
  <c r="H349" i="11"/>
  <c r="J349" i="11" s="1"/>
  <c r="H348" i="11"/>
  <c r="H344" i="11"/>
  <c r="J344" i="11" s="1"/>
  <c r="H343" i="11"/>
  <c r="J343" i="11" s="1"/>
  <c r="H342" i="11"/>
  <c r="H341" i="11"/>
  <c r="J341" i="11" s="1"/>
  <c r="G338" i="11"/>
  <c r="F338" i="11"/>
  <c r="H337" i="11"/>
  <c r="J337" i="11" s="1"/>
  <c r="H336" i="11"/>
  <c r="J336" i="11" s="1"/>
  <c r="G335" i="11"/>
  <c r="H335" i="11" s="1"/>
  <c r="J335" i="11" s="1"/>
  <c r="H334" i="11"/>
  <c r="J334" i="11" s="1"/>
  <c r="G332" i="11"/>
  <c r="F332" i="11"/>
  <c r="H331" i="11"/>
  <c r="J331" i="11" s="1"/>
  <c r="H330" i="11"/>
  <c r="J330" i="11" s="1"/>
  <c r="H329" i="11"/>
  <c r="J329" i="11" s="1"/>
  <c r="H328" i="11"/>
  <c r="J328" i="11" s="1"/>
  <c r="G326" i="11"/>
  <c r="F326" i="11"/>
  <c r="H325" i="11"/>
  <c r="J325" i="11" s="1"/>
  <c r="H324" i="11"/>
  <c r="J324" i="11" s="1"/>
  <c r="H323" i="11"/>
  <c r="J323" i="11" s="1"/>
  <c r="H322" i="11"/>
  <c r="J322" i="11" s="1"/>
  <c r="H319" i="11"/>
  <c r="H318" i="11"/>
  <c r="J318" i="11" s="1"/>
  <c r="H317" i="11"/>
  <c r="J317" i="11" s="1"/>
  <c r="H312" i="11"/>
  <c r="J312" i="11" s="1"/>
  <c r="H311" i="11"/>
  <c r="J311" i="11" s="1"/>
  <c r="H310" i="11"/>
  <c r="H309" i="11"/>
  <c r="J309" i="11" s="1"/>
  <c r="H308" i="11"/>
  <c r="J308" i="11" s="1"/>
  <c r="H307" i="11"/>
  <c r="H306" i="11"/>
  <c r="J306" i="11" s="1"/>
  <c r="H305" i="11"/>
  <c r="J305" i="11" s="1"/>
  <c r="H304" i="11"/>
  <c r="J304" i="11" s="1"/>
  <c r="G303" i="11"/>
  <c r="H303" i="11" s="1"/>
  <c r="J303" i="11" s="1"/>
  <c r="H302" i="11"/>
  <c r="G301" i="11"/>
  <c r="H301" i="11" s="1"/>
  <c r="J301" i="11" s="1"/>
  <c r="H300" i="11"/>
  <c r="J300" i="11" s="1"/>
  <c r="G299" i="11"/>
  <c r="H299" i="11" s="1"/>
  <c r="H298" i="11"/>
  <c r="J298" i="11" s="1"/>
  <c r="H296" i="11"/>
  <c r="J296" i="11" s="1"/>
  <c r="H295" i="11"/>
  <c r="J295" i="11" s="1"/>
  <c r="H294" i="11"/>
  <c r="H293" i="11"/>
  <c r="J293" i="11" s="1"/>
  <c r="H292" i="11"/>
  <c r="J292" i="11" s="1"/>
  <c r="H291" i="11"/>
  <c r="J291" i="11" s="1"/>
  <c r="G290" i="11"/>
  <c r="H290" i="11" s="1"/>
  <c r="H289" i="11"/>
  <c r="J289" i="11" s="1"/>
  <c r="G288" i="11"/>
  <c r="H288" i="11" s="1"/>
  <c r="J288" i="11" s="1"/>
  <c r="H286" i="11"/>
  <c r="J286" i="11" s="1"/>
  <c r="H285" i="11"/>
  <c r="J285" i="11" s="1"/>
  <c r="H284" i="11"/>
  <c r="J284" i="11" s="1"/>
  <c r="H283" i="11"/>
  <c r="J283" i="11" s="1"/>
  <c r="H282" i="11"/>
  <c r="J282" i="11" s="1"/>
  <c r="H281" i="11"/>
  <c r="J281" i="11" s="1"/>
  <c r="H280" i="11"/>
  <c r="J280" i="11" s="1"/>
  <c r="H279" i="11"/>
  <c r="J279" i="11" s="1"/>
  <c r="H278" i="11"/>
  <c r="J278" i="11" s="1"/>
  <c r="H277" i="11"/>
  <c r="J277" i="11" s="1"/>
  <c r="H276" i="11"/>
  <c r="J276" i="11" s="1"/>
  <c r="H275" i="11"/>
  <c r="J275" i="11" s="1"/>
  <c r="H274" i="11"/>
  <c r="J274" i="11" s="1"/>
  <c r="H273" i="11"/>
  <c r="J273" i="11" s="1"/>
  <c r="H272" i="11"/>
  <c r="J272" i="11" s="1"/>
  <c r="H271" i="11"/>
  <c r="J271" i="11" s="1"/>
  <c r="H270" i="11"/>
  <c r="J270" i="11" s="1"/>
  <c r="H269" i="11"/>
  <c r="J269" i="11" s="1"/>
  <c r="H268" i="11"/>
  <c r="J268" i="11" s="1"/>
  <c r="H267" i="11"/>
  <c r="J267" i="11" s="1"/>
  <c r="H265" i="11"/>
  <c r="J265" i="11" s="1"/>
  <c r="H264" i="11"/>
  <c r="J264" i="11" s="1"/>
  <c r="H263" i="11"/>
  <c r="J263" i="11" s="1"/>
  <c r="H262" i="11"/>
  <c r="J262" i="11" s="1"/>
  <c r="H261" i="11"/>
  <c r="J261" i="11" s="1"/>
  <c r="H260" i="11"/>
  <c r="J260" i="11" s="1"/>
  <c r="G257" i="11"/>
  <c r="F257" i="11"/>
  <c r="H256" i="11"/>
  <c r="J256" i="11" s="1"/>
  <c r="H255" i="11"/>
  <c r="H254" i="11"/>
  <c r="J254" i="11" s="1"/>
  <c r="H253" i="11"/>
  <c r="J253" i="11" s="1"/>
  <c r="G251" i="11"/>
  <c r="F251" i="11"/>
  <c r="H250" i="11"/>
  <c r="J250" i="11" s="1"/>
  <c r="H249" i="11"/>
  <c r="J249" i="11" s="1"/>
  <c r="H248" i="11"/>
  <c r="J248" i="11" s="1"/>
  <c r="H247" i="11"/>
  <c r="H245" i="11"/>
  <c r="J245" i="11" s="1"/>
  <c r="H244" i="11"/>
  <c r="J244" i="11" s="1"/>
  <c r="H243" i="11"/>
  <c r="J243" i="11" s="1"/>
  <c r="H242" i="11"/>
  <c r="J242" i="11" s="1"/>
  <c r="H241" i="11"/>
  <c r="J241" i="11" s="1"/>
  <c r="H238" i="11"/>
  <c r="J238" i="11" s="1"/>
  <c r="H237" i="11"/>
  <c r="J237" i="11" s="1"/>
  <c r="H236" i="11"/>
  <c r="J236" i="11" s="1"/>
  <c r="H233" i="11"/>
  <c r="J233" i="11" s="1"/>
  <c r="H232" i="11"/>
  <c r="J232" i="11" s="1"/>
  <c r="H231" i="11"/>
  <c r="J231" i="11" s="1"/>
  <c r="H230" i="11"/>
  <c r="J230" i="11" s="1"/>
  <c r="H229" i="11"/>
  <c r="J229" i="11" s="1"/>
  <c r="H227" i="11"/>
  <c r="J227" i="11" s="1"/>
  <c r="H226" i="11"/>
  <c r="J226" i="11" s="1"/>
  <c r="H225" i="11"/>
  <c r="J225" i="11" s="1"/>
  <c r="H224" i="11"/>
  <c r="J224" i="11" s="1"/>
  <c r="H223" i="11"/>
  <c r="J223" i="11" s="1"/>
  <c r="H221" i="11"/>
  <c r="J221" i="11" s="1"/>
  <c r="H220" i="11"/>
  <c r="J220" i="11" s="1"/>
  <c r="H219" i="11"/>
  <c r="H218" i="11"/>
  <c r="J218" i="11" s="1"/>
  <c r="H217" i="11"/>
  <c r="J217" i="11" s="1"/>
  <c r="H215" i="11"/>
  <c r="J215" i="11" s="1"/>
  <c r="H214" i="11"/>
  <c r="J214" i="11" s="1"/>
  <c r="H213" i="11"/>
  <c r="J213" i="11" s="1"/>
  <c r="H212" i="11"/>
  <c r="J212" i="11" s="1"/>
  <c r="H211" i="11"/>
  <c r="H209" i="11"/>
  <c r="J209" i="11" s="1"/>
  <c r="H208" i="11"/>
  <c r="J208" i="11" s="1"/>
  <c r="H207" i="11"/>
  <c r="J207" i="11" s="1"/>
  <c r="H206" i="11"/>
  <c r="J206" i="11" s="1"/>
  <c r="H205" i="11"/>
  <c r="J205" i="11" s="1"/>
  <c r="H203" i="11"/>
  <c r="J203" i="11" s="1"/>
  <c r="H202" i="11"/>
  <c r="J202" i="11" s="1"/>
  <c r="H201" i="11"/>
  <c r="J201" i="11" s="1"/>
  <c r="H200" i="11"/>
  <c r="J200" i="11" s="1"/>
  <c r="H199" i="11"/>
  <c r="J199" i="11" s="1"/>
  <c r="H195" i="11"/>
  <c r="J195" i="11" s="1"/>
  <c r="H194" i="11"/>
  <c r="H193" i="11"/>
  <c r="J193" i="11" s="1"/>
  <c r="H192" i="11"/>
  <c r="J192" i="11" s="1"/>
  <c r="H191" i="11"/>
  <c r="J191" i="11" s="1"/>
  <c r="H187" i="11"/>
  <c r="H186" i="11"/>
  <c r="J186" i="11" s="1"/>
  <c r="H185" i="11"/>
  <c r="J185" i="11" s="1"/>
  <c r="H184" i="11"/>
  <c r="J184" i="11" s="1"/>
  <c r="H183" i="11"/>
  <c r="J183" i="11" s="1"/>
  <c r="H182" i="11"/>
  <c r="H181" i="11"/>
  <c r="J181" i="11" s="1"/>
  <c r="H180" i="11"/>
  <c r="J180" i="11" s="1"/>
  <c r="H179" i="11"/>
  <c r="H178" i="11"/>
  <c r="J178" i="11" s="1"/>
  <c r="H177" i="11"/>
  <c r="J177" i="11" s="1"/>
  <c r="H176" i="11"/>
  <c r="J176" i="11" s="1"/>
  <c r="H175" i="11"/>
  <c r="J175" i="11" s="1"/>
  <c r="H174" i="11"/>
  <c r="H173" i="11"/>
  <c r="J173" i="11" s="1"/>
  <c r="H172" i="11"/>
  <c r="J172" i="11" s="1"/>
  <c r="H171" i="11"/>
  <c r="H170" i="11"/>
  <c r="J170" i="11" s="1"/>
  <c r="H169" i="11"/>
  <c r="J169" i="11" s="1"/>
  <c r="H168" i="11"/>
  <c r="J168" i="11" s="1"/>
  <c r="H165" i="11"/>
  <c r="J165" i="11" s="1"/>
  <c r="H164" i="11"/>
  <c r="J164" i="11" s="1"/>
  <c r="H163" i="11"/>
  <c r="J163" i="11" s="1"/>
  <c r="H162" i="11"/>
  <c r="J162" i="11" s="1"/>
  <c r="H161" i="11"/>
  <c r="J161" i="11" s="1"/>
  <c r="H160" i="11"/>
  <c r="J160" i="11" s="1"/>
  <c r="H159" i="11"/>
  <c r="J159" i="11" s="1"/>
  <c r="H158" i="11"/>
  <c r="J158" i="11" s="1"/>
  <c r="H157" i="11"/>
  <c r="J157" i="11" s="1"/>
  <c r="H156" i="11"/>
  <c r="J156" i="11" s="1"/>
  <c r="H155" i="11"/>
  <c r="J155" i="11" s="1"/>
  <c r="H154" i="11"/>
  <c r="J154" i="11" s="1"/>
  <c r="H153" i="11"/>
  <c r="J153" i="11" s="1"/>
  <c r="H152" i="11"/>
  <c r="J152" i="11" s="1"/>
  <c r="H151" i="11"/>
  <c r="J151" i="11" s="1"/>
  <c r="H150" i="11"/>
  <c r="J150" i="11" s="1"/>
  <c r="H149" i="11"/>
  <c r="J149" i="11" s="1"/>
  <c r="H148" i="11"/>
  <c r="J148" i="11" s="1"/>
  <c r="H147" i="11"/>
  <c r="J147" i="11" s="1"/>
  <c r="H146" i="11"/>
  <c r="J146" i="11" s="1"/>
  <c r="H145" i="11"/>
  <c r="J145" i="11" s="1"/>
  <c r="H144" i="11"/>
  <c r="J144" i="11" s="1"/>
  <c r="H142" i="11"/>
  <c r="J142" i="11" s="1"/>
  <c r="H140" i="11"/>
  <c r="J140" i="11" s="1"/>
  <c r="H138" i="11"/>
  <c r="H136" i="11"/>
  <c r="J136" i="11" s="1"/>
  <c r="H134" i="11"/>
  <c r="J134" i="11" s="1"/>
  <c r="H133" i="11"/>
  <c r="J133" i="11" s="1"/>
  <c r="H132" i="11"/>
  <c r="J132" i="11" s="1"/>
  <c r="H131" i="11"/>
  <c r="J131" i="11" s="1"/>
  <c r="H129" i="11"/>
  <c r="J129" i="11" s="1"/>
  <c r="H128" i="11"/>
  <c r="J128" i="11" s="1"/>
  <c r="H127" i="11"/>
  <c r="J127" i="11" s="1"/>
  <c r="H126" i="11"/>
  <c r="J126" i="11" s="1"/>
  <c r="H124" i="11"/>
  <c r="J124" i="11" s="1"/>
  <c r="H123" i="11"/>
  <c r="J123" i="11" s="1"/>
  <c r="H122" i="11"/>
  <c r="H121" i="11"/>
  <c r="J121" i="11" s="1"/>
  <c r="H119" i="11"/>
  <c r="J119" i="11" s="1"/>
  <c r="H118" i="11"/>
  <c r="J118" i="11" s="1"/>
  <c r="H117" i="11"/>
  <c r="J117" i="11" s="1"/>
  <c r="H115" i="11"/>
  <c r="J115" i="11" s="1"/>
  <c r="H113" i="11"/>
  <c r="J113" i="11" s="1"/>
  <c r="H112" i="11"/>
  <c r="J112" i="11" s="1"/>
  <c r="H111" i="11"/>
  <c r="J111" i="11" s="1"/>
  <c r="H110" i="11"/>
  <c r="J110" i="11" s="1"/>
  <c r="H108" i="11"/>
  <c r="J108" i="11" s="1"/>
  <c r="H107" i="11"/>
  <c r="J107" i="11" s="1"/>
  <c r="H106" i="11"/>
  <c r="J106" i="11" s="1"/>
  <c r="H105" i="11"/>
  <c r="J105" i="11" s="1"/>
  <c r="H103" i="11"/>
  <c r="J103" i="11" s="1"/>
  <c r="H102" i="11"/>
  <c r="J102" i="11" s="1"/>
  <c r="H101" i="11"/>
  <c r="J101" i="11" s="1"/>
  <c r="H100" i="11"/>
  <c r="J100" i="11" s="1"/>
  <c r="H98" i="11"/>
  <c r="J98" i="11" s="1"/>
  <c r="H97" i="11"/>
  <c r="J97" i="11" s="1"/>
  <c r="H96" i="11"/>
  <c r="J96" i="11" s="1"/>
  <c r="H95" i="11"/>
  <c r="J95" i="11" s="1"/>
  <c r="H93" i="11"/>
  <c r="J93" i="11" s="1"/>
  <c r="H92" i="11"/>
  <c r="J92" i="11" s="1"/>
  <c r="H91" i="11"/>
  <c r="J91" i="11" s="1"/>
  <c r="H89" i="11"/>
  <c r="J89" i="11" s="1"/>
  <c r="H87" i="11"/>
  <c r="J87" i="11" s="1"/>
  <c r="H86" i="11"/>
  <c r="J86" i="11" s="1"/>
  <c r="H85" i="11"/>
  <c r="J85" i="11" s="1"/>
  <c r="H84" i="11"/>
  <c r="J84" i="11" s="1"/>
  <c r="H82" i="11"/>
  <c r="J82" i="11" s="1"/>
  <c r="H81" i="11"/>
  <c r="J81" i="11" s="1"/>
  <c r="H80" i="11"/>
  <c r="J80" i="11" s="1"/>
  <c r="H79" i="11"/>
  <c r="J79" i="11" s="1"/>
  <c r="H77" i="11"/>
  <c r="J77" i="11" s="1"/>
  <c r="H76" i="11"/>
  <c r="J76" i="11" s="1"/>
  <c r="H75" i="11"/>
  <c r="J75" i="11" s="1"/>
  <c r="H74" i="11"/>
  <c r="J74" i="11" s="1"/>
  <c r="H72" i="11"/>
  <c r="J72" i="11" s="1"/>
  <c r="H71" i="11"/>
  <c r="J71" i="11" s="1"/>
  <c r="H70" i="11"/>
  <c r="J70" i="11" s="1"/>
  <c r="H69" i="11"/>
  <c r="J69" i="11" s="1"/>
  <c r="H67" i="11"/>
  <c r="J67" i="11" s="1"/>
  <c r="H66" i="11"/>
  <c r="J66" i="11" s="1"/>
  <c r="H65" i="11"/>
  <c r="J65" i="11" s="1"/>
  <c r="J377" i="11" l="1"/>
  <c r="J919" i="11"/>
  <c r="H332" i="11"/>
  <c r="J332" i="11" s="1"/>
  <c r="H326" i="11"/>
  <c r="J326" i="11" s="1"/>
  <c r="H885" i="11"/>
  <c r="J885" i="11" s="1"/>
  <c r="H911" i="11"/>
  <c r="J911" i="11" s="1"/>
  <c r="H352" i="11"/>
  <c r="J352" i="11" s="1"/>
  <c r="H251" i="11"/>
  <c r="J251" i="11" s="1"/>
  <c r="J367" i="11" s="1"/>
  <c r="F15" i="1" s="1"/>
  <c r="H338" i="11"/>
  <c r="J338" i="11" s="1"/>
  <c r="H358" i="11"/>
  <c r="J358" i="11" s="1"/>
  <c r="H257" i="11"/>
  <c r="J257" i="11" s="1"/>
  <c r="H395" i="11" l="1"/>
  <c r="J395" i="11" s="1"/>
  <c r="H599" i="11" l="1"/>
  <c r="J599" i="11" s="1"/>
  <c r="B30" i="22"/>
  <c r="B28" i="22"/>
  <c r="B26" i="22"/>
  <c r="B24" i="22"/>
  <c r="B22" i="22"/>
  <c r="B20" i="22"/>
  <c r="B18" i="22"/>
  <c r="B16" i="22"/>
  <c r="B14" i="22"/>
  <c r="B603" i="11" l="1"/>
  <c r="H39" i="1"/>
  <c r="C479" i="11"/>
  <c r="C494" i="11"/>
  <c r="J495" i="11"/>
  <c r="J496" i="11" s="1"/>
  <c r="F39" i="1" s="1"/>
  <c r="C511" i="11"/>
  <c r="J514" i="11"/>
  <c r="H383" i="11"/>
  <c r="J383" i="11" s="1"/>
  <c r="H382" i="11"/>
  <c r="J382" i="11" s="1"/>
  <c r="H381" i="11"/>
  <c r="J381" i="11" s="1"/>
  <c r="H591" i="11"/>
  <c r="J591" i="11" s="1"/>
  <c r="H20" i="11"/>
  <c r="J20" i="11" s="1"/>
  <c r="H926" i="11"/>
  <c r="J926" i="11" s="1"/>
  <c r="H927" i="11"/>
  <c r="J927" i="11" s="1"/>
  <c r="H928" i="11"/>
  <c r="J928" i="11" s="1"/>
  <c r="H924" i="11"/>
  <c r="C922" i="11"/>
  <c r="J506" i="11"/>
  <c r="J507" i="11"/>
  <c r="J504" i="11"/>
  <c r="J499" i="11"/>
  <c r="J950" i="11"/>
  <c r="H472" i="11"/>
  <c r="I472" i="11" s="1"/>
  <c r="H470" i="11"/>
  <c r="J470" i="11" s="1"/>
  <c r="H466" i="11"/>
  <c r="I466" i="11" s="1"/>
  <c r="J466" i="11" s="1"/>
  <c r="H465" i="11"/>
  <c r="I465" i="11" s="1"/>
  <c r="J465" i="11" s="1"/>
  <c r="H464" i="11"/>
  <c r="I464" i="11" s="1"/>
  <c r="J464" i="11" s="1"/>
  <c r="H462" i="11"/>
  <c r="I462" i="11" s="1"/>
  <c r="J462" i="11" s="1"/>
  <c r="I39" i="1" l="1"/>
  <c r="J386" i="11"/>
  <c r="I470" i="11"/>
  <c r="J472" i="11"/>
  <c r="H458" i="11"/>
  <c r="I458" i="11" s="1"/>
  <c r="J458" i="11" s="1"/>
  <c r="H457" i="11"/>
  <c r="I457" i="11" s="1"/>
  <c r="J457" i="11" s="1"/>
  <c r="H456" i="11"/>
  <c r="I456" i="11" s="1"/>
  <c r="J456" i="11" s="1"/>
  <c r="H454" i="11"/>
  <c r="I454" i="11" s="1"/>
  <c r="J454" i="11" s="1"/>
  <c r="H450" i="11"/>
  <c r="I450" i="11" s="1"/>
  <c r="J450" i="11" s="1"/>
  <c r="H448" i="11"/>
  <c r="I448" i="11" s="1"/>
  <c r="J448" i="11" s="1"/>
  <c r="G446" i="11"/>
  <c r="H446" i="11" s="1"/>
  <c r="I446" i="11" s="1"/>
  <c r="J446" i="11" s="1"/>
  <c r="H445" i="11"/>
  <c r="I445" i="11" s="1"/>
  <c r="J445" i="11" s="1"/>
  <c r="G444" i="11"/>
  <c r="H444" i="11" s="1"/>
  <c r="I444" i="11" s="1"/>
  <c r="J444" i="11" s="1"/>
  <c r="H443" i="11"/>
  <c r="I443" i="11" s="1"/>
  <c r="J443" i="11" s="1"/>
  <c r="H441" i="11"/>
  <c r="I441" i="11" s="1"/>
  <c r="J441" i="11" s="1"/>
  <c r="H435" i="11"/>
  <c r="J435" i="11" s="1"/>
  <c r="H431" i="11"/>
  <c r="J431" i="11" s="1"/>
  <c r="H425" i="11"/>
  <c r="J425" i="11" s="1"/>
  <c r="E421" i="11"/>
  <c r="J421" i="11" s="1"/>
  <c r="J416" i="11"/>
  <c r="J956" i="11"/>
  <c r="H566" i="11"/>
  <c r="J566" i="11" s="1"/>
  <c r="H564" i="11"/>
  <c r="J564" i="11" s="1"/>
  <c r="H590" i="11"/>
  <c r="J590" i="11" s="1"/>
  <c r="H588" i="11"/>
  <c r="J588" i="11" s="1"/>
  <c r="H17" i="11"/>
  <c r="J17" i="11" s="1"/>
  <c r="H19" i="11"/>
  <c r="J19" i="11" s="1"/>
  <c r="H520" i="11"/>
  <c r="J520" i="11" s="1"/>
  <c r="H941" i="11"/>
  <c r="J941" i="11" s="1"/>
  <c r="H393" i="11"/>
  <c r="J393" i="11" s="1"/>
  <c r="J487" i="11"/>
  <c r="J481" i="11"/>
  <c r="J482" i="11" s="1"/>
  <c r="H36" i="1"/>
  <c r="J45" i="11"/>
  <c r="J47" i="11" s="1"/>
  <c r="F13" i="1" s="1"/>
  <c r="C43" i="11"/>
  <c r="H13" i="1"/>
  <c r="H534" i="11"/>
  <c r="J534" i="11" s="1"/>
  <c r="H55" i="11"/>
  <c r="J55" i="11" s="1"/>
  <c r="H554" i="11"/>
  <c r="J554" i="11" s="1"/>
  <c r="H553" i="11"/>
  <c r="J553" i="11" s="1"/>
  <c r="H586" i="11"/>
  <c r="J586" i="11" s="1"/>
  <c r="H585" i="11"/>
  <c r="J585" i="11" s="1"/>
  <c r="H28" i="11"/>
  <c r="I28" i="11" s="1"/>
  <c r="J28" i="11" s="1"/>
  <c r="H27" i="11"/>
  <c r="I27" i="11" s="1"/>
  <c r="J27" i="11" s="1"/>
  <c r="F36" i="1" l="1"/>
  <c r="I36" i="1" s="1"/>
  <c r="I13" i="1"/>
  <c r="H939" i="11"/>
  <c r="J939" i="11" s="1"/>
  <c r="H391" i="11"/>
  <c r="J391" i="11" s="1"/>
  <c r="H551" i="11"/>
  <c r="J551" i="11" s="1"/>
  <c r="H550" i="11"/>
  <c r="J550" i="11" s="1"/>
  <c r="J970" i="11"/>
  <c r="J971" i="11" s="1"/>
  <c r="F85" i="1" s="1"/>
  <c r="H85" i="1"/>
  <c r="J965" i="11"/>
  <c r="J963" i="11"/>
  <c r="I29" i="48"/>
  <c r="I24" i="48"/>
  <c r="I16" i="48"/>
  <c r="I18" i="48" s="1"/>
  <c r="I28" i="48" s="1"/>
  <c r="I11" i="48"/>
  <c r="I10" i="48"/>
  <c r="J610" i="11"/>
  <c r="J411" i="11"/>
  <c r="F20" i="1" s="1"/>
  <c r="H20" i="1"/>
  <c r="H549" i="11"/>
  <c r="J549" i="11" s="1"/>
  <c r="H527" i="11"/>
  <c r="J527" i="11" s="1"/>
  <c r="H53" i="11"/>
  <c r="J53" i="11" s="1"/>
  <c r="J59" i="11" s="1"/>
  <c r="H39" i="11"/>
  <c r="J39" i="11" s="1"/>
  <c r="H38" i="11"/>
  <c r="J38" i="11" s="1"/>
  <c r="H37" i="11"/>
  <c r="J37" i="11" s="1"/>
  <c r="H35" i="11"/>
  <c r="J35" i="11" s="1"/>
  <c r="J924" i="11"/>
  <c r="H373" i="11"/>
  <c r="J373" i="11" s="1"/>
  <c r="H547" i="11"/>
  <c r="J547" i="11" s="1"/>
  <c r="H582" i="11"/>
  <c r="J582" i="11" s="1"/>
  <c r="G580" i="11"/>
  <c r="H580" i="11" s="1"/>
  <c r="J580" i="11" s="1"/>
  <c r="H579" i="11"/>
  <c r="J579" i="11" s="1"/>
  <c r="G578" i="11"/>
  <c r="H578" i="11" s="1"/>
  <c r="J578" i="11" s="1"/>
  <c r="H577" i="11"/>
  <c r="J577" i="11" s="1"/>
  <c r="H12" i="11"/>
  <c r="J12" i="11" s="1"/>
  <c r="H14" i="11"/>
  <c r="J14" i="11" s="1"/>
  <c r="G13" i="11"/>
  <c r="H13" i="11" s="1"/>
  <c r="J13" i="11" s="1"/>
  <c r="G15" i="11"/>
  <c r="H15" i="11" s="1"/>
  <c r="J15" i="11" s="1"/>
  <c r="H598" i="11"/>
  <c r="J598" i="11" s="1"/>
  <c r="J601" i="11" s="1"/>
  <c r="F62" i="1" s="1"/>
  <c r="H400" i="11"/>
  <c r="J400" i="11" s="1"/>
  <c r="J404" i="11" s="1"/>
  <c r="F19" i="1" s="1"/>
  <c r="C398" i="11"/>
  <c r="H19" i="1"/>
  <c r="H41" i="1"/>
  <c r="H562" i="11"/>
  <c r="J562" i="11" s="1"/>
  <c r="H575" i="11"/>
  <c r="J575" i="11" s="1"/>
  <c r="H10" i="11"/>
  <c r="J10" i="11" s="1"/>
  <c r="H938" i="11"/>
  <c r="J938" i="11" s="1"/>
  <c r="H390" i="11"/>
  <c r="J390" i="11" s="1"/>
  <c r="J396" i="11" s="1"/>
  <c r="F18" i="1" s="1"/>
  <c r="H545" i="11"/>
  <c r="J545" i="11" s="1"/>
  <c r="H544" i="11"/>
  <c r="J544" i="11" s="1"/>
  <c r="I12" i="48" l="1"/>
  <c r="I27" i="48" s="1"/>
  <c r="I30" i="48" s="1"/>
  <c r="G84" i="1" s="1"/>
  <c r="H84" i="1" s="1"/>
  <c r="I20" i="1"/>
  <c r="I19" i="1"/>
  <c r="J966" i="11"/>
  <c r="F84" i="1" s="1"/>
  <c r="I85" i="1"/>
  <c r="J41" i="11"/>
  <c r="J593" i="11"/>
  <c r="B5" i="22"/>
  <c r="B3" i="22"/>
  <c r="B3" i="11"/>
  <c r="I84" i="1" l="1"/>
  <c r="B12" i="22"/>
  <c r="B10" i="22"/>
  <c r="B8" i="22"/>
  <c r="I37" i="46"/>
  <c r="I13" i="46"/>
  <c r="I25" i="46"/>
  <c r="H11" i="46"/>
  <c r="H10" i="46"/>
  <c r="I23" i="46"/>
  <c r="I22" i="46"/>
  <c r="I19" i="46"/>
  <c r="I20" i="46"/>
  <c r="I21" i="46"/>
  <c r="I36" i="46"/>
  <c r="I31" i="46"/>
  <c r="I18" i="46"/>
  <c r="I17" i="46"/>
  <c r="I11" i="46"/>
  <c r="I10" i="46"/>
  <c r="C955" i="11"/>
  <c r="C949" i="11"/>
  <c r="C936" i="11"/>
  <c r="C614" i="11"/>
  <c r="I35" i="46" l="1"/>
  <c r="I34" i="46"/>
  <c r="H78" i="1"/>
  <c r="H80" i="1"/>
  <c r="H70" i="1"/>
  <c r="H72" i="1"/>
  <c r="H74" i="1"/>
  <c r="H66" i="1"/>
  <c r="I33" i="45"/>
  <c r="I13" i="45"/>
  <c r="I21" i="45"/>
  <c r="H11" i="45"/>
  <c r="H10" i="45"/>
  <c r="I32" i="45"/>
  <c r="I27" i="45"/>
  <c r="I19" i="45"/>
  <c r="I18" i="45"/>
  <c r="I17" i="45"/>
  <c r="I11" i="45"/>
  <c r="G11" i="45"/>
  <c r="I10" i="45"/>
  <c r="I30" i="45" l="1"/>
  <c r="I31" i="45"/>
  <c r="B922" i="11" l="1"/>
  <c r="I18" i="44"/>
  <c r="I17" i="44"/>
  <c r="I16" i="44"/>
  <c r="I19" i="44" s="1"/>
  <c r="I29" i="44" s="1"/>
  <c r="I25" i="44"/>
  <c r="I30" i="44" s="1"/>
  <c r="I11" i="44"/>
  <c r="I10" i="44"/>
  <c r="I12" i="44" s="1"/>
  <c r="I29" i="43"/>
  <c r="H11" i="43"/>
  <c r="I11" i="43" s="1"/>
  <c r="H10" i="43"/>
  <c r="F72" i="1" l="1"/>
  <c r="I72" i="1" s="1"/>
  <c r="I28" i="44"/>
  <c r="I31" i="44"/>
  <c r="I23" i="43"/>
  <c r="I28" i="43" s="1"/>
  <c r="I17" i="43"/>
  <c r="I27" i="43" s="1"/>
  <c r="I10" i="43"/>
  <c r="C605" i="11"/>
  <c r="C597" i="11"/>
  <c r="C574" i="11"/>
  <c r="C560" i="11"/>
  <c r="C542" i="11"/>
  <c r="C532" i="11"/>
  <c r="C525" i="11"/>
  <c r="C518" i="11"/>
  <c r="C502" i="11"/>
  <c r="C498" i="11"/>
  <c r="C485" i="11"/>
  <c r="C439" i="11"/>
  <c r="F17" i="1"/>
  <c r="I26" i="43" l="1"/>
  <c r="I12" i="43"/>
  <c r="F16" i="1"/>
  <c r="H48" i="1"/>
  <c r="H37" i="1"/>
  <c r="H40" i="1"/>
  <c r="H15" i="1"/>
  <c r="I23" i="32" l="1"/>
  <c r="I28" i="32" s="1"/>
  <c r="I15" i="32"/>
  <c r="I17" i="32" s="1"/>
  <c r="I27" i="32" s="1"/>
  <c r="I10" i="32"/>
  <c r="I11" i="32" s="1"/>
  <c r="I26" i="32" s="1"/>
  <c r="I25" i="38"/>
  <c r="I30" i="38" s="1"/>
  <c r="I18" i="38"/>
  <c r="I17" i="38"/>
  <c r="I19" i="38" s="1"/>
  <c r="I29" i="38" s="1"/>
  <c r="I11" i="38"/>
  <c r="H11" i="38"/>
  <c r="H10" i="38"/>
  <c r="I10" i="38" s="1"/>
  <c r="I13" i="38" s="1"/>
  <c r="I28" i="38" s="1"/>
  <c r="I25" i="40"/>
  <c r="I30" i="40" s="1"/>
  <c r="H17" i="40"/>
  <c r="I17" i="40" s="1"/>
  <c r="I19" i="40" s="1"/>
  <c r="I29" i="40" s="1"/>
  <c r="H11" i="40"/>
  <c r="I11" i="40" s="1"/>
  <c r="I10" i="40"/>
  <c r="I13" i="40" s="1"/>
  <c r="I28" i="40" s="1"/>
  <c r="H10" i="40"/>
  <c r="I27" i="39"/>
  <c r="I32" i="39" s="1"/>
  <c r="I17" i="39"/>
  <c r="I21" i="39" s="1"/>
  <c r="I31" i="39" s="1"/>
  <c r="I11" i="39"/>
  <c r="H11" i="39"/>
  <c r="H10" i="39"/>
  <c r="I10" i="39" s="1"/>
  <c r="I13" i="39" s="1"/>
  <c r="I30" i="39" s="1"/>
  <c r="I27" i="31"/>
  <c r="I32" i="31" s="1"/>
  <c r="I17" i="31"/>
  <c r="I21" i="31" s="1"/>
  <c r="I31" i="31" s="1"/>
  <c r="I11" i="31"/>
  <c r="H11" i="31"/>
  <c r="H10" i="31"/>
  <c r="I10" i="31" s="1"/>
  <c r="I13" i="31" s="1"/>
  <c r="I30" i="31" s="1"/>
  <c r="I33" i="31" s="1"/>
  <c r="I28" i="30"/>
  <c r="I26" i="30"/>
  <c r="I23" i="30"/>
  <c r="I16" i="30"/>
  <c r="H15" i="30"/>
  <c r="I15" i="30" s="1"/>
  <c r="I17" i="30" s="1"/>
  <c r="I27" i="30" s="1"/>
  <c r="I29" i="30" s="1"/>
  <c r="I11" i="30"/>
  <c r="I29" i="29"/>
  <c r="I27" i="29"/>
  <c r="I24" i="29"/>
  <c r="H16" i="29"/>
  <c r="I16" i="29" s="1"/>
  <c r="I18" i="29" s="1"/>
  <c r="I28" i="29" s="1"/>
  <c r="I12" i="29"/>
  <c r="I11" i="29"/>
  <c r="I10" i="29"/>
  <c r="I29" i="28"/>
  <c r="I24" i="28"/>
  <c r="H16" i="28"/>
  <c r="I16" i="28" s="1"/>
  <c r="I18" i="28" s="1"/>
  <c r="I28" i="28" s="1"/>
  <c r="I11" i="28"/>
  <c r="I10" i="28"/>
  <c r="I12" i="28" s="1"/>
  <c r="I27" i="28" s="1"/>
  <c r="I32" i="26"/>
  <c r="I27" i="26"/>
  <c r="I19" i="26"/>
  <c r="I18" i="26"/>
  <c r="I17" i="26"/>
  <c r="I16" i="26"/>
  <c r="I11" i="26"/>
  <c r="I10" i="26"/>
  <c r="I23" i="24"/>
  <c r="I28" i="24" s="1"/>
  <c r="I15" i="24"/>
  <c r="I17" i="24" s="1"/>
  <c r="I27" i="24" s="1"/>
  <c r="I10" i="24"/>
  <c r="I11" i="24" s="1"/>
  <c r="I26" i="24" s="1"/>
  <c r="P14" i="23"/>
  <c r="P13" i="23"/>
  <c r="P12" i="23"/>
  <c r="P11" i="23"/>
  <c r="P10" i="23"/>
  <c r="P9" i="23"/>
  <c r="P8" i="23"/>
  <c r="B388" i="11"/>
  <c r="C380" i="11"/>
  <c r="B380" i="11"/>
  <c r="B370" i="11"/>
  <c r="C370" i="11"/>
  <c r="I21" i="26" l="1"/>
  <c r="I31" i="26" s="1"/>
  <c r="I12" i="26"/>
  <c r="I30" i="26" s="1"/>
  <c r="I29" i="32"/>
  <c r="G18" i="1" s="1"/>
  <c r="H18" i="1" s="1"/>
  <c r="I18" i="1" s="1"/>
  <c r="H17" i="1"/>
  <c r="I17" i="1" s="1"/>
  <c r="I29" i="24"/>
  <c r="H16" i="1" s="1"/>
  <c r="I16" i="1" s="1"/>
  <c r="I31" i="38"/>
  <c r="I31" i="40"/>
  <c r="I33" i="39"/>
  <c r="I30" i="29"/>
  <c r="I30" i="28"/>
  <c r="I33" i="26" l="1"/>
  <c r="G62" i="1" s="1"/>
  <c r="H62" i="1" s="1"/>
  <c r="I62" i="1" s="1"/>
  <c r="J945" i="11"/>
  <c r="F74" i="1" s="1"/>
  <c r="I74" i="1" s="1"/>
  <c r="F58" i="1" l="1"/>
  <c r="J500" i="11"/>
  <c r="F40" i="1" s="1"/>
  <c r="I40" i="1" s="1"/>
  <c r="J509" i="11"/>
  <c r="B498" i="11"/>
  <c r="B493" i="11"/>
  <c r="J422" i="11"/>
  <c r="F25" i="1" s="1"/>
  <c r="F41" i="1" l="1"/>
  <c r="I41" i="1" s="1"/>
  <c r="F70" i="1"/>
  <c r="I70" i="1" s="1"/>
  <c r="B477" i="11"/>
  <c r="I75" i="1" l="1"/>
  <c r="D27" i="22" s="1"/>
  <c r="J491" i="11"/>
  <c r="F37" i="1" s="1"/>
  <c r="I37" i="1" s="1"/>
  <c r="G27" i="22" l="1"/>
  <c r="H27" i="22"/>
  <c r="J952" i="11"/>
  <c r="F78" i="1" s="1"/>
  <c r="I78" i="1" s="1"/>
  <c r="I86" i="1" l="1"/>
  <c r="D31" i="22" s="1"/>
  <c r="E31" i="22" s="1"/>
  <c r="J957" i="11" l="1"/>
  <c r="F80" i="1" s="1"/>
  <c r="I80" i="1" s="1"/>
  <c r="I81" i="1" s="1"/>
  <c r="D29" i="22" s="1"/>
  <c r="F66" i="1"/>
  <c r="I66" i="1" s="1"/>
  <c r="B532" i="11" l="1"/>
  <c r="J556" i="11" l="1"/>
  <c r="F52" i="1" s="1"/>
  <c r="J538" i="11"/>
  <c r="F48" i="1" s="1"/>
  <c r="I48" i="1" s="1"/>
  <c r="J571" i="11" l="1"/>
  <c r="F56" i="1" l="1"/>
  <c r="C420" i="11"/>
  <c r="C424" i="11"/>
  <c r="J427" i="11" l="1"/>
  <c r="F26" i="1" s="1"/>
  <c r="J23" i="11" l="1"/>
  <c r="J522" i="11"/>
  <c r="F45" i="1" s="1"/>
  <c r="C434" i="11"/>
  <c r="J436" i="11"/>
  <c r="F29" i="1" s="1"/>
  <c r="J432" i="11"/>
  <c r="F28" i="1" s="1"/>
  <c r="C430" i="11"/>
  <c r="J418" i="11"/>
  <c r="F24" i="1" s="1"/>
  <c r="F10" i="1" l="1"/>
  <c r="I15" i="1"/>
  <c r="J530" i="11"/>
  <c r="F47" i="1" s="1"/>
  <c r="J31" i="11"/>
  <c r="C415" i="11"/>
  <c r="C50" i="11"/>
  <c r="C33" i="11"/>
  <c r="C25" i="11"/>
  <c r="C8" i="11"/>
  <c r="F12" i="1" l="1"/>
  <c r="F11" i="1"/>
  <c r="B960" i="11"/>
  <c r="B959" i="11"/>
  <c r="B955" i="11"/>
  <c r="B954" i="11"/>
  <c r="B949" i="11"/>
  <c r="B948" i="11"/>
  <c r="B947" i="11"/>
  <c r="B936" i="11"/>
  <c r="B935" i="11"/>
  <c r="B921" i="11"/>
  <c r="B614" i="11"/>
  <c r="B613" i="11"/>
  <c r="B612" i="11"/>
  <c r="B605" i="11"/>
  <c r="F14" i="1" l="1"/>
  <c r="B597" i="11"/>
  <c r="B596" i="11"/>
  <c r="B595" i="11" l="1"/>
  <c r="B574" i="11"/>
  <c r="B573" i="11"/>
  <c r="B560" i="11"/>
  <c r="B559" i="11"/>
  <c r="B558" i="11"/>
  <c r="B542" i="11"/>
  <c r="B541" i="11"/>
  <c r="B540" i="11"/>
  <c r="B525" i="11"/>
  <c r="B524" i="11"/>
  <c r="B518" i="11" l="1"/>
  <c r="B517" i="11"/>
  <c r="B516" i="11"/>
  <c r="B485" i="11"/>
  <c r="B478" i="11"/>
  <c r="B439" i="11"/>
  <c r="B438" i="11"/>
  <c r="B434" i="11"/>
  <c r="B430" i="11"/>
  <c r="B429" i="11"/>
  <c r="B420" i="11"/>
  <c r="B424" i="11"/>
  <c r="B415" i="11"/>
  <c r="B414" i="11"/>
  <c r="B413" i="11"/>
  <c r="B50" i="11"/>
  <c r="B33" i="11"/>
  <c r="B25" i="11"/>
  <c r="B8" i="11"/>
  <c r="H14" i="1" l="1"/>
  <c r="I14" i="1" s="1"/>
  <c r="H12" i="1"/>
  <c r="I12" i="1" s="1"/>
  <c r="H11" i="1"/>
  <c r="I11" i="1" s="1"/>
  <c r="H10" i="1"/>
  <c r="I10" i="1" s="1"/>
  <c r="I21" i="1" l="1"/>
  <c r="H24" i="1"/>
  <c r="I24" i="1" s="1"/>
  <c r="H26" i="1"/>
  <c r="I26" i="1" s="1"/>
  <c r="I25" i="1"/>
  <c r="H28" i="1"/>
  <c r="I28" i="1" s="1"/>
  <c r="H29" i="1"/>
  <c r="I29" i="1" s="1"/>
  <c r="H32" i="1"/>
  <c r="H45" i="1"/>
  <c r="I45" i="1" s="1"/>
  <c r="H46" i="1"/>
  <c r="I46" i="1" s="1"/>
  <c r="H47" i="1"/>
  <c r="I47" i="1" s="1"/>
  <c r="H56" i="1"/>
  <c r="I56" i="1" s="1"/>
  <c r="H58" i="1"/>
  <c r="I58" i="1" s="1"/>
  <c r="I63" i="1"/>
  <c r="D23" i="22" s="1"/>
  <c r="G23" i="22" s="1"/>
  <c r="E33" i="4"/>
  <c r="E31" i="4"/>
  <c r="E14" i="4"/>
  <c r="E28" i="4"/>
  <c r="E24" i="4"/>
  <c r="E21" i="4"/>
  <c r="E11" i="4"/>
  <c r="I30" i="1" l="1"/>
  <c r="D11" i="22" s="1"/>
  <c r="E11" i="22" s="1"/>
  <c r="I59" i="1"/>
  <c r="D21" i="22" s="1"/>
  <c r="G21" i="22" s="1"/>
  <c r="D9" i="22"/>
  <c r="J475" i="11"/>
  <c r="F32" i="1" s="1"/>
  <c r="I32" i="1" s="1"/>
  <c r="I33" i="1" l="1"/>
  <c r="D13" i="22" s="1"/>
  <c r="F9" i="22"/>
  <c r="E9" i="22"/>
  <c r="E34" i="22" s="1"/>
  <c r="I67" i="1" l="1"/>
  <c r="D25" i="22" s="1"/>
  <c r="I52" i="1"/>
  <c r="I49" i="1"/>
  <c r="D17" i="22" s="1"/>
  <c r="G17" i="22" s="1"/>
  <c r="E41" i="5"/>
  <c r="E43" i="5" s="1"/>
  <c r="E39" i="5"/>
  <c r="E50" i="5" s="1"/>
  <c r="E30" i="5"/>
  <c r="E17" i="5"/>
  <c r="I53" i="1" l="1"/>
  <c r="D19" i="22" s="1"/>
  <c r="F13" i="22"/>
  <c r="H19" i="22" l="1"/>
  <c r="F19" i="22"/>
  <c r="H21" i="22"/>
  <c r="I29" i="22"/>
  <c r="I34" i="22" s="1"/>
  <c r="H29" i="22"/>
  <c r="J8" i="22"/>
  <c r="J24" i="22"/>
  <c r="J28" i="22"/>
  <c r="G13" i="22"/>
  <c r="F12" i="22"/>
  <c r="H34" i="22" l="1"/>
  <c r="J13" i="22"/>
  <c r="G25" i="22"/>
  <c r="J25" i="22" s="1"/>
  <c r="J29" i="22"/>
  <c r="E35" i="22"/>
  <c r="J9" i="22"/>
  <c r="J30" i="22"/>
  <c r="J31" i="22"/>
  <c r="J26" i="22"/>
  <c r="J27" i="22"/>
  <c r="G12" i="22"/>
  <c r="J12" i="22" s="1"/>
  <c r="J21" i="22"/>
  <c r="J10" i="22" l="1"/>
  <c r="J11" i="22"/>
  <c r="J17" i="22"/>
  <c r="J23" i="22"/>
  <c r="J22" i="22"/>
  <c r="J20" i="22"/>
  <c r="J14" i="22"/>
  <c r="J18" i="22"/>
  <c r="J16" i="22" l="1"/>
  <c r="I42" i="1"/>
  <c r="D15" i="22" s="1"/>
  <c r="F15" i="22" s="1"/>
  <c r="F34" i="22" l="1"/>
  <c r="F35" i="22" s="1"/>
  <c r="J15" i="22"/>
  <c r="G19" i="22"/>
  <c r="G34" i="22" s="1"/>
  <c r="I87" i="1"/>
  <c r="D32" i="22" s="1"/>
  <c r="D28" i="22" s="1"/>
  <c r="D26" i="22" l="1"/>
  <c r="D8" i="22"/>
  <c r="D16" i="22"/>
  <c r="D14" i="22"/>
  <c r="D20" i="22"/>
  <c r="I32" i="22"/>
  <c r="H32" i="22"/>
  <c r="F32" i="22"/>
  <c r="D22" i="22"/>
  <c r="D24" i="22"/>
  <c r="E32" i="22"/>
  <c r="E33" i="22" s="1"/>
  <c r="D12" i="22"/>
  <c r="D30" i="22"/>
  <c r="D10" i="22"/>
  <c r="D18" i="22"/>
  <c r="J19" i="22"/>
  <c r="G32" i="22" l="1"/>
  <c r="G35" i="22"/>
  <c r="H35" i="22" s="1"/>
  <c r="I35" i="22" s="1"/>
  <c r="F33" i="22"/>
  <c r="G33" i="22" l="1"/>
  <c r="H33" i="22" s="1"/>
  <c r="I33" i="22" s="1"/>
</calcChain>
</file>

<file path=xl/sharedStrings.xml><?xml version="1.0" encoding="utf-8"?>
<sst xmlns="http://schemas.openxmlformats.org/spreadsheetml/2006/main" count="2061" uniqueCount="712">
  <si>
    <t>PREFEITURA MUNICIPAL DE JOÃO NEIVA</t>
  </si>
  <si>
    <t>PLANILHA ORÇAMENTÁRIA</t>
  </si>
  <si>
    <t>LOCAL: JOÃO NEIVA-ES</t>
  </si>
  <si>
    <t>L. SOCIAIS:</t>
  </si>
  <si>
    <t>TABELA DE REFERÊNCIA:DER/ES</t>
  </si>
  <si>
    <t>BDI:</t>
  </si>
  <si>
    <t>DATA-BASE:</t>
  </si>
  <si>
    <t>ITEM</t>
  </si>
  <si>
    <t>CÓDIGO</t>
  </si>
  <si>
    <t>ORGÃO</t>
  </si>
  <si>
    <t>DESCRIÇÃO SERVIÇO</t>
  </si>
  <si>
    <t>UNIDADE</t>
  </si>
  <si>
    <t>QUANTIDADE</t>
  </si>
  <si>
    <t>CUSTO (R$)</t>
  </si>
  <si>
    <t>UNITÁRIO</t>
  </si>
  <si>
    <t>TOTAL</t>
  </si>
  <si>
    <t>m</t>
  </si>
  <si>
    <t>01</t>
  </si>
  <si>
    <t>SERVIÇOS PRELIMINARES</t>
  </si>
  <si>
    <t>02</t>
  </si>
  <si>
    <t>INSTALAÇÃO DO CANTEIRO DE OBRAS</t>
  </si>
  <si>
    <t>m2</t>
  </si>
  <si>
    <t>und</t>
  </si>
  <si>
    <t>TAPUMES, BARRACÕES E COBERTURAS</t>
  </si>
  <si>
    <t xml:space="preserve">0203 </t>
  </si>
  <si>
    <t>Placa de obra nas dimensões de 2.0 x 4.0 m, padrão IOPES</t>
  </si>
  <si>
    <t>Tapume Telha Metálica Ondulada em aço galvalume 0,50mm Branca h=2,20m, incl. montagem estr. mad.8"x8", c/adesivo "IOPES" 60x60cm a cada 10m, incl. faixas pint. esmalte sint. cores azul c/ h=30cm e rosa c/ h=10cm (Reaproveitamento 2x)</t>
  </si>
  <si>
    <t xml:space="preserve">m2 </t>
  </si>
  <si>
    <t>0208</t>
  </si>
  <si>
    <t>INSTALAÇÃO DO CANTEIRO DE OBRAS (UTILIZAÇÃO 2 VEZES), PROJETO PADRÃO LABOR NR.18 (OBRAS COM PRAZO DE EXECUÇÃO DE 6 A 12 MESES)</t>
  </si>
  <si>
    <t>Barracão para almoxarifado área de 10.90m2, de chapa de compensado 12mm e pontaletes 8x8cm, piso cimentado e cobertura de telha de fibrocimento de 6mm, inclusive ponto de luz, conf. projeto (2 utilizações)</t>
  </si>
  <si>
    <t xml:space="preserve">und </t>
  </si>
  <si>
    <t xml:space="preserve"> m2 </t>
  </si>
  <si>
    <t xml:space="preserve">m </t>
  </si>
  <si>
    <t xml:space="preserve">m3 </t>
  </si>
  <si>
    <t>03</t>
  </si>
  <si>
    <t>Índice de preço para remoção de entulho decorrente da execução de obras (Classe A CONAMA - NBR10.004 - Classe II-B), incluindo aluguel da caçamba, carga, transporte e descarga em área licenciada</t>
  </si>
  <si>
    <t>TRANSPORTES</t>
  </si>
  <si>
    <t>04</t>
  </si>
  <si>
    <t>05</t>
  </si>
  <si>
    <t>ESQUADRIAS DE MADEIRA</t>
  </si>
  <si>
    <t>06</t>
  </si>
  <si>
    <t>MARCOS E ALIZARES</t>
  </si>
  <si>
    <t>0601</t>
  </si>
  <si>
    <t>07</t>
  </si>
  <si>
    <t>GRADES E PORTÕES</t>
  </si>
  <si>
    <t xml:space="preserve">0711 </t>
  </si>
  <si>
    <t xml:space="preserve">Portão de ferro de abrir em barra chata, inclusive chumbamento </t>
  </si>
  <si>
    <t>ESQUADRIAS METÁLICAS (M2)</t>
  </si>
  <si>
    <t xml:space="preserve">0717 </t>
  </si>
  <si>
    <t>Janela de correr para vidro em alumínio anodizado cor natural, linha 25, completa, incl. puxador com tranca, alizar, caixilho e contramarco, exclusive vidro</t>
  </si>
  <si>
    <t>ESQUADRIAS METÁLICAS</t>
  </si>
  <si>
    <t>0801</t>
  </si>
  <si>
    <t>VIDROS E ESPELHOS</t>
  </si>
  <si>
    <t xml:space="preserve">08 </t>
  </si>
  <si>
    <t>09</t>
  </si>
  <si>
    <t>REVESTIMENTO COM ARGAMASSA</t>
  </si>
  <si>
    <t>REVESTIMENTO DE PAREDES</t>
  </si>
  <si>
    <t xml:space="preserve">Chapisco de argamassa de cimento e areia média ou grossa lavada, no traço 1:3, espessura 5 mm </t>
  </si>
  <si>
    <t>PISOS INTERNOS E EXTERNOS</t>
  </si>
  <si>
    <t>DEGRAUS, RODAPÉS, SOLEIRAS E PEITORIS</t>
  </si>
  <si>
    <t>APARELHOS HIDRO-SANITÁRIOS</t>
  </si>
  <si>
    <t>TORNEIRAS, REGISTROS, VÁLVULAS E METAIS</t>
  </si>
  <si>
    <t xml:space="preserve">Torneira para tanque, marcas de referência Fabrimar, Deca ou Docol. </t>
  </si>
  <si>
    <t>PINTURA</t>
  </si>
  <si>
    <t>SOBRE PAREDES E FORROS</t>
  </si>
  <si>
    <t xml:space="preserve">Pintura com tinta acrílica, marcas de referência Suvinil, Coral ou Metalatex, inclusive selador acrílico, em paredes e forros, a três demãos </t>
  </si>
  <si>
    <t xml:space="preserve"> SOBRE MADEIRA</t>
  </si>
  <si>
    <t>SOBRE METAL</t>
  </si>
  <si>
    <t>Pintura com tinta esmalte sintético, marcas de referência Suvinil, Coral ou Metalatex, a duas demãos, inclusive fundo anticorrosivo a uma demão, em metal</t>
  </si>
  <si>
    <t>TRATAMENTO, CONSERVAÇÃO E LIMPEZA</t>
  </si>
  <si>
    <t xml:space="preserve">Limpeza geral da obra (edificação) </t>
  </si>
  <si>
    <t>Placa para inauguração de obra em alumínio polido e=4mm, dimensões 40 x 50 cm, gravação em baixo relevo, inclusive pintura e fixação</t>
  </si>
  <si>
    <t>DIVERSOS EXTERNOS</t>
  </si>
  <si>
    <t>DIVERSOS INTERNOS</t>
  </si>
  <si>
    <t>REVESTIMENTO EMPREGANDO ARGAMASSA DE CIMENTO, CAL E AREIA</t>
  </si>
  <si>
    <t xml:space="preserve">Reboco tipo paulista de argamassa de cimento, cal hidratada CH1 e areia média ou grossa lavada no traço 1:0.5:6, espessura 25 mm </t>
  </si>
  <si>
    <t>SERVIÇOS COMPLEMENTARES EXTERNOS</t>
  </si>
  <si>
    <t>SERVIÇOS COMPLEMENTARES INTERNOS</t>
  </si>
  <si>
    <t>MEMÓRIA DE CÁLCULO</t>
  </si>
  <si>
    <t>C (m)</t>
  </si>
  <si>
    <t>L (m)</t>
  </si>
  <si>
    <t>H (m)</t>
  </si>
  <si>
    <t>A(m2)</t>
  </si>
  <si>
    <t>V(m3)</t>
  </si>
  <si>
    <t>QUANT.  DO SERVIÇO</t>
  </si>
  <si>
    <t>TABELA DE REFERÊNCIA: DER/ES</t>
  </si>
  <si>
    <t>1.1</t>
  </si>
  <si>
    <t>1.1.1</t>
  </si>
  <si>
    <t>2.2.2</t>
  </si>
  <si>
    <t>1.1.2</t>
  </si>
  <si>
    <t>1.1.3</t>
  </si>
  <si>
    <t>1.1.4</t>
  </si>
  <si>
    <t>2.1</t>
  </si>
  <si>
    <t>2.1.1</t>
  </si>
  <si>
    <t>2.1.2</t>
  </si>
  <si>
    <t>2.1.3</t>
  </si>
  <si>
    <t>2.2</t>
  </si>
  <si>
    <t>2.2.1</t>
  </si>
  <si>
    <t>3.1</t>
  </si>
  <si>
    <t>3.3.1</t>
  </si>
  <si>
    <t>4.1</t>
  </si>
  <si>
    <t>5.1</t>
  </si>
  <si>
    <t>5.2</t>
  </si>
  <si>
    <t>5.2.1</t>
  </si>
  <si>
    <t>6.1</t>
  </si>
  <si>
    <t>6.1.1</t>
  </si>
  <si>
    <t>7.1</t>
  </si>
  <si>
    <t>7.1.1</t>
  </si>
  <si>
    <t>7.2</t>
  </si>
  <si>
    <t>7.2.1</t>
  </si>
  <si>
    <t>8.1</t>
  </si>
  <si>
    <t>8.1.1</t>
  </si>
  <si>
    <t>19.1</t>
  </si>
  <si>
    <t>SUB-TOTAL 01</t>
  </si>
  <si>
    <t>SUB-TOTAL 02</t>
  </si>
  <si>
    <t>SUB-TOTAL 03</t>
  </si>
  <si>
    <t>SUB-TOTAL 04</t>
  </si>
  <si>
    <t>SUB-TOTAL 05</t>
  </si>
  <si>
    <t>SUB-TOTAL 06</t>
  </si>
  <si>
    <t>Para Serviços</t>
  </si>
  <si>
    <t>GRUPO A</t>
  </si>
  <si>
    <t>Total Grupo A</t>
  </si>
  <si>
    <t>GRUPO B</t>
  </si>
  <si>
    <t>Administração Central</t>
  </si>
  <si>
    <t>Total Grupo B</t>
  </si>
  <si>
    <t>GRUPO C</t>
  </si>
  <si>
    <t>Total Grupo C</t>
  </si>
  <si>
    <t>GRUPO D</t>
  </si>
  <si>
    <t>Seguros / Garantia</t>
  </si>
  <si>
    <t>Riscos</t>
  </si>
  <si>
    <t>Total Grupo D</t>
  </si>
  <si>
    <t>GRUPO E</t>
  </si>
  <si>
    <t>ISS</t>
  </si>
  <si>
    <t>PIS</t>
  </si>
  <si>
    <t>COFINS</t>
  </si>
  <si>
    <t>CPRB</t>
  </si>
  <si>
    <t>Total Grupo E</t>
  </si>
  <si>
    <t>BDI Total</t>
  </si>
  <si>
    <t>OBS:</t>
  </si>
  <si>
    <t>1</t>
  </si>
  <si>
    <t>- A fórmula para cálculo da taxa a ser acrescida aos custos diretos de um</t>
  </si>
  <si>
    <t>empreendimento a título de Benefícios e Despesas Indiretas é:</t>
  </si>
  <si>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</si>
  <si>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</si>
  <si>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</si>
  <si>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</si>
  <si>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</si>
  <si>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</si>
  <si>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</si>
  <si>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</si>
  <si>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</si>
  <si>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</si>
  <si>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</si>
  <si>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t>GRUPO A - Encargos Sociais Básicos</t>
  </si>
  <si>
    <t>INSS (Art. 22 da Lei 8.212/91)</t>
  </si>
  <si>
    <t>FGTS (Art. 27 do Decreto 99.684/90)</t>
  </si>
  <si>
    <t>SESI/SESC (Lei 8.029/90 e Lei 8.036/90)</t>
  </si>
  <si>
    <t>SENAI/SENAC (Lei 8.029/90 e Decreto-Lei 6246/44)</t>
  </si>
  <si>
    <t>SEBRAE (já considerado no item A.3 e A.4)</t>
  </si>
  <si>
    <t>-</t>
  </si>
  <si>
    <t>INCRA (Lei 2.613/55 e Decreto 1.146/70)</t>
  </si>
  <si>
    <t>SALÁRIO-EDUCAÇÃO (Decreto 87.043/82)</t>
  </si>
  <si>
    <t>SEGURO ACIDENTE DO TRABALHO (Lei 8.212/91 e Decreto 3.048/99)</t>
  </si>
  <si>
    <t>SECONCI/Medicina do Trabalho</t>
  </si>
  <si>
    <t>TOTAL GRUPO A</t>
  </si>
  <si>
    <t>GRUPO B - Encargos Sociais que recebem a incidência do grupo A</t>
  </si>
  <si>
    <t>Descanso Semanal Remunerado (Art. 66 da CLT e Art. 7º da CF/88)</t>
  </si>
  <si>
    <t>Feriados (Art. 70 da CLT e Lei 605/49)</t>
  </si>
  <si>
    <t>Auxílio doença e acidente do trabalho (Lei 3.607/60 e Art. 131 da CLT)</t>
  </si>
  <si>
    <t>Licença Paternidade (Art. 7º da CF/88)</t>
  </si>
  <si>
    <t>Faltas Legais (Art. 473 da CLT)</t>
  </si>
  <si>
    <t>13º Salário (Lei nº 4090/62)</t>
  </si>
  <si>
    <t>Aviso Prévio Trabalhado (Art. 7º, inciso XXI da CF/88)</t>
  </si>
  <si>
    <t>Dias de Chuvas</t>
  </si>
  <si>
    <t>Férias Gozadas</t>
  </si>
  <si>
    <t>Salário Maternidade</t>
  </si>
  <si>
    <t>Auxílio - Enfermidade</t>
  </si>
  <si>
    <t>TOTAL GRUPO B</t>
  </si>
  <si>
    <t>GRUPO C - Encargos Sociais que não recebem a incidência do grupo A</t>
  </si>
  <si>
    <t>Dispensa sem justa causa (LC 110/01)</t>
  </si>
  <si>
    <t>Férias indenizadas (Art. 129 a 148 da CLT)</t>
  </si>
  <si>
    <t>Aviso prévio indenizado (Art. 7º, inciso XXI da CF/88)</t>
  </si>
  <si>
    <t>FGTS sobre aviso prévio indenizado (Súmula 305 TST)</t>
  </si>
  <si>
    <t>INSS sobre aviso prévio indenizado (Decreto 6.727/09)</t>
  </si>
  <si>
    <t>Aviso prévio trabalhado</t>
  </si>
  <si>
    <t>Indenização Adicional</t>
  </si>
  <si>
    <t>TOTAL GRUPO C</t>
  </si>
  <si>
    <t>GRUPO D - Reincidência dos encargos sociais básicos</t>
  </si>
  <si>
    <t>Incidência do grupo A sobre o grupo B</t>
  </si>
  <si>
    <t>TOTAL GRUPO D</t>
  </si>
  <si>
    <t>GRUPO E - Encargos complementares</t>
  </si>
  <si>
    <t>Refeição/alimentação (Convenção Coletiva do Trabalho 2012/2013)</t>
  </si>
  <si>
    <t>Vale Transporte (Lei nº 7418/85 e Decreto 95.247/87)</t>
  </si>
  <si>
    <t>Plano de Saúde (Convenção Coletiva do Trabalho 2012/2013</t>
  </si>
  <si>
    <t>TOTAL DOS GRUPO (A+B+C+D+E)</t>
  </si>
  <si>
    <t>% IOPES</t>
  </si>
  <si>
    <t>A.1</t>
  </si>
  <si>
    <t>A.2</t>
  </si>
  <si>
    <t>A.3</t>
  </si>
  <si>
    <t>A.4</t>
  </si>
  <si>
    <t>A.5</t>
  </si>
  <si>
    <t>A.6</t>
  </si>
  <si>
    <t>A.7</t>
  </si>
  <si>
    <t>A.8</t>
  </si>
  <si>
    <t>A.9</t>
  </si>
  <si>
    <t>B.1</t>
  </si>
  <si>
    <t>B.2</t>
  </si>
  <si>
    <t>B.3</t>
  </si>
  <si>
    <t>B.4</t>
  </si>
  <si>
    <t>B.5</t>
  </si>
  <si>
    <t>B.6</t>
  </si>
  <si>
    <t>B.7</t>
  </si>
  <si>
    <t>B.8</t>
  </si>
  <si>
    <t>B.9</t>
  </si>
  <si>
    <t>B.10</t>
  </si>
  <si>
    <t>B.11</t>
  </si>
  <si>
    <t>C.1</t>
  </si>
  <si>
    <t>C.2</t>
  </si>
  <si>
    <t>C.3</t>
  </si>
  <si>
    <t>C.4</t>
  </si>
  <si>
    <t>C.5</t>
  </si>
  <si>
    <t>C.6</t>
  </si>
  <si>
    <t>C.7</t>
  </si>
  <si>
    <t>D.1</t>
  </si>
  <si>
    <t>D.2</t>
  </si>
  <si>
    <t>E.1</t>
  </si>
  <si>
    <t>E.2</t>
  </si>
  <si>
    <t>E.3</t>
  </si>
  <si>
    <t>E.4</t>
  </si>
  <si>
    <t>TOTAL GRUPO E</t>
  </si>
  <si>
    <r>
      <rPr>
        <sz val="10"/>
        <rFont val="Arial"/>
        <family val="2"/>
      </rPr>
      <t>Reincidência de Grupo A sobre Aviso Prévio Trabalho e Reincidência
do FGTS sobre Aviso Prévio Indenizado</t>
    </r>
  </si>
  <si>
    <r>
      <rPr>
        <sz val="10"/>
        <rFont val="Arial"/>
        <family val="2"/>
      </rPr>
      <t>Uniforme/equipamento de segurança (Art. 166 da CLT e NR-18 da Lei nº 6.514/77 e
Convenção Coletiva do Trabalho 2012/2013)</t>
    </r>
  </si>
  <si>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</si>
  <si>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</si>
  <si>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</si>
  <si>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</si>
  <si>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UNITÁRIO C/ BDI</t>
  </si>
  <si>
    <t>DER-ES</t>
  </si>
  <si>
    <t>Total</t>
  </si>
  <si>
    <t>kg</t>
  </si>
  <si>
    <t>020305</t>
  </si>
  <si>
    <t>020350</t>
  </si>
  <si>
    <t>020802</t>
  </si>
  <si>
    <t>020804</t>
  </si>
  <si>
    <t>030304</t>
  </si>
  <si>
    <t>071104</t>
  </si>
  <si>
    <t>071701</t>
  </si>
  <si>
    <t>080102</t>
  </si>
  <si>
    <t>Refeitório com paredes de chapa de compens. 12mm e pontaletes 8x8cm, piso ciment. e cobert. de telhas fibroc. 6mm, incl. ponto de luz e cx. de inspeção (cons. 1.21m2/func./turno), conf. projeto (2 utilizações)</t>
  </si>
  <si>
    <t>COMPOSIÇÃO ANALÍTICA DE PREÇO UNITÁRIO</t>
  </si>
  <si>
    <t>Data-base</t>
  </si>
  <si>
    <t>COMP-01</t>
  </si>
  <si>
    <t>CÓD.</t>
  </si>
  <si>
    <t>DESCRIÇÃO</t>
  </si>
  <si>
    <t>UND</t>
  </si>
  <si>
    <t>COEF</t>
  </si>
  <si>
    <t>R$ UNIT.</t>
  </si>
  <si>
    <t>R$ PARCIAL</t>
  </si>
  <si>
    <t>h</t>
  </si>
  <si>
    <t>TOTAL A</t>
  </si>
  <si>
    <t>MÃO-DE-OBRA</t>
  </si>
  <si>
    <t>Encargo: 157,27%</t>
  </si>
  <si>
    <t>Servente</t>
  </si>
  <si>
    <t>TOTAL B</t>
  </si>
  <si>
    <t>TOTAL C</t>
  </si>
  <si>
    <t>MATERIAIS/ SERVIÇOS</t>
  </si>
  <si>
    <t>m³</t>
  </si>
  <si>
    <t>m²</t>
  </si>
  <si>
    <t>RESUMO</t>
  </si>
  <si>
    <t>REFERÊNCIA: DER-ES 130317</t>
  </si>
  <si>
    <t>Pedreiro</t>
  </si>
  <si>
    <t>010139</t>
  </si>
  <si>
    <t>010146</t>
  </si>
  <si>
    <t>Areia lavada média</t>
  </si>
  <si>
    <t>020503</t>
  </si>
  <si>
    <t>EQUIPAMENTOS</t>
  </si>
  <si>
    <t>Cal Hidratado p/ argamassa CH III</t>
  </si>
  <si>
    <t>020505</t>
  </si>
  <si>
    <t>TOTAL  A</t>
  </si>
  <si>
    <t>TOTAL  B</t>
  </si>
  <si>
    <t>020508</t>
  </si>
  <si>
    <t>Cimento Portland CP III - 40</t>
  </si>
  <si>
    <t>COMP-02</t>
  </si>
  <si>
    <t>Ajudante</t>
  </si>
  <si>
    <t>010101</t>
  </si>
  <si>
    <t>TOTAL  C</t>
  </si>
  <si>
    <r>
      <rPr>
        <b/>
        <sz val="11"/>
        <color indexed="8"/>
        <rFont val="Calibri"/>
        <family val="2"/>
        <scheme val="minor"/>
      </rPr>
      <t>PREÇO DE VENDA</t>
    </r>
    <r>
      <rPr>
        <sz val="11"/>
        <color indexed="8"/>
        <rFont val="Calibri"/>
        <family val="2"/>
        <scheme val="minor"/>
      </rPr>
      <t xml:space="preserve"> = TOTAL (A+B+C)</t>
    </r>
  </si>
  <si>
    <t>COTAÇÕES</t>
  </si>
  <si>
    <t>NÚMERO</t>
  </si>
  <si>
    <t>ITEM PLANILHA</t>
  </si>
  <si>
    <t>FORNECEDOR 1</t>
  </si>
  <si>
    <t>CONTATO</t>
  </si>
  <si>
    <t>PREÇO</t>
  </si>
  <si>
    <t xml:space="preserve">DATA </t>
  </si>
  <si>
    <t>FORNECEDOR 2</t>
  </si>
  <si>
    <t>DATA</t>
  </si>
  <si>
    <t>FORNECEDOR 3</t>
  </si>
  <si>
    <t>MÉDIA</t>
  </si>
  <si>
    <t>OBSERVAÇÕES</t>
  </si>
  <si>
    <t>https://www.ismafer.com.br/MLB-1547067509-painel-plafon-led-24w-quadrado-embutir-branco-neutro-_JM?variation=78806764363&amp;gclid=EAIaIQobChMIv7j4ns3B8AIVCuDICh1NEwsxEAQYCCABEgKMrPD_BwE</t>
  </si>
  <si>
    <t>Madeira Madeira</t>
  </si>
  <si>
    <t>Telhanorte</t>
  </si>
  <si>
    <t>https://www.telhanorte.com.br/led-painel-pop-embutir-quadrado-30x30-ne-4000k-24w-bivolt-1680-avant-1774948/p?idsku=1774948&amp;gclid=EAIaIQobChMIv7j4ns3B8AIVCuDICh1NEwsxEAQYKCABEgLxKPD_BwE</t>
  </si>
  <si>
    <t>Não foi considerado frete</t>
  </si>
  <si>
    <t>18.3.1</t>
  </si>
  <si>
    <t>COMP-03</t>
  </si>
  <si>
    <t>UND: und</t>
  </si>
  <si>
    <t>Eletricista</t>
  </si>
  <si>
    <t>7.2.2</t>
  </si>
  <si>
    <t>SINAPI</t>
  </si>
  <si>
    <t>Americanas</t>
  </si>
  <si>
    <t>COTAÇÃO 02</t>
  </si>
  <si>
    <t>REFERÊNCIA: DER-ES 181003</t>
  </si>
  <si>
    <t>COMP-04</t>
  </si>
  <si>
    <t>SERVIÇO: Peitoril de granito cinza polido, 19 cm, esp. 3cm</t>
  </si>
  <si>
    <t>Peitoril de granito cinza polido, 19 cm, esp. 3cm</t>
  </si>
  <si>
    <t>88316</t>
  </si>
  <si>
    <t>SERVENTE COM ENCARGOS COMPLEMENTARES</t>
  </si>
  <si>
    <t>COMP-06</t>
  </si>
  <si>
    <t>COMP-07</t>
  </si>
  <si>
    <t>COMP-08</t>
  </si>
  <si>
    <t>COMP-10</t>
  </si>
  <si>
    <t>Ismatec
Inst &amp; Aut</t>
  </si>
  <si>
    <t>Beta Engenharia</t>
  </si>
  <si>
    <t>(27) 99532-1741
Atendente: Dyon Eny
Local: Vitória (ES)</t>
  </si>
  <si>
    <t>HyperClima
Ar Cond. &amp; Elet.</t>
  </si>
  <si>
    <t>COMP-11</t>
  </si>
  <si>
    <t>(27) 99245-1274
Atendente: Ivan Pimenta
Local: Vitória (ES)</t>
  </si>
  <si>
    <t>DEMOLIÇÕES E RETIRADAS</t>
  </si>
  <si>
    <t>0102</t>
  </si>
  <si>
    <t xml:space="preserve">Demolição de alvenaria </t>
  </si>
  <si>
    <t>1.1.5</t>
  </si>
  <si>
    <t>ETAPAS</t>
  </si>
  <si>
    <t>PERÍODO (MESES)</t>
  </si>
  <si>
    <t xml:space="preserve">Físico (%) </t>
  </si>
  <si>
    <t>Financeiro (R$)</t>
  </si>
  <si>
    <t>08</t>
  </si>
  <si>
    <t>Total Parcial (%)</t>
  </si>
  <si>
    <t>Metas (%)</t>
  </si>
  <si>
    <t>Total Financeiro (R$)</t>
  </si>
  <si>
    <t>Total Acumulado (R$)</t>
  </si>
  <si>
    <t>VIDROS PARA ESQUADRIAS</t>
  </si>
  <si>
    <t>Instalação de ar condicionado split 9000 e 12000 Btu/h</t>
  </si>
  <si>
    <t>e-mail:hyperclima.es@gmail.com
Local: Serra (ES)</t>
  </si>
  <si>
    <t>COTAÇÃO 03</t>
  </si>
  <si>
    <t>UND: M</t>
  </si>
  <si>
    <t>COTAÇÃO 04</t>
  </si>
  <si>
    <t>010115</t>
  </si>
  <si>
    <t xml:space="preserve">MÃO-DE-OBRA </t>
  </si>
  <si>
    <t>Instalação de ar Condicionado 9000 e 12000 Btu/h</t>
  </si>
  <si>
    <t>COMP-12</t>
  </si>
  <si>
    <t>SERVIÇO: Fornecimento e instalação de Ar Condicionado  Split Inverter 12000 Btu/h</t>
  </si>
  <si>
    <t>00042425</t>
  </si>
  <si>
    <t>AR CONDICIONADO SPLIT INVERTER, HI-WALL (PAREDE), 12000 BTU/H, CICLO FRIO, 60HZ, UN 1.966,95 CLASSIFICACAO A (SELO PROCEL), GAS HFC, CONTROLE S/FIO</t>
  </si>
  <si>
    <t>AUXILIAR DE ELETRICISTA COM ENCARGOS COMPLEMENTARES</t>
  </si>
  <si>
    <t>ELETRICISTA COM ENCARGOS COMPLEMENTARES</t>
  </si>
  <si>
    <t>21.1.4</t>
  </si>
  <si>
    <t>21.1.6</t>
  </si>
  <si>
    <t>88267</t>
  </si>
  <si>
    <t>16.2.1</t>
  </si>
  <si>
    <t>11</t>
  </si>
  <si>
    <t>12</t>
  </si>
  <si>
    <t xml:space="preserve">VALORES </t>
  </si>
  <si>
    <t>Impostos/Tributos</t>
  </si>
  <si>
    <t>Custos Financeiros</t>
  </si>
  <si>
    <t>Lucro</t>
  </si>
  <si>
    <t>UND: m²</t>
  </si>
  <si>
    <t>REFERÊNCIA: SINAPI-ES 95547</t>
  </si>
  <si>
    <t>SERVIÇO: Saboneteira plástica tipo dispenser para sabonete líquido com reservatório 800 a 1500 ml, incluso fixação.</t>
  </si>
  <si>
    <t>COMP-21</t>
  </si>
  <si>
    <t>ENCANADOR OU BOMBEIRO HIDRÁULICO COM ENCARGOS COMPLEMENTARES</t>
  </si>
  <si>
    <t>SINAPI-ES</t>
  </si>
  <si>
    <t>11758</t>
  </si>
  <si>
    <t>SERVIÇO: Papeleira de parede em metal cromado sem tampa, incluso fixação.</t>
  </si>
  <si>
    <t xml:space="preserve">REFERÊNCIA: SINAPI-ES 95544 </t>
  </si>
  <si>
    <t>PAPELEIRA DE PAREDE EM METAL CROMADO SEM TAMPA</t>
  </si>
  <si>
    <t>11703</t>
  </si>
  <si>
    <t>SABONETEIRA PLASTICA TIPO DISPENSER PARA SABONETE LIQUIDO COM RESERVATORIO 800 A 1500 ML</t>
  </si>
  <si>
    <t>SERVIÇO: Porta papel toalha plástica tipo dispenser, capacidade para aproximadamente 750 folhas, incluso fixação.</t>
  </si>
  <si>
    <t>https://www.americanas.com.br/produto/1978061482/dispenser-p-papel-toalha-velox-premisse-branco?WT.srch=1&amp;acc=e789ea56094489dffd798f86ff51c7a9&amp;epar=bp_pl_00_go_todos-os-produtos_geral_gmv&amp;gclid=Cj0KCQjwqrb7BRDlARIsACwGad7MVi73ugrkWG5jAIN6yU4ecz3MaOidsVcftGdHkCKENgGQh0EW_SUaAvy-EALw_wcB&amp;i=57f47f15eec3dfb1f844c030&amp;o=5f455abbf8e95eac3d12846b&amp;opn=YSMESP&amp;sellerid=3899421000194#info-section</t>
  </si>
  <si>
    <t>Porta papel toalha plástica tipo dispenser, capacidade para aproximadamente 750 folhas</t>
  </si>
  <si>
    <t>Kalunga</t>
  </si>
  <si>
    <t>https://www.kalunga.com.br/prod/dispenser-papel-toalha-interfolhado-branco-c19533-premisse-cx-1-un/324175?pcID=39&amp;gclid=Cj0KCQjwqrb7BRDlARIsACwGad6HO2dT5IOnuzBk8d55FZvxHn7u8z-LvSHzV70iwJALgCLUeG6uVL4aAqcFEALw_wcB</t>
  </si>
  <si>
    <t>Submarino</t>
  </si>
  <si>
    <t>https://www.submarino.com.br/produto/1978061482/dispenser-p-papel-toalha-velox-premisse-branco?WT.srch=1&amp;acc=d47a04c6f99456bc289220d5d0ff208d&amp;epar=bp_pl_00_go_pla_aic_geral_gmv&amp;gclid=Cj0KCQjwqrb7BRDlARIsACwGad5qhu8e-MVC7waZ4lS8pgcaHr3VGGgI1Hi8l7aEO5_d5nqDgqwGn4MaAtmxEALw_wcB&amp;i=57f4b679eec3dfb1f84b1089&amp;o=5f455f6bf8e95eac3d12bcdd&amp;opn=XMLGOOGLE&amp;sellerid=3899421000194</t>
  </si>
  <si>
    <t xml:space="preserve">88247 </t>
  </si>
  <si>
    <t xml:space="preserve">88264 </t>
  </si>
  <si>
    <t>REFERÊNCIA: SINAPI-ES 97607</t>
  </si>
  <si>
    <t xml:space="preserve">SERVIÇO: Luminária arandela tipo tartaruga, de sobrepor, com 1 lâmpada led de 6W, - fornecimento e instalação. </t>
  </si>
  <si>
    <t>LAMPADA LED 6 W BIVOLT BRANCA, FORMATO TRADICIONAL (BASE E27)</t>
  </si>
  <si>
    <t xml:space="preserve">38193 </t>
  </si>
  <si>
    <t>38775</t>
  </si>
  <si>
    <t xml:space="preserve"> LUMINARIA TIPO TARTARUGA PARA AREA EXTERNA EM ALUMINIO, COM GRADE, PARA 1LAMPADA, BASE E27, POTENCIA MAXIMA 40/60 W (NAO INCLUI LAMPADA)</t>
  </si>
  <si>
    <t>Administração Local</t>
  </si>
  <si>
    <t>GRUPO F</t>
  </si>
  <si>
    <t>COMPOSIÇÃO LEIS SOCIAIS</t>
  </si>
  <si>
    <t>(1 – C)</t>
  </si>
  <si>
    <t>A = ADMINISTRAÇÃO CENTRAL;</t>
  </si>
  <si>
    <t>B = ADMINISTRAÇÃO LOCAL;</t>
  </si>
  <si>
    <t>C = ISS + PIS + COFINS+INSS;</t>
  </si>
  <si>
    <t>E = RISCOS, SEGUROS E GARANTIAS;</t>
  </si>
  <si>
    <t>D = CUSTOS FINANCEIROS;</t>
  </si>
  <si>
    <t>F = BENEFÍCIO/LUCRO;</t>
  </si>
  <si>
    <t>Total Grupo F</t>
  </si>
  <si>
    <r>
      <t>BDI = {</t>
    </r>
    <r>
      <rPr>
        <b/>
        <u/>
        <sz val="10"/>
        <rFont val="Arial"/>
        <family val="2"/>
      </rPr>
      <t>(1 + D)*(1 + A+B+E)*(1 + F)}</t>
    </r>
    <r>
      <rPr>
        <b/>
        <sz val="10"/>
        <rFont val="Arial"/>
        <family val="2"/>
      </rPr>
      <t xml:space="preserve">  -1, onde:</t>
    </r>
  </si>
  <si>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</si>
  <si>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</si>
  <si>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</si>
  <si>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COMPOSIÇÃO BDI</t>
  </si>
  <si>
    <t>1.1.6</t>
  </si>
  <si>
    <t>1.1.7</t>
  </si>
  <si>
    <t>1.1.8</t>
  </si>
  <si>
    <t>1.1.9</t>
  </si>
  <si>
    <t>1.1.10</t>
  </si>
  <si>
    <t>1.1.11</t>
  </si>
  <si>
    <t>Retirada de revestimento antigo em reboco</t>
  </si>
  <si>
    <t xml:space="preserve">Retirada de portas e janelas de madeira, inclusive batentes </t>
  </si>
  <si>
    <t xml:space="preserve">Retirada de esquadrias metálicas </t>
  </si>
  <si>
    <t xml:space="preserve">Lixamento de parede com pintura antiga PVA para recebimento de nova camada de tinta </t>
  </si>
  <si>
    <t xml:space="preserve">060113 </t>
  </si>
  <si>
    <t xml:space="preserve">Alizar de madeira de lei de 1ª (Peroba, Ipê, Angelim Pedra ou equivalente) 7 x 1,5 cm </t>
  </si>
  <si>
    <t>Qtd</t>
  </si>
  <si>
    <t>4.1.1</t>
  </si>
  <si>
    <t>071702</t>
  </si>
  <si>
    <t>Báscula para vidro em alumínio anodizado cor natural, linha 25, completa, com tranca, caixilho, alizar e contramarco, exclusive vidro</t>
  </si>
  <si>
    <t>1.1.19</t>
  </si>
  <si>
    <t>0613</t>
  </si>
  <si>
    <t>PORTA EM MADEIRA DE LEI TIPO ANGELIM PEDRA OU EQUIV.C/ENCHIMENTO EM MADEIRA 1A.QUALIDADE ESP. 30MM P/ PINTURA, INCLUSIVE ALIZARES, DOBRADIÇAS E FECHADURA EXTERNA, EXCLUSIVE MARCO</t>
  </si>
  <si>
    <t>Porta em madeira de lei tipo angelim pedra ou equiv.c/enchimento em madeira 1a.qualidade esp. 30mm p/ pintura, inclusive alizares, dobradiças e fechadura externa em latão cromado LaFonte ou equiv., exclusive marco, nas dim.: 0.90 x 2.10 m</t>
  </si>
  <si>
    <t>Porta em madeira de lei tipo angelim pedra ou equiv.c/enchimento em madeira 1a.qualidade esp. 30mm p/ pintura, inclusive alizares, dobradiças e fechadura externa em latão cromado LaFonte ou equiv., exclusive marco, nas dim.: 0.70 x 2.10 m</t>
  </si>
  <si>
    <t xml:space="preserve">061302 </t>
  </si>
  <si>
    <t>020339</t>
  </si>
  <si>
    <t>Perímetro das fachadas (Considerando 5 meses)</t>
  </si>
  <si>
    <t>18.3.2</t>
  </si>
  <si>
    <t>OBRA: REFORMA DO EDIFÍCIO QUE ABRIGA A SECRETARIA MUNICIPAL DE TRABALHO, ASSISTÊNCIA E DESENVOLVIMENTO SOCIAL, E O CONSELHO TUTELAR DO MUNICÍPIO DE JOÃO NEIVA - ES</t>
  </si>
  <si>
    <t xml:space="preserve">Lixamento manual em superfícies metálicas em obra </t>
  </si>
  <si>
    <t>21.1.1</t>
  </si>
  <si>
    <t>ORÇAMENTISTA: THAÍS BAPTISTA MENELLI - CAU/ES A181604-7 / BRUNA PEROVANO SIRTULI - CAU/ES A187736-4</t>
  </si>
  <si>
    <t>Kit Porteiro Eletrônico F8 Ntl E Fechadura Elétrica C90 Hdl</t>
  </si>
  <si>
    <t>https://www.americanas.com.br/produto/26994907/kit-porteiro-eletronico-f8-ntl-e-fechadura-eletrica-c90-hdl?WT.srch=1&amp;opn=YSMESP&amp;sellerid=18552346000168&amp;epar=bp_pl_00_go_pla_casaeconst_geral_gmv&amp;acc=e789ea56094489dffd798f86ff51c7a9&amp;i=56f30ab2eec3dfb1f8ebb847&amp;o=59aeed31eec3dfb1f82cb5c7&amp;gclid=CjwKCAjwsNiIBhBdEiwAJK4khvpwhdm4sMNx4gh_kpfqkvon8hBneU9JtDG_B_5iZ-3NV9FdX68xURoCD50QAvD_BwE</t>
  </si>
  <si>
    <t>Shoptime</t>
  </si>
  <si>
    <t>https://www.shoptime.com.br/produto/26994907/kit-porteiro-eletronico-f8-ntl-e-fechadura-eletrica-c90-hdl?WT.srch=1&amp;acc=a76c8289649a0bef0524c56c85e71570&amp;epar=bp_pl_dr_go_ssccasaeconst_geral_gmv&amp;epar=bp_pl_dr_go_ssccasaeconst_geral_gmv&amp;gclid=CjwKCAjwsNiIBhBdEiwAJK4khn8q9qX2kOjsNwY2NE3QPVTwcXoJjGuIPL9frnoa2PU-jocErd_kWxoC04gQAvD_BwE&amp;i=56f30b38eec3dfb1f8ebe12c&amp;o=59aeed38eec3dfb1f82cb88e&amp;opn=GOOGLEXML&amp;sellerid=18552346000168&amp;utm_campaign=marca%3Ashop%3Bmidia%3Abuscappc%3Bformato%3Apla%3Bsubformato%3Adra%3Bidcampanha%3Assccasaeconst_geral_gmv&amp;utm_medium=buscappc&amp;utm_source=google</t>
  </si>
  <si>
    <t>https://www.submarino.com.br/produto/26994907/kit-porteiro-eletronico-f8-ntl-e-fechadura-eletrica-c90-hdl?opn=XMLGOOGLE&amp;sellerid=18552346000168&amp;epar=bp_pl_00_go_g35219&amp;WT.srch=1&amp;acc=d47a04c6f99456bc289220d5d0ff208d&amp;i=56f30b7aeec3dfb1f8ebed1c&amp;o=59aeee21eec3dfb1f82d00f5&amp;epar=bp_pl_00_go_g35219&amp;utm_medium=buscappc&amp;utm_source=google&amp;utm_campaign=marca:suba%3bmidia:buscappc%3bformato:pla%3bsubformato:00%3bidcampanha:g35219&amp;gclid=CjwKCAjwsNiIBhBdEiwAJK4khkYDXzgAqITk2CWVtT5fXyhYiKbp0Esvp2yq3dRaUvckOG_PNJSaBhoCRasQAvD_BwE</t>
  </si>
  <si>
    <t>Painel de LED de embutir quadrado, 30x30cm, 24w, Avant ou similar</t>
  </si>
  <si>
    <t>Ismafer
 Ferramentas</t>
  </si>
  <si>
    <t>https://www.madeiramadeira.com.br/painel-plafon-led-embutir-24w-quadrado-branco-neutro-4000k-2164787.html?seller=4697&amp;origem=pla-2164787&amp;utm_source=google&amp;utm_medium=cpc&amp;utm_content=plafons-led-606&amp;utm_term=&amp;utm_id=6448165818&amp;gclid=EAIaIQobChMIv7j4ns3B8AIVCuDICh1NEwsxEAQYFSABEgIVhfD_BwE&amp;hitsPerPage=</t>
  </si>
  <si>
    <t>Painel de LED de sobrepor quadrado, 30x30cm, 24w, Avant ou similar</t>
  </si>
  <si>
    <t>Amazon</t>
  </si>
  <si>
    <t>https://www.amazon.com.br/LED-Painel-Bivolt-Avant-768131375/dp/B07HFN35X6/ref=asc_df_B07HFN35X6/?tag=googleshopp00-20&amp;linkCode=df0&amp;hvadid=379793968058&amp;hvpos=&amp;hvnetw=g&amp;hvrand=10190021652353567351&amp;hvpone=&amp;hvptwo=&amp;hvqmt=&amp;hvdev=c&amp;hvdvcmdl=&amp;hvlocint=&amp;hvlocphy=1031764&amp;hvtargid=pla-1229509853452&amp;psc=1</t>
  </si>
  <si>
    <t>https://www.americanas.com.br/produto/2500247798?opn=YSMESP&amp;epar=bp_pl_00_go_mv_todas_geral_gmv&amp;WT.srch=1&amp;loja=14437232000116&amp;acc=e789ea56094489dffd798f86ff51c7a9&amp;i=5f98eba649f937f625d570fb&amp;o=5fae3851f8e95eac3d174a0d&amp;gclid=CjwKCAjwsNiIBhBdEiwAJK4khiF-SJXOB4VAGx8xLBJngeiS8rhVWmwoMhb41kIJ_JGRYpaOomG5txoC7BMQAvD_BwE&amp;voltagem=%5BBivolt%5D</t>
  </si>
  <si>
    <t>Eletricario</t>
  </si>
  <si>
    <t>https://www.eletricario.com.br/eletroportateis/casa-e-jardim/painel-plafon-led-sobrepor-24w-quadrado-30cm-bivolt-avant?parceiro=5465</t>
  </si>
  <si>
    <t>Resina Acrílica Brilhante Novacor Incolor 18L Sherwin Williams ou equivalente</t>
  </si>
  <si>
    <t>Politintas</t>
  </si>
  <si>
    <t>https://loja.politintas.com.br/resina-acrilica-novacor-sherwin-williams-18l/p?idsku=3594&amp;gclid=CjwKCAjwmeiIBhA6EiwA-uaeFZCkpwYdhdzCQshIADv6j15StycZEocY1i-VXkCkv7oPfCP68ysT6hoCJvMQAvD_BwE</t>
  </si>
  <si>
    <t>https://www.submarino.com.br/produto/2586565420?loja=29894630000139&amp;epar=bp_pl_00_go_g35183&amp;opn=XMLGOOGLE&amp;WT.srch=1&amp;acc=d47a04c6f99456bc289220d5d0ff208d&amp;i=5f3cb97b49f937f625b60d71&amp;o=5fbbde8ff8e95eac3d838e69&amp;epar=bp_pl_00_go_g35183&amp;utm_medium=buscappc&amp;utm_source=google&amp;utm_campaign=marca:suba%3bmidia:buscappc%3bformato:pla%3bsubformato:00%3bidcampanha:g35183&amp;gclid=CjwKCAjwmeiIBhA6EiwA-uaeFffU3lgPSN9tpRidFxRohrBPTm1ziUMwN6WDruKGxCbwSoDy1n0oexoCpTYQAvD_BwE</t>
  </si>
  <si>
    <t>Leroy
Merlin</t>
  </si>
  <si>
    <t>https://www.leroymerlin.com.br/resina-brilhante-novacor-incolor-18l-sherwin-williams_86142301?store_code=57&amp;gclid=CjwKCAjwmeiIBhA6EiwA-uaeFbxDk53Zc9B12II1Ri07dkbwaaf1Aw0DW35XT2XSVUFVVgAAjqG9wRoCRJkQAvD_BwE</t>
  </si>
  <si>
    <t>Fornecimento e instalação de Escada helicoidal</t>
  </si>
  <si>
    <t>Metalúrgica 
Silva</t>
  </si>
  <si>
    <t>(27) 99781-6146
Atendente: Arilton
Local: Vitória (ES)</t>
  </si>
  <si>
    <t>Aquiles
Serralheria</t>
  </si>
  <si>
    <t>(27) 99873-8949
Local: Fundão (ES)</t>
  </si>
  <si>
    <t>LF
Serralheria</t>
  </si>
  <si>
    <t>(27) 99723-0911
Local: Colatina (ES)</t>
  </si>
  <si>
    <t>REFERÊNCIA: SINAPI 102193</t>
  </si>
  <si>
    <t>3767</t>
  </si>
  <si>
    <t>LIXA EM FOLHA PARA PAREDE OU MADEIRA, NUMERO 120 (COR VERMELHA)</t>
  </si>
  <si>
    <t>010140</t>
  </si>
  <si>
    <t>023522</t>
  </si>
  <si>
    <t>Granito Cinza Andorinha E = 3cm  polido nos dois lados</t>
  </si>
  <si>
    <t>SERVIÇO: Painel de LED de embutir quadrado, 30x30cm, 24w, Avant ou similar</t>
  </si>
  <si>
    <t>SERVIÇO: Painel de LED de sobrepor quadrado, 30x30cm, 24w, Avant ou similar</t>
  </si>
  <si>
    <t>COTAÇÃO 5</t>
  </si>
  <si>
    <t xml:space="preserve">SERVIÇO: Lixamento manual em superfícies metálicas em obra </t>
  </si>
  <si>
    <t>REFERÊNCIA: SINAPI 100717</t>
  </si>
  <si>
    <t>3768</t>
  </si>
  <si>
    <t>LIXA EM FOLHA PARA FERRO, NUMERO 150</t>
  </si>
  <si>
    <t xml:space="preserve">Lixamento de madeira com pintura antiga a óleo para recebimento de nova camada de tinta </t>
  </si>
  <si>
    <t xml:space="preserve">SERVIÇO: Lixamento de madeira com pintura antiga a óleo para recebimento de nova camada de tinta </t>
  </si>
  <si>
    <t>21.1.7</t>
  </si>
  <si>
    <t>REFERÊNCIA: SINAPI 97641</t>
  </si>
  <si>
    <t xml:space="preserve">SERVIÇO: Remoção de forro de gesso, de forma manual, sem reaproveitamento </t>
  </si>
  <si>
    <t>COMP-14</t>
  </si>
  <si>
    <t xml:space="preserve"> GESSEIRO COM ENCARGOS COMPLEMENTARES</t>
  </si>
  <si>
    <t>88269</t>
  </si>
  <si>
    <t>SERVIÇO: Pintura com tinta esmalte sintético, marcas de referência Suvinil, Coral ou Metalatex, em madeira, a duas demãos</t>
  </si>
  <si>
    <t>REFERÊNCIA: DER-ES 190302</t>
  </si>
  <si>
    <t xml:space="preserve">AJUDANTE (AJUDANTE PRATICO - SINDUSCON)
(LABOR) </t>
  </si>
  <si>
    <t>PINTOR -(OFICIAL - SINDUSCON) (LABOR)</t>
  </si>
  <si>
    <t>AGUARRAZ MINERAL (LABOR)</t>
  </si>
  <si>
    <t>L</t>
  </si>
  <si>
    <t>ESMALTE SINTETICO (LABOR)</t>
  </si>
  <si>
    <t xml:space="preserve">LIXA PARA MADEIRA/MASSA Nº 150 (LABOR) </t>
  </si>
  <si>
    <t>COMP-15</t>
  </si>
  <si>
    <t>Pintura com tinta esmalte sintético, marcas de referência Suvinil, Coral ou Metalatex, inclusive fundo branco nivelador, em madeira, a duas demãos</t>
  </si>
  <si>
    <t>Fornecimento e Instalação de Plataforma Elevatória de Acessibilidade</t>
  </si>
  <si>
    <t>Mobilitá Elevadores</t>
  </si>
  <si>
    <t>vendas@mobilitaelevadores.com.br
Atendente: Ana
Local: Atiabaia (SP)</t>
  </si>
  <si>
    <t>Montele Elevadores</t>
  </si>
  <si>
    <t xml:space="preserve"> clara.paiva@montele.ind.br
Atendente: Clara Paiva
Local: Contagem (MG)</t>
  </si>
  <si>
    <t>RBA Elevadores</t>
  </si>
  <si>
    <t>eliane@rbaelevadores.com.br
Atendente: Eliane
Local: São José do Rio Preto (SP)</t>
  </si>
  <si>
    <t>COMP-16</t>
  </si>
  <si>
    <t>SERVIÇO: TOMADA BAIXA DE EMBUTIR (2 MÓDULOS), 2P+T 10 A, INCLUINDO SUPORTE E PLACA FORNECIMENTO E INSTALAÇÃO</t>
  </si>
  <si>
    <t>REFERÊNCIA: SINAPI-ES 92006 / 92008 / 91946</t>
  </si>
  <si>
    <t>88247</t>
  </si>
  <si>
    <t>88264</t>
  </si>
  <si>
    <t>38101</t>
  </si>
  <si>
    <t>TOMADA 2P+T 10A, 250V (APENAS MODULO)</t>
  </si>
  <si>
    <t>38094</t>
  </si>
  <si>
    <t>ESPELHO / PLACA DE 3 POSTOS 4" X 2", PARA INSTALACAO DE TOMADAS E INTERRUPTORES</t>
  </si>
  <si>
    <t>38099</t>
  </si>
  <si>
    <t>SUPORTE DE FIXACAO PARA ESPELHO / PLACA 4" X 2", PARA 3 MODULOS, PARA INSTALACAO DE TOMADAS E INTERRUPTORES (SOMENTE SUPORTE)</t>
  </si>
  <si>
    <t>COMP-17</t>
  </si>
  <si>
    <t>SERVIÇO: GUARDA-CORPO DE AÇO GALVANIZADO DE 1,10M, MONTANTES TUBULARES DE 1.1/4" ESPAÇADOS DE 1,20M, TRAVESSA SUPERIOR DE 1.1/2", GRADIL FORMADO POR TUBOS HORIZONTAIS DE 1" E VERTICAIS DE 3/4", FIXADO COM CHUMBADOR MECÂNICO.</t>
  </si>
  <si>
    <t>REFERÊNCIA: SINAPI-ES 99837</t>
  </si>
  <si>
    <t>CHAPA DE ACO GROSSA, ASTM A36, E = 3/8 " (9,53 MM) 74,69 KG/M2</t>
  </si>
  <si>
    <t xml:space="preserve">1332 </t>
  </si>
  <si>
    <t>KG</t>
  </si>
  <si>
    <t>ELETRODO REVESTIDO AWS - E6013, DIAMETRO IGUAL A 2,50 MM</t>
  </si>
  <si>
    <t xml:space="preserve">11002 </t>
  </si>
  <si>
    <t>PARAFUSO DE ACO TIPO CHUMBADOR PARABOLT, DIAMETRO 3/8", COMPRIMENTO 75 MM</t>
  </si>
  <si>
    <t xml:space="preserve">11964 </t>
  </si>
  <si>
    <t xml:space="preserve">21010 </t>
  </si>
  <si>
    <t>TUBO ACO GALVANIZADO COM COSTURA, CLASSE LEVE, DN 25 MM ( 1"), E = 2,65 MM, *2,11* KG/M (NBR 5580)</t>
  </si>
  <si>
    <t>M</t>
  </si>
  <si>
    <t>21009</t>
  </si>
  <si>
    <t>TUBO ACO GALVANIZADO COM COSTURA, CLASSE LEVE, DN 20 MM ( 3/4"), E = 2,25 MM, *1,3* KG/M (NBR 5580)</t>
  </si>
  <si>
    <t>TUBO ACO GALVANIZADO COM COSTURA, CLASSE LEVE, DN 32 MM ( 1 1/4"), E = 2, 65 MM, *2,71* KG/M (NBR 5580)</t>
  </si>
  <si>
    <t>21011</t>
  </si>
  <si>
    <t xml:space="preserve">21012 </t>
  </si>
  <si>
    <t>TUBO ACO GALVANIZADO COM COSTURA, CLASSE LEVE, DN 40 MM ( 1 1/2"), E = 3, 00 MM, *3,48* KG/M (NBR 5580)</t>
  </si>
  <si>
    <t>AUXILIAR DE SERRALHEIRO COM ENCARGOS COMPLEMENTARES</t>
  </si>
  <si>
    <t xml:space="preserve">88251 </t>
  </si>
  <si>
    <t>SERRALHEIRO COM ENCARGOS COMPLEMENTARES</t>
  </si>
  <si>
    <t>88315</t>
  </si>
  <si>
    <t>ORÇAMENTISTAS: JEFTER DOS SANTOS LADISLAU CREA-ES 43139/D</t>
  </si>
  <si>
    <t>Janela da rampa</t>
  </si>
  <si>
    <t>Janela 01</t>
  </si>
  <si>
    <t>Janela 02</t>
  </si>
  <si>
    <t xml:space="preserve">Portão de entrada da rampa </t>
  </si>
  <si>
    <t xml:space="preserve">Entrada da rampa </t>
  </si>
  <si>
    <t>061303</t>
  </si>
  <si>
    <t xml:space="preserve">Porta em madeira de lei tipo angelim pedra ou equiv.c/enchimento em madeira 1a.qualidade esp. 30mm p/pintura, inclusive alizares, dobradiças e fechadura externa em latão cromado LaFonte ou equiv., exclusive marco, nas dim.: 0.80 x 2.10 m
</t>
  </si>
  <si>
    <t>6.2.4</t>
  </si>
  <si>
    <t xml:space="preserve">Demolição de piso, soleira, peitoris e escadas em mármore ou granito, exclusive regularização </t>
  </si>
  <si>
    <t>Detalhe peitoril janela rampa</t>
  </si>
  <si>
    <t>Sala Lied</t>
  </si>
  <si>
    <t>parede 01</t>
  </si>
  <si>
    <t>parede 02</t>
  </si>
  <si>
    <t>parede 04</t>
  </si>
  <si>
    <t>parede 03</t>
  </si>
  <si>
    <t>Buraco  na parede ar condicionado</t>
  </si>
  <si>
    <t>Cordenação</t>
  </si>
  <si>
    <t>Pavimento superior</t>
  </si>
  <si>
    <t>Porta 80</t>
  </si>
  <si>
    <t>Pavimento Térreo</t>
  </si>
  <si>
    <t>Pavimento Superior</t>
  </si>
  <si>
    <t>Porta de 80</t>
  </si>
  <si>
    <t>Porta de 70</t>
  </si>
  <si>
    <t>Porta de 60</t>
  </si>
  <si>
    <t>Circulação</t>
  </si>
  <si>
    <t xml:space="preserve"> Retirada de torneiras e registros  </t>
  </si>
  <si>
    <t>Retirada de torneiras e registros</t>
  </si>
  <si>
    <t>Torneiras bebedouros</t>
  </si>
  <si>
    <t>00036081</t>
  </si>
  <si>
    <t xml:space="preserve"> BARRA DE APOIO RETA, EM ACO INOX POLIDO, COMPRIMENTO 80CM, DIAMETRO MINIMO 3 CM</t>
  </si>
  <si>
    <t>Fornecimento e instalação de barra de apoio PNE 80 CM</t>
  </si>
  <si>
    <t>SERVIÇO: Fornecimento e instalação de barra de apoio PNE 80 CM</t>
  </si>
  <si>
    <t>Banheiros</t>
  </si>
  <si>
    <t xml:space="preserve">Tampa para caixa sifonada, em aço inox, de 150x150mm </t>
  </si>
  <si>
    <t>Banheiro masculino</t>
  </si>
  <si>
    <t>Corredor</t>
  </si>
  <si>
    <t>Portão escada</t>
  </si>
  <si>
    <t>Parede entrada banheiro masculino</t>
  </si>
  <si>
    <t>Térreo</t>
  </si>
  <si>
    <t>Demolição parede banheiro masculino</t>
  </si>
  <si>
    <t>Demolição parede banheiro Feminino</t>
  </si>
  <si>
    <t>Bascula banheiro feminino</t>
  </si>
  <si>
    <t>Bascula banheiro cozinha</t>
  </si>
  <si>
    <t xml:space="preserve">Retirada de marco de madeira  </t>
  </si>
  <si>
    <t>Porta de 80 cozinha</t>
  </si>
  <si>
    <t>Perimetro (m)</t>
  </si>
  <si>
    <t xml:space="preserve"> Marco de madeira de lei de 1ª (Peroba, Ipê, Angelim Pedra ou equivalente) com 15x3 cm de batente, nas dimensões de 0.80 x 2.10 m
</t>
  </si>
  <si>
    <t>Porta cozinha</t>
  </si>
  <si>
    <t>Marco de madeira de lei de 1ª (Peroba, Ipê, Angelim Pedra ou equivalente) com 15x3 cm de batente, nas dimensões de 0.80 x 2.10 m</t>
  </si>
  <si>
    <t>Pavimento térreo</t>
  </si>
  <si>
    <t>Portão do muro lateral esqueda</t>
  </si>
  <si>
    <t>Pavimento fachada</t>
  </si>
  <si>
    <t>Recuperção paredes avariadas</t>
  </si>
  <si>
    <t>Fachada</t>
  </si>
  <si>
    <t>Placa de inauguração</t>
  </si>
  <si>
    <t>Demolição alvenaria</t>
  </si>
  <si>
    <t>Remoção Reboco</t>
  </si>
  <si>
    <t>Retirada de portas e janelas de madeira</t>
  </si>
  <si>
    <t>Retirada de equadrias metalicas</t>
  </si>
  <si>
    <t>Recuperação piso frente dos banheiros térreo</t>
  </si>
  <si>
    <t>Recuperação pisodiversos locais térreo</t>
  </si>
  <si>
    <t>Recuperação pisodiversos locais pavimento Superior</t>
  </si>
  <si>
    <t>Edificação</t>
  </si>
  <si>
    <t>Pavimento Terreo</t>
  </si>
  <si>
    <t>Porta 70</t>
  </si>
  <si>
    <t>Lados</t>
  </si>
  <si>
    <t>Porta 60</t>
  </si>
  <si>
    <t>Parede muro externo</t>
  </si>
  <si>
    <t>Parede muro ecterno</t>
  </si>
  <si>
    <t>4.1.2</t>
  </si>
  <si>
    <t>4.2.1</t>
  </si>
  <si>
    <t>4.2.2</t>
  </si>
  <si>
    <t xml:space="preserve">Porta em madeira de lei tipo angelim pedra ou equiv.c/enchimento em madeira 1a.qualidade esp. 30mm p/ pintura, inclusive alizares, dobradiças e fechadura externa em latão cromado LaFonte ou equiv., exclusive marco, nas dim.:0.60 x 2.10 m
</t>
  </si>
  <si>
    <t>061301</t>
  </si>
  <si>
    <t>4.2</t>
  </si>
  <si>
    <t>4.2.3</t>
  </si>
  <si>
    <t>5.2.2</t>
  </si>
  <si>
    <t>SUB-TOTAL 7</t>
  </si>
  <si>
    <t>SUB-TOTAL 8</t>
  </si>
  <si>
    <t>9.1</t>
  </si>
  <si>
    <t>9.1.1</t>
  </si>
  <si>
    <t>SUB-TOTAL 9</t>
  </si>
  <si>
    <t>10.1</t>
  </si>
  <si>
    <t>SUB-TOTAL 10</t>
  </si>
  <si>
    <t>10.1.1</t>
  </si>
  <si>
    <t>10.2</t>
  </si>
  <si>
    <t>10.2.1</t>
  </si>
  <si>
    <t>10.3</t>
  </si>
  <si>
    <t>10.3.1</t>
  </si>
  <si>
    <t>11.1</t>
  </si>
  <si>
    <t>11.1.1</t>
  </si>
  <si>
    <t>11.2</t>
  </si>
  <si>
    <t>11.2.1</t>
  </si>
  <si>
    <t>SUB-TOTAL 11</t>
  </si>
  <si>
    <t>12.1</t>
  </si>
  <si>
    <t>12.1.1</t>
  </si>
  <si>
    <t>12.1.2</t>
  </si>
  <si>
    <t>SUB-TOTAL 12</t>
  </si>
  <si>
    <t>Detalhe peitoril  rampa</t>
  </si>
  <si>
    <t>Diversos locais</t>
  </si>
  <si>
    <t>Primeiro PAV.</t>
  </si>
  <si>
    <t>Sala 01</t>
  </si>
  <si>
    <t>H</t>
  </si>
  <si>
    <t>A</t>
  </si>
  <si>
    <t>Sala 02</t>
  </si>
  <si>
    <t>Sala 03</t>
  </si>
  <si>
    <t>Sala 04</t>
  </si>
  <si>
    <t>Sala 05</t>
  </si>
  <si>
    <t>Sala 06</t>
  </si>
  <si>
    <t>Sala 07</t>
  </si>
  <si>
    <t>Sala 08</t>
  </si>
  <si>
    <t>Sala 09</t>
  </si>
  <si>
    <t>Sala 10</t>
  </si>
  <si>
    <t>Sala 11</t>
  </si>
  <si>
    <t xml:space="preserve">L </t>
  </si>
  <si>
    <t xml:space="preserve">H </t>
  </si>
  <si>
    <t xml:space="preserve"> A</t>
  </si>
  <si>
    <t>Sala 12</t>
  </si>
  <si>
    <t>Sala 13</t>
  </si>
  <si>
    <t>Sala 14</t>
  </si>
  <si>
    <t>Lied</t>
  </si>
  <si>
    <t>Coord. 01</t>
  </si>
  <si>
    <t>Coord. 02</t>
  </si>
  <si>
    <t>Banheiro F</t>
  </si>
  <si>
    <t>Banheiro M</t>
  </si>
  <si>
    <t>Escada</t>
  </si>
  <si>
    <t>Pavimento TÉRREO</t>
  </si>
  <si>
    <t>Sala de recurso</t>
  </si>
  <si>
    <t>Cantina</t>
  </si>
  <si>
    <t>Depósito</t>
  </si>
  <si>
    <t>Sala diretoria</t>
  </si>
  <si>
    <t>Sala supervisão</t>
  </si>
  <si>
    <t>Banheiro supervisão</t>
  </si>
  <si>
    <t>Sala de vídeo</t>
  </si>
  <si>
    <t>Planejamento</t>
  </si>
  <si>
    <t>Biblioteca</t>
  </si>
  <si>
    <t>Banheiro/ Cozinha</t>
  </si>
  <si>
    <t>Arquivo 01</t>
  </si>
  <si>
    <t>Arquivo 02</t>
  </si>
  <si>
    <t>secretária</t>
  </si>
  <si>
    <t>Perimetro</t>
  </si>
  <si>
    <t>banheiro secretaria</t>
  </si>
  <si>
    <t>banheiro diretoria</t>
  </si>
  <si>
    <t>descontos</t>
  </si>
  <si>
    <t>Almoxarifado</t>
  </si>
  <si>
    <t>Camarim</t>
  </si>
  <si>
    <t>Auditorio</t>
  </si>
  <si>
    <t>Sala professores</t>
  </si>
  <si>
    <t>Banheiro prof.</t>
  </si>
  <si>
    <t>Refeitório</t>
  </si>
  <si>
    <t>Cozinha</t>
  </si>
  <si>
    <t>Área de serviço</t>
  </si>
  <si>
    <t>Sala de espera</t>
  </si>
  <si>
    <t>sala de materiais</t>
  </si>
  <si>
    <t>secretaria 02</t>
  </si>
  <si>
    <t>Pátio</t>
  </si>
  <si>
    <t>perimetro</t>
  </si>
  <si>
    <t>Banheiro feminino</t>
  </si>
  <si>
    <t>área de serviço</t>
  </si>
  <si>
    <t>Muro externo</t>
  </si>
  <si>
    <t>porta 60</t>
  </si>
  <si>
    <t>Porta 90</t>
  </si>
  <si>
    <t xml:space="preserve">Portas banheiros </t>
  </si>
  <si>
    <t>2 x QUANT.  DO SERVIÇO</t>
  </si>
  <si>
    <t>OBRA: REFORMA DA ESCOLA MARIA OLIRIA SARCINELLI CAMPAGNARO NO MUNICÍPIO DE JOÃO NEIVA - ES</t>
  </si>
  <si>
    <t>ORÇAMENTISTA:  JEFTER DOS SANTOS LADISLAU</t>
  </si>
  <si>
    <t>OBRA: REFORMA DA ESCOLA MARIA OLIRIA SARCINELLI CAMPAGNARO 
NO MUNICÍPIO DE JOÃO NEIVA - ES</t>
  </si>
  <si>
    <t>DER</t>
  </si>
  <si>
    <t xml:space="preserve"> Recuperação de piso de quadra com demolição parcial do concreto e aplicação de granilite, inclusive
regularização</t>
  </si>
  <si>
    <t>ABRIL/22</t>
  </si>
  <si>
    <t>UND: UND</t>
  </si>
  <si>
    <r>
      <t xml:space="preserve">Locação de andaime metálico para trabalho em fachada de edifíco (aluguel de 1 m² por 1 mês) inclusive frete, montagem e desmontagem  </t>
    </r>
    <r>
      <rPr>
        <sz val="10"/>
        <color rgb="FFFF0000"/>
        <rFont val="Arial"/>
        <family val="2"/>
      </rPr>
      <t>(BDI= 15,57%)</t>
    </r>
  </si>
  <si>
    <r>
      <t>Vidro plano transparente liso, com 4 mm de espessura</t>
    </r>
    <r>
      <rPr>
        <sz val="10"/>
        <color rgb="FFFF0000"/>
        <rFont val="Arial"/>
        <family val="2"/>
      </rPr>
      <t xml:space="preserve"> (BDI= 15,57%)</t>
    </r>
  </si>
</sst>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4" formatCode="_-&quot;R$&quot;\ * #,##0.00_-;\-&quot;R$&quot;\ * #,##0.00_-;_-&quot;R$&quot;\ * &quot;-&quot;??_-;_-@_-"/>
    <numFmt numFmtId="43" formatCode="_-* #,##0.00_-;\-* #,##0.00_-;_-* &quot;-&quot;??_-;_-@_-"/>
    <numFmt numFmtId="164" formatCode="_-[$R$-416]\ * #,##0.00_-;\-[$R$-416]\ * #,##0.00_-;_-[$R$-416]\ * &quot;-&quot;??_-;_-@_-"/>
    <numFmt numFmtId="165" formatCode="0.000"/>
    <numFmt numFmtId="166" formatCode="&quot;R$ &quot;#,##0.00"/>
    <numFmt numFmtId="167" formatCode="_(* #,##0.00_);_(* \(#,##0.00\);_(* &quot;-&quot;??_);_(@_)"/>
    <numFmt numFmtId="168" formatCode="_(&quot;R$ &quot;* #,##0.00_);_(&quot;R$ &quot;* \(#,##0.00\);_(&quot;R$ &quot;* &quot;-&quot;??_);_(@_)"/>
    <numFmt numFmtId="169" formatCode="0.00000"/>
    <numFmt numFmtId="170" formatCode="&quot;R$ &quot;#,##0.000"/>
    <numFmt numFmtId="171" formatCode="0.0000"/>
    <numFmt numFmtId="172" formatCode="&quot;R$&quot;\ #,##0.00"/>
  </numFmts>
  <fonts count="32" x14ac:knownFonts="1">
    <font>
      <sz val="11"/>
      <color theme="1"/>
      <name val="Calibri"/>
      <family val="2"/>
      <scheme val="minor"/>
    </font>
    <font>
      <sz val="11"/>
      <color theme="1"/>
      <name val="Calibri"/>
      <family val="2"/>
      <scheme val="minor"/>
    </font>
    <font>
      <sz val="10"/>
      <color theme="1"/>
      <name val="Arial"/>
      <family val="2"/>
    </font>
    <font>
      <b/>
      <sz val="10"/>
      <name val="Arial"/>
      <family val="2"/>
    </font>
    <font>
      <sz val="10"/>
      <name val="Arial"/>
      <family val="2"/>
    </font>
    <font>
      <b/>
      <sz val="10"/>
      <color theme="1"/>
      <name val="Arial"/>
      <family val="2"/>
    </font>
    <font>
      <sz val="10"/>
      <color indexed="8"/>
      <name val="Arial"/>
      <family val="2"/>
    </font>
    <font>
      <b/>
      <u/>
      <sz val="10"/>
      <name val="Arial"/>
      <family val="2"/>
    </font>
    <font>
      <i/>
      <sz val="10"/>
      <color theme="1"/>
      <name val="Arial"/>
      <family val="2"/>
    </font>
    <font>
      <b/>
      <i/>
      <sz val="10"/>
      <color theme="1"/>
      <name val="Arial"/>
      <family val="2"/>
    </font>
    <font>
      <b/>
      <i/>
      <u/>
      <sz val="10"/>
      <color theme="1"/>
      <name val="Arial"/>
      <family val="2"/>
    </font>
    <font>
      <b/>
      <sz val="11"/>
      <color theme="1"/>
      <name val="Calibri"/>
      <family val="2"/>
      <scheme val="minor"/>
    </font>
    <font>
      <b/>
      <sz val="16"/>
      <color indexed="8"/>
      <name val="Calibri"/>
      <family val="2"/>
      <scheme val="minor"/>
    </font>
    <font>
      <b/>
      <sz val="11"/>
      <color indexed="8"/>
      <name val="Calibri"/>
      <family val="2"/>
      <scheme val="minor"/>
    </font>
    <font>
      <b/>
      <sz val="11"/>
      <color indexed="8"/>
      <name val="Calibri"/>
      <family val="2"/>
    </font>
    <font>
      <sz val="11"/>
      <color indexed="8"/>
      <name val="Calibri"/>
      <family val="2"/>
      <scheme val="minor"/>
    </font>
    <font>
      <sz val="11"/>
      <name val="Calibri"/>
      <family val="2"/>
      <scheme val="minor"/>
    </font>
    <font>
      <sz val="11"/>
      <color indexed="8"/>
      <name val="Calibri"/>
      <family val="2"/>
    </font>
    <font>
      <sz val="11"/>
      <color theme="1"/>
      <name val="Calibri"/>
      <family val="2"/>
    </font>
    <font>
      <sz val="10"/>
      <name val="Times New Roman"/>
      <family val="1"/>
    </font>
    <font>
      <u/>
      <sz val="11"/>
      <color indexed="12"/>
      <name val="Arial"/>
      <family val="2"/>
    </font>
    <font>
      <i/>
      <sz val="10"/>
      <name val="Arial"/>
      <family val="2"/>
    </font>
    <font>
      <sz val="10"/>
      <name val="Arial"/>
      <family val="2"/>
    </font>
    <font>
      <b/>
      <sz val="12"/>
      <name val="Arial"/>
      <family val="2"/>
    </font>
    <font>
      <b/>
      <sz val="11"/>
      <name val="Arial"/>
      <family val="2"/>
    </font>
    <font>
      <sz val="11"/>
      <color theme="1"/>
      <name val="Arial"/>
      <family val="2"/>
    </font>
    <font>
      <sz val="11"/>
      <name val="Arial"/>
      <family val="2"/>
    </font>
    <font>
      <sz val="12"/>
      <name val="Arial"/>
      <family val="2"/>
    </font>
    <font>
      <u/>
      <sz val="12"/>
      <color indexed="12"/>
      <name val="Arial"/>
      <family val="2"/>
    </font>
    <font>
      <b/>
      <i/>
      <u/>
      <sz val="10"/>
      <name val="Arial"/>
      <family val="2"/>
    </font>
    <font>
      <b/>
      <i/>
      <sz val="10"/>
      <name val="Arial"/>
      <family val="2"/>
    </font>
    <font>
      <sz val="10"/>
      <color rgb="FFFF0000"/>
      <name val="Arial"/>
      <family val="2"/>
    </font>
  </fonts>
  <fills count="12">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indexed="9"/>
        <bgColor indexed="64"/>
      </patternFill>
    </fill>
    <fill>
      <patternFill patternType="solid">
        <fgColor them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indexed="43"/>
        <bgColor indexed="64"/>
      </patternFill>
    </fill>
    <fill>
      <patternFill patternType="solid">
        <fgColor theme="0" tint="-0.14999847407452621"/>
        <bgColor indexed="64"/>
      </patternFill>
    </fill>
    <fill>
      <patternFill patternType="solid">
        <fgColor rgb="FFFFFFCC"/>
        <bgColor indexed="64"/>
      </patternFill>
    </fill>
  </fills>
  <borders count="2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bottom style="medium">
        <color indexed="64"/>
      </bottom>
      <diagonal/>
    </border>
  </borders>
  <cellStyleXfs count="46">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9" fontId="1" fillId="0" borderId="0" applyFont="0" applyFill="0" applyBorder="0" applyAlignment="0" applyProtection="0"/>
    <xf numFmtId="0" fontId="4" fillId="0" borderId="0"/>
    <xf numFmtId="0" fontId="4" fillId="0" borderId="0"/>
    <xf numFmtId="2" fontId="4" fillId="0" borderId="0">
      <alignment vertical="center"/>
    </xf>
    <xf numFmtId="0" fontId="4" fillId="0" borderId="0"/>
    <xf numFmtId="0" fontId="1" fillId="0" borderId="0"/>
    <xf numFmtId="168" fontId="17" fillId="0" borderId="0" applyFont="0" applyFill="0" applyBorder="0" applyAlignment="0" applyProtection="0"/>
    <xf numFmtId="0" fontId="4" fillId="0" borderId="0"/>
    <xf numFmtId="167" fontId="4" fillId="0" borderId="0" applyFont="0" applyFill="0" applyBorder="0" applyAlignment="0" applyProtection="0"/>
    <xf numFmtId="44" fontId="4" fillId="0" borderId="0" applyFont="0" applyFill="0" applyBorder="0" applyAlignment="0" applyProtection="0"/>
    <xf numFmtId="0" fontId="19" fillId="0" borderId="0"/>
    <xf numFmtId="0" fontId="20" fillId="0" borderId="0" applyNumberFormat="0" applyFill="0" applyBorder="0" applyAlignment="0" applyProtection="0">
      <alignment vertical="top"/>
      <protection locked="0"/>
    </xf>
    <xf numFmtId="0" fontId="22" fillId="0" borderId="0"/>
    <xf numFmtId="9"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0" borderId="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cellStyleXfs>
  <cellXfs count="558">
    <xf numFmtId="0" fontId="0" fillId="0" borderId="0" xfId="0"/>
    <xf numFmtId="4" fontId="2" fillId="2" borderId="1" xfId="0" applyNumberFormat="1" applyFont="1" applyFill="1" applyBorder="1" applyAlignment="1">
      <alignment horizontal="center" vertical="center"/>
    </xf>
    <xf numFmtId="4" fontId="2" fillId="2" borderId="4" xfId="0" applyNumberFormat="1" applyFont="1" applyFill="1" applyBorder="1" applyAlignment="1">
      <alignment horizontal="center" vertical="center"/>
    </xf>
    <xf numFmtId="4" fontId="2"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3" borderId="9" xfId="0" applyFont="1" applyFill="1" applyBorder="1" applyAlignment="1">
      <alignment horizontal="center" vertical="center"/>
    </xf>
    <xf numFmtId="43" fontId="3" fillId="3" borderId="9" xfId="1" applyFont="1" applyFill="1" applyBorder="1" applyAlignment="1">
      <alignment horizontal="center" vertical="center"/>
    </xf>
    <xf numFmtId="0" fontId="3" fillId="3" borderId="9" xfId="0" applyFont="1" applyFill="1" applyBorder="1" applyAlignment="1">
      <alignment horizontal="justify" vertical="center" wrapText="1"/>
    </xf>
    <xf numFmtId="43" fontId="3" fillId="3" borderId="9" xfId="1" applyFont="1" applyFill="1" applyBorder="1" applyAlignment="1">
      <alignment horizontal="right" vertical="center"/>
    </xf>
    <xf numFmtId="0" fontId="4" fillId="0" borderId="9" xfId="0" applyFont="1" applyFill="1" applyBorder="1" applyAlignment="1">
      <alignment horizontal="center" vertical="center"/>
    </xf>
    <xf numFmtId="164" fontId="4" fillId="0" borderId="9" xfId="1" applyNumberFormat="1" applyFont="1" applyFill="1" applyBorder="1" applyAlignment="1">
      <alignment horizontal="right" vertical="center"/>
    </xf>
    <xf numFmtId="0" fontId="3" fillId="3" borderId="9" xfId="0" quotePrefix="1" applyFont="1" applyFill="1" applyBorder="1" applyAlignment="1">
      <alignment horizontal="center" vertical="center"/>
    </xf>
    <xf numFmtId="0" fontId="3" fillId="0" borderId="9" xfId="0" quotePrefix="1" applyFont="1" applyFill="1" applyBorder="1" applyAlignment="1">
      <alignment horizontal="center" vertical="center"/>
    </xf>
    <xf numFmtId="0" fontId="3" fillId="0" borderId="9" xfId="0" applyFont="1" applyFill="1" applyBorder="1" applyAlignment="1">
      <alignment horizontal="center" vertical="center"/>
    </xf>
    <xf numFmtId="0" fontId="3" fillId="0" borderId="9" xfId="0" applyFont="1" applyFill="1" applyBorder="1" applyAlignment="1">
      <alignment horizontal="justify" vertical="center" wrapText="1"/>
    </xf>
    <xf numFmtId="0" fontId="2" fillId="0" borderId="0" xfId="0" applyFont="1"/>
    <xf numFmtId="49" fontId="3" fillId="2" borderId="8" xfId="1" applyNumberFormat="1" applyFont="1" applyFill="1" applyBorder="1" applyAlignment="1">
      <alignment horizontal="left" vertical="center" wrapText="1"/>
    </xf>
    <xf numFmtId="0" fontId="2" fillId="0" borderId="0" xfId="0" applyFont="1" applyAlignment="1">
      <alignment vertical="center"/>
    </xf>
    <xf numFmtId="0" fontId="5" fillId="0" borderId="9"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vertical="center" wrapText="1"/>
    </xf>
    <xf numFmtId="0" fontId="5" fillId="0" borderId="9" xfId="0" quotePrefix="1" applyFont="1" applyBorder="1" applyAlignment="1">
      <alignment horizontal="center" vertical="center"/>
    </xf>
    <xf numFmtId="0" fontId="5" fillId="0" borderId="9" xfId="0" applyFont="1" applyBorder="1" applyAlignment="1">
      <alignment horizontal="center" vertical="center"/>
    </xf>
    <xf numFmtId="0" fontId="2" fillId="0" borderId="0" xfId="0" applyFont="1" applyAlignment="1">
      <alignment horizontal="center" vertical="center"/>
    </xf>
    <xf numFmtId="10" fontId="3" fillId="2" borderId="0" xfId="1" applyNumberFormat="1" applyFont="1" applyFill="1" applyBorder="1" applyAlignment="1">
      <alignment horizontal="center" vertical="center" wrapText="1"/>
    </xf>
    <xf numFmtId="43" fontId="3" fillId="2" borderId="7" xfId="1" applyFont="1" applyFill="1" applyBorder="1" applyAlignment="1">
      <alignment horizontal="center" vertical="center" wrapText="1"/>
    </xf>
    <xf numFmtId="0" fontId="3" fillId="2" borderId="7" xfId="1" applyNumberFormat="1" applyFont="1" applyFill="1" applyBorder="1" applyAlignment="1">
      <alignment horizontal="center" vertical="center" wrapText="1"/>
    </xf>
    <xf numFmtId="4" fontId="2" fillId="3" borderId="9" xfId="1" applyNumberFormat="1" applyFont="1" applyFill="1" applyBorder="1" applyAlignment="1">
      <alignment horizontal="center" vertical="center"/>
    </xf>
    <xf numFmtId="4" fontId="4" fillId="0" borderId="9" xfId="0" applyNumberFormat="1" applyFont="1" applyFill="1" applyBorder="1" applyAlignment="1">
      <alignment horizontal="center" vertical="center"/>
    </xf>
    <xf numFmtId="164" fontId="4" fillId="0" borderId="9" xfId="2" applyNumberFormat="1" applyFont="1" applyFill="1" applyBorder="1" applyAlignment="1">
      <alignment horizontal="center" vertical="center"/>
    </xf>
    <xf numFmtId="4" fontId="2" fillId="2" borderId="7" xfId="0" applyNumberFormat="1"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1" applyNumberFormat="1" applyFont="1" applyFill="1" applyBorder="1" applyAlignment="1">
      <alignment horizontal="right" vertical="center" wrapText="1"/>
    </xf>
    <xf numFmtId="0" fontId="4" fillId="0" borderId="9" xfId="0" quotePrefix="1" applyFont="1" applyFill="1" applyBorder="1" applyAlignment="1">
      <alignment horizontal="center" vertical="center"/>
    </xf>
    <xf numFmtId="0" fontId="5" fillId="0" borderId="0" xfId="0" applyFont="1" applyAlignment="1">
      <alignment horizontal="center" vertical="center"/>
    </xf>
    <xf numFmtId="4" fontId="5" fillId="2" borderId="9" xfId="0" applyNumberFormat="1" applyFont="1" applyFill="1" applyBorder="1" applyAlignment="1">
      <alignment horizontal="center" vertical="center" wrapText="1"/>
    </xf>
    <xf numFmtId="4" fontId="5" fillId="0" borderId="9" xfId="0" applyNumberFormat="1" applyFont="1" applyFill="1" applyBorder="1" applyAlignment="1">
      <alignment horizontal="center" vertical="center" wrapText="1"/>
    </xf>
    <xf numFmtId="0" fontId="3" fillId="3" borderId="9" xfId="0" applyFont="1" applyFill="1" applyBorder="1" applyAlignment="1">
      <alignment horizontal="right" vertical="center" wrapText="1"/>
    </xf>
    <xf numFmtId="0" fontId="2" fillId="0" borderId="9" xfId="0" applyFont="1" applyBorder="1"/>
    <xf numFmtId="2" fontId="6" fillId="4" borderId="0" xfId="7" applyFont="1" applyFill="1">
      <alignment vertical="center"/>
    </xf>
    <xf numFmtId="0" fontId="4" fillId="0" borderId="0" xfId="5" applyFont="1"/>
    <xf numFmtId="0" fontId="2" fillId="0" borderId="0" xfId="0" applyFont="1" applyAlignment="1">
      <alignment horizontal="left" vertical="center"/>
    </xf>
    <xf numFmtId="0" fontId="4" fillId="4" borderId="9" xfId="6" applyFont="1" applyFill="1" applyBorder="1"/>
    <xf numFmtId="0" fontId="3" fillId="4" borderId="9" xfId="6" applyFont="1" applyFill="1" applyBorder="1" applyAlignment="1">
      <alignment horizontal="center" vertical="center" wrapText="1"/>
    </xf>
    <xf numFmtId="10" fontId="4" fillId="0" borderId="0" xfId="5" applyNumberFormat="1" applyFont="1"/>
    <xf numFmtId="49" fontId="3" fillId="4" borderId="0" xfId="7" applyNumberFormat="1" applyFont="1" applyFill="1" applyAlignment="1">
      <alignment horizontal="left" vertical="top" wrapText="1"/>
    </xf>
    <xf numFmtId="49" fontId="3" fillId="4" borderId="15" xfId="7" applyNumberFormat="1" applyFont="1" applyFill="1" applyBorder="1" applyAlignment="1">
      <alignment horizontal="left" vertical="top" wrapText="1"/>
    </xf>
    <xf numFmtId="49" fontId="3" fillId="4" borderId="15" xfId="7" applyNumberFormat="1" applyFont="1" applyFill="1" applyBorder="1" applyAlignment="1">
      <alignment horizontal="right" vertical="top" wrapText="1"/>
    </xf>
    <xf numFmtId="49" fontId="3" fillId="4" borderId="0" xfId="7" applyNumberFormat="1" applyFont="1" applyFill="1" applyAlignment="1">
      <alignment horizontal="left" vertical="top"/>
    </xf>
    <xf numFmtId="49" fontId="3" fillId="4" borderId="15" xfId="7" applyNumberFormat="1" applyFont="1" applyFill="1" applyBorder="1" applyAlignment="1">
      <alignment horizontal="right" wrapText="1"/>
    </xf>
    <xf numFmtId="0" fontId="4" fillId="4" borderId="0" xfId="8" applyFont="1" applyFill="1" applyAlignment="1">
      <alignment horizontal="left" vertical="top" wrapText="1"/>
    </xf>
    <xf numFmtId="0" fontId="4" fillId="4" borderId="16" xfId="8" applyFont="1" applyFill="1" applyBorder="1" applyAlignment="1">
      <alignment horizontal="left" vertical="top" wrapText="1"/>
    </xf>
    <xf numFmtId="49" fontId="3" fillId="4" borderId="17" xfId="7" applyNumberFormat="1" applyFont="1" applyFill="1" applyBorder="1" applyAlignment="1">
      <alignment horizontal="left" vertical="top" wrapText="1"/>
    </xf>
    <xf numFmtId="0" fontId="4" fillId="4" borderId="18" xfId="8" applyFont="1" applyFill="1" applyBorder="1" applyAlignment="1">
      <alignment horizontal="left" vertical="top" wrapText="1"/>
    </xf>
    <xf numFmtId="0" fontId="4" fillId="4" borderId="19" xfId="8" applyFont="1" applyFill="1" applyBorder="1" applyAlignment="1">
      <alignment horizontal="left" vertical="top" wrapText="1"/>
    </xf>
    <xf numFmtId="49" fontId="3" fillId="4" borderId="15" xfId="7" applyNumberFormat="1" applyFont="1" applyFill="1" applyBorder="1" applyAlignment="1">
      <alignment vertical="top" wrapText="1"/>
    </xf>
    <xf numFmtId="0" fontId="4" fillId="4" borderId="17" xfId="5" applyFont="1" applyFill="1" applyBorder="1"/>
    <xf numFmtId="0" fontId="3" fillId="4" borderId="9" xfId="6" applyFont="1" applyFill="1" applyBorder="1"/>
    <xf numFmtId="10" fontId="4" fillId="4" borderId="9" xfId="6" applyNumberFormat="1" applyFont="1" applyFill="1" applyBorder="1"/>
    <xf numFmtId="10" fontId="4" fillId="0" borderId="9" xfId="6" applyNumberFormat="1" applyFont="1" applyBorder="1" applyAlignment="1">
      <alignment horizontal="center"/>
    </xf>
    <xf numFmtId="10" fontId="3" fillId="0" borderId="9" xfId="6" applyNumberFormat="1" applyFont="1" applyBorder="1" applyAlignment="1">
      <alignment horizontal="center"/>
    </xf>
    <xf numFmtId="10" fontId="4" fillId="4" borderId="9" xfId="6" applyNumberFormat="1" applyFont="1" applyFill="1" applyBorder="1" applyAlignment="1">
      <alignment horizontal="center"/>
    </xf>
    <xf numFmtId="10" fontId="3" fillId="4" borderId="9" xfId="6" applyNumberFormat="1" applyFont="1" applyFill="1" applyBorder="1" applyAlignment="1">
      <alignment horizontal="center"/>
    </xf>
    <xf numFmtId="2" fontId="3" fillId="4" borderId="0" xfId="7" applyFont="1" applyFill="1" applyAlignment="1">
      <alignment horizontal="justify" vertical="top" wrapText="1"/>
    </xf>
    <xf numFmtId="4" fontId="3" fillId="4" borderId="0" xfId="7" applyNumberFormat="1" applyFont="1" applyFill="1" applyAlignment="1">
      <alignment vertical="top" wrapText="1"/>
    </xf>
    <xf numFmtId="2" fontId="3" fillId="4" borderId="16" xfId="7" applyFont="1" applyFill="1" applyBorder="1" applyAlignment="1">
      <alignment vertical="top" wrapText="1"/>
    </xf>
    <xf numFmtId="4" fontId="3" fillId="4" borderId="0" xfId="7" applyNumberFormat="1" applyFont="1" applyFill="1" applyAlignment="1">
      <alignment wrapText="1"/>
    </xf>
    <xf numFmtId="2" fontId="3" fillId="4" borderId="16" xfId="7" applyFont="1" applyFill="1" applyBorder="1" applyAlignment="1">
      <alignment wrapText="1"/>
    </xf>
    <xf numFmtId="4" fontId="3" fillId="4" borderId="0" xfId="8" applyNumberFormat="1" applyFont="1" applyFill="1" applyAlignment="1">
      <alignment vertical="top" wrapText="1"/>
    </xf>
    <xf numFmtId="0" fontId="3" fillId="4" borderId="16" xfId="8" applyFont="1" applyFill="1" applyBorder="1" applyAlignment="1">
      <alignment vertical="top" wrapText="1"/>
    </xf>
    <xf numFmtId="44" fontId="2" fillId="0" borderId="9" xfId="2" applyFont="1" applyBorder="1" applyAlignment="1">
      <alignment horizontal="center" vertical="center"/>
    </xf>
    <xf numFmtId="44" fontId="3" fillId="3" borderId="9" xfId="2" applyFont="1" applyFill="1" applyBorder="1" applyAlignment="1">
      <alignment horizontal="center" vertical="center"/>
    </xf>
    <xf numFmtId="44" fontId="3" fillId="0" borderId="9" xfId="2" applyFont="1" applyFill="1" applyBorder="1" applyAlignment="1">
      <alignment horizontal="center" vertical="center"/>
    </xf>
    <xf numFmtId="0" fontId="2" fillId="3" borderId="9" xfId="0" applyFont="1" applyFill="1" applyBorder="1"/>
    <xf numFmtId="0" fontId="2" fillId="3" borderId="9" xfId="0" applyFont="1" applyFill="1" applyBorder="1" applyAlignment="1">
      <alignment horizontal="center" vertical="center"/>
    </xf>
    <xf numFmtId="0" fontId="8" fillId="0" borderId="9" xfId="0" applyFont="1" applyBorder="1" applyAlignment="1">
      <alignment horizontal="right" vertical="center" wrapText="1"/>
    </xf>
    <xf numFmtId="164" fontId="4" fillId="0" borderId="9" xfId="1" applyNumberFormat="1" applyFont="1" applyFill="1" applyBorder="1" applyAlignment="1">
      <alignment horizontal="center" vertical="center"/>
    </xf>
    <xf numFmtId="2" fontId="2" fillId="0" borderId="9" xfId="0" applyNumberFormat="1" applyFont="1" applyBorder="1" applyAlignment="1">
      <alignment horizontal="center" vertical="center"/>
    </xf>
    <xf numFmtId="0" fontId="9" fillId="0" borderId="9" xfId="0" applyFont="1" applyBorder="1" applyAlignment="1">
      <alignment horizontal="right" vertical="center" wrapText="1"/>
    </xf>
    <xf numFmtId="0" fontId="2" fillId="0" borderId="9" xfId="0" applyFont="1" applyFill="1" applyBorder="1" applyAlignment="1">
      <alignment horizontal="center" vertical="center"/>
    </xf>
    <xf numFmtId="0" fontId="9" fillId="0" borderId="9" xfId="0" applyFont="1" applyFill="1" applyBorder="1" applyAlignment="1">
      <alignment horizontal="right" vertical="center" wrapText="1"/>
    </xf>
    <xf numFmtId="0" fontId="9" fillId="5" borderId="9" xfId="0" applyFont="1" applyFill="1" applyBorder="1" applyAlignment="1">
      <alignment horizontal="right" vertical="center"/>
    </xf>
    <xf numFmtId="2" fontId="5" fillId="5" borderId="9" xfId="0" applyNumberFormat="1" applyFont="1" applyFill="1" applyBorder="1" applyAlignment="1">
      <alignment horizontal="center" vertical="center"/>
    </xf>
    <xf numFmtId="2" fontId="9" fillId="5" borderId="9" xfId="0" applyNumberFormat="1" applyFont="1" applyFill="1" applyBorder="1" applyAlignment="1">
      <alignment horizontal="right"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164" fontId="3" fillId="3" borderId="9" xfId="0" applyNumberFormat="1" applyFont="1" applyFill="1" applyBorder="1" applyAlignment="1">
      <alignment horizontal="center" vertical="center"/>
    </xf>
    <xf numFmtId="2" fontId="4" fillId="0" borderId="9" xfId="1" applyNumberFormat="1" applyFont="1" applyFill="1" applyBorder="1" applyAlignment="1">
      <alignment horizontal="center" vertical="center"/>
    </xf>
    <xf numFmtId="0" fontId="2" fillId="0" borderId="9" xfId="0" applyFont="1" applyBorder="1" applyAlignment="1">
      <alignment horizontal="center"/>
    </xf>
    <xf numFmtId="0" fontId="10" fillId="0" borderId="9" xfId="0" applyFont="1" applyBorder="1" applyAlignment="1">
      <alignment horizontal="right" vertical="center" wrapText="1"/>
    </xf>
    <xf numFmtId="2" fontId="2" fillId="0" borderId="9" xfId="0" applyNumberFormat="1" applyFont="1" applyBorder="1" applyAlignment="1">
      <alignment horizontal="center"/>
    </xf>
    <xf numFmtId="2" fontId="9" fillId="0" borderId="9" xfId="0" applyNumberFormat="1" applyFont="1" applyFill="1" applyBorder="1" applyAlignment="1">
      <alignment horizontal="right" vertical="center"/>
    </xf>
    <xf numFmtId="2" fontId="5" fillId="0" borderId="9" xfId="0" applyNumberFormat="1" applyFont="1" applyFill="1" applyBorder="1" applyAlignment="1">
      <alignment horizontal="center" vertical="center"/>
    </xf>
    <xf numFmtId="0" fontId="2" fillId="2" borderId="9" xfId="0" applyFont="1" applyFill="1" applyBorder="1" applyAlignment="1">
      <alignment horizontal="center" vertical="center"/>
    </xf>
    <xf numFmtId="0" fontId="2" fillId="2" borderId="9" xfId="0" applyFont="1" applyFill="1" applyBorder="1" applyAlignment="1">
      <alignment vertical="center" wrapText="1"/>
    </xf>
    <xf numFmtId="44" fontId="2" fillId="2" borderId="9" xfId="2" applyFont="1" applyFill="1" applyBorder="1" applyAlignment="1">
      <alignment horizontal="center" vertical="center"/>
    </xf>
    <xf numFmtId="0" fontId="2" fillId="2" borderId="0" xfId="0" applyFont="1" applyFill="1"/>
    <xf numFmtId="17" fontId="14" fillId="2" borderId="9" xfId="9" applyNumberFormat="1" applyFont="1" applyFill="1" applyBorder="1" applyAlignment="1">
      <alignment horizontal="center" vertical="center" wrapText="1"/>
    </xf>
    <xf numFmtId="1" fontId="15" fillId="2" borderId="9" xfId="9" applyNumberFormat="1" applyFont="1" applyFill="1" applyBorder="1" applyAlignment="1">
      <alignment horizontal="center" vertical="center"/>
    </xf>
    <xf numFmtId="165" fontId="15" fillId="2" borderId="9" xfId="9" applyNumberFormat="1" applyFont="1" applyFill="1" applyBorder="1" applyAlignment="1">
      <alignment horizontal="center" vertical="center"/>
    </xf>
    <xf numFmtId="166" fontId="15" fillId="2" borderId="9" xfId="9" applyNumberFormat="1" applyFont="1" applyFill="1" applyBorder="1" applyAlignment="1">
      <alignment vertical="center"/>
    </xf>
    <xf numFmtId="0" fontId="15" fillId="2" borderId="9" xfId="9" applyFont="1" applyFill="1" applyBorder="1" applyAlignment="1">
      <alignment vertical="center"/>
    </xf>
    <xf numFmtId="1" fontId="17" fillId="2" borderId="9" xfId="9" applyNumberFormat="1" applyFont="1" applyFill="1" applyBorder="1" applyAlignment="1">
      <alignment horizontal="center" vertical="center" wrapText="1"/>
    </xf>
    <xf numFmtId="165" fontId="18" fillId="2" borderId="9" xfId="9" applyNumberFormat="1" applyFont="1" applyFill="1" applyBorder="1" applyAlignment="1">
      <alignment horizontal="center" vertical="center" wrapText="1"/>
    </xf>
    <xf numFmtId="2" fontId="18" fillId="2" borderId="9" xfId="9" applyNumberFormat="1" applyFont="1" applyFill="1" applyBorder="1" applyAlignment="1">
      <alignment horizontal="right" vertical="center" wrapText="1"/>
    </xf>
    <xf numFmtId="1" fontId="1" fillId="2" borderId="9" xfId="9" applyNumberFormat="1" applyFont="1" applyFill="1" applyBorder="1" applyAlignment="1">
      <alignment horizontal="center" vertical="center" wrapText="1"/>
    </xf>
    <xf numFmtId="49" fontId="1" fillId="2" borderId="9" xfId="9" applyNumberFormat="1" applyFont="1" applyFill="1" applyBorder="1" applyAlignment="1">
      <alignment vertical="center"/>
    </xf>
    <xf numFmtId="4" fontId="1" fillId="2" borderId="9" xfId="9" applyNumberFormat="1" applyFont="1" applyFill="1" applyBorder="1" applyAlignment="1">
      <alignment horizontal="right" vertical="center" wrapText="1"/>
    </xf>
    <xf numFmtId="166" fontId="1" fillId="2" borderId="9" xfId="9" applyNumberFormat="1" applyFont="1" applyFill="1" applyBorder="1" applyAlignment="1">
      <alignment horizontal="right" vertical="center" wrapText="1"/>
    </xf>
    <xf numFmtId="167" fontId="13" fillId="2" borderId="9" xfId="9" applyNumberFormat="1" applyFont="1" applyFill="1" applyBorder="1" applyAlignment="1">
      <alignment horizontal="right" vertical="center"/>
    </xf>
    <xf numFmtId="165" fontId="1" fillId="2" borderId="9" xfId="9" applyNumberFormat="1" applyFont="1" applyFill="1" applyBorder="1" applyAlignment="1">
      <alignment horizontal="center" vertical="center" wrapText="1"/>
    </xf>
    <xf numFmtId="0" fontId="1" fillId="0" borderId="9" xfId="9" applyBorder="1" applyAlignment="1">
      <alignment horizontal="center" vertical="center"/>
    </xf>
    <xf numFmtId="0" fontId="1" fillId="0" borderId="9" xfId="9" applyBorder="1" applyAlignment="1">
      <alignment vertical="center"/>
    </xf>
    <xf numFmtId="167" fontId="1" fillId="0" borderId="9" xfId="9" applyNumberFormat="1" applyBorder="1" applyAlignment="1">
      <alignment vertical="center"/>
    </xf>
    <xf numFmtId="43" fontId="1" fillId="0" borderId="9" xfId="9" applyNumberFormat="1" applyBorder="1" applyAlignment="1">
      <alignment vertical="center"/>
    </xf>
    <xf numFmtId="43" fontId="13" fillId="2" borderId="9" xfId="9" applyNumberFormat="1" applyFont="1" applyFill="1" applyBorder="1" applyAlignment="1">
      <alignment horizontal="right" vertical="center"/>
    </xf>
    <xf numFmtId="49" fontId="18" fillId="2" borderId="9" xfId="9" applyNumberFormat="1" applyFont="1" applyFill="1" applyBorder="1" applyAlignment="1">
      <alignment horizontal="center" vertical="center" wrapText="1"/>
    </xf>
    <xf numFmtId="4" fontId="18" fillId="2" borderId="9" xfId="9" applyNumberFormat="1" applyFont="1" applyFill="1" applyBorder="1" applyAlignment="1">
      <alignment horizontal="right" vertical="center" wrapText="1"/>
    </xf>
    <xf numFmtId="1" fontId="17" fillId="0" borderId="9" xfId="9" applyNumberFormat="1" applyFont="1" applyFill="1" applyBorder="1" applyAlignment="1">
      <alignment horizontal="center" vertical="center" wrapText="1"/>
    </xf>
    <xf numFmtId="1" fontId="16" fillId="0" borderId="9" xfId="9" applyNumberFormat="1" applyFont="1" applyFill="1" applyBorder="1" applyAlignment="1">
      <alignment horizontal="center" vertical="center" wrapText="1"/>
    </xf>
    <xf numFmtId="165" fontId="17" fillId="0" borderId="9" xfId="9" applyNumberFormat="1" applyFont="1" applyFill="1" applyBorder="1" applyAlignment="1">
      <alignment horizontal="center" vertical="center" wrapText="1"/>
    </xf>
    <xf numFmtId="4" fontId="17" fillId="0" borderId="9" xfId="9" applyNumberFormat="1" applyFont="1" applyFill="1" applyBorder="1" applyAlignment="1">
      <alignment vertical="center" wrapText="1"/>
    </xf>
    <xf numFmtId="1" fontId="16" fillId="2" borderId="9" xfId="9" applyNumberFormat="1" applyFont="1" applyFill="1" applyBorder="1" applyAlignment="1">
      <alignment horizontal="center" vertical="center" wrapText="1"/>
    </xf>
    <xf numFmtId="166" fontId="16" fillId="2" borderId="9" xfId="9" applyNumberFormat="1" applyFont="1" applyFill="1" applyBorder="1" applyAlignment="1">
      <alignment horizontal="center" vertical="center" wrapText="1"/>
    </xf>
    <xf numFmtId="165" fontId="16" fillId="2" borderId="9" xfId="9" applyNumberFormat="1" applyFont="1" applyFill="1" applyBorder="1" applyAlignment="1">
      <alignment horizontal="center" vertical="center" wrapText="1"/>
    </xf>
    <xf numFmtId="4" fontId="16" fillId="2" borderId="9" xfId="9" applyNumberFormat="1" applyFont="1" applyFill="1" applyBorder="1" applyAlignment="1">
      <alignment vertical="center" wrapText="1"/>
    </xf>
    <xf numFmtId="166" fontId="16" fillId="2" borderId="9" xfId="9" applyNumberFormat="1" applyFont="1" applyFill="1" applyBorder="1" applyAlignment="1">
      <alignment vertical="center" wrapText="1"/>
    </xf>
    <xf numFmtId="166" fontId="13" fillId="2" borderId="9" xfId="9" applyNumberFormat="1" applyFont="1" applyFill="1" applyBorder="1" applyAlignment="1">
      <alignment vertical="center" wrapText="1"/>
    </xf>
    <xf numFmtId="167" fontId="15" fillId="2" borderId="9" xfId="9" applyNumberFormat="1" applyFont="1" applyFill="1" applyBorder="1" applyAlignment="1">
      <alignment vertical="center"/>
    </xf>
    <xf numFmtId="0" fontId="1" fillId="0" borderId="0" xfId="9" applyAlignment="1">
      <alignment horizontal="center" vertical="center"/>
    </xf>
    <xf numFmtId="0" fontId="1" fillId="0" borderId="0" xfId="9" applyAlignment="1">
      <alignment vertical="center"/>
    </xf>
    <xf numFmtId="49" fontId="0" fillId="2" borderId="9" xfId="9" applyNumberFormat="1" applyFont="1" applyFill="1" applyBorder="1" applyAlignment="1">
      <alignment horizontal="center" vertical="center" wrapText="1"/>
    </xf>
    <xf numFmtId="169" fontId="18" fillId="2" borderId="9" xfId="9" applyNumberFormat="1" applyFont="1" applyFill="1" applyBorder="1" applyAlignment="1">
      <alignment horizontal="center" vertical="center" wrapText="1"/>
    </xf>
    <xf numFmtId="49" fontId="17" fillId="0" borderId="9" xfId="9" applyNumberFormat="1" applyFont="1" applyFill="1" applyBorder="1" applyAlignment="1">
      <alignment horizontal="center" vertical="center" wrapText="1"/>
    </xf>
    <xf numFmtId="49" fontId="16" fillId="2" borderId="9" xfId="9" applyNumberFormat="1" applyFont="1" applyFill="1" applyBorder="1" applyAlignment="1">
      <alignment horizontal="center" vertical="center" wrapText="1"/>
    </xf>
    <xf numFmtId="167" fontId="13" fillId="2" borderId="9" xfId="9" applyNumberFormat="1" applyFont="1" applyFill="1" applyBorder="1" applyAlignment="1">
      <alignment vertical="center"/>
    </xf>
    <xf numFmtId="2" fontId="2" fillId="2" borderId="9" xfId="0" applyNumberFormat="1" applyFont="1" applyFill="1" applyBorder="1" applyAlignment="1">
      <alignment horizontal="center" vertical="center" wrapText="1"/>
    </xf>
    <xf numFmtId="49" fontId="15" fillId="2" borderId="9" xfId="9" applyNumberFormat="1" applyFont="1" applyFill="1" applyBorder="1" applyAlignment="1">
      <alignment horizontal="center" vertical="center"/>
    </xf>
    <xf numFmtId="170" fontId="1" fillId="2" borderId="9" xfId="9" applyNumberFormat="1" applyFont="1" applyFill="1" applyBorder="1" applyAlignment="1">
      <alignment horizontal="right" vertical="center" wrapText="1"/>
    </xf>
    <xf numFmtId="165" fontId="18" fillId="2" borderId="9" xfId="9" applyNumberFormat="1" applyFont="1" applyFill="1" applyBorder="1" applyAlignment="1">
      <alignment horizontal="right" vertical="center" wrapText="1"/>
    </xf>
    <xf numFmtId="165" fontId="18" fillId="0" borderId="9" xfId="9" applyNumberFormat="1" applyFont="1" applyFill="1" applyBorder="1" applyAlignment="1">
      <alignment horizontal="right" vertical="center" wrapText="1"/>
    </xf>
    <xf numFmtId="171" fontId="18" fillId="2" borderId="9" xfId="9" applyNumberFormat="1" applyFont="1" applyFill="1" applyBorder="1" applyAlignment="1">
      <alignment horizontal="center" vertical="center" wrapText="1"/>
    </xf>
    <xf numFmtId="171" fontId="16" fillId="2" borderId="9" xfId="9" applyNumberFormat="1"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2" fontId="18" fillId="2" borderId="9" xfId="9" applyNumberFormat="1" applyFont="1" applyFill="1" applyBorder="1" applyAlignment="1">
      <alignment horizontal="center" vertical="center" wrapText="1"/>
    </xf>
    <xf numFmtId="4" fontId="8" fillId="2" borderId="9" xfId="0" applyNumberFormat="1" applyFont="1" applyFill="1" applyBorder="1" applyAlignment="1">
      <alignment horizontal="center" vertical="center" wrapText="1"/>
    </xf>
    <xf numFmtId="0" fontId="8" fillId="0" borderId="9" xfId="0" applyFont="1" applyBorder="1" applyAlignment="1">
      <alignment horizontal="right" vertical="center" wrapText="1"/>
    </xf>
    <xf numFmtId="0" fontId="9" fillId="0" borderId="9" xfId="0" applyFont="1" applyFill="1" applyBorder="1" applyAlignment="1">
      <alignment horizontal="right" vertical="center"/>
    </xf>
    <xf numFmtId="4" fontId="2" fillId="0" borderId="9" xfId="0" applyNumberFormat="1" applyFont="1" applyBorder="1" applyAlignment="1">
      <alignment horizontal="center" vertical="center"/>
    </xf>
    <xf numFmtId="2" fontId="2" fillId="2" borderId="9" xfId="0" applyNumberFormat="1" applyFont="1" applyFill="1" applyBorder="1" applyAlignment="1">
      <alignment horizontal="center" vertical="center"/>
    </xf>
    <xf numFmtId="0" fontId="2" fillId="0" borderId="0" xfId="0" applyFont="1" applyFill="1"/>
    <xf numFmtId="0" fontId="0" fillId="0" borderId="0" xfId="0" applyAlignment="1">
      <alignment wrapText="1"/>
    </xf>
    <xf numFmtId="166" fontId="15" fillId="2" borderId="9" xfId="9" applyNumberFormat="1" applyFont="1" applyFill="1" applyBorder="1" applyAlignment="1">
      <alignment horizontal="center" vertical="center"/>
    </xf>
    <xf numFmtId="4" fontId="1" fillId="2" borderId="9" xfId="9" applyNumberFormat="1" applyFont="1" applyFill="1" applyBorder="1" applyAlignment="1">
      <alignment horizontal="center" vertical="center" wrapText="1"/>
    </xf>
    <xf numFmtId="4" fontId="18" fillId="2" borderId="9" xfId="9" applyNumberFormat="1" applyFont="1" applyFill="1" applyBorder="1" applyAlignment="1">
      <alignment horizontal="center" vertical="center" wrapText="1"/>
    </xf>
    <xf numFmtId="4" fontId="16" fillId="2" borderId="9" xfId="9" applyNumberFormat="1" applyFont="1" applyFill="1" applyBorder="1" applyAlignment="1">
      <alignment horizontal="center" vertical="center" wrapText="1"/>
    </xf>
    <xf numFmtId="167" fontId="1" fillId="0" borderId="9" xfId="9" applyNumberFormat="1" applyBorder="1" applyAlignment="1">
      <alignment horizontal="center" vertical="center"/>
    </xf>
    <xf numFmtId="43" fontId="3" fillId="0" borderId="9" xfId="1" applyFont="1" applyFill="1" applyBorder="1" applyAlignment="1">
      <alignment horizontal="center" vertical="center"/>
    </xf>
    <xf numFmtId="0" fontId="4" fillId="0" borderId="9" xfId="0" applyFont="1" applyFill="1" applyBorder="1" applyAlignment="1">
      <alignment horizontal="justify" vertical="center" wrapText="1"/>
    </xf>
    <xf numFmtId="0" fontId="5" fillId="0" borderId="9" xfId="0" applyFont="1" applyBorder="1"/>
    <xf numFmtId="0" fontId="21" fillId="0" borderId="9" xfId="0" applyFont="1" applyFill="1" applyBorder="1" applyAlignment="1">
      <alignment horizontal="right" vertical="center" wrapText="1"/>
    </xf>
    <xf numFmtId="2" fontId="4" fillId="0" borderId="9" xfId="2" applyNumberFormat="1" applyFont="1" applyFill="1" applyBorder="1" applyAlignment="1">
      <alignment horizontal="center" vertical="center"/>
    </xf>
    <xf numFmtId="2" fontId="4" fillId="0" borderId="9" xfId="0" applyNumberFormat="1" applyFont="1" applyFill="1" applyBorder="1" applyAlignment="1">
      <alignment horizontal="center" vertical="center"/>
    </xf>
    <xf numFmtId="4" fontId="2" fillId="0" borderId="0" xfId="0" applyNumberFormat="1" applyFont="1"/>
    <xf numFmtId="4" fontId="4" fillId="0" borderId="0" xfId="16" applyNumberFormat="1" applyFont="1" applyAlignment="1">
      <alignment horizontal="center" vertical="center"/>
    </xf>
    <xf numFmtId="4" fontId="4" fillId="0" borderId="0" xfId="16" applyNumberFormat="1" applyFont="1" applyBorder="1" applyAlignment="1">
      <alignment horizontal="center" vertical="center"/>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2" fillId="0" borderId="0" xfId="0" applyFont="1" applyAlignment="1">
      <alignment horizontal="center"/>
    </xf>
    <xf numFmtId="0" fontId="2" fillId="0" borderId="0" xfId="0" applyFont="1"/>
    <xf numFmtId="0" fontId="2" fillId="0" borderId="9" xfId="0" applyFont="1" applyBorder="1" applyAlignment="1">
      <alignment horizontal="center" vertical="center"/>
    </xf>
    <xf numFmtId="4" fontId="2" fillId="2" borderId="9" xfId="0" applyNumberFormat="1" applyFont="1" applyFill="1" applyBorder="1" applyAlignment="1">
      <alignment horizontal="center" vertical="center" wrapText="1"/>
    </xf>
    <xf numFmtId="49" fontId="2" fillId="0" borderId="9" xfId="0" applyNumberFormat="1" applyFont="1" applyFill="1" applyBorder="1" applyAlignment="1">
      <alignment horizontal="center" vertical="center"/>
    </xf>
    <xf numFmtId="2" fontId="2" fillId="0" borderId="9" xfId="0" applyNumberFormat="1" applyFont="1" applyFill="1" applyBorder="1" applyAlignment="1">
      <alignment horizontal="center" vertical="center"/>
    </xf>
    <xf numFmtId="44" fontId="2" fillId="0" borderId="9" xfId="2" applyFont="1" applyFill="1" applyBorder="1" applyAlignment="1">
      <alignment horizontal="center" vertical="center"/>
    </xf>
    <xf numFmtId="0" fontId="4" fillId="0" borderId="9" xfId="0" applyFont="1" applyFill="1" applyBorder="1" applyAlignment="1">
      <alignment horizontal="center" vertical="center"/>
    </xf>
    <xf numFmtId="0" fontId="2" fillId="0" borderId="0" xfId="0" applyFont="1"/>
    <xf numFmtId="0" fontId="2" fillId="0" borderId="9" xfId="0" applyFont="1" applyBorder="1" applyAlignment="1">
      <alignment horizontal="center" vertical="center"/>
    </xf>
    <xf numFmtId="0" fontId="2" fillId="0" borderId="9" xfId="0" applyFont="1" applyBorder="1" applyAlignment="1">
      <alignment vertical="center" wrapText="1"/>
    </xf>
    <xf numFmtId="0" fontId="2" fillId="0" borderId="9" xfId="0" applyFont="1" applyBorder="1"/>
    <xf numFmtId="2" fontId="2" fillId="0" borderId="9" xfId="0" applyNumberFormat="1" applyFont="1" applyBorder="1" applyAlignment="1">
      <alignment horizontal="center" vertical="center"/>
    </xf>
    <xf numFmtId="0" fontId="2" fillId="0" borderId="9" xfId="0" applyFont="1" applyFill="1" applyBorder="1" applyAlignment="1">
      <alignment horizontal="center" vertical="center"/>
    </xf>
    <xf numFmtId="2" fontId="5" fillId="5" borderId="9" xfId="0" applyNumberFormat="1" applyFont="1" applyFill="1" applyBorder="1" applyAlignment="1">
      <alignment horizontal="center" vertical="center"/>
    </xf>
    <xf numFmtId="2" fontId="9" fillId="5" borderId="9" xfId="0" applyNumberFormat="1" applyFont="1" applyFill="1" applyBorder="1" applyAlignment="1">
      <alignment horizontal="right"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2" fontId="2" fillId="0" borderId="9" xfId="0" applyNumberFormat="1" applyFont="1" applyBorder="1" applyAlignment="1">
      <alignment horizontal="center"/>
    </xf>
    <xf numFmtId="2" fontId="9" fillId="0" borderId="9" xfId="0" applyNumberFormat="1" applyFont="1" applyFill="1" applyBorder="1" applyAlignment="1">
      <alignment horizontal="right" vertical="center"/>
    </xf>
    <xf numFmtId="2" fontId="5" fillId="0" borderId="9" xfId="0" applyNumberFormat="1" applyFont="1" applyFill="1" applyBorder="1" applyAlignment="1">
      <alignment horizontal="center" vertical="center"/>
    </xf>
    <xf numFmtId="0" fontId="2" fillId="0" borderId="9" xfId="0" applyFont="1" applyFill="1" applyBorder="1" applyAlignment="1">
      <alignment vertical="center" wrapText="1"/>
    </xf>
    <xf numFmtId="0" fontId="2" fillId="3" borderId="9" xfId="0" applyFont="1" applyFill="1" applyBorder="1" applyAlignment="1">
      <alignment horizontal="center"/>
    </xf>
    <xf numFmtId="0" fontId="4" fillId="4" borderId="11" xfId="6" applyFont="1" applyFill="1" applyBorder="1"/>
    <xf numFmtId="44" fontId="2" fillId="0" borderId="0" xfId="2" applyFont="1" applyAlignment="1">
      <alignment vertical="center"/>
    </xf>
    <xf numFmtId="0" fontId="3" fillId="2" borderId="0" xfId="1" applyNumberFormat="1" applyFont="1" applyFill="1" applyBorder="1" applyAlignment="1">
      <alignment horizontal="center" vertical="center" wrapText="1"/>
    </xf>
    <xf numFmtId="0" fontId="3" fillId="2" borderId="0" xfId="0" applyFont="1" applyFill="1" applyBorder="1" applyAlignment="1">
      <alignment horizontal="left" vertical="center" wrapText="1"/>
    </xf>
    <xf numFmtId="0" fontId="8" fillId="0" borderId="9" xfId="0" applyFont="1" applyBorder="1" applyAlignment="1">
      <alignment horizontal="right" vertical="center" wrapText="1"/>
    </xf>
    <xf numFmtId="171" fontId="15" fillId="2" borderId="9" xfId="9" applyNumberFormat="1" applyFont="1" applyFill="1" applyBorder="1" applyAlignment="1">
      <alignment horizontal="center" vertical="center"/>
    </xf>
    <xf numFmtId="169" fontId="15" fillId="2" borderId="9" xfId="9" applyNumberFormat="1" applyFont="1" applyFill="1" applyBorder="1" applyAlignment="1">
      <alignment horizontal="center" vertical="center"/>
    </xf>
    <xf numFmtId="0" fontId="3" fillId="0" borderId="9" xfId="0" applyFont="1" applyBorder="1" applyAlignment="1">
      <alignment horizontal="center" vertical="top" wrapText="1"/>
    </xf>
    <xf numFmtId="0" fontId="4" fillId="0" borderId="9" xfId="0" applyFont="1" applyBorder="1" applyAlignment="1">
      <alignment horizontal="left" vertical="top" wrapText="1"/>
    </xf>
    <xf numFmtId="10" fontId="4" fillId="0" borderId="9" xfId="4" applyNumberFormat="1" applyFont="1" applyFill="1" applyBorder="1" applyAlignment="1">
      <alignment horizontal="center" vertical="top" wrapText="1"/>
    </xf>
    <xf numFmtId="10" fontId="3" fillId="0" borderId="9" xfId="4" applyNumberFormat="1" applyFont="1" applyFill="1" applyBorder="1" applyAlignment="1">
      <alignment horizontal="center" vertical="top" wrapText="1"/>
    </xf>
    <xf numFmtId="0" fontId="3" fillId="0" borderId="9" xfId="0" applyFont="1" applyBorder="1" applyAlignment="1">
      <alignment horizontal="left" vertical="top" wrapText="1" indent="5"/>
    </xf>
    <xf numFmtId="9" fontId="3" fillId="0" borderId="9" xfId="4" applyFont="1" applyFill="1" applyBorder="1" applyAlignment="1">
      <alignment horizontal="left" vertical="top" wrapText="1" indent="1"/>
    </xf>
    <xf numFmtId="9" fontId="4" fillId="0" borderId="9" xfId="4" applyFont="1" applyFill="1" applyBorder="1" applyAlignment="1">
      <alignment horizontal="center" vertical="top" wrapText="1"/>
    </xf>
    <xf numFmtId="10" fontId="3" fillId="0" borderId="9" xfId="4" applyNumberFormat="1" applyFont="1" applyFill="1" applyBorder="1" applyAlignment="1">
      <alignment horizontal="left" vertical="top" wrapText="1" indent="1"/>
    </xf>
    <xf numFmtId="0" fontId="3" fillId="0" borderId="9" xfId="0" applyFont="1" applyBorder="1" applyAlignment="1">
      <alignment horizontal="left" vertical="top" wrapText="1" indent="4"/>
    </xf>
    <xf numFmtId="10" fontId="4" fillId="0" borderId="9" xfId="4" applyNumberFormat="1" applyFont="1" applyFill="1" applyBorder="1" applyAlignment="1">
      <alignment horizontal="center" vertical="center" wrapText="1"/>
    </xf>
    <xf numFmtId="9" fontId="4" fillId="0" borderId="9" xfId="4" applyFont="1" applyFill="1" applyBorder="1" applyAlignment="1">
      <alignment horizontal="center" vertical="center" wrapText="1"/>
    </xf>
    <xf numFmtId="0" fontId="3" fillId="0" borderId="9" xfId="0" applyFont="1" applyBorder="1" applyAlignment="1">
      <alignment horizontal="left" vertical="top" wrapText="1" indent="8"/>
    </xf>
    <xf numFmtId="9" fontId="3" fillId="0" borderId="9" xfId="4" applyFont="1" applyFill="1" applyBorder="1" applyAlignment="1">
      <alignment horizontal="center" vertical="top" wrapText="1"/>
    </xf>
    <xf numFmtId="0" fontId="2" fillId="0" borderId="9" xfId="0" applyFont="1" applyBorder="1" applyAlignment="1">
      <alignment horizontal="left" vertical="top" wrapText="1"/>
    </xf>
    <xf numFmtId="0" fontId="3" fillId="0" borderId="9" xfId="0" applyFont="1" applyBorder="1" applyAlignment="1">
      <alignment horizontal="left" vertical="top" wrapText="1" indent="11"/>
    </xf>
    <xf numFmtId="49" fontId="3" fillId="4" borderId="0" xfId="7" applyNumberFormat="1" applyFont="1" applyFill="1" applyBorder="1" applyAlignment="1">
      <alignment horizontal="left" vertical="top" wrapText="1"/>
    </xf>
    <xf numFmtId="43" fontId="3" fillId="2" borderId="0" xfId="1" applyFont="1" applyFill="1" applyBorder="1" applyAlignment="1">
      <alignment horizontal="center" vertical="center" wrapText="1"/>
    </xf>
    <xf numFmtId="0" fontId="3" fillId="2" borderId="0" xfId="1" applyNumberFormat="1" applyFont="1" applyFill="1" applyBorder="1" applyAlignment="1">
      <alignment horizontal="right" vertical="center" wrapText="1"/>
    </xf>
    <xf numFmtId="49" fontId="3" fillId="2" borderId="5" xfId="1" applyNumberFormat="1" applyFont="1" applyFill="1" applyBorder="1" applyAlignment="1">
      <alignment horizontal="left" vertical="center" wrapText="1"/>
    </xf>
    <xf numFmtId="0" fontId="24" fillId="2" borderId="0" xfId="0" applyFont="1" applyFill="1" applyBorder="1" applyAlignment="1">
      <alignment horizontal="center" vertical="center" wrapText="1"/>
    </xf>
    <xf numFmtId="4" fontId="25" fillId="2" borderId="0" xfId="0" applyNumberFormat="1" applyFont="1" applyFill="1" applyBorder="1" applyAlignment="1">
      <alignment horizontal="center" vertical="center" wrapText="1"/>
    </xf>
    <xf numFmtId="0" fontId="24" fillId="2" borderId="0" xfId="1" applyNumberFormat="1" applyFont="1" applyFill="1" applyBorder="1" applyAlignment="1">
      <alignment horizontal="center" vertical="center" wrapText="1"/>
    </xf>
    <xf numFmtId="10" fontId="24" fillId="2" borderId="0" xfId="1" applyNumberFormat="1" applyFont="1" applyFill="1" applyBorder="1" applyAlignment="1">
      <alignment horizontal="center" vertical="center" wrapText="1"/>
    </xf>
    <xf numFmtId="43" fontId="24" fillId="2" borderId="0" xfId="1" applyFont="1" applyFill="1" applyBorder="1" applyAlignment="1">
      <alignment horizontal="center" vertical="center" wrapText="1"/>
    </xf>
    <xf numFmtId="0" fontId="25" fillId="0" borderId="0" xfId="0" applyFont="1"/>
    <xf numFmtId="0" fontId="24" fillId="2" borderId="0" xfId="1" applyNumberFormat="1" applyFont="1" applyFill="1" applyBorder="1" applyAlignment="1">
      <alignment horizontal="right" vertical="center" wrapText="1"/>
    </xf>
    <xf numFmtId="49" fontId="24" fillId="2" borderId="0" xfId="1" applyNumberFormat="1" applyFont="1" applyFill="1" applyBorder="1" applyAlignment="1">
      <alignment horizontal="left" vertical="center" wrapText="1"/>
    </xf>
    <xf numFmtId="44" fontId="3" fillId="3" borderId="9" xfId="2" applyNumberFormat="1" applyFont="1" applyFill="1" applyBorder="1" applyAlignment="1">
      <alignment horizontal="center" vertical="center"/>
    </xf>
    <xf numFmtId="0" fontId="4" fillId="4" borderId="0" xfId="6" applyFont="1" applyFill="1" applyBorder="1"/>
    <xf numFmtId="2" fontId="3" fillId="4" borderId="0" xfId="7" applyFont="1" applyFill="1" applyBorder="1" applyAlignment="1">
      <alignment vertical="top" wrapText="1"/>
    </xf>
    <xf numFmtId="0" fontId="2" fillId="0" borderId="0" xfId="0" applyFont="1" applyBorder="1"/>
    <xf numFmtId="4" fontId="2" fillId="2" borderId="6" xfId="0" applyNumberFormat="1" applyFont="1" applyFill="1" applyBorder="1" applyAlignment="1">
      <alignment horizontal="center" vertical="center"/>
    </xf>
    <xf numFmtId="10" fontId="3" fillId="2" borderId="0" xfId="1" applyNumberFormat="1" applyFont="1" applyFill="1" applyBorder="1" applyAlignment="1">
      <alignment horizontal="left" vertical="center" wrapText="1"/>
    </xf>
    <xf numFmtId="43" fontId="3" fillId="2" borderId="0" xfId="1" applyFont="1" applyFill="1" applyBorder="1" applyAlignment="1">
      <alignment horizontal="right" vertical="center" wrapText="1"/>
    </xf>
    <xf numFmtId="0" fontId="3" fillId="2" borderId="5" xfId="1" applyNumberFormat="1" applyFont="1" applyFill="1" applyBorder="1" applyAlignment="1">
      <alignment horizontal="right" vertical="center" wrapText="1"/>
    </xf>
    <xf numFmtId="0" fontId="4" fillId="4" borderId="4" xfId="6" applyFont="1" applyFill="1" applyBorder="1"/>
    <xf numFmtId="0" fontId="4" fillId="4" borderId="5" xfId="6" applyFont="1" applyFill="1" applyBorder="1"/>
    <xf numFmtId="2" fontId="4" fillId="4" borderId="0" xfId="6" applyNumberFormat="1" applyFont="1" applyFill="1" applyBorder="1"/>
    <xf numFmtId="0" fontId="3" fillId="4" borderId="0" xfId="6" applyFont="1" applyFill="1" applyBorder="1" applyAlignment="1">
      <alignment horizontal="right"/>
    </xf>
    <xf numFmtId="10" fontId="3" fillId="4" borderId="0" xfId="6" applyNumberFormat="1" applyFont="1" applyFill="1" applyBorder="1" applyAlignment="1">
      <alignment horizontal="center"/>
    </xf>
    <xf numFmtId="10" fontId="4" fillId="4" borderId="0" xfId="4" applyNumberFormat="1" applyFont="1" applyFill="1" applyBorder="1"/>
    <xf numFmtId="49" fontId="3" fillId="4" borderId="4" xfId="7" applyNumberFormat="1" applyFont="1" applyFill="1" applyBorder="1" applyAlignment="1">
      <alignment horizontal="left" vertical="top"/>
    </xf>
    <xf numFmtId="2" fontId="3" fillId="4" borderId="0" xfId="7" applyFont="1" applyFill="1" applyBorder="1" applyAlignment="1">
      <alignment horizontal="justify" vertical="top" wrapText="1"/>
    </xf>
    <xf numFmtId="4" fontId="3" fillId="4" borderId="0" xfId="7" applyNumberFormat="1" applyFont="1" applyFill="1" applyBorder="1" applyAlignment="1">
      <alignment vertical="top" wrapText="1"/>
    </xf>
    <xf numFmtId="2" fontId="3" fillId="4" borderId="5" xfId="7" applyFont="1" applyFill="1" applyBorder="1" applyAlignment="1">
      <alignment vertical="top" wrapText="1"/>
    </xf>
    <xf numFmtId="49" fontId="3" fillId="4" borderId="4" xfId="7" applyNumberFormat="1" applyFont="1" applyFill="1" applyBorder="1" applyAlignment="1">
      <alignment horizontal="left" vertical="top" wrapText="1"/>
    </xf>
    <xf numFmtId="49" fontId="3" fillId="4" borderId="4" xfId="7" applyNumberFormat="1" applyFont="1" applyFill="1" applyBorder="1" applyAlignment="1">
      <alignment horizontal="right" vertical="top" wrapText="1"/>
    </xf>
    <xf numFmtId="49" fontId="3" fillId="4" borderId="0" xfId="7" applyNumberFormat="1" applyFont="1" applyFill="1" applyBorder="1" applyAlignment="1">
      <alignment horizontal="left" vertical="top"/>
    </xf>
    <xf numFmtId="49" fontId="3" fillId="4" borderId="0" xfId="7" applyNumberFormat="1" applyFont="1" applyFill="1" applyBorder="1" applyAlignment="1">
      <alignment horizontal="left"/>
    </xf>
    <xf numFmtId="2" fontId="6" fillId="4" borderId="0" xfId="7" applyFont="1" applyFill="1" applyBorder="1">
      <alignment vertical="center"/>
    </xf>
    <xf numFmtId="0" fontId="5" fillId="0" borderId="4" xfId="0" applyFont="1" applyBorder="1" applyAlignment="1">
      <alignment horizontal="center" vertical="center"/>
    </xf>
    <xf numFmtId="4" fontId="25" fillId="2" borderId="1" xfId="0" applyNumberFormat="1" applyFont="1" applyFill="1" applyBorder="1" applyAlignment="1">
      <alignment horizontal="center" vertical="center"/>
    </xf>
    <xf numFmtId="4" fontId="25" fillId="2" borderId="4" xfId="0" applyNumberFormat="1" applyFont="1" applyFill="1" applyBorder="1" applyAlignment="1">
      <alignment horizontal="center" vertical="center"/>
    </xf>
    <xf numFmtId="3" fontId="24" fillId="9" borderId="12" xfId="12" applyNumberFormat="1" applyFont="1" applyFill="1" applyBorder="1" applyAlignment="1">
      <alignment horizontal="center" vertical="center"/>
    </xf>
    <xf numFmtId="0" fontId="26" fillId="10" borderId="12" xfId="16" applyFont="1" applyFill="1" applyBorder="1" applyAlignment="1">
      <alignment horizontal="left" vertical="center"/>
    </xf>
    <xf numFmtId="10" fontId="26" fillId="10" borderId="12" xfId="4" applyNumberFormat="1" applyFont="1" applyFill="1" applyBorder="1" applyAlignment="1">
      <alignment horizontal="center" vertical="center"/>
    </xf>
    <xf numFmtId="10" fontId="24" fillId="10" borderId="24" xfId="17" applyNumberFormat="1" applyFont="1" applyFill="1" applyBorder="1" applyAlignment="1">
      <alignment horizontal="center" vertical="center"/>
    </xf>
    <xf numFmtId="0" fontId="26" fillId="0" borderId="27" xfId="16" applyFont="1" applyBorder="1" applyAlignment="1">
      <alignment horizontal="left" vertical="center"/>
    </xf>
    <xf numFmtId="44" fontId="26" fillId="0" borderId="27" xfId="2" applyFont="1" applyBorder="1" applyAlignment="1">
      <alignment horizontal="left" vertical="center"/>
    </xf>
    <xf numFmtId="44" fontId="24" fillId="0" borderId="27" xfId="2" applyFont="1" applyBorder="1" applyAlignment="1">
      <alignment horizontal="center" vertical="center"/>
    </xf>
    <xf numFmtId="10" fontId="24" fillId="10" borderId="12" xfId="17" applyNumberFormat="1" applyFont="1" applyFill="1" applyBorder="1" applyAlignment="1">
      <alignment horizontal="center" vertical="center"/>
    </xf>
    <xf numFmtId="10" fontId="24" fillId="10" borderId="24" xfId="16" applyNumberFormat="1" applyFont="1" applyFill="1" applyBorder="1" applyAlignment="1">
      <alignment horizontal="center" vertical="center"/>
    </xf>
    <xf numFmtId="10" fontId="24" fillId="11" borderId="13" xfId="17" applyNumberFormat="1" applyFont="1" applyFill="1" applyBorder="1" applyAlignment="1">
      <alignment horizontal="center" vertical="center"/>
    </xf>
    <xf numFmtId="10" fontId="24" fillId="11" borderId="9" xfId="16" applyNumberFormat="1" applyFont="1" applyFill="1" applyBorder="1" applyAlignment="1">
      <alignment horizontal="center" vertical="center"/>
    </xf>
    <xf numFmtId="44" fontId="24" fillId="11" borderId="9" xfId="2" applyFont="1" applyFill="1" applyBorder="1" applyAlignment="1">
      <alignment horizontal="center" vertical="center"/>
    </xf>
    <xf numFmtId="1" fontId="27" fillId="2" borderId="9" xfId="0" applyNumberFormat="1" applyFont="1" applyFill="1" applyBorder="1" applyAlignment="1">
      <alignment horizontal="center" vertical="center"/>
    </xf>
    <xf numFmtId="2" fontId="27" fillId="2" borderId="9" xfId="0" applyNumberFormat="1" applyFont="1" applyFill="1" applyBorder="1" applyAlignment="1">
      <alignment horizontal="center" vertical="center" wrapText="1"/>
    </xf>
    <xf numFmtId="2" fontId="27" fillId="2" borderId="9" xfId="0" applyNumberFormat="1" applyFont="1" applyFill="1" applyBorder="1" applyAlignment="1">
      <alignment horizontal="center" vertical="center"/>
    </xf>
    <xf numFmtId="2" fontId="28" fillId="2" borderId="9" xfId="15" applyNumberFormat="1" applyFont="1" applyFill="1" applyBorder="1" applyAlignment="1" applyProtection="1">
      <alignment horizontal="center" vertical="center" wrapText="1"/>
    </xf>
    <xf numFmtId="44" fontId="27" fillId="2" borderId="9" xfId="2" applyFont="1" applyFill="1" applyBorder="1" applyAlignment="1">
      <alignment horizontal="center" vertical="center"/>
    </xf>
    <xf numFmtId="14" fontId="27" fillId="2" borderId="9" xfId="0" applyNumberFormat="1" applyFont="1" applyFill="1" applyBorder="1" applyAlignment="1">
      <alignment horizontal="center" vertical="center"/>
    </xf>
    <xf numFmtId="172" fontId="27" fillId="2" borderId="9" xfId="0" applyNumberFormat="1" applyFont="1" applyFill="1" applyBorder="1" applyAlignment="1">
      <alignment horizontal="center" vertical="center"/>
    </xf>
    <xf numFmtId="164" fontId="27" fillId="2" borderId="9" xfId="0" applyNumberFormat="1" applyFont="1" applyFill="1" applyBorder="1" applyAlignment="1">
      <alignment horizontal="center" vertical="center"/>
    </xf>
    <xf numFmtId="2" fontId="27" fillId="2" borderId="9" xfId="15" applyNumberFormat="1" applyFont="1" applyFill="1" applyBorder="1" applyAlignment="1" applyProtection="1">
      <alignment horizontal="center" vertical="center" wrapText="1"/>
    </xf>
    <xf numFmtId="1" fontId="27" fillId="2" borderId="9" xfId="0" applyNumberFormat="1" applyFont="1" applyFill="1" applyBorder="1" applyAlignment="1">
      <alignment horizontal="center" vertical="center" wrapText="1"/>
    </xf>
    <xf numFmtId="0" fontId="5" fillId="0" borderId="9" xfId="0" applyFont="1" applyBorder="1" applyAlignment="1">
      <alignment horizontal="center" vertical="center"/>
    </xf>
    <xf numFmtId="0" fontId="8" fillId="0" borderId="9" xfId="0" applyFont="1" applyBorder="1" applyAlignment="1">
      <alignment horizontal="center" vertical="center"/>
    </xf>
    <xf numFmtId="0" fontId="4" fillId="0" borderId="9" xfId="0" applyFont="1" applyFill="1" applyBorder="1" applyAlignment="1">
      <alignment horizontal="center" vertical="center" wrapText="1"/>
    </xf>
    <xf numFmtId="0" fontId="29" fillId="0" borderId="9" xfId="0" applyFont="1" applyFill="1" applyBorder="1" applyAlignment="1">
      <alignment horizontal="right" vertical="center" wrapText="1"/>
    </xf>
    <xf numFmtId="0" fontId="5" fillId="0" borderId="9" xfId="0" applyFont="1" applyBorder="1" applyAlignment="1">
      <alignment horizontal="center" vertical="center"/>
    </xf>
    <xf numFmtId="0" fontId="5" fillId="0" borderId="9" xfId="0" applyFont="1" applyBorder="1" applyAlignment="1">
      <alignment horizontal="center" vertical="center"/>
    </xf>
    <xf numFmtId="0" fontId="5" fillId="0" borderId="9" xfId="0" applyFont="1" applyBorder="1" applyAlignment="1">
      <alignment horizontal="center" vertical="center"/>
    </xf>
    <xf numFmtId="0" fontId="5" fillId="0" borderId="9" xfId="0" applyFont="1" applyBorder="1" applyAlignment="1">
      <alignment horizontal="center" vertical="center"/>
    </xf>
    <xf numFmtId="2" fontId="2" fillId="0" borderId="9" xfId="0" applyNumberFormat="1" applyFont="1" applyBorder="1" applyAlignment="1">
      <alignment horizontal="center" vertical="center" wrapText="1"/>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4" fontId="2" fillId="2" borderId="9" xfId="0" applyNumberFormat="1" applyFont="1" applyFill="1" applyBorder="1" applyAlignment="1">
      <alignment vertical="center" wrapText="1"/>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0" xfId="0" applyFont="1" applyAlignment="1">
      <alignment horizontal="right"/>
    </xf>
    <xf numFmtId="0" fontId="8" fillId="0" borderId="9" xfId="0" applyFont="1" applyBorder="1" applyAlignment="1">
      <alignment horizontal="right" vertical="center" wrapText="1"/>
    </xf>
    <xf numFmtId="2" fontId="2" fillId="0" borderId="0" xfId="0" applyNumberFormat="1" applyFont="1" applyAlignment="1">
      <alignment horizontal="center" vertical="center"/>
    </xf>
    <xf numFmtId="0" fontId="2" fillId="0" borderId="9" xfId="0" applyFont="1" applyBorder="1" applyAlignment="1">
      <alignment horizontal="left" vertical="center" wrapText="1"/>
    </xf>
    <xf numFmtId="0" fontId="5" fillId="0" borderId="9" xfId="0" applyFont="1" applyBorder="1" applyAlignment="1">
      <alignment horizontal="left" vertical="center" wrapText="1"/>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13" fillId="2" borderId="9" xfId="9" applyFont="1" applyFill="1" applyBorder="1" applyAlignment="1">
      <alignment horizontal="right" vertical="center"/>
    </xf>
    <xf numFmtId="0" fontId="13" fillId="2" borderId="9" xfId="9" applyFont="1" applyFill="1" applyBorder="1" applyAlignment="1">
      <alignment horizontal="center" vertical="center"/>
    </xf>
    <xf numFmtId="0" fontId="15" fillId="2" borderId="9" xfId="9"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13" fillId="2" borderId="9" xfId="9" applyFont="1" applyFill="1" applyBorder="1" applyAlignment="1">
      <alignment horizontal="center" vertical="center" wrapText="1"/>
    </xf>
    <xf numFmtId="2" fontId="20" fillId="2" borderId="9" xfId="15" applyNumberFormat="1" applyFill="1" applyBorder="1" applyAlignment="1" applyProtection="1">
      <alignment horizontal="center" vertical="center" wrapText="1"/>
    </xf>
    <xf numFmtId="0" fontId="8" fillId="0" borderId="9" xfId="0" applyFont="1" applyBorder="1" applyAlignment="1">
      <alignment horizontal="right" vertical="center" wrapText="1"/>
    </xf>
    <xf numFmtId="0" fontId="15" fillId="2" borderId="9" xfId="9" applyFont="1" applyFill="1" applyBorder="1" applyAlignment="1">
      <alignment horizontal="center" vertical="center"/>
    </xf>
    <xf numFmtId="0" fontId="13"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13" fillId="2" borderId="9" xfId="9" applyFont="1" applyFill="1" applyBorder="1" applyAlignment="1">
      <alignment horizontal="center" vertical="center" wrapText="1"/>
    </xf>
    <xf numFmtId="0" fontId="8" fillId="0" borderId="9" xfId="0" applyFont="1" applyBorder="1" applyAlignment="1">
      <alignment horizontal="right" vertical="center" wrapText="1"/>
    </xf>
    <xf numFmtId="0" fontId="13" fillId="2" borderId="9" xfId="9" applyFont="1" applyFill="1" applyBorder="1" applyAlignment="1">
      <alignment horizontal="right" vertical="center"/>
    </xf>
    <xf numFmtId="0" fontId="13" fillId="2" borderId="9" xfId="9" applyFont="1" applyFill="1" applyBorder="1" applyAlignment="1">
      <alignment horizontal="center" vertical="center" wrapText="1"/>
    </xf>
    <xf numFmtId="0" fontId="15" fillId="2" borderId="9" xfId="9"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5" fillId="0" borderId="9" xfId="0" applyFont="1" applyFill="1" applyBorder="1" applyAlignment="1">
      <alignment vertical="center" wrapText="1"/>
    </xf>
    <xf numFmtId="0" fontId="2" fillId="0" borderId="9" xfId="0" applyFont="1" applyFill="1" applyBorder="1" applyAlignment="1">
      <alignment horizontal="center" vertical="center" wrapText="1"/>
    </xf>
    <xf numFmtId="0" fontId="2" fillId="0" borderId="0" xfId="0" applyFont="1"/>
    <xf numFmtId="0" fontId="2" fillId="0" borderId="9" xfId="0" applyFont="1" applyBorder="1" applyAlignment="1">
      <alignment horizontal="center" vertical="center"/>
    </xf>
    <xf numFmtId="4" fontId="2" fillId="2" borderId="9" xfId="0" applyNumberFormat="1" applyFont="1" applyFill="1" applyBorder="1" applyAlignment="1">
      <alignment horizontal="center" vertical="center" wrapText="1"/>
    </xf>
    <xf numFmtId="0" fontId="2" fillId="0" borderId="9" xfId="0" applyFont="1" applyBorder="1" applyAlignment="1">
      <alignment horizontal="center"/>
    </xf>
    <xf numFmtId="1" fontId="27" fillId="2" borderId="9" xfId="0" applyNumberFormat="1" applyFont="1" applyFill="1" applyBorder="1" applyAlignment="1">
      <alignment horizontal="center" vertical="center"/>
    </xf>
    <xf numFmtId="2" fontId="27" fillId="2" borderId="9" xfId="0" applyNumberFormat="1" applyFont="1" applyFill="1" applyBorder="1" applyAlignment="1">
      <alignment horizontal="center" vertical="center" wrapText="1"/>
    </xf>
    <xf numFmtId="2" fontId="27" fillId="2" borderId="9" xfId="0" applyNumberFormat="1" applyFont="1" applyFill="1" applyBorder="1" applyAlignment="1">
      <alignment horizontal="center" vertical="center"/>
    </xf>
    <xf numFmtId="44" fontId="27" fillId="2" borderId="9" xfId="27" applyFont="1" applyFill="1" applyBorder="1" applyAlignment="1">
      <alignment horizontal="center" vertical="center"/>
    </xf>
    <xf numFmtId="14" fontId="27" fillId="2" borderId="9" xfId="0" applyNumberFormat="1" applyFont="1" applyFill="1" applyBorder="1" applyAlignment="1">
      <alignment horizontal="center" vertical="center"/>
    </xf>
    <xf numFmtId="172" fontId="27" fillId="2" borderId="9" xfId="0" applyNumberFormat="1" applyFont="1" applyFill="1" applyBorder="1" applyAlignment="1">
      <alignment horizontal="center" vertical="center"/>
    </xf>
    <xf numFmtId="164" fontId="27" fillId="2" borderId="9" xfId="0" applyNumberFormat="1" applyFont="1" applyFill="1" applyBorder="1" applyAlignment="1">
      <alignment horizontal="center" vertical="center"/>
    </xf>
    <xf numFmtId="2" fontId="27" fillId="2" borderId="9" xfId="15" applyNumberFormat="1" applyFont="1" applyFill="1" applyBorder="1" applyAlignment="1" applyProtection="1">
      <alignment horizontal="center" vertical="center" wrapText="1"/>
    </xf>
    <xf numFmtId="1" fontId="27" fillId="2" borderId="9" xfId="0" applyNumberFormat="1" applyFont="1" applyFill="1" applyBorder="1" applyAlignment="1">
      <alignment horizontal="center" vertical="center" wrapText="1"/>
    </xf>
    <xf numFmtId="2" fontId="20" fillId="2" borderId="9" xfId="15" applyNumberFormat="1" applyFill="1" applyBorder="1" applyAlignment="1" applyProtection="1">
      <alignment horizontal="center" vertical="center" wrapText="1"/>
    </xf>
    <xf numFmtId="0" fontId="0" fillId="0" borderId="0" xfId="0"/>
    <xf numFmtId="0" fontId="4" fillId="0" borderId="9" xfId="0" applyFont="1" applyFill="1" applyBorder="1" applyAlignment="1">
      <alignment horizontal="center" vertical="center"/>
    </xf>
    <xf numFmtId="0" fontId="2" fillId="0" borderId="0" xfId="0" applyFont="1"/>
    <xf numFmtId="0" fontId="5" fillId="0" borderId="9"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vertical="center" wrapText="1"/>
    </xf>
    <xf numFmtId="0" fontId="2" fillId="0" borderId="9" xfId="0" applyFont="1" applyBorder="1"/>
    <xf numFmtId="0" fontId="8" fillId="0" borderId="9" xfId="0" applyFont="1" applyBorder="1" applyAlignment="1">
      <alignment horizontal="right" vertical="center" wrapText="1"/>
    </xf>
    <xf numFmtId="0" fontId="2" fillId="0" borderId="9" xfId="0" applyFont="1" applyFill="1" applyBorder="1" applyAlignment="1">
      <alignment horizontal="center" vertical="center"/>
    </xf>
    <xf numFmtId="2" fontId="5" fillId="5" borderId="9" xfId="0" applyNumberFormat="1" applyFont="1" applyFill="1" applyBorder="1" applyAlignment="1">
      <alignment horizontal="center" vertical="center"/>
    </xf>
    <xf numFmtId="2" fontId="9" fillId="5" borderId="9" xfId="0" applyNumberFormat="1" applyFont="1" applyFill="1" applyBorder="1" applyAlignment="1">
      <alignment horizontal="right"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0" fontId="10" fillId="0" borderId="9" xfId="0" applyFont="1" applyBorder="1" applyAlignment="1">
      <alignment horizontal="right" vertical="center" wrapText="1"/>
    </xf>
    <xf numFmtId="2" fontId="2" fillId="0" borderId="9" xfId="0" applyNumberFormat="1" applyFont="1" applyBorder="1" applyAlignment="1">
      <alignment horizontal="center"/>
    </xf>
    <xf numFmtId="2" fontId="9" fillId="0" borderId="9" xfId="0" applyNumberFormat="1" applyFont="1" applyFill="1" applyBorder="1" applyAlignment="1">
      <alignment horizontal="right" vertical="center"/>
    </xf>
    <xf numFmtId="2" fontId="5" fillId="0" borderId="9" xfId="0" applyNumberFormat="1" applyFont="1" applyFill="1" applyBorder="1" applyAlignment="1">
      <alignment horizontal="center" vertical="center"/>
    </xf>
    <xf numFmtId="17" fontId="14" fillId="2" borderId="9" xfId="9" applyNumberFormat="1" applyFont="1" applyFill="1" applyBorder="1" applyAlignment="1">
      <alignment horizontal="center" vertical="center" wrapText="1"/>
    </xf>
    <xf numFmtId="1" fontId="15" fillId="2" borderId="9" xfId="9" applyNumberFormat="1" applyFont="1" applyFill="1" applyBorder="1" applyAlignment="1">
      <alignment horizontal="center" vertical="center"/>
    </xf>
    <xf numFmtId="165" fontId="15" fillId="2" borderId="9" xfId="9" applyNumberFormat="1" applyFont="1" applyFill="1" applyBorder="1" applyAlignment="1">
      <alignment horizontal="center" vertical="center"/>
    </xf>
    <xf numFmtId="0" fontId="15" fillId="2" borderId="9" xfId="9" applyFont="1" applyFill="1" applyBorder="1" applyAlignment="1">
      <alignment vertical="center"/>
    </xf>
    <xf numFmtId="165" fontId="18" fillId="2" borderId="9" xfId="9" applyNumberFormat="1" applyFont="1" applyFill="1" applyBorder="1" applyAlignment="1">
      <alignment horizontal="center" vertical="center" wrapText="1"/>
    </xf>
    <xf numFmtId="1" fontId="1" fillId="2" borderId="9" xfId="9" applyNumberFormat="1" applyFont="1" applyFill="1" applyBorder="1" applyAlignment="1">
      <alignment horizontal="center" vertical="center" wrapText="1"/>
    </xf>
    <xf numFmtId="49" fontId="1" fillId="2" borderId="9" xfId="9" applyNumberFormat="1" applyFont="1" applyFill="1" applyBorder="1" applyAlignment="1">
      <alignment vertical="center"/>
    </xf>
    <xf numFmtId="4" fontId="1" fillId="2" borderId="9" xfId="9" applyNumberFormat="1" applyFont="1" applyFill="1" applyBorder="1" applyAlignment="1">
      <alignment horizontal="right" vertical="center" wrapText="1"/>
    </xf>
    <xf numFmtId="166" fontId="1" fillId="2" borderId="9" xfId="9" applyNumberFormat="1" applyFont="1" applyFill="1" applyBorder="1" applyAlignment="1">
      <alignment horizontal="right" vertical="center" wrapText="1"/>
    </xf>
    <xf numFmtId="43" fontId="13" fillId="2" borderId="9" xfId="9" applyNumberFormat="1" applyFont="1" applyFill="1" applyBorder="1" applyAlignment="1">
      <alignment horizontal="right" vertical="center"/>
    </xf>
    <xf numFmtId="165" fontId="1" fillId="2" borderId="9" xfId="9" applyNumberFormat="1" applyFont="1" applyFill="1" applyBorder="1" applyAlignment="1">
      <alignment horizontal="center" vertical="center" wrapText="1"/>
    </xf>
    <xf numFmtId="0" fontId="1" fillId="0" borderId="9" xfId="9" applyBorder="1" applyAlignment="1">
      <alignment horizontal="center" vertical="center"/>
    </xf>
    <xf numFmtId="0" fontId="1" fillId="0" borderId="9" xfId="9" applyBorder="1" applyAlignment="1">
      <alignment vertical="center"/>
    </xf>
    <xf numFmtId="49" fontId="18" fillId="2" borderId="9" xfId="9" applyNumberFormat="1" applyFont="1" applyFill="1" applyBorder="1" applyAlignment="1">
      <alignment horizontal="center" vertical="center" wrapText="1"/>
    </xf>
    <xf numFmtId="1" fontId="17" fillId="0" borderId="9" xfId="9" applyNumberFormat="1" applyFont="1" applyFill="1" applyBorder="1" applyAlignment="1">
      <alignment horizontal="center" vertical="center" wrapText="1"/>
    </xf>
    <xf numFmtId="166" fontId="13" fillId="2" borderId="9" xfId="9" applyNumberFormat="1" applyFont="1" applyFill="1" applyBorder="1" applyAlignment="1">
      <alignment vertical="center" wrapText="1"/>
    </xf>
    <xf numFmtId="0" fontId="1" fillId="0" borderId="0" xfId="9" applyAlignment="1">
      <alignment horizontal="center" vertical="center"/>
    </xf>
    <xf numFmtId="0" fontId="1" fillId="0" borderId="0" xfId="9" applyAlignment="1">
      <alignment vertical="center"/>
    </xf>
    <xf numFmtId="49" fontId="0" fillId="2" borderId="9" xfId="9" applyNumberFormat="1" applyFont="1" applyFill="1" applyBorder="1" applyAlignment="1">
      <alignment horizontal="center" vertical="center" wrapText="1"/>
    </xf>
    <xf numFmtId="49" fontId="16" fillId="2" borderId="9" xfId="9" applyNumberFormat="1" applyFont="1" applyFill="1" applyBorder="1" applyAlignment="1">
      <alignment horizontal="center" vertical="center" wrapText="1"/>
    </xf>
    <xf numFmtId="49" fontId="15" fillId="2" borderId="9" xfId="9" applyNumberFormat="1" applyFont="1" applyFill="1" applyBorder="1" applyAlignment="1">
      <alignment horizontal="center" vertical="center"/>
    </xf>
    <xf numFmtId="170" fontId="1" fillId="2" borderId="9" xfId="9" applyNumberFormat="1" applyFont="1" applyFill="1" applyBorder="1" applyAlignment="1">
      <alignment horizontal="right" vertical="center" wrapText="1"/>
    </xf>
    <xf numFmtId="165" fontId="18" fillId="2" borderId="9" xfId="9" applyNumberFormat="1" applyFont="1" applyFill="1" applyBorder="1" applyAlignment="1">
      <alignment horizontal="right" vertical="center" wrapText="1"/>
    </xf>
    <xf numFmtId="165" fontId="18" fillId="0" borderId="9" xfId="9" applyNumberFormat="1" applyFont="1" applyFill="1" applyBorder="1" applyAlignment="1">
      <alignment horizontal="right" vertical="center" wrapText="1"/>
    </xf>
    <xf numFmtId="171" fontId="16" fillId="2" borderId="9" xfId="9" applyNumberFormat="1" applyFont="1" applyFill="1" applyBorder="1" applyAlignment="1">
      <alignment horizontal="center" vertical="center" wrapText="1"/>
    </xf>
    <xf numFmtId="0" fontId="2" fillId="0" borderId="9" xfId="0" applyFont="1" applyFill="1" applyBorder="1" applyAlignment="1">
      <alignment vertical="center" wrapText="1"/>
    </xf>
    <xf numFmtId="166" fontId="15" fillId="2" borderId="9" xfId="9" applyNumberFormat="1" applyFont="1" applyFill="1" applyBorder="1" applyAlignment="1">
      <alignment horizontal="center" vertical="center"/>
    </xf>
    <xf numFmtId="4" fontId="1" fillId="2" borderId="9" xfId="9" applyNumberFormat="1" applyFont="1" applyFill="1" applyBorder="1" applyAlignment="1">
      <alignment horizontal="center" vertical="center" wrapText="1"/>
    </xf>
    <xf numFmtId="4" fontId="18" fillId="2" borderId="9" xfId="9" applyNumberFormat="1" applyFont="1" applyFill="1" applyBorder="1" applyAlignment="1">
      <alignment horizontal="center" vertical="center" wrapText="1"/>
    </xf>
    <xf numFmtId="4" fontId="16" fillId="2" borderId="9" xfId="9" applyNumberFormat="1" applyFont="1" applyFill="1" applyBorder="1" applyAlignment="1">
      <alignment horizontal="center" vertical="center" wrapText="1"/>
    </xf>
    <xf numFmtId="0" fontId="13"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13" fillId="2" borderId="9" xfId="9" applyFont="1" applyFill="1" applyBorder="1" applyAlignment="1">
      <alignment horizontal="center" vertical="center"/>
    </xf>
    <xf numFmtId="0" fontId="15" fillId="2" borderId="9" xfId="9" applyFont="1" applyFill="1" applyBorder="1" applyAlignment="1">
      <alignment horizontal="center" vertical="center"/>
    </xf>
    <xf numFmtId="0" fontId="13" fillId="2" borderId="9" xfId="9" applyFont="1" applyFill="1" applyBorder="1" applyAlignment="1">
      <alignment horizontal="center" vertical="center" wrapText="1"/>
    </xf>
    <xf numFmtId="2" fontId="2" fillId="0" borderId="9" xfId="0" applyNumberFormat="1" applyFont="1" applyFill="1" applyBorder="1" applyAlignment="1">
      <alignment horizontal="center" vertical="center"/>
    </xf>
    <xf numFmtId="169" fontId="15" fillId="2" borderId="9" xfId="9" applyNumberFormat="1" applyFont="1" applyFill="1" applyBorder="1" applyAlignment="1">
      <alignment horizontal="center" vertical="center"/>
    </xf>
    <xf numFmtId="0" fontId="0" fillId="0" borderId="9" xfId="9" applyFont="1" applyBorder="1" applyAlignment="1">
      <alignment vertical="center"/>
    </xf>
    <xf numFmtId="49" fontId="18" fillId="2" borderId="9" xfId="9" applyNumberFormat="1" applyFont="1" applyFill="1" applyBorder="1" applyAlignment="1">
      <alignment horizontal="left" vertical="center" wrapText="1"/>
    </xf>
    <xf numFmtId="0" fontId="5" fillId="0" borderId="9" xfId="0" applyFont="1" applyFill="1" applyBorder="1" applyAlignment="1">
      <alignment horizontal="center" vertical="center"/>
    </xf>
    <xf numFmtId="0" fontId="8" fillId="0" borderId="9" xfId="0" applyFont="1" applyBorder="1" applyAlignment="1">
      <alignment horizontal="right" vertical="center" wrapText="1"/>
    </xf>
    <xf numFmtId="0" fontId="13"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13" fillId="2" borderId="9" xfId="9" applyFont="1" applyFill="1" applyBorder="1" applyAlignment="1">
      <alignment horizontal="center" vertical="center" wrapText="1"/>
    </xf>
    <xf numFmtId="0" fontId="15" fillId="2" borderId="9" xfId="9" applyFont="1" applyFill="1" applyBorder="1" applyAlignment="1">
      <alignment horizontal="center" vertical="center"/>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0" fontId="8" fillId="0" borderId="9" xfId="0" applyFont="1" applyBorder="1" applyAlignment="1">
      <alignment horizontal="left" vertical="center" wrapText="1"/>
    </xf>
    <xf numFmtId="0" fontId="4" fillId="0" borderId="9" xfId="0" applyFont="1" applyFill="1" applyBorder="1" applyAlignment="1">
      <alignment horizontal="left" vertical="center" wrapText="1"/>
    </xf>
    <xf numFmtId="0" fontId="21" fillId="0" borderId="9" xfId="0" applyFont="1" applyFill="1" applyBorder="1" applyAlignment="1">
      <alignment horizontal="left" vertical="center" wrapText="1"/>
    </xf>
    <xf numFmtId="0" fontId="8" fillId="0" borderId="13" xfId="0" applyFont="1" applyBorder="1" applyAlignment="1">
      <alignment vertical="center" wrapText="1"/>
    </xf>
    <xf numFmtId="0" fontId="30" fillId="0" borderId="9" xfId="0" applyFont="1" applyFill="1" applyBorder="1" applyAlignment="1">
      <alignment horizontal="left" vertical="center" wrapText="1"/>
    </xf>
    <xf numFmtId="0" fontId="8" fillId="0" borderId="9" xfId="0" applyFont="1" applyFill="1" applyBorder="1" applyAlignment="1">
      <alignment vertical="center"/>
    </xf>
    <xf numFmtId="0" fontId="8" fillId="0" borderId="9" xfId="0" applyFont="1" applyBorder="1" applyAlignment="1">
      <alignment vertical="center" wrapText="1"/>
    </xf>
    <xf numFmtId="0" fontId="9" fillId="0" borderId="9" xfId="0" applyFont="1" applyBorder="1" applyAlignment="1">
      <alignment vertical="center" wrapText="1"/>
    </xf>
    <xf numFmtId="0" fontId="3" fillId="0" borderId="9" xfId="0" applyFont="1" applyFill="1" applyBorder="1" applyAlignment="1">
      <alignment horizontal="left" vertical="center" wrapText="1"/>
    </xf>
    <xf numFmtId="0" fontId="21" fillId="0" borderId="9" xfId="0" applyFont="1" applyFill="1" applyBorder="1" applyAlignment="1">
      <alignment vertical="center" wrapText="1"/>
    </xf>
    <xf numFmtId="0" fontId="9" fillId="0" borderId="9" xfId="0" applyFont="1" applyBorder="1" applyAlignment="1">
      <alignment horizontal="left" vertical="center" wrapText="1"/>
    </xf>
    <xf numFmtId="0" fontId="8" fillId="0" borderId="9" xfId="0" applyFont="1" applyBorder="1" applyAlignment="1">
      <alignment horizontal="right" vertical="center" wrapText="1"/>
    </xf>
    <xf numFmtId="0" fontId="8" fillId="0" borderId="13" xfId="0" applyFont="1" applyBorder="1" applyAlignment="1">
      <alignment horizontal="left" vertical="center" wrapText="1"/>
    </xf>
    <xf numFmtId="0" fontId="2" fillId="0" borderId="9" xfId="0" quotePrefix="1" applyFont="1" applyFill="1" applyBorder="1" applyAlignment="1">
      <alignment horizontal="center" vertical="center"/>
    </xf>
    <xf numFmtId="0" fontId="11" fillId="0" borderId="9" xfId="0" applyFont="1" applyFill="1" applyBorder="1"/>
    <xf numFmtId="0" fontId="0" fillId="0" borderId="9" xfId="0" applyFill="1" applyBorder="1"/>
    <xf numFmtId="2" fontId="0" fillId="0" borderId="9" xfId="0" applyNumberFormat="1" applyFill="1" applyBorder="1"/>
    <xf numFmtId="0" fontId="16" fillId="0" borderId="9" xfId="0" applyFont="1" applyFill="1" applyBorder="1"/>
    <xf numFmtId="2" fontId="16" fillId="0" borderId="9" xfId="0" applyNumberFormat="1" applyFont="1" applyFill="1" applyBorder="1"/>
    <xf numFmtId="0" fontId="3" fillId="2" borderId="0" xfId="1" applyNumberFormat="1" applyFont="1" applyFill="1" applyBorder="1" applyAlignment="1">
      <alignment horizontal="center" vertical="center" wrapText="1"/>
    </xf>
    <xf numFmtId="0" fontId="3" fillId="2" borderId="5" xfId="1"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1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1" xfId="0" applyFont="1" applyFill="1" applyBorder="1" applyAlignment="1">
      <alignment horizontal="center" vertical="center"/>
    </xf>
    <xf numFmtId="0" fontId="3"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0" fontId="24" fillId="2" borderId="1" xfId="0" applyFont="1" applyFill="1" applyBorder="1" applyAlignment="1">
      <alignment horizontal="center" vertical="center" wrapText="1"/>
    </xf>
    <xf numFmtId="0" fontId="24" fillId="2" borderId="2" xfId="0" applyFont="1" applyFill="1" applyBorder="1" applyAlignment="1">
      <alignment horizontal="center" vertical="center" wrapText="1"/>
    </xf>
    <xf numFmtId="0" fontId="24" fillId="2" borderId="4" xfId="0" applyFont="1" applyFill="1" applyBorder="1" applyAlignment="1">
      <alignment horizontal="left" vertical="center" wrapText="1"/>
    </xf>
    <xf numFmtId="0" fontId="24" fillId="2" borderId="0" xfId="0" applyFont="1" applyFill="1" applyBorder="1" applyAlignment="1">
      <alignment horizontal="left" vertical="center" wrapText="1"/>
    </xf>
    <xf numFmtId="0" fontId="24" fillId="2" borderId="0" xfId="1" applyNumberFormat="1" applyFont="1" applyFill="1" applyBorder="1" applyAlignment="1">
      <alignment horizontal="center" vertical="center" wrapText="1"/>
    </xf>
    <xf numFmtId="0" fontId="24" fillId="2" borderId="6" xfId="0" applyFont="1" applyFill="1" applyBorder="1" applyAlignment="1">
      <alignment horizontal="left" vertical="center" wrapText="1"/>
    </xf>
    <xf numFmtId="0" fontId="24" fillId="2" borderId="7" xfId="0" applyFont="1" applyFill="1" applyBorder="1" applyAlignment="1">
      <alignment horizontal="left" vertical="center" wrapText="1"/>
    </xf>
    <xf numFmtId="0" fontId="24" fillId="9" borderId="9" xfId="16" applyFont="1" applyFill="1" applyBorder="1" applyAlignment="1">
      <alignment horizontal="center" vertical="center"/>
    </xf>
    <xf numFmtId="0" fontId="24" fillId="9" borderId="12" xfId="16" applyFont="1" applyFill="1" applyBorder="1" applyAlignment="1">
      <alignment horizontal="center" vertical="center"/>
    </xf>
    <xf numFmtId="0" fontId="24" fillId="9" borderId="20" xfId="16" applyFont="1" applyFill="1" applyBorder="1" applyAlignment="1">
      <alignment horizontal="center" vertical="center"/>
    </xf>
    <xf numFmtId="4" fontId="24" fillId="0" borderId="22" xfId="16" applyNumberFormat="1" applyFont="1" applyBorder="1" applyAlignment="1">
      <alignment horizontal="center" vertical="center" wrapText="1"/>
    </xf>
    <xf numFmtId="4" fontId="24" fillId="0" borderId="26" xfId="16" applyNumberFormat="1" applyFont="1" applyBorder="1" applyAlignment="1">
      <alignment horizontal="center" vertical="center" wrapText="1"/>
    </xf>
    <xf numFmtId="2" fontId="24" fillId="0" borderId="21" xfId="16" applyNumberFormat="1" applyFont="1" applyBorder="1" applyAlignment="1">
      <alignment horizontal="center" vertical="center"/>
    </xf>
    <xf numFmtId="2" fontId="24" fillId="0" borderId="25" xfId="16" applyNumberFormat="1" applyFont="1" applyBorder="1" applyAlignment="1">
      <alignment horizontal="center" vertical="center"/>
    </xf>
    <xf numFmtId="167" fontId="24" fillId="9" borderId="1" xfId="12" applyFont="1" applyFill="1" applyBorder="1" applyAlignment="1">
      <alignment horizontal="center" vertical="center"/>
    </xf>
    <xf numFmtId="167" fontId="24" fillId="9" borderId="3" xfId="12" applyFont="1" applyFill="1" applyBorder="1" applyAlignment="1">
      <alignment horizontal="center" vertical="center"/>
    </xf>
    <xf numFmtId="167" fontId="24" fillId="9" borderId="6" xfId="12" applyFont="1" applyFill="1" applyBorder="1" applyAlignment="1">
      <alignment horizontal="center" vertical="center"/>
    </xf>
    <xf numFmtId="167" fontId="24" fillId="9" borderId="8" xfId="12" applyFont="1" applyFill="1" applyBorder="1" applyAlignment="1">
      <alignment horizontal="center" vertical="center"/>
    </xf>
    <xf numFmtId="4" fontId="24" fillId="0" borderId="23" xfId="16" applyNumberFormat="1" applyFont="1" applyBorder="1" applyAlignment="1">
      <alignment horizontal="center" vertical="center" wrapText="1"/>
    </xf>
    <xf numFmtId="4" fontId="24" fillId="0" borderId="28" xfId="16" applyNumberFormat="1" applyFont="1" applyBorder="1" applyAlignment="1">
      <alignment horizontal="center" vertical="center" wrapText="1"/>
    </xf>
    <xf numFmtId="49" fontId="24" fillId="0" borderId="21" xfId="16" applyNumberFormat="1" applyFont="1" applyBorder="1" applyAlignment="1">
      <alignment horizontal="center" vertical="center"/>
    </xf>
    <xf numFmtId="49" fontId="24" fillId="0" borderId="25" xfId="16" applyNumberFormat="1" applyFont="1" applyBorder="1" applyAlignment="1">
      <alignment horizontal="center" vertical="center"/>
    </xf>
    <xf numFmtId="172" fontId="24" fillId="11" borderId="4" xfId="12" applyNumberFormat="1" applyFont="1" applyFill="1" applyBorder="1" applyAlignment="1">
      <alignment horizontal="center" vertical="center"/>
    </xf>
    <xf numFmtId="172" fontId="24" fillId="11" borderId="6" xfId="12" applyNumberFormat="1" applyFont="1" applyFill="1" applyBorder="1" applyAlignment="1">
      <alignment horizontal="center" vertical="center"/>
    </xf>
    <xf numFmtId="0" fontId="24" fillId="11" borderId="10" xfId="16" applyFont="1" applyFill="1" applyBorder="1" applyAlignment="1">
      <alignment horizontal="center" vertical="center"/>
    </xf>
    <xf numFmtId="0" fontId="24" fillId="11" borderId="14" xfId="16" applyFont="1" applyFill="1" applyBorder="1" applyAlignment="1">
      <alignment horizontal="center" vertical="center"/>
    </xf>
    <xf numFmtId="0" fontId="24" fillId="11" borderId="6" xfId="16" applyFont="1" applyFill="1" applyBorder="1" applyAlignment="1">
      <alignment horizontal="center" vertical="center"/>
    </xf>
    <xf numFmtId="0" fontId="24" fillId="11" borderId="7" xfId="16" applyFont="1" applyFill="1" applyBorder="1" applyAlignment="1">
      <alignment horizontal="center" vertical="center"/>
    </xf>
    <xf numFmtId="0" fontId="3" fillId="4" borderId="0" xfId="8" applyFont="1" applyFill="1" applyAlignment="1">
      <alignment horizontal="left" vertical="top" wrapText="1"/>
    </xf>
    <xf numFmtId="0" fontId="3" fillId="4" borderId="16" xfId="8" applyFont="1" applyFill="1" applyBorder="1" applyAlignment="1">
      <alignment horizontal="left" vertical="top" wrapText="1"/>
    </xf>
    <xf numFmtId="0" fontId="3" fillId="4" borderId="18" xfId="8" applyFont="1" applyFill="1" applyBorder="1" applyAlignment="1">
      <alignment horizontal="left" vertical="top" wrapText="1"/>
    </xf>
    <xf numFmtId="0" fontId="3" fillId="4" borderId="19" xfId="8" applyFont="1" applyFill="1" applyBorder="1" applyAlignment="1">
      <alignment horizontal="left" vertical="top" wrapText="1"/>
    </xf>
    <xf numFmtId="0" fontId="3" fillId="4" borderId="0" xfId="8" applyFont="1" applyFill="1" applyAlignment="1">
      <alignment horizontal="center" vertical="top" wrapText="1"/>
    </xf>
    <xf numFmtId="0" fontId="4" fillId="4" borderId="0" xfId="8" applyFont="1" applyFill="1" applyAlignment="1">
      <alignment horizontal="left" vertical="top" wrapText="1"/>
    </xf>
    <xf numFmtId="0" fontId="4" fillId="4" borderId="16" xfId="8" applyFont="1" applyFill="1" applyBorder="1" applyAlignment="1">
      <alignment horizontal="left" vertical="top" wrapText="1"/>
    </xf>
    <xf numFmtId="0" fontId="3" fillId="4" borderId="10" xfId="6" applyFont="1" applyFill="1" applyBorder="1" applyAlignment="1">
      <alignment horizontal="right"/>
    </xf>
    <xf numFmtId="0" fontId="3" fillId="4" borderId="11" xfId="6" applyFont="1" applyFill="1" applyBorder="1" applyAlignment="1">
      <alignment horizontal="right"/>
    </xf>
    <xf numFmtId="0" fontId="3" fillId="4" borderId="10" xfId="6" applyFont="1" applyFill="1" applyBorder="1" applyAlignment="1">
      <alignment horizontal="center"/>
    </xf>
    <xf numFmtId="0" fontId="3" fillId="4" borderId="11" xfId="6" applyFont="1" applyFill="1" applyBorder="1" applyAlignment="1">
      <alignment horizontal="center"/>
    </xf>
    <xf numFmtId="49" fontId="3" fillId="4" borderId="0" xfId="7" applyNumberFormat="1" applyFont="1" applyFill="1" applyBorder="1" applyAlignment="1">
      <alignment horizontal="center" vertical="top" wrapText="1"/>
    </xf>
    <xf numFmtId="49" fontId="3" fillId="4" borderId="0" xfId="7" applyNumberFormat="1" applyFont="1" applyFill="1" applyAlignment="1">
      <alignment horizontal="center" wrapText="1"/>
    </xf>
    <xf numFmtId="0" fontId="3" fillId="4" borderId="0" xfId="8" applyFont="1" applyFill="1" applyAlignment="1">
      <alignment horizontal="center" vertical="center" wrapText="1"/>
    </xf>
    <xf numFmtId="49" fontId="3" fillId="4" borderId="4" xfId="7" applyNumberFormat="1" applyFont="1" applyFill="1" applyBorder="1" applyAlignment="1">
      <alignment horizontal="center" vertical="center" wrapText="1"/>
    </xf>
    <xf numFmtId="49" fontId="3" fillId="4" borderId="0" xfId="7" applyNumberFormat="1" applyFont="1" applyFill="1" applyBorder="1" applyAlignment="1">
      <alignment horizontal="center" vertical="center" wrapText="1"/>
    </xf>
    <xf numFmtId="49" fontId="3" fillId="4" borderId="5" xfId="7" applyNumberFormat="1" applyFont="1" applyFill="1" applyBorder="1" applyAlignment="1">
      <alignment horizontal="center" vertical="center" wrapText="1"/>
    </xf>
    <xf numFmtId="49" fontId="3" fillId="4" borderId="4" xfId="7" applyNumberFormat="1" applyFont="1" applyFill="1" applyBorder="1" applyAlignment="1">
      <alignment horizontal="left" vertical="top" wrapText="1"/>
    </xf>
    <xf numFmtId="49" fontId="3" fillId="4" borderId="0" xfId="7" applyNumberFormat="1" applyFont="1" applyFill="1" applyBorder="1" applyAlignment="1">
      <alignment horizontal="left" vertical="top" wrapText="1"/>
    </xf>
    <xf numFmtId="49" fontId="3" fillId="4" borderId="5" xfId="7" applyNumberFormat="1" applyFont="1" applyFill="1" applyBorder="1" applyAlignment="1">
      <alignment horizontal="left" vertical="top" wrapText="1"/>
    </xf>
    <xf numFmtId="49" fontId="3" fillId="4" borderId="6" xfId="7" applyNumberFormat="1" applyFont="1" applyFill="1" applyBorder="1" applyAlignment="1">
      <alignment horizontal="left" vertical="top" wrapText="1"/>
    </xf>
    <xf numFmtId="49" fontId="3" fillId="4" borderId="7" xfId="7" applyNumberFormat="1" applyFont="1" applyFill="1" applyBorder="1" applyAlignment="1">
      <alignment horizontal="left" vertical="top" wrapText="1"/>
    </xf>
    <xf numFmtId="49" fontId="3" fillId="4" borderId="8" xfId="7" applyNumberFormat="1" applyFont="1" applyFill="1" applyBorder="1" applyAlignment="1">
      <alignment horizontal="left" vertical="top" wrapText="1"/>
    </xf>
    <xf numFmtId="0" fontId="3" fillId="2" borderId="0" xfId="1" applyNumberFormat="1" applyFont="1" applyFill="1" applyBorder="1" applyAlignment="1">
      <alignment horizontal="right" vertical="center" wrapText="1"/>
    </xf>
    <xf numFmtId="49" fontId="3" fillId="4" borderId="0" xfId="7" applyNumberFormat="1" applyFont="1" applyFill="1" applyAlignment="1">
      <alignment horizontal="center" vertical="top" wrapText="1"/>
    </xf>
    <xf numFmtId="0" fontId="4" fillId="4" borderId="10" xfId="6" applyFont="1" applyFill="1" applyBorder="1" applyAlignment="1">
      <alignment horizontal="left"/>
    </xf>
    <xf numFmtId="0" fontId="4" fillId="4" borderId="11" xfId="6" applyFont="1" applyFill="1" applyBorder="1" applyAlignment="1">
      <alignment horizontal="left"/>
    </xf>
    <xf numFmtId="0" fontId="3" fillId="0" borderId="9" xfId="0" applyFont="1" applyBorder="1" applyAlignment="1">
      <alignment horizontal="center" vertical="top" wrapText="1"/>
    </xf>
    <xf numFmtId="0" fontId="3" fillId="0" borderId="9" xfId="0" applyFont="1" applyBorder="1" applyAlignment="1">
      <alignment horizontal="left" vertical="top" wrapText="1" indent="4"/>
    </xf>
    <xf numFmtId="0" fontId="3" fillId="0" borderId="9" xfId="0" applyFont="1" applyBorder="1" applyAlignment="1">
      <alignment horizontal="left" vertical="top" wrapText="1" indent="8"/>
    </xf>
    <xf numFmtId="0" fontId="3" fillId="0" borderId="9" xfId="0" applyFont="1" applyBorder="1" applyAlignment="1">
      <alignment horizontal="left" vertical="top" wrapText="1" indent="11"/>
    </xf>
    <xf numFmtId="0" fontId="3" fillId="2" borderId="10"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2" borderId="11" xfId="0" applyFont="1" applyFill="1" applyBorder="1" applyAlignment="1">
      <alignment horizontal="left" vertical="center" wrapText="1"/>
    </xf>
    <xf numFmtId="4" fontId="2" fillId="2" borderId="12" xfId="0" applyNumberFormat="1" applyFont="1" applyFill="1" applyBorder="1" applyAlignment="1">
      <alignment horizontal="center" vertical="center"/>
    </xf>
    <xf numFmtId="4" fontId="2" fillId="2" borderId="20" xfId="0" applyNumberFormat="1" applyFont="1" applyFill="1" applyBorder="1" applyAlignment="1">
      <alignment horizontal="center" vertical="center"/>
    </xf>
    <xf numFmtId="4" fontId="2" fillId="2" borderId="13" xfId="0" applyNumberFormat="1" applyFont="1" applyFill="1" applyBorder="1" applyAlignment="1">
      <alignment horizontal="center" vertical="center"/>
    </xf>
    <xf numFmtId="0" fontId="5" fillId="0" borderId="9" xfId="0" applyFont="1" applyBorder="1" applyAlignment="1">
      <alignment horizontal="center" vertical="center"/>
    </xf>
    <xf numFmtId="0" fontId="3" fillId="0" borderId="9" xfId="0" applyFont="1" applyBorder="1" applyAlignment="1">
      <alignment horizontal="left" vertical="top" wrapText="1" indent="5"/>
    </xf>
    <xf numFmtId="0" fontId="15" fillId="2" borderId="9" xfId="9" applyFont="1" applyFill="1" applyBorder="1" applyAlignment="1">
      <alignment horizontal="center" vertical="center"/>
    </xf>
    <xf numFmtId="49" fontId="0" fillId="2" borderId="9" xfId="9" applyNumberFormat="1" applyFont="1" applyFill="1" applyBorder="1" applyAlignment="1">
      <alignment horizontal="left" vertical="center"/>
    </xf>
    <xf numFmtId="49" fontId="1" fillId="2" borderId="9" xfId="9" applyNumberFormat="1" applyFont="1" applyFill="1" applyBorder="1" applyAlignment="1">
      <alignment horizontal="left" vertical="center"/>
    </xf>
    <xf numFmtId="49" fontId="18" fillId="2" borderId="9" xfId="9" applyNumberFormat="1" applyFont="1" applyFill="1" applyBorder="1" applyAlignment="1">
      <alignment horizontal="left" vertical="center" wrapText="1"/>
    </xf>
    <xf numFmtId="166" fontId="16" fillId="2" borderId="9" xfId="9" applyNumberFormat="1" applyFont="1" applyFill="1" applyBorder="1" applyAlignment="1">
      <alignment horizontal="left" vertical="center" wrapText="1"/>
    </xf>
    <xf numFmtId="0" fontId="1" fillId="0" borderId="10" xfId="9" applyBorder="1" applyAlignment="1">
      <alignment horizontal="left" vertical="center"/>
    </xf>
    <xf numFmtId="0" fontId="1" fillId="0" borderId="14" xfId="9" applyBorder="1" applyAlignment="1">
      <alignment horizontal="left" vertical="center"/>
    </xf>
    <xf numFmtId="0" fontId="1" fillId="0" borderId="11" xfId="9" applyBorder="1" applyAlignment="1">
      <alignment horizontal="left" vertical="center"/>
    </xf>
    <xf numFmtId="0" fontId="13" fillId="2" borderId="9" xfId="9" applyFont="1" applyFill="1" applyBorder="1" applyAlignment="1">
      <alignment horizontal="right" vertical="center"/>
    </xf>
    <xf numFmtId="0" fontId="13" fillId="2" borderId="9" xfId="9" applyFont="1" applyFill="1" applyBorder="1" applyAlignment="1">
      <alignment horizontal="center" vertical="center"/>
    </xf>
    <xf numFmtId="0" fontId="12" fillId="2" borderId="9" xfId="9" applyFont="1" applyFill="1" applyBorder="1" applyAlignment="1">
      <alignment horizontal="center" vertical="center" wrapText="1"/>
    </xf>
    <xf numFmtId="0" fontId="13" fillId="2" borderId="9" xfId="9" applyFont="1" applyFill="1" applyBorder="1" applyAlignment="1">
      <alignment horizontal="center" vertical="center" wrapText="1"/>
    </xf>
    <xf numFmtId="1" fontId="15" fillId="2" borderId="9" xfId="9" applyNumberFormat="1" applyFont="1" applyFill="1" applyBorder="1" applyAlignment="1">
      <alignment horizontal="center" vertical="center" wrapText="1"/>
    </xf>
    <xf numFmtId="0" fontId="15" fillId="2" borderId="9" xfId="9" applyFont="1" applyFill="1" applyBorder="1" applyAlignment="1">
      <alignment horizontal="center" vertical="center" wrapText="1"/>
    </xf>
    <xf numFmtId="2" fontId="16" fillId="2" borderId="9" xfId="9" applyNumberFormat="1" applyFont="1" applyFill="1" applyBorder="1" applyAlignment="1">
      <alignment horizontal="center" vertical="center" wrapText="1"/>
    </xf>
    <xf numFmtId="0" fontId="15" fillId="2" borderId="9" xfId="9" applyFont="1" applyFill="1" applyBorder="1" applyAlignment="1">
      <alignment horizontal="right" vertical="center"/>
    </xf>
    <xf numFmtId="1" fontId="11" fillId="2" borderId="9" xfId="9" applyNumberFormat="1"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15" fillId="2" borderId="10" xfId="9" applyFont="1" applyFill="1" applyBorder="1" applyAlignment="1">
      <alignment horizontal="center" vertical="center"/>
    </xf>
    <xf numFmtId="0" fontId="15" fillId="2" borderId="14" xfId="9" applyFont="1" applyFill="1" applyBorder="1" applyAlignment="1">
      <alignment horizontal="center" vertical="center"/>
    </xf>
    <xf numFmtId="0" fontId="15" fillId="2" borderId="11" xfId="9" applyFont="1" applyFill="1" applyBorder="1" applyAlignment="1">
      <alignment horizontal="center" vertical="center"/>
    </xf>
    <xf numFmtId="166" fontId="17" fillId="0" borderId="9" xfId="9" applyNumberFormat="1" applyFont="1" applyFill="1" applyBorder="1" applyAlignment="1">
      <alignment horizontal="left" vertical="center" wrapText="1"/>
    </xf>
    <xf numFmtId="166" fontId="16" fillId="2" borderId="10" xfId="9" applyNumberFormat="1" applyFont="1" applyFill="1" applyBorder="1" applyAlignment="1">
      <alignment horizontal="left" vertical="center" wrapText="1"/>
    </xf>
    <xf numFmtId="166" fontId="16" fillId="2" borderId="14" xfId="9" applyNumberFormat="1" applyFont="1" applyFill="1" applyBorder="1" applyAlignment="1">
      <alignment horizontal="left" vertical="center" wrapText="1"/>
    </xf>
    <xf numFmtId="166" fontId="16" fillId="2" borderId="11" xfId="9" applyNumberFormat="1" applyFont="1" applyFill="1" applyBorder="1" applyAlignment="1">
      <alignment horizontal="left" vertical="center" wrapText="1"/>
    </xf>
    <xf numFmtId="49" fontId="0" fillId="2" borderId="9" xfId="9" applyNumberFormat="1" applyFont="1" applyFill="1" applyBorder="1" applyAlignment="1">
      <alignment horizontal="left" vertical="center" wrapText="1"/>
    </xf>
    <xf numFmtId="49" fontId="1" fillId="2" borderId="9" xfId="9" applyNumberFormat="1" applyFont="1" applyFill="1" applyBorder="1" applyAlignment="1">
      <alignment horizontal="left" vertical="center" wrapText="1"/>
    </xf>
    <xf numFmtId="49" fontId="18" fillId="2" borderId="10" xfId="9" applyNumberFormat="1" applyFont="1" applyFill="1" applyBorder="1" applyAlignment="1">
      <alignment horizontal="left" vertical="center" wrapText="1"/>
    </xf>
    <xf numFmtId="49" fontId="18" fillId="2" borderId="14" xfId="9" applyNumberFormat="1" applyFont="1" applyFill="1" applyBorder="1" applyAlignment="1">
      <alignment horizontal="left" vertical="center" wrapText="1"/>
    </xf>
    <xf numFmtId="49" fontId="18" fillId="2" borderId="11" xfId="9" applyNumberFormat="1" applyFont="1" applyFill="1" applyBorder="1" applyAlignment="1">
      <alignment horizontal="left" vertical="center" wrapText="1"/>
    </xf>
    <xf numFmtId="0" fontId="15" fillId="2" borderId="10" xfId="9" applyFont="1" applyFill="1" applyBorder="1" applyAlignment="1">
      <alignment horizontal="left" vertical="center" wrapText="1"/>
    </xf>
    <xf numFmtId="0" fontId="15" fillId="2" borderId="11" xfId="9" applyFont="1" applyFill="1" applyBorder="1" applyAlignment="1">
      <alignment horizontal="left" vertical="center" wrapText="1"/>
    </xf>
    <xf numFmtId="0" fontId="12" fillId="0" borderId="9" xfId="9" applyFont="1" applyFill="1" applyBorder="1" applyAlignment="1">
      <alignment horizontal="center" vertical="center" wrapText="1"/>
    </xf>
    <xf numFmtId="49" fontId="0" fillId="2" borderId="10" xfId="9" applyNumberFormat="1" applyFont="1" applyFill="1" applyBorder="1" applyAlignment="1">
      <alignment horizontal="left" vertical="center"/>
    </xf>
    <xf numFmtId="49" fontId="0" fillId="2" borderId="11" xfId="9" applyNumberFormat="1" applyFont="1" applyFill="1" applyBorder="1" applyAlignment="1">
      <alignment horizontal="left" vertical="center"/>
    </xf>
    <xf numFmtId="0" fontId="0" fillId="0" borderId="10" xfId="9" applyFont="1" applyBorder="1" applyAlignment="1">
      <alignment horizontal="left" vertical="center" wrapText="1"/>
    </xf>
    <xf numFmtId="2" fontId="27" fillId="2" borderId="12" xfId="0" applyNumberFormat="1" applyFont="1" applyFill="1" applyBorder="1" applyAlignment="1">
      <alignment horizontal="center" vertical="center"/>
    </xf>
    <xf numFmtId="2" fontId="27" fillId="2" borderId="20" xfId="0" applyNumberFormat="1" applyFont="1" applyFill="1" applyBorder="1" applyAlignment="1">
      <alignment horizontal="center" vertical="center"/>
    </xf>
    <xf numFmtId="2" fontId="27" fillId="2" borderId="13" xfId="0" applyNumberFormat="1" applyFont="1" applyFill="1" applyBorder="1" applyAlignment="1">
      <alignment horizontal="center" vertical="center"/>
    </xf>
    <xf numFmtId="0" fontId="23" fillId="2" borderId="9" xfId="0" applyFont="1" applyFill="1" applyBorder="1" applyAlignment="1">
      <alignment horizontal="left" vertical="center" wrapText="1"/>
    </xf>
    <xf numFmtId="0" fontId="23" fillId="2" borderId="10" xfId="0" applyFont="1" applyFill="1" applyBorder="1" applyAlignment="1">
      <alignment horizontal="left" vertical="center" wrapText="1"/>
    </xf>
    <xf numFmtId="0" fontId="23" fillId="2" borderId="14" xfId="0" applyFont="1" applyFill="1" applyBorder="1" applyAlignment="1">
      <alignment horizontal="left" vertical="center" wrapText="1"/>
    </xf>
    <xf numFmtId="0" fontId="23" fillId="2" borderId="11" xfId="0" applyFont="1" applyFill="1" applyBorder="1" applyAlignment="1">
      <alignment horizontal="left" vertical="center" wrapText="1"/>
    </xf>
    <xf numFmtId="2" fontId="23" fillId="8" borderId="20" xfId="14" applyNumberFormat="1" applyFont="1" applyFill="1" applyBorder="1" applyAlignment="1">
      <alignment horizontal="center" vertical="center"/>
    </xf>
    <xf numFmtId="2" fontId="23" fillId="3" borderId="9" xfId="14" applyNumberFormat="1" applyFont="1" applyFill="1" applyBorder="1" applyAlignment="1">
      <alignment horizontal="center" vertical="center" wrapText="1"/>
    </xf>
    <xf numFmtId="2" fontId="23" fillId="3" borderId="20" xfId="14" applyNumberFormat="1" applyFont="1" applyFill="1" applyBorder="1" applyAlignment="1">
      <alignment horizontal="center" vertical="center" wrapText="1"/>
    </xf>
    <xf numFmtId="2" fontId="23" fillId="3" borderId="13" xfId="14" applyNumberFormat="1" applyFont="1" applyFill="1" applyBorder="1" applyAlignment="1">
      <alignment horizontal="center" vertical="center" wrapText="1"/>
    </xf>
    <xf numFmtId="2" fontId="23" fillId="6" borderId="20" xfId="14" applyNumberFormat="1" applyFont="1" applyFill="1" applyBorder="1" applyAlignment="1">
      <alignment horizontal="center" vertical="center"/>
    </xf>
    <xf numFmtId="2" fontId="23" fillId="6" borderId="13" xfId="14" applyNumberFormat="1" applyFont="1" applyFill="1" applyBorder="1" applyAlignment="1">
      <alignment horizontal="center" vertical="center"/>
    </xf>
    <xf numFmtId="2" fontId="23" fillId="6" borderId="20" xfId="1" applyNumberFormat="1" applyFont="1" applyFill="1" applyBorder="1" applyAlignment="1">
      <alignment horizontal="center" vertical="center" wrapText="1"/>
    </xf>
    <xf numFmtId="14" fontId="23" fillId="6" borderId="20" xfId="1" applyNumberFormat="1" applyFont="1" applyFill="1" applyBorder="1" applyAlignment="1">
      <alignment horizontal="center" vertical="center" wrapText="1"/>
    </xf>
    <xf numFmtId="2" fontId="23" fillId="7" borderId="13" xfId="14" applyNumberFormat="1" applyFont="1" applyFill="1" applyBorder="1" applyAlignment="1">
      <alignment horizontal="center" vertical="center"/>
    </xf>
    <xf numFmtId="2" fontId="23" fillId="7" borderId="9" xfId="14" applyNumberFormat="1" applyFont="1" applyFill="1" applyBorder="1" applyAlignment="1">
      <alignment horizontal="center" vertical="center"/>
    </xf>
    <xf numFmtId="2" fontId="23" fillId="7" borderId="20" xfId="14" applyNumberFormat="1" applyFont="1" applyFill="1" applyBorder="1" applyAlignment="1">
      <alignment horizontal="center" vertical="center"/>
    </xf>
    <xf numFmtId="2" fontId="23" fillId="7" borderId="13" xfId="1" applyNumberFormat="1" applyFont="1" applyFill="1" applyBorder="1" applyAlignment="1">
      <alignment horizontal="center" vertical="center" wrapText="1"/>
    </xf>
    <xf numFmtId="2" fontId="23" fillId="7" borderId="9" xfId="1" applyNumberFormat="1" applyFont="1" applyFill="1" applyBorder="1" applyAlignment="1">
      <alignment horizontal="center" vertical="center" wrapText="1"/>
    </xf>
    <xf numFmtId="2" fontId="23" fillId="7" borderId="20" xfId="1" applyNumberFormat="1" applyFont="1" applyFill="1" applyBorder="1" applyAlignment="1">
      <alignment horizontal="center" vertical="center" wrapText="1"/>
    </xf>
    <xf numFmtId="2" fontId="23" fillId="8" borderId="13" xfId="14" applyNumberFormat="1" applyFont="1" applyFill="1" applyBorder="1" applyAlignment="1">
      <alignment horizontal="center" vertical="center"/>
    </xf>
    <xf numFmtId="2" fontId="23" fillId="8" borderId="20" xfId="14" applyNumberFormat="1" applyFont="1" applyFill="1" applyBorder="1" applyAlignment="1">
      <alignment horizontal="center" vertical="center" wrapText="1"/>
    </xf>
    <xf numFmtId="14" fontId="23" fillId="8" borderId="13" xfId="1" applyNumberFormat="1" applyFont="1" applyFill="1" applyBorder="1" applyAlignment="1">
      <alignment horizontal="center" vertical="center" wrapText="1"/>
    </xf>
    <xf numFmtId="14" fontId="23" fillId="8" borderId="9" xfId="1" applyNumberFormat="1" applyFont="1" applyFill="1" applyBorder="1" applyAlignment="1">
      <alignment horizontal="center" vertical="center" wrapText="1"/>
    </xf>
    <xf numFmtId="2" fontId="23" fillId="3" borderId="13" xfId="14" applyNumberFormat="1" applyFont="1" applyFill="1" applyBorder="1" applyAlignment="1">
      <alignment horizontal="center" vertical="center"/>
    </xf>
    <xf numFmtId="2" fontId="23" fillId="3" borderId="9" xfId="14" applyNumberFormat="1" applyFont="1" applyFill="1" applyBorder="1" applyAlignment="1">
      <alignment horizontal="center" vertical="center"/>
    </xf>
    <xf numFmtId="44" fontId="4" fillId="0" borderId="9" xfId="2" applyFont="1" applyFill="1" applyBorder="1" applyAlignment="1">
      <alignment horizontal="center" vertical="center"/>
    </xf>
  </cellXfs>
  <cellStyles count="46">
    <cellStyle name="Hiperlink" xfId="15" builtinId="8"/>
    <cellStyle name="Moeda" xfId="2" builtinId="4"/>
    <cellStyle name="Moeda 2" xfId="10"/>
    <cellStyle name="Moeda 3" xfId="13"/>
    <cellStyle name="Moeda 3 2" xfId="21"/>
    <cellStyle name="Moeda 3 2 2" xfId="32"/>
    <cellStyle name="Moeda 3 2 3" xfId="42"/>
    <cellStyle name="Moeda 3 3" xfId="24"/>
    <cellStyle name="Moeda 3 3 2" xfId="35"/>
    <cellStyle name="Moeda 3 3 3" xfId="45"/>
    <cellStyle name="Moeda 3 4" xfId="28"/>
    <cellStyle name="Moeda 3 5" xfId="38"/>
    <cellStyle name="Moeda 4" xfId="19"/>
    <cellStyle name="Moeda 4 2" xfId="30"/>
    <cellStyle name="Moeda 4 3" xfId="40"/>
    <cellStyle name="Moeda 5" xfId="23"/>
    <cellStyle name="Moeda 5 2" xfId="34"/>
    <cellStyle name="Moeda 5 3" xfId="44"/>
    <cellStyle name="Moeda 6" xfId="27"/>
    <cellStyle name="Moeda 7" xfId="37"/>
    <cellStyle name="Normal" xfId="0" builtinId="0"/>
    <cellStyle name="Normal 2" xfId="5"/>
    <cellStyle name="Normal 2 3" xfId="11"/>
    <cellStyle name="Normal 3" xfId="3"/>
    <cellStyle name="Normal 4" xfId="16"/>
    <cellStyle name="Normal 4 2" xfId="25"/>
    <cellStyle name="Normal 6" xfId="9"/>
    <cellStyle name="Normal 61 2" xfId="8"/>
    <cellStyle name="Normal_Composição BDI" xfId="7"/>
    <cellStyle name="Normal_Composição do BDI - final" xfId="6"/>
    <cellStyle name="Normal_Replanilhamento T-1 - 18-02-08" xfId="14"/>
    <cellStyle name="Porcentagem" xfId="4" builtinId="5"/>
    <cellStyle name="Porcentagem 2" xfId="17"/>
    <cellStyle name="Vírgula" xfId="1" builtinId="3"/>
    <cellStyle name="Vírgula 2" xfId="12"/>
    <cellStyle name="Vírgula 2 2" xfId="20"/>
    <cellStyle name="Vírgula 2 2 2" xfId="31"/>
    <cellStyle name="Vírgula 2 2 3" xfId="41"/>
    <cellStyle name="Vírgula 3" xfId="18"/>
    <cellStyle name="Vírgula 3 2" xfId="29"/>
    <cellStyle name="Vírgula 3 3" xfId="39"/>
    <cellStyle name="Vírgula 4" xfId="22"/>
    <cellStyle name="Vírgula 4 2" xfId="33"/>
    <cellStyle name="Vírgula 4 3" xfId="43"/>
    <cellStyle name="Vírgula 5" xfId="26"/>
    <cellStyle name="Vírgula 6" xfId="36"/>
  </cellStyles>
  <dxfs count="34">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2.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1.xml"/><Relationship Id="rId27"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76201</xdr:colOff>
      <xdr:row>1</xdr:row>
      <xdr:rowOff>104775</xdr:rowOff>
    </xdr:from>
    <xdr:to>
      <xdr:col>0</xdr:col>
      <xdr:colOff>652865</xdr:colOff>
      <xdr:row>3</xdr:row>
      <xdr:rowOff>39461</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1" y="371475"/>
          <a:ext cx="576664" cy="638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187188</xdr:colOff>
      <xdr:row>1</xdr:row>
      <xdr:rowOff>68608</xdr:rowOff>
    </xdr:from>
    <xdr:to>
      <xdr:col>0</xdr:col>
      <xdr:colOff>682487</xdr:colOff>
      <xdr:row>3</xdr:row>
      <xdr:rowOff>67707</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87188" y="261869"/>
          <a:ext cx="495299" cy="55127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9</xdr:col>
      <xdr:colOff>0</xdr:colOff>
      <xdr:row>1</xdr:row>
      <xdr:rowOff>123265</xdr:rowOff>
    </xdr:from>
    <xdr:to>
      <xdr:col>10</xdr:col>
      <xdr:colOff>92340</xdr:colOff>
      <xdr:row>4</xdr:row>
      <xdr:rowOff>56030</xdr:rowOff>
    </xdr:to>
    <xdr:pic>
      <xdr:nvPicPr>
        <xdr:cNvPr id="2" name="Imagem 1">
          <a:extLst>
            <a:ext uri="{FF2B5EF4-FFF2-40B4-BE49-F238E27FC236}">
              <a16:creationId xmlns:a16="http://schemas.microsoft.com/office/drawing/2014/main" xmlns="" id="{00000000-0008-0000-0200-000005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4175441" y="313765"/>
          <a:ext cx="809517" cy="907677"/>
        </a:xfrm>
        <a:prstGeom prst="rect">
          <a:avLst/>
        </a:prstGeom>
      </xdr:spPr>
    </xdr:pic>
    <xdr:clientData/>
  </xdr:twoCellAnchor>
  <xdr:twoCellAnchor editAs="oneCell">
    <xdr:from>
      <xdr:col>0</xdr:col>
      <xdr:colOff>76201</xdr:colOff>
      <xdr:row>1</xdr:row>
      <xdr:rowOff>104775</xdr:rowOff>
    </xdr:from>
    <xdr:to>
      <xdr:col>0</xdr:col>
      <xdr:colOff>652865</xdr:colOff>
      <xdr:row>2</xdr:row>
      <xdr:rowOff>552450</xdr:rowOff>
    </xdr:to>
    <xdr:pic>
      <xdr:nvPicPr>
        <xdr:cNvPr id="3" name="Imagem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6201" y="371475"/>
          <a:ext cx="576664" cy="638175"/>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3</xdr:row>
      <xdr:rowOff>457168</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199" y="414338"/>
          <a:ext cx="781049" cy="86436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114301</xdr:colOff>
      <xdr:row>2</xdr:row>
      <xdr:rowOff>0</xdr:rowOff>
    </xdr:from>
    <xdr:to>
      <xdr:col>1</xdr:col>
      <xdr:colOff>690965</xdr:colOff>
      <xdr:row>3</xdr:row>
      <xdr:rowOff>257175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438150"/>
          <a:ext cx="576664"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5" name="Imagem 4">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4" name="Imagem 3">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oneCellAnchor>
    <xdr:from>
      <xdr:col>0</xdr:col>
      <xdr:colOff>134471</xdr:colOff>
      <xdr:row>0</xdr:row>
      <xdr:rowOff>56029</xdr:rowOff>
    </xdr:from>
    <xdr:ext cx="576664" cy="638175"/>
    <xdr:pic>
      <xdr:nvPicPr>
        <xdr:cNvPr id="3" name="Imagem 2">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a16="http://schemas.microsoft.com/office/drawing/2014/main" xmlns=""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1.xml><?xml version="1.0" encoding="utf-8"?>
<xdr:wsDr xmlns:xdr="http://schemas.openxmlformats.org/drawingml/2006/spreadsheetDrawing" xmlns:a="http://schemas.openxmlformats.org/drawingml/2006/main">
  <xdr:twoCellAnchor editAs="oneCell">
    <xdr:from>
      <xdr:col>0</xdr:col>
      <xdr:colOff>17972</xdr:colOff>
      <xdr:row>1</xdr:row>
      <xdr:rowOff>35943</xdr:rowOff>
    </xdr:from>
    <xdr:to>
      <xdr:col>0</xdr:col>
      <xdr:colOff>594636</xdr:colOff>
      <xdr:row>4</xdr:row>
      <xdr:rowOff>100156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2" y="226443"/>
          <a:ext cx="576664" cy="6515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Obras/ENGENHARIA/PROPOSTA%20-%20NOVAS%20OBRAS/03%20-%20CONSELHO%20TUTELAR/OR&#199;AMENTO/BRUNA_PLANILHA%20OR&#199;AMENT&#193;RIA%20-%20REFORMA%20DO%20CONSELHO%20TUTELAR.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Obras/ENGENHARIA/PROPOSTA%20-%20NOVAS%20OBRAS/10-%20NOVO%20CRAS/BRUNA_PLANILHA%20OR&#199;AMENT&#193;RIA%20-%20CONSTRU&#199;&#195;O%20DO%20CRAS%20-%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ORÇAMENTÁRIA"/>
      <sheetName val="MC"/>
      <sheetName val="CRONOGRAMA"/>
      <sheetName val="BDI"/>
      <sheetName val="LS"/>
      <sheetName val="COMP-01"/>
      <sheetName val="COMP-02"/>
      <sheetName val="COMP-03"/>
      <sheetName val="COMP-04"/>
      <sheetName val="COMP-05"/>
      <sheetName val="COMP-06"/>
      <sheetName val="COMP-07"/>
      <sheetName val="COMP-08"/>
      <sheetName val="COMP-09"/>
      <sheetName val="COMP-10"/>
      <sheetName val="COMP-11"/>
      <sheetName val="COMP-12"/>
      <sheetName val="COMP-13"/>
      <sheetName val="COTAÇÕES "/>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row r="8">
          <cell r="P8">
            <v>420.83333333333331</v>
          </cell>
        </row>
        <row r="9">
          <cell r="P9">
            <v>55.893333333333338</v>
          </cell>
        </row>
        <row r="10">
          <cell r="P10">
            <v>43.133333333333333</v>
          </cell>
        </row>
        <row r="12">
          <cell r="P12">
            <v>51.066666666666663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ORÇAMENTÁRIA"/>
      <sheetName val="CRONOGRAMA"/>
      <sheetName val="modelo cronograma"/>
      <sheetName val="MC"/>
      <sheetName val="BDI"/>
      <sheetName val="LS"/>
      <sheetName val="COMP-01"/>
      <sheetName val="COMP-02"/>
      <sheetName val="COMP-03"/>
      <sheetName val="COMP-04"/>
      <sheetName val="COMP-05"/>
      <sheetName val="COMP-06"/>
      <sheetName val="COMP-07"/>
      <sheetName val="COMP-08"/>
      <sheetName val="COMP-09"/>
      <sheetName val="COMP-10"/>
      <sheetName val="COMP-11"/>
      <sheetName val="COMP-12"/>
      <sheetName val="COMP-13"/>
      <sheetName val="COMP-14"/>
      <sheetName val="COTAÇÕ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8">
          <cell r="P8">
            <v>898.77333333333343</v>
          </cell>
        </row>
        <row r="14">
          <cell r="P14">
            <v>2880.6666666666665</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8" Type="http://schemas.openxmlformats.org/officeDocument/2006/relationships/printerSettings" Target="../printerSettings/printerSettings21.bin"/><Relationship Id="rId3" Type="http://schemas.openxmlformats.org/officeDocument/2006/relationships/hyperlink" Target="https://www.kalunga.com.br/prod/dispenser-papel-toalha-interfolhado-branco-c19533-premisse-cx-1-un/324175?pcID=39&amp;gclid=Cj0KCQjwqrb7BRDlARIsACwGad6HO2dT5IOnuzBk8d55FZvxHn7u8z-LvSHzV70iwJALgCLUeG6uVL4aAqcFEALw_wcB" TargetMode="External"/><Relationship Id="rId7" Type="http://schemas.openxmlformats.org/officeDocument/2006/relationships/hyperlink" Target="mailto:eliane@rbaelevadores.com.brAtendente:%20ElianeLocal:%20S&#227;o%20Jos&#233;%20do%20Rio%20Preto%20(SP)" TargetMode="External"/><Relationship Id="rId2" Type="http://schemas.openxmlformats.org/officeDocument/2006/relationships/hyperlink" Target="https://www.telhanorte.com.br/led-painel-pop-embutir-quadrado-30x30-ne-4000k-24w-bivolt-1680-avant-1774948/p?idsku=1774948&amp;gclid=EAIaIQobChMIv7j4ns3B8AIVCuDICh1NEwsxEAQYKCABEgLxKPD_BwE" TargetMode="External"/><Relationship Id="rId1" Type="http://schemas.openxmlformats.org/officeDocument/2006/relationships/hyperlink" Target="https://www.ismafer.com.br/MLB-1547067509-painel-plafon-led-24w-quadrado-embutir-branco-neutro-_JM?variation=78806764363&amp;gclid=EAIaIQobChMIv7j4ns3B8AIVCuDICh1NEwsxEAQYCCABEgKMrPD_BwE" TargetMode="External"/><Relationship Id="rId6" Type="http://schemas.openxmlformats.org/officeDocument/2006/relationships/hyperlink" Target="mailto:vendas@mobilitaelevadores.com.brAtendente:%20AnaLocal:%20Atiabaia%20(SP)" TargetMode="External"/><Relationship Id="rId5" Type="http://schemas.openxmlformats.org/officeDocument/2006/relationships/hyperlink" Target="https://www.leroymerlin.com.br/resina-brilhante-novacor-incolor-18l-sherwin-williams_86142301?store_code=57&amp;gclid=CjwKCAjwmeiIBhA6EiwA-uaeFbxDk53Zc9B12II1Ri07dkbwaaf1Aw0DW35XT2XSVUFVVgAAjqG9wRoCRJkQAvD_BwE" TargetMode="External"/><Relationship Id="rId4" Type="http://schemas.openxmlformats.org/officeDocument/2006/relationships/hyperlink" Target="https://loja.politintas.com.br/resina-acrilica-novacor-sherwin-williams-18l/p?idsku=3594&amp;gclid=CjwKCAjwmeiIBhA6EiwA-uaeFZCkpwYdhdzCQshIADv6j15StycZEocY1i-VXkCkv7oPfCP68ysT6hoCJvMQAvD_BwE" TargetMode="External"/><Relationship Id="rId9" Type="http://schemas.openxmlformats.org/officeDocument/2006/relationships/drawing" Target="../drawings/drawing2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X94"/>
  <sheetViews>
    <sheetView tabSelected="1" view="pageBreakPreview" zoomScale="84" zoomScaleNormal="84" zoomScaleSheetLayoutView="84" workbookViewId="0">
      <selection activeCell="D22" sqref="D22"/>
    </sheetView>
  </sheetViews>
  <sheetFormatPr defaultRowHeight="12.75" x14ac:dyDescent="0.2"/>
  <cols>
    <col min="1" max="1" width="10.140625" style="17" customWidth="1"/>
    <col min="2" max="2" width="12.5703125" style="23" bestFit="1" customWidth="1"/>
    <col min="3" max="3" width="11.42578125" style="17" customWidth="1"/>
    <col min="4" max="4" width="76.28515625" style="17" customWidth="1"/>
    <col min="5" max="5" width="12" style="23" customWidth="1"/>
    <col min="6" max="6" width="12.7109375" style="23" customWidth="1"/>
    <col min="7" max="7" width="14" style="23" bestFit="1" customWidth="1"/>
    <col min="8" max="8" width="17.42578125" style="23" customWidth="1"/>
    <col min="9" max="9" width="18" style="17" bestFit="1" customWidth="1"/>
    <col min="10" max="10" width="12.28515625" style="15" bestFit="1" customWidth="1"/>
    <col min="11" max="11" width="14" style="15" customWidth="1"/>
    <col min="12" max="16384" width="9.140625" style="15"/>
  </cols>
  <sheetData>
    <row r="1" spans="1:10" ht="21" customHeight="1" x14ac:dyDescent="0.2">
      <c r="A1" s="1"/>
      <c r="B1" s="415" t="s">
        <v>0</v>
      </c>
      <c r="C1" s="416"/>
      <c r="D1" s="416"/>
      <c r="E1" s="416"/>
      <c r="F1" s="416"/>
      <c r="G1" s="416"/>
      <c r="H1" s="416"/>
      <c r="I1" s="417"/>
    </row>
    <row r="2" spans="1:10" ht="21" customHeight="1" x14ac:dyDescent="0.2">
      <c r="A2" s="2"/>
      <c r="B2" s="423" t="s">
        <v>1</v>
      </c>
      <c r="C2" s="424"/>
      <c r="D2" s="424"/>
      <c r="E2" s="4"/>
      <c r="F2" s="3"/>
      <c r="G2" s="4"/>
      <c r="H2" s="4"/>
      <c r="I2" s="31"/>
    </row>
    <row r="3" spans="1:10" ht="34.5" customHeight="1" x14ac:dyDescent="0.2">
      <c r="A3" s="2"/>
      <c r="B3" s="423" t="s">
        <v>703</v>
      </c>
      <c r="C3" s="424"/>
      <c r="D3" s="424"/>
      <c r="E3" s="193" t="s">
        <v>3</v>
      </c>
      <c r="F3" s="24">
        <v>1.5727</v>
      </c>
      <c r="G3" s="413" t="s">
        <v>86</v>
      </c>
      <c r="H3" s="413"/>
      <c r="I3" s="414"/>
      <c r="J3" s="4"/>
    </row>
    <row r="4" spans="1:10" ht="21" customHeight="1" x14ac:dyDescent="0.2">
      <c r="A4" s="2"/>
      <c r="B4" s="423" t="s">
        <v>2</v>
      </c>
      <c r="C4" s="424"/>
      <c r="D4" s="424"/>
      <c r="E4" s="214" t="s">
        <v>5</v>
      </c>
      <c r="F4" s="24">
        <v>0.3196</v>
      </c>
      <c r="G4" s="228"/>
      <c r="H4" s="215" t="s">
        <v>6</v>
      </c>
      <c r="I4" s="216" t="s">
        <v>708</v>
      </c>
    </row>
    <row r="5" spans="1:10" s="176" customFormat="1" ht="15.75" customHeight="1" x14ac:dyDescent="0.2">
      <c r="A5" s="2"/>
      <c r="B5" s="425" t="s">
        <v>538</v>
      </c>
      <c r="C5" s="426"/>
      <c r="D5" s="426"/>
      <c r="E5" s="426"/>
      <c r="F5" s="24"/>
      <c r="G5" s="215"/>
      <c r="H5" s="215"/>
      <c r="I5" s="216"/>
    </row>
    <row r="6" spans="1:10" x14ac:dyDescent="0.2">
      <c r="A6" s="418" t="s">
        <v>7</v>
      </c>
      <c r="B6" s="418" t="s">
        <v>8</v>
      </c>
      <c r="C6" s="418" t="s">
        <v>9</v>
      </c>
      <c r="D6" s="418" t="s">
        <v>10</v>
      </c>
      <c r="E6" s="418" t="s">
        <v>11</v>
      </c>
      <c r="F6" s="418" t="s">
        <v>12</v>
      </c>
      <c r="G6" s="420" t="s">
        <v>13</v>
      </c>
      <c r="H6" s="421"/>
      <c r="I6" s="422"/>
    </row>
    <row r="7" spans="1:10" x14ac:dyDescent="0.2">
      <c r="A7" s="419"/>
      <c r="B7" s="419"/>
      <c r="C7" s="419"/>
      <c r="D7" s="419"/>
      <c r="E7" s="419"/>
      <c r="F7" s="419"/>
      <c r="G7" s="6" t="s">
        <v>14</v>
      </c>
      <c r="H7" s="6" t="s">
        <v>237</v>
      </c>
      <c r="I7" s="6" t="s">
        <v>15</v>
      </c>
    </row>
    <row r="8" spans="1:10" x14ac:dyDescent="0.2">
      <c r="A8" s="11">
        <v>1</v>
      </c>
      <c r="B8" s="11" t="s">
        <v>17</v>
      </c>
      <c r="C8" s="5"/>
      <c r="D8" s="7" t="s">
        <v>18</v>
      </c>
      <c r="E8" s="5"/>
      <c r="F8" s="6"/>
      <c r="G8" s="27"/>
      <c r="H8" s="27"/>
      <c r="I8" s="8"/>
    </row>
    <row r="9" spans="1:10" x14ac:dyDescent="0.2">
      <c r="A9" s="12" t="s">
        <v>87</v>
      </c>
      <c r="B9" s="12" t="s">
        <v>330</v>
      </c>
      <c r="C9" s="175" t="s">
        <v>238</v>
      </c>
      <c r="D9" s="14" t="s">
        <v>329</v>
      </c>
      <c r="E9" s="13"/>
      <c r="F9" s="157"/>
      <c r="G9" s="70"/>
      <c r="H9" s="29"/>
      <c r="I9" s="10"/>
    </row>
    <row r="10" spans="1:10" s="176" customFormat="1" x14ac:dyDescent="0.2">
      <c r="A10" s="33" t="s">
        <v>88</v>
      </c>
      <c r="B10" s="33">
        <v>10208</v>
      </c>
      <c r="C10" s="331" t="s">
        <v>238</v>
      </c>
      <c r="D10" s="158" t="s">
        <v>416</v>
      </c>
      <c r="E10" s="175" t="s">
        <v>32</v>
      </c>
      <c r="F10" s="87">
        <f>MC!J23</f>
        <v>174.9932</v>
      </c>
      <c r="G10" s="70">
        <v>8.0500000000000007</v>
      </c>
      <c r="H10" s="29">
        <f t="shared" ref="H10:H18" si="0">TRUNC(ROUND(G10*1.3196,2),2)</f>
        <v>10.62</v>
      </c>
      <c r="I10" s="10">
        <f t="shared" ref="I10:I18" si="1">TRUNC(ROUND(F10*H10,2),2)</f>
        <v>1858.43</v>
      </c>
    </row>
    <row r="11" spans="1:10" s="176" customFormat="1" x14ac:dyDescent="0.2">
      <c r="A11" s="33" t="s">
        <v>90</v>
      </c>
      <c r="B11" s="33">
        <v>10209</v>
      </c>
      <c r="C11" s="331" t="s">
        <v>238</v>
      </c>
      <c r="D11" s="158" t="s">
        <v>331</v>
      </c>
      <c r="E11" s="175" t="s">
        <v>34</v>
      </c>
      <c r="F11" s="87">
        <f>MC!J31</f>
        <v>1.4509559999999999</v>
      </c>
      <c r="G11" s="70">
        <v>48.28</v>
      </c>
      <c r="H11" s="29">
        <f t="shared" si="0"/>
        <v>63.71</v>
      </c>
      <c r="I11" s="10">
        <f t="shared" si="1"/>
        <v>92.44</v>
      </c>
    </row>
    <row r="12" spans="1:10" s="176" customFormat="1" x14ac:dyDescent="0.2">
      <c r="A12" s="33" t="s">
        <v>91</v>
      </c>
      <c r="B12" s="33">
        <v>10214</v>
      </c>
      <c r="C12" s="331" t="s">
        <v>238</v>
      </c>
      <c r="D12" s="158" t="s">
        <v>417</v>
      </c>
      <c r="E12" s="175" t="s">
        <v>27</v>
      </c>
      <c r="F12" s="87">
        <f>MC!J41</f>
        <v>43.47</v>
      </c>
      <c r="G12" s="70">
        <v>12.87</v>
      </c>
      <c r="H12" s="29">
        <f t="shared" si="0"/>
        <v>16.98</v>
      </c>
      <c r="I12" s="10">
        <f t="shared" si="1"/>
        <v>738.12</v>
      </c>
    </row>
    <row r="13" spans="1:10" s="332" customFormat="1" x14ac:dyDescent="0.2">
      <c r="A13" s="33" t="s">
        <v>92</v>
      </c>
      <c r="B13" s="33">
        <v>10327</v>
      </c>
      <c r="C13" s="331" t="s">
        <v>238</v>
      </c>
      <c r="D13" s="158" t="s">
        <v>582</v>
      </c>
      <c r="E13" s="331" t="s">
        <v>16</v>
      </c>
      <c r="F13" s="87">
        <f>MC!J47</f>
        <v>5</v>
      </c>
      <c r="G13" s="70">
        <v>2</v>
      </c>
      <c r="H13" s="29">
        <f t="shared" si="0"/>
        <v>2.64</v>
      </c>
      <c r="I13" s="10">
        <f t="shared" si="1"/>
        <v>13.2</v>
      </c>
    </row>
    <row r="14" spans="1:10" s="176" customFormat="1" x14ac:dyDescent="0.2">
      <c r="A14" s="33" t="s">
        <v>332</v>
      </c>
      <c r="B14" s="33">
        <v>10215</v>
      </c>
      <c r="C14" s="331" t="s">
        <v>238</v>
      </c>
      <c r="D14" s="158" t="s">
        <v>418</v>
      </c>
      <c r="E14" s="175" t="s">
        <v>27</v>
      </c>
      <c r="F14" s="87">
        <f>MC!J59</f>
        <v>4.3539999999999992</v>
      </c>
      <c r="G14" s="70">
        <v>8.0500000000000007</v>
      </c>
      <c r="H14" s="29">
        <f t="shared" si="0"/>
        <v>10.62</v>
      </c>
      <c r="I14" s="10">
        <f t="shared" si="1"/>
        <v>46.24</v>
      </c>
    </row>
    <row r="15" spans="1:10" s="176" customFormat="1" ht="12" customHeight="1" x14ac:dyDescent="0.2">
      <c r="A15" s="407" t="s">
        <v>410</v>
      </c>
      <c r="B15" s="33">
        <v>10246</v>
      </c>
      <c r="C15" s="331" t="s">
        <v>238</v>
      </c>
      <c r="D15" s="158" t="s">
        <v>419</v>
      </c>
      <c r="E15" s="175" t="s">
        <v>27</v>
      </c>
      <c r="F15" s="87">
        <f>MC!J367</f>
        <v>7943.8735999999953</v>
      </c>
      <c r="G15" s="70">
        <v>3.07</v>
      </c>
      <c r="H15" s="29">
        <f t="shared" si="0"/>
        <v>4.05</v>
      </c>
      <c r="I15" s="10">
        <f t="shared" si="1"/>
        <v>32172.69</v>
      </c>
    </row>
    <row r="16" spans="1:10" s="176" customFormat="1" ht="25.5" x14ac:dyDescent="0.2">
      <c r="A16" s="33" t="s">
        <v>411</v>
      </c>
      <c r="B16" s="33" t="s">
        <v>252</v>
      </c>
      <c r="C16" s="331"/>
      <c r="D16" s="158" t="s">
        <v>479</v>
      </c>
      <c r="E16" s="175" t="s">
        <v>21</v>
      </c>
      <c r="F16" s="87">
        <f>MC!J377</f>
        <v>67.56</v>
      </c>
      <c r="G16" s="70">
        <f>'COMP-01'!I29</f>
        <v>1.6703920000000003</v>
      </c>
      <c r="H16" s="29">
        <f t="shared" si="0"/>
        <v>2.2000000000000002</v>
      </c>
      <c r="I16" s="10">
        <f t="shared" si="1"/>
        <v>148.63</v>
      </c>
    </row>
    <row r="17" spans="1:9" s="176" customFormat="1" ht="38.25" x14ac:dyDescent="0.2">
      <c r="A17" s="33" t="s">
        <v>412</v>
      </c>
      <c r="B17" s="33">
        <v>200726</v>
      </c>
      <c r="C17" s="331" t="s">
        <v>238</v>
      </c>
      <c r="D17" s="158" t="s">
        <v>707</v>
      </c>
      <c r="E17" s="175" t="s">
        <v>21</v>
      </c>
      <c r="F17" s="87">
        <f>MC!J386</f>
        <v>15.231999999999999</v>
      </c>
      <c r="G17" s="70">
        <v>142.93</v>
      </c>
      <c r="H17" s="29">
        <f t="shared" si="0"/>
        <v>188.61</v>
      </c>
      <c r="I17" s="10">
        <f t="shared" si="1"/>
        <v>2872.91</v>
      </c>
    </row>
    <row r="18" spans="1:9" s="176" customFormat="1" x14ac:dyDescent="0.2">
      <c r="A18" s="33" t="s">
        <v>413</v>
      </c>
      <c r="B18" s="33" t="s">
        <v>283</v>
      </c>
      <c r="C18" s="331"/>
      <c r="D18" s="158" t="s">
        <v>436</v>
      </c>
      <c r="E18" s="175" t="s">
        <v>21</v>
      </c>
      <c r="F18" s="87">
        <f>MC!J396</f>
        <v>23.342999999999996</v>
      </c>
      <c r="G18" s="70">
        <f>'COMP-02'!I29</f>
        <v>7.1342319999999999</v>
      </c>
      <c r="H18" s="29">
        <f t="shared" si="0"/>
        <v>9.41</v>
      </c>
      <c r="I18" s="10">
        <f t="shared" si="1"/>
        <v>219.66</v>
      </c>
    </row>
    <row r="19" spans="1:9" s="332" customFormat="1" ht="25.5" x14ac:dyDescent="0.2">
      <c r="A19" s="33" t="s">
        <v>414</v>
      </c>
      <c r="B19" s="33">
        <v>10331</v>
      </c>
      <c r="C19" s="331" t="s">
        <v>238</v>
      </c>
      <c r="D19" s="158" t="s">
        <v>547</v>
      </c>
      <c r="E19" s="331" t="s">
        <v>21</v>
      </c>
      <c r="F19" s="87">
        <f>MC!J404</f>
        <v>0.20510000000000003</v>
      </c>
      <c r="G19" s="70">
        <v>8.6199999999999992</v>
      </c>
      <c r="H19" s="29">
        <f t="shared" ref="H19" si="2">TRUNC(ROUND(G19*1.3196,2),2)</f>
        <v>11.37</v>
      </c>
      <c r="I19" s="10">
        <f t="shared" ref="I19:I20" si="3">TRUNC(ROUND(F19*H19,2),2)</f>
        <v>2.33</v>
      </c>
    </row>
    <row r="20" spans="1:9" s="332" customFormat="1" x14ac:dyDescent="0.2">
      <c r="A20" s="33" t="s">
        <v>415</v>
      </c>
      <c r="B20" s="33">
        <v>10323</v>
      </c>
      <c r="C20" s="331" t="s">
        <v>238</v>
      </c>
      <c r="D20" s="158" t="s">
        <v>564</v>
      </c>
      <c r="E20" s="331" t="s">
        <v>22</v>
      </c>
      <c r="F20" s="87">
        <f>MC!J411</f>
        <v>4</v>
      </c>
      <c r="G20" s="70">
        <v>8.81</v>
      </c>
      <c r="H20" s="29">
        <f t="shared" ref="H20" si="4">TRUNC(ROUND(G20*1.3196,2),2)</f>
        <v>11.63</v>
      </c>
      <c r="I20" s="10">
        <f t="shared" si="3"/>
        <v>46.52</v>
      </c>
    </row>
    <row r="21" spans="1:9" x14ac:dyDescent="0.2">
      <c r="A21" s="11"/>
      <c r="B21" s="11"/>
      <c r="C21" s="5"/>
      <c r="D21" s="37" t="s">
        <v>114</v>
      </c>
      <c r="E21" s="5"/>
      <c r="F21" s="5"/>
      <c r="G21" s="71"/>
      <c r="H21" s="71"/>
      <c r="I21" s="86">
        <f>SUM(I9:I20)</f>
        <v>38211.169999999991</v>
      </c>
    </row>
    <row r="22" spans="1:9" x14ac:dyDescent="0.2">
      <c r="A22" s="11">
        <v>2</v>
      </c>
      <c r="B22" s="11" t="s">
        <v>19</v>
      </c>
      <c r="C22" s="5"/>
      <c r="D22" s="7" t="s">
        <v>20</v>
      </c>
      <c r="E22" s="5"/>
      <c r="F22" s="5"/>
      <c r="G22" s="71"/>
      <c r="H22" s="71"/>
      <c r="I22" s="5"/>
    </row>
    <row r="23" spans="1:9" x14ac:dyDescent="0.2">
      <c r="A23" s="248" t="s">
        <v>93</v>
      </c>
      <c r="B23" s="12" t="s">
        <v>24</v>
      </c>
      <c r="C23" s="175" t="s">
        <v>238</v>
      </c>
      <c r="D23" s="18" t="s">
        <v>23</v>
      </c>
      <c r="E23" s="177"/>
      <c r="F23" s="177"/>
      <c r="G23" s="70"/>
      <c r="H23" s="29"/>
      <c r="I23" s="10"/>
    </row>
    <row r="24" spans="1:9" x14ac:dyDescent="0.2">
      <c r="A24" s="338" t="s">
        <v>94</v>
      </c>
      <c r="B24" s="172" t="s">
        <v>241</v>
      </c>
      <c r="C24" s="331" t="s">
        <v>238</v>
      </c>
      <c r="D24" s="178" t="s">
        <v>25</v>
      </c>
      <c r="E24" s="177" t="s">
        <v>21</v>
      </c>
      <c r="F24" s="180">
        <f>MC!J418</f>
        <v>2</v>
      </c>
      <c r="G24" s="70">
        <v>273.81</v>
      </c>
      <c r="H24" s="29">
        <f t="shared" ref="H23:H32" si="5">TRUNC(ROUND(G24*1.3196,2),2)</f>
        <v>361.32</v>
      </c>
      <c r="I24" s="10">
        <f t="shared" ref="I24:I29" si="6">TRUNC(ROUND(F24*H24,2),2)</f>
        <v>722.64</v>
      </c>
    </row>
    <row r="25" spans="1:9" s="176" customFormat="1" ht="25.5" x14ac:dyDescent="0.2">
      <c r="A25" s="338" t="s">
        <v>95</v>
      </c>
      <c r="B25" s="172" t="s">
        <v>432</v>
      </c>
      <c r="C25" s="331" t="s">
        <v>238</v>
      </c>
      <c r="D25" s="94" t="s">
        <v>710</v>
      </c>
      <c r="E25" s="93" t="s">
        <v>21</v>
      </c>
      <c r="F25" s="149">
        <f>MC!J422</f>
        <v>469.20000000000005</v>
      </c>
      <c r="G25" s="95">
        <v>20.46</v>
      </c>
      <c r="H25" s="29">
        <f>TRUNC(ROUND(G25*1.1557,2),2)</f>
        <v>23.65</v>
      </c>
      <c r="I25" s="10">
        <f t="shared" si="6"/>
        <v>11096.58</v>
      </c>
    </row>
    <row r="26" spans="1:9" ht="38.25" x14ac:dyDescent="0.2">
      <c r="A26" s="338" t="s">
        <v>96</v>
      </c>
      <c r="B26" s="172" t="s">
        <v>242</v>
      </c>
      <c r="C26" s="331" t="s">
        <v>238</v>
      </c>
      <c r="D26" s="178" t="s">
        <v>26</v>
      </c>
      <c r="E26" s="177" t="s">
        <v>16</v>
      </c>
      <c r="F26" s="180">
        <f>MC!J427</f>
        <v>36</v>
      </c>
      <c r="G26" s="70">
        <v>208.94</v>
      </c>
      <c r="H26" s="29">
        <f t="shared" si="5"/>
        <v>275.72000000000003</v>
      </c>
      <c r="I26" s="10">
        <f t="shared" si="6"/>
        <v>9925.92</v>
      </c>
    </row>
    <row r="27" spans="1:9" ht="28.5" customHeight="1" x14ac:dyDescent="0.2">
      <c r="A27" s="386" t="s">
        <v>97</v>
      </c>
      <c r="B27" s="12" t="s">
        <v>28</v>
      </c>
      <c r="C27" s="331" t="s">
        <v>238</v>
      </c>
      <c r="D27" s="18" t="s">
        <v>29</v>
      </c>
      <c r="E27" s="177"/>
      <c r="F27" s="177"/>
      <c r="G27" s="70"/>
      <c r="H27" s="29"/>
      <c r="I27" s="10"/>
    </row>
    <row r="28" spans="1:9" ht="38.25" x14ac:dyDescent="0.2">
      <c r="A28" s="338" t="s">
        <v>98</v>
      </c>
      <c r="B28" s="172" t="s">
        <v>243</v>
      </c>
      <c r="C28" s="331" t="s">
        <v>238</v>
      </c>
      <c r="D28" s="178" t="s">
        <v>30</v>
      </c>
      <c r="E28" s="177" t="s">
        <v>27</v>
      </c>
      <c r="F28" s="180">
        <f>MC!J432</f>
        <v>10.9025</v>
      </c>
      <c r="G28" s="70">
        <v>472.89</v>
      </c>
      <c r="H28" s="29">
        <f t="shared" si="5"/>
        <v>624.03</v>
      </c>
      <c r="I28" s="10">
        <f t="shared" si="6"/>
        <v>6803.49</v>
      </c>
    </row>
    <row r="29" spans="1:9" ht="38.25" x14ac:dyDescent="0.2">
      <c r="A29" s="338" t="s">
        <v>89</v>
      </c>
      <c r="B29" s="172" t="s">
        <v>244</v>
      </c>
      <c r="C29" s="331" t="s">
        <v>238</v>
      </c>
      <c r="D29" s="178" t="s">
        <v>249</v>
      </c>
      <c r="E29" s="177" t="s">
        <v>27</v>
      </c>
      <c r="F29" s="180">
        <f>MC!J436</f>
        <v>10.9025</v>
      </c>
      <c r="G29" s="70">
        <v>401.01</v>
      </c>
      <c r="H29" s="29">
        <f t="shared" si="5"/>
        <v>529.16999999999996</v>
      </c>
      <c r="I29" s="10">
        <f t="shared" si="6"/>
        <v>5769.28</v>
      </c>
    </row>
    <row r="30" spans="1:9" x14ac:dyDescent="0.2">
      <c r="A30" s="11"/>
      <c r="B30" s="11"/>
      <c r="C30" s="5"/>
      <c r="D30" s="37" t="s">
        <v>115</v>
      </c>
      <c r="E30" s="5"/>
      <c r="F30" s="5"/>
      <c r="G30" s="71"/>
      <c r="H30" s="71"/>
      <c r="I30" s="86">
        <f>SUM(I23:I29)</f>
        <v>34317.909999999996</v>
      </c>
    </row>
    <row r="31" spans="1:9" x14ac:dyDescent="0.2">
      <c r="A31" s="11">
        <v>3</v>
      </c>
      <c r="B31" s="5" t="s">
        <v>35</v>
      </c>
      <c r="C31" s="5"/>
      <c r="D31" s="7" t="s">
        <v>37</v>
      </c>
      <c r="E31" s="5"/>
      <c r="F31" s="5"/>
      <c r="G31" s="71"/>
      <c r="H31" s="71"/>
      <c r="I31" s="5"/>
    </row>
    <row r="32" spans="1:9" s="150" customFormat="1" ht="38.25" x14ac:dyDescent="0.2">
      <c r="A32" s="338" t="s">
        <v>99</v>
      </c>
      <c r="B32" s="172" t="s">
        <v>245</v>
      </c>
      <c r="C32" s="331" t="s">
        <v>238</v>
      </c>
      <c r="D32" s="189" t="s">
        <v>36</v>
      </c>
      <c r="E32" s="181" t="s">
        <v>34</v>
      </c>
      <c r="F32" s="173">
        <f>MC!J475</f>
        <v>17.91873</v>
      </c>
      <c r="G32" s="174">
        <v>62.93</v>
      </c>
      <c r="H32" s="29">
        <f t="shared" si="5"/>
        <v>83.04</v>
      </c>
      <c r="I32" s="10">
        <f t="shared" ref="I32" si="7">TRUNC(ROUND(F32*H32,2),2)</f>
        <v>1487.97</v>
      </c>
    </row>
    <row r="33" spans="1:9" x14ac:dyDescent="0.2">
      <c r="A33" s="11"/>
      <c r="B33" s="11"/>
      <c r="C33" s="5"/>
      <c r="D33" s="37" t="s">
        <v>116</v>
      </c>
      <c r="E33" s="5"/>
      <c r="F33" s="5"/>
      <c r="G33" s="71"/>
      <c r="H33" s="71"/>
      <c r="I33" s="86">
        <f>SUM(I32:I32)</f>
        <v>1487.97</v>
      </c>
    </row>
    <row r="34" spans="1:9" x14ac:dyDescent="0.2">
      <c r="A34" s="11">
        <v>4</v>
      </c>
      <c r="B34" s="5">
        <v>4</v>
      </c>
      <c r="C34" s="5"/>
      <c r="D34" s="7" t="s">
        <v>40</v>
      </c>
      <c r="E34" s="5"/>
      <c r="F34" s="5"/>
      <c r="G34" s="71"/>
      <c r="H34" s="71"/>
      <c r="I34" s="5"/>
    </row>
    <row r="35" spans="1:9" x14ac:dyDescent="0.2">
      <c r="A35" s="12" t="s">
        <v>101</v>
      </c>
      <c r="B35" s="12" t="s">
        <v>43</v>
      </c>
      <c r="C35" s="175" t="s">
        <v>238</v>
      </c>
      <c r="D35" s="14" t="s">
        <v>42</v>
      </c>
      <c r="E35" s="13"/>
      <c r="F35" s="13"/>
      <c r="G35" s="72"/>
      <c r="H35" s="29"/>
      <c r="I35" s="10"/>
    </row>
    <row r="36" spans="1:9" s="332" customFormat="1" ht="33.75" customHeight="1" x14ac:dyDescent="0.2">
      <c r="A36" s="33" t="s">
        <v>423</v>
      </c>
      <c r="B36" s="407">
        <v>60103</v>
      </c>
      <c r="C36" s="331" t="s">
        <v>238</v>
      </c>
      <c r="D36" s="158" t="s">
        <v>585</v>
      </c>
      <c r="E36" s="331" t="s">
        <v>22</v>
      </c>
      <c r="F36" s="162">
        <f>MC!J482</f>
        <v>1</v>
      </c>
      <c r="G36" s="557">
        <v>379.79</v>
      </c>
      <c r="H36" s="29">
        <f t="shared" ref="H36" si="8">TRUNC(ROUND(G36*1.3196,2),2)</f>
        <v>501.17</v>
      </c>
      <c r="I36" s="10">
        <f t="shared" ref="I35:I41" si="9">TRUNC(ROUND(F36*H36,2),2)</f>
        <v>501.17</v>
      </c>
    </row>
    <row r="37" spans="1:9" s="176" customFormat="1" x14ac:dyDescent="0.2">
      <c r="A37" s="33" t="s">
        <v>608</v>
      </c>
      <c r="B37" s="172" t="s">
        <v>420</v>
      </c>
      <c r="C37" s="331" t="s">
        <v>238</v>
      </c>
      <c r="D37" s="178" t="s">
        <v>421</v>
      </c>
      <c r="E37" s="177" t="s">
        <v>16</v>
      </c>
      <c r="F37" s="148">
        <f>MC!J491</f>
        <v>5</v>
      </c>
      <c r="G37" s="70">
        <v>19.920000000000002</v>
      </c>
      <c r="H37" s="29">
        <f t="shared" ref="H35:H62" si="10">TRUNC(ROUND(G37*1.3196,2),2)</f>
        <v>26.29</v>
      </c>
      <c r="I37" s="10">
        <f t="shared" si="9"/>
        <v>131.44999999999999</v>
      </c>
    </row>
    <row r="38" spans="1:9" s="176" customFormat="1" ht="38.25" x14ac:dyDescent="0.2">
      <c r="A38" s="33" t="s">
        <v>613</v>
      </c>
      <c r="B38" s="172" t="s">
        <v>427</v>
      </c>
      <c r="C38" s="175" t="s">
        <v>238</v>
      </c>
      <c r="D38" s="18" t="s">
        <v>428</v>
      </c>
      <c r="E38" s="177"/>
      <c r="F38" s="148"/>
      <c r="G38" s="70"/>
      <c r="H38" s="29"/>
      <c r="I38" s="10"/>
    </row>
    <row r="39" spans="1:9" s="332" customFormat="1" ht="43.5" customHeight="1" x14ac:dyDescent="0.2">
      <c r="A39" s="33" t="s">
        <v>609</v>
      </c>
      <c r="B39" s="172" t="s">
        <v>612</v>
      </c>
      <c r="C39" s="331" t="s">
        <v>238</v>
      </c>
      <c r="D39" s="335" t="s">
        <v>611</v>
      </c>
      <c r="E39" s="334" t="s">
        <v>22</v>
      </c>
      <c r="F39" s="148">
        <f>MC!J496</f>
        <v>3</v>
      </c>
      <c r="G39" s="70">
        <v>951.02</v>
      </c>
      <c r="H39" s="29">
        <f t="shared" ref="H39" si="11">TRUNC(ROUND(G39*1.3196,2),2)</f>
        <v>1254.97</v>
      </c>
      <c r="I39" s="10">
        <f t="shared" ref="I39" si="12">TRUNC(ROUND(F39*H39,2),2)</f>
        <v>3764.91</v>
      </c>
    </row>
    <row r="40" spans="1:9" s="176" customFormat="1" ht="38.25" x14ac:dyDescent="0.2">
      <c r="A40" s="33" t="s">
        <v>610</v>
      </c>
      <c r="B40" s="172" t="s">
        <v>431</v>
      </c>
      <c r="C40" s="331" t="s">
        <v>238</v>
      </c>
      <c r="D40" s="178" t="s">
        <v>430</v>
      </c>
      <c r="E40" s="177" t="s">
        <v>22</v>
      </c>
      <c r="F40" s="148">
        <f>MC!J500</f>
        <v>3</v>
      </c>
      <c r="G40" s="70">
        <v>955.37</v>
      </c>
      <c r="H40" s="29">
        <f t="shared" si="10"/>
        <v>1260.71</v>
      </c>
      <c r="I40" s="10">
        <f t="shared" si="9"/>
        <v>3782.13</v>
      </c>
    </row>
    <row r="41" spans="1:9" s="332" customFormat="1" ht="48" customHeight="1" x14ac:dyDescent="0.2">
      <c r="A41" s="33" t="s">
        <v>614</v>
      </c>
      <c r="B41" s="172" t="s">
        <v>544</v>
      </c>
      <c r="C41" s="331" t="s">
        <v>238</v>
      </c>
      <c r="D41" s="335" t="s">
        <v>545</v>
      </c>
      <c r="E41" s="334" t="s">
        <v>22</v>
      </c>
      <c r="F41" s="148">
        <f>MC!J509</f>
        <v>21</v>
      </c>
      <c r="G41" s="70">
        <v>959.71</v>
      </c>
      <c r="H41" s="29">
        <f t="shared" si="10"/>
        <v>1266.43</v>
      </c>
      <c r="I41" s="10">
        <f t="shared" si="9"/>
        <v>26595.03</v>
      </c>
    </row>
    <row r="42" spans="1:9" x14ac:dyDescent="0.2">
      <c r="A42" s="11"/>
      <c r="B42" s="11"/>
      <c r="C42" s="5"/>
      <c r="D42" s="37" t="s">
        <v>117</v>
      </c>
      <c r="E42" s="5"/>
      <c r="F42" s="5"/>
      <c r="G42" s="71"/>
      <c r="H42" s="71"/>
      <c r="I42" s="86">
        <f>SUM(I35:I41)</f>
        <v>34774.69</v>
      </c>
    </row>
    <row r="43" spans="1:9" x14ac:dyDescent="0.2">
      <c r="A43" s="11">
        <v>5</v>
      </c>
      <c r="B43" s="5" t="s">
        <v>44</v>
      </c>
      <c r="C43" s="5"/>
      <c r="D43" s="7" t="s">
        <v>51</v>
      </c>
      <c r="E43" s="5"/>
      <c r="F43" s="5"/>
      <c r="G43" s="71"/>
      <c r="H43" s="71"/>
      <c r="I43" s="5"/>
    </row>
    <row r="44" spans="1:9" x14ac:dyDescent="0.2">
      <c r="A44" s="22" t="s">
        <v>107</v>
      </c>
      <c r="B44" s="21" t="s">
        <v>46</v>
      </c>
      <c r="C44" s="175" t="s">
        <v>238</v>
      </c>
      <c r="D44" s="18" t="s">
        <v>45</v>
      </c>
      <c r="E44" s="177"/>
      <c r="F44" s="177"/>
      <c r="G44" s="70"/>
      <c r="H44" s="29"/>
      <c r="I44" s="10"/>
    </row>
    <row r="45" spans="1:9" x14ac:dyDescent="0.2">
      <c r="A45" s="338" t="s">
        <v>108</v>
      </c>
      <c r="B45" s="172" t="s">
        <v>246</v>
      </c>
      <c r="C45" s="331" t="s">
        <v>238</v>
      </c>
      <c r="D45" s="178" t="s">
        <v>47</v>
      </c>
      <c r="E45" s="177" t="s">
        <v>27</v>
      </c>
      <c r="F45" s="180">
        <f>MC!J522</f>
        <v>11.52</v>
      </c>
      <c r="G45" s="70">
        <v>568.29</v>
      </c>
      <c r="H45" s="29">
        <f t="shared" si="10"/>
        <v>749.92</v>
      </c>
      <c r="I45" s="10">
        <f t="shared" ref="I45:I48" si="13">TRUNC(ROUND(F45*H45,2),2)</f>
        <v>8639.08</v>
      </c>
    </row>
    <row r="46" spans="1:9" x14ac:dyDescent="0.2">
      <c r="A46" s="386" t="s">
        <v>109</v>
      </c>
      <c r="B46" s="21" t="s">
        <v>49</v>
      </c>
      <c r="C46" s="331" t="s">
        <v>238</v>
      </c>
      <c r="D46" s="18" t="s">
        <v>48</v>
      </c>
      <c r="E46" s="177"/>
      <c r="F46" s="177"/>
      <c r="G46" s="70"/>
      <c r="H46" s="29">
        <f t="shared" si="10"/>
        <v>0</v>
      </c>
      <c r="I46" s="10">
        <f t="shared" si="13"/>
        <v>0</v>
      </c>
    </row>
    <row r="47" spans="1:9" ht="25.5" x14ac:dyDescent="0.2">
      <c r="A47" s="338" t="s">
        <v>110</v>
      </c>
      <c r="B47" s="172" t="s">
        <v>247</v>
      </c>
      <c r="C47" s="331" t="s">
        <v>238</v>
      </c>
      <c r="D47" s="178" t="s">
        <v>50</v>
      </c>
      <c r="E47" s="177" t="s">
        <v>21</v>
      </c>
      <c r="F47" s="180">
        <f>MC!J530</f>
        <v>4.0039999999999996</v>
      </c>
      <c r="G47" s="70">
        <v>511.62</v>
      </c>
      <c r="H47" s="29">
        <f t="shared" si="10"/>
        <v>675.13</v>
      </c>
      <c r="I47" s="10">
        <f t="shared" si="13"/>
        <v>2703.22</v>
      </c>
    </row>
    <row r="48" spans="1:9" s="176" customFormat="1" ht="25.5" x14ac:dyDescent="0.2">
      <c r="A48" s="338" t="s">
        <v>309</v>
      </c>
      <c r="B48" s="172" t="s">
        <v>424</v>
      </c>
      <c r="C48" s="331" t="s">
        <v>238</v>
      </c>
      <c r="D48" s="178" t="s">
        <v>425</v>
      </c>
      <c r="E48" s="177" t="s">
        <v>21</v>
      </c>
      <c r="F48" s="180">
        <f>MC!J538</f>
        <v>0.35</v>
      </c>
      <c r="G48" s="70">
        <v>597.91</v>
      </c>
      <c r="H48" s="29">
        <f t="shared" si="10"/>
        <v>789</v>
      </c>
      <c r="I48" s="10">
        <f t="shared" si="13"/>
        <v>276.14999999999998</v>
      </c>
    </row>
    <row r="49" spans="1:9" x14ac:dyDescent="0.2">
      <c r="A49" s="11"/>
      <c r="B49" s="11"/>
      <c r="C49" s="5"/>
      <c r="D49" s="37" t="s">
        <v>118</v>
      </c>
      <c r="E49" s="5"/>
      <c r="F49" s="5"/>
      <c r="G49" s="71"/>
      <c r="H49" s="71"/>
      <c r="I49" s="86">
        <f>SUM(I44:I48)</f>
        <v>11618.449999999999</v>
      </c>
    </row>
    <row r="50" spans="1:9" x14ac:dyDescent="0.2">
      <c r="A50" s="11">
        <v>6</v>
      </c>
      <c r="B50" s="5" t="s">
        <v>54</v>
      </c>
      <c r="C50" s="5"/>
      <c r="D50" s="7" t="s">
        <v>53</v>
      </c>
      <c r="E50" s="5"/>
      <c r="F50" s="5"/>
      <c r="G50" s="71"/>
      <c r="H50" s="71"/>
      <c r="I50" s="5"/>
    </row>
    <row r="51" spans="1:9" x14ac:dyDescent="0.2">
      <c r="A51" s="22" t="s">
        <v>105</v>
      </c>
      <c r="B51" s="21" t="s">
        <v>52</v>
      </c>
      <c r="C51" s="175" t="s">
        <v>238</v>
      </c>
      <c r="D51" s="18" t="s">
        <v>342</v>
      </c>
      <c r="E51" s="177"/>
      <c r="F51" s="177"/>
      <c r="G51" s="70"/>
      <c r="H51" s="29"/>
      <c r="I51" s="10"/>
    </row>
    <row r="52" spans="1:9" x14ac:dyDescent="0.2">
      <c r="A52" s="338" t="s">
        <v>106</v>
      </c>
      <c r="B52" s="172" t="s">
        <v>248</v>
      </c>
      <c r="C52" s="331" t="s">
        <v>238</v>
      </c>
      <c r="D52" s="178" t="s">
        <v>711</v>
      </c>
      <c r="E52" s="177" t="s">
        <v>27</v>
      </c>
      <c r="F52" s="180">
        <f>MC!J556</f>
        <v>25.798999999999999</v>
      </c>
      <c r="G52" s="70">
        <v>315.73</v>
      </c>
      <c r="H52" s="29">
        <f>TRUNC(ROUND(G52*1.1557,2),2)</f>
        <v>364.89</v>
      </c>
      <c r="I52" s="10">
        <f>TRUNC(ROUND(F52*H52,2),2)</f>
        <v>9413.7999999999993</v>
      </c>
    </row>
    <row r="53" spans="1:9" x14ac:dyDescent="0.2">
      <c r="A53" s="11"/>
      <c r="B53" s="11"/>
      <c r="C53" s="5"/>
      <c r="D53" s="37" t="s">
        <v>119</v>
      </c>
      <c r="E53" s="5"/>
      <c r="F53" s="5"/>
      <c r="G53" s="71"/>
      <c r="H53" s="71"/>
      <c r="I53" s="86">
        <f>SUM(I51:I52)</f>
        <v>9413.7999999999993</v>
      </c>
    </row>
    <row r="54" spans="1:9" x14ac:dyDescent="0.2">
      <c r="A54" s="11">
        <v>7</v>
      </c>
      <c r="B54" s="5">
        <v>12</v>
      </c>
      <c r="C54" s="5"/>
      <c r="D54" s="7" t="s">
        <v>57</v>
      </c>
      <c r="E54" s="5"/>
      <c r="F54" s="5"/>
      <c r="G54" s="71"/>
      <c r="H54" s="71"/>
      <c r="I54" s="5"/>
    </row>
    <row r="55" spans="1:9" x14ac:dyDescent="0.2">
      <c r="A55" s="22" t="s">
        <v>107</v>
      </c>
      <c r="B55" s="21">
        <v>1201</v>
      </c>
      <c r="C55" s="175" t="s">
        <v>238</v>
      </c>
      <c r="D55" s="18" t="s">
        <v>56</v>
      </c>
      <c r="E55" s="177"/>
      <c r="F55" s="177"/>
      <c r="G55" s="70"/>
      <c r="H55" s="29"/>
      <c r="I55" s="10"/>
    </row>
    <row r="56" spans="1:9" ht="25.5" x14ac:dyDescent="0.2">
      <c r="A56" s="338" t="s">
        <v>108</v>
      </c>
      <c r="B56" s="338">
        <v>120101</v>
      </c>
      <c r="C56" s="331" t="s">
        <v>238</v>
      </c>
      <c r="D56" s="178" t="s">
        <v>58</v>
      </c>
      <c r="E56" s="177" t="s">
        <v>27</v>
      </c>
      <c r="F56" s="180">
        <f>MC!J571</f>
        <v>203.2</v>
      </c>
      <c r="G56" s="70">
        <v>5.92</v>
      </c>
      <c r="H56" s="29">
        <f t="shared" si="10"/>
        <v>7.81</v>
      </c>
      <c r="I56" s="10">
        <f t="shared" ref="I55:I58" si="14">TRUNC(ROUND(F56*H56,2),2)</f>
        <v>1586.99</v>
      </c>
    </row>
    <row r="57" spans="1:9" x14ac:dyDescent="0.2">
      <c r="A57" s="386" t="s">
        <v>109</v>
      </c>
      <c r="B57" s="21">
        <v>1203</v>
      </c>
      <c r="C57" s="331" t="s">
        <v>238</v>
      </c>
      <c r="D57" s="18" t="s">
        <v>75</v>
      </c>
      <c r="E57" s="177"/>
      <c r="F57" s="177"/>
      <c r="G57" s="70"/>
      <c r="H57" s="29"/>
      <c r="I57" s="10"/>
    </row>
    <row r="58" spans="1:9" ht="25.5" x14ac:dyDescent="0.2">
      <c r="A58" s="338" t="s">
        <v>110</v>
      </c>
      <c r="B58" s="338">
        <v>120303</v>
      </c>
      <c r="C58" s="331" t="s">
        <v>238</v>
      </c>
      <c r="D58" s="178" t="s">
        <v>76</v>
      </c>
      <c r="E58" s="177" t="s">
        <v>27</v>
      </c>
      <c r="F58" s="180">
        <f>MC!J593</f>
        <v>175.76480000000001</v>
      </c>
      <c r="G58" s="70">
        <v>48.56</v>
      </c>
      <c r="H58" s="29">
        <f t="shared" si="10"/>
        <v>64.08</v>
      </c>
      <c r="I58" s="10">
        <f t="shared" si="14"/>
        <v>11263.01</v>
      </c>
    </row>
    <row r="59" spans="1:9" x14ac:dyDescent="0.2">
      <c r="A59" s="11"/>
      <c r="B59" s="11"/>
      <c r="C59" s="5"/>
      <c r="D59" s="37" t="s">
        <v>616</v>
      </c>
      <c r="E59" s="5"/>
      <c r="F59" s="5"/>
      <c r="G59" s="71"/>
      <c r="H59" s="71"/>
      <c r="I59" s="86">
        <f>SUM(I55:I58)</f>
        <v>12850</v>
      </c>
    </row>
    <row r="60" spans="1:9" x14ac:dyDescent="0.2">
      <c r="A60" s="11">
        <v>8</v>
      </c>
      <c r="B60" s="5">
        <v>13</v>
      </c>
      <c r="C60" s="5"/>
      <c r="D60" s="7" t="s">
        <v>59</v>
      </c>
      <c r="E60" s="5"/>
      <c r="F60" s="5"/>
      <c r="G60" s="71"/>
      <c r="H60" s="71"/>
      <c r="I60" s="5"/>
    </row>
    <row r="61" spans="1:9" x14ac:dyDescent="0.2">
      <c r="A61" s="22" t="s">
        <v>111</v>
      </c>
      <c r="B61" s="21">
        <v>1303</v>
      </c>
      <c r="C61" s="175" t="s">
        <v>238</v>
      </c>
      <c r="D61" s="18" t="s">
        <v>60</v>
      </c>
      <c r="E61" s="177"/>
      <c r="F61" s="177"/>
      <c r="G61" s="70"/>
      <c r="H61" s="29"/>
      <c r="I61" s="10"/>
    </row>
    <row r="62" spans="1:9" x14ac:dyDescent="0.2">
      <c r="A62" s="338" t="s">
        <v>112</v>
      </c>
      <c r="B62" s="338" t="s">
        <v>306</v>
      </c>
      <c r="C62" s="331"/>
      <c r="D62" s="178" t="s">
        <v>316</v>
      </c>
      <c r="E62" s="177" t="s">
        <v>33</v>
      </c>
      <c r="F62" s="180">
        <f>MC!J601</f>
        <v>2.95</v>
      </c>
      <c r="G62" s="70">
        <f>'COMP-03'!I33</f>
        <v>103.46090460000001</v>
      </c>
      <c r="H62" s="29">
        <f t="shared" si="10"/>
        <v>136.53</v>
      </c>
      <c r="I62" s="10">
        <f t="shared" ref="I61:I62" si="15">TRUNC(ROUND(F62*H62,2),2)</f>
        <v>402.76</v>
      </c>
    </row>
    <row r="63" spans="1:9" x14ac:dyDescent="0.2">
      <c r="A63" s="11"/>
      <c r="B63" s="11"/>
      <c r="C63" s="5"/>
      <c r="D63" s="37" t="s">
        <v>617</v>
      </c>
      <c r="E63" s="5"/>
      <c r="F63" s="5"/>
      <c r="G63" s="71"/>
      <c r="H63" s="71"/>
      <c r="I63" s="86">
        <f>SUM(I61:I62)</f>
        <v>402.76</v>
      </c>
    </row>
    <row r="64" spans="1:9" x14ac:dyDescent="0.2">
      <c r="A64" s="11">
        <v>9</v>
      </c>
      <c r="B64" s="5">
        <v>17</v>
      </c>
      <c r="C64" s="5"/>
      <c r="D64" s="7" t="s">
        <v>61</v>
      </c>
      <c r="E64" s="5"/>
      <c r="F64" s="5"/>
      <c r="G64" s="71"/>
      <c r="H64" s="71"/>
      <c r="I64" s="5"/>
    </row>
    <row r="65" spans="1:76" x14ac:dyDescent="0.2">
      <c r="A65" s="22" t="s">
        <v>618</v>
      </c>
      <c r="B65" s="21">
        <v>1703</v>
      </c>
      <c r="C65" s="175" t="s">
        <v>238</v>
      </c>
      <c r="D65" s="18" t="s">
        <v>62</v>
      </c>
      <c r="E65" s="177"/>
      <c r="F65" s="177"/>
      <c r="G65" s="70"/>
      <c r="H65" s="29"/>
      <c r="I65" s="10"/>
    </row>
    <row r="66" spans="1:76" x14ac:dyDescent="0.2">
      <c r="A66" s="338" t="s">
        <v>619</v>
      </c>
      <c r="B66" s="338">
        <v>170306</v>
      </c>
      <c r="C66" s="331" t="s">
        <v>238</v>
      </c>
      <c r="D66" s="178" t="s">
        <v>63</v>
      </c>
      <c r="E66" s="177" t="s">
        <v>31</v>
      </c>
      <c r="F66" s="180">
        <f>MC!J610</f>
        <v>8</v>
      </c>
      <c r="G66" s="70">
        <v>115.22</v>
      </c>
      <c r="H66" s="29">
        <f t="shared" ref="H65:H66" si="16">TRUNC(ROUND(G66*1.3196,2),2)</f>
        <v>152.04</v>
      </c>
      <c r="I66" s="10">
        <f t="shared" ref="I65:I66" si="17">TRUNC(ROUND(F66*H66,2),2)</f>
        <v>1216.32</v>
      </c>
    </row>
    <row r="67" spans="1:76" x14ac:dyDescent="0.2">
      <c r="A67" s="11"/>
      <c r="B67" s="11"/>
      <c r="C67" s="5"/>
      <c r="D67" s="37" t="s">
        <v>620</v>
      </c>
      <c r="E67" s="5"/>
      <c r="F67" s="5"/>
      <c r="G67" s="71"/>
      <c r="H67" s="71"/>
      <c r="I67" s="86">
        <f>SUM(I65:I66)</f>
        <v>1216.32</v>
      </c>
    </row>
    <row r="68" spans="1:76" x14ac:dyDescent="0.2">
      <c r="A68" s="11">
        <v>10</v>
      </c>
      <c r="B68" s="5">
        <v>19</v>
      </c>
      <c r="C68" s="5"/>
      <c r="D68" s="7" t="s">
        <v>64</v>
      </c>
      <c r="E68" s="5"/>
      <c r="F68" s="5"/>
      <c r="G68" s="71"/>
      <c r="H68" s="71"/>
      <c r="I68" s="5"/>
    </row>
    <row r="69" spans="1:76" x14ac:dyDescent="0.2">
      <c r="A69" s="22" t="s">
        <v>621</v>
      </c>
      <c r="B69" s="21">
        <v>1901</v>
      </c>
      <c r="C69" s="175" t="s">
        <v>238</v>
      </c>
      <c r="D69" s="18" t="s">
        <v>65</v>
      </c>
      <c r="E69" s="177"/>
      <c r="F69" s="177"/>
      <c r="G69" s="70"/>
      <c r="H69" s="29"/>
      <c r="I69" s="10"/>
    </row>
    <row r="70" spans="1:76" ht="25.5" x14ac:dyDescent="0.2">
      <c r="A70" s="338" t="s">
        <v>623</v>
      </c>
      <c r="B70" s="338">
        <v>190106</v>
      </c>
      <c r="C70" s="331" t="s">
        <v>238</v>
      </c>
      <c r="D70" s="178" t="s">
        <v>66</v>
      </c>
      <c r="E70" s="177" t="s">
        <v>27</v>
      </c>
      <c r="F70" s="180">
        <f>MC!J919</f>
        <v>7943.8735999999953</v>
      </c>
      <c r="G70" s="70">
        <v>23.73</v>
      </c>
      <c r="H70" s="29">
        <f t="shared" ref="H70:H74" si="18">TRUNC(ROUND(G70*1.3196,2),2)</f>
        <v>31.31</v>
      </c>
      <c r="I70" s="10">
        <f t="shared" ref="I70:I74" si="19">TRUNC(ROUND(F70*H70,2),2)</f>
        <v>248722.68</v>
      </c>
    </row>
    <row r="71" spans="1:76" x14ac:dyDescent="0.2">
      <c r="A71" s="386" t="s">
        <v>624</v>
      </c>
      <c r="B71" s="21">
        <v>1903</v>
      </c>
      <c r="C71" s="331" t="s">
        <v>238</v>
      </c>
      <c r="D71" s="18" t="s">
        <v>67</v>
      </c>
      <c r="E71" s="177"/>
      <c r="F71" s="177"/>
      <c r="G71" s="70"/>
      <c r="H71" s="29"/>
      <c r="I71" s="10"/>
    </row>
    <row r="72" spans="1:76" s="176" customFormat="1" ht="25.5" x14ac:dyDescent="0.2">
      <c r="A72" s="338" t="s">
        <v>625</v>
      </c>
      <c r="B72" s="315">
        <v>190302</v>
      </c>
      <c r="C72" s="331" t="s">
        <v>238</v>
      </c>
      <c r="D72" s="189" t="s">
        <v>496</v>
      </c>
      <c r="E72" s="181" t="s">
        <v>21</v>
      </c>
      <c r="F72" s="173">
        <f>MC!J933</f>
        <v>231.36000000000004</v>
      </c>
      <c r="G72" s="174">
        <v>24.02</v>
      </c>
      <c r="H72" s="29">
        <f t="shared" si="18"/>
        <v>31.7</v>
      </c>
      <c r="I72" s="10">
        <f t="shared" si="19"/>
        <v>7334.11</v>
      </c>
    </row>
    <row r="73" spans="1:76" x14ac:dyDescent="0.2">
      <c r="A73" s="386" t="s">
        <v>626</v>
      </c>
      <c r="B73" s="21">
        <v>1904</v>
      </c>
      <c r="C73" s="331" t="s">
        <v>238</v>
      </c>
      <c r="D73" s="18" t="s">
        <v>68</v>
      </c>
      <c r="E73" s="177"/>
      <c r="F73" s="177"/>
      <c r="G73" s="70"/>
      <c r="H73" s="29"/>
      <c r="I73" s="10"/>
    </row>
    <row r="74" spans="1:76" s="96" customFormat="1" ht="25.5" x14ac:dyDescent="0.2">
      <c r="A74" s="338" t="s">
        <v>627</v>
      </c>
      <c r="B74" s="338">
        <v>190417</v>
      </c>
      <c r="C74" s="331" t="s">
        <v>238</v>
      </c>
      <c r="D74" s="94" t="s">
        <v>69</v>
      </c>
      <c r="E74" s="93" t="s">
        <v>27</v>
      </c>
      <c r="F74" s="149">
        <f>MC!J945</f>
        <v>11.822999999999999</v>
      </c>
      <c r="G74" s="95">
        <v>21.7</v>
      </c>
      <c r="H74" s="29">
        <f t="shared" si="18"/>
        <v>28.64</v>
      </c>
      <c r="I74" s="10">
        <f t="shared" si="19"/>
        <v>338.61</v>
      </c>
      <c r="J74" s="15"/>
      <c r="K74" s="15"/>
      <c r="L74" s="15"/>
      <c r="M74" s="15"/>
      <c r="N74" s="15"/>
      <c r="O74" s="15"/>
      <c r="P74" s="15"/>
      <c r="Q74" s="15"/>
      <c r="R74" s="15"/>
      <c r="S74" s="15"/>
      <c r="T74" s="15"/>
      <c r="U74" s="15"/>
      <c r="V74" s="15"/>
      <c r="W74" s="15"/>
      <c r="X74" s="15"/>
      <c r="Y74" s="15"/>
      <c r="Z74" s="15"/>
      <c r="AA74" s="15"/>
      <c r="AB74" s="15"/>
      <c r="AC74" s="15"/>
      <c r="AD74" s="15"/>
      <c r="AE74" s="15"/>
      <c r="AF74" s="15"/>
      <c r="AG74" s="15"/>
      <c r="AH74" s="15"/>
      <c r="AI74" s="15"/>
      <c r="AJ74" s="15"/>
      <c r="AK74" s="15"/>
      <c r="AL74" s="15"/>
      <c r="AM74" s="15"/>
      <c r="AN74" s="15"/>
      <c r="AO74" s="15"/>
      <c r="AP74" s="15"/>
      <c r="AQ74" s="15"/>
      <c r="AR74" s="15"/>
      <c r="AS74" s="15"/>
      <c r="AT74" s="15"/>
      <c r="AU74" s="15"/>
      <c r="AV74" s="15"/>
      <c r="AW74" s="15"/>
      <c r="AX74" s="15"/>
      <c r="AY74" s="15"/>
      <c r="AZ74" s="15"/>
      <c r="BA74" s="15"/>
      <c r="BB74" s="15"/>
      <c r="BC74" s="15"/>
      <c r="BD74" s="15"/>
      <c r="BE74" s="15"/>
      <c r="BF74" s="15"/>
      <c r="BG74" s="15"/>
      <c r="BH74" s="15"/>
      <c r="BI74" s="15"/>
      <c r="BJ74" s="15"/>
      <c r="BK74" s="15"/>
      <c r="BL74" s="15"/>
      <c r="BM74" s="15"/>
      <c r="BN74" s="15"/>
      <c r="BO74" s="15"/>
      <c r="BP74" s="15"/>
      <c r="BQ74" s="15"/>
      <c r="BR74" s="15"/>
      <c r="BS74" s="15"/>
      <c r="BT74" s="15"/>
      <c r="BU74" s="15"/>
      <c r="BV74" s="15"/>
      <c r="BW74" s="15"/>
      <c r="BX74" s="15"/>
    </row>
    <row r="75" spans="1:76" x14ac:dyDescent="0.2">
      <c r="A75" s="11"/>
      <c r="B75" s="11"/>
      <c r="C75" s="5"/>
      <c r="D75" s="37" t="s">
        <v>622</v>
      </c>
      <c r="E75" s="5"/>
      <c r="F75" s="5"/>
      <c r="G75" s="71"/>
      <c r="H75" s="71"/>
      <c r="I75" s="86">
        <f>SUM(I69:I74)</f>
        <v>256395.39999999997</v>
      </c>
    </row>
    <row r="76" spans="1:76" x14ac:dyDescent="0.2">
      <c r="A76" s="11">
        <v>11</v>
      </c>
      <c r="B76" s="5">
        <v>20</v>
      </c>
      <c r="C76" s="5"/>
      <c r="D76" s="7" t="s">
        <v>77</v>
      </c>
      <c r="E76" s="5"/>
      <c r="F76" s="5"/>
      <c r="G76" s="71"/>
      <c r="H76" s="71"/>
      <c r="I76" s="5"/>
    </row>
    <row r="77" spans="1:76" x14ac:dyDescent="0.2">
      <c r="A77" s="22" t="s">
        <v>628</v>
      </c>
      <c r="B77" s="21">
        <v>2004</v>
      </c>
      <c r="C77" s="175" t="s">
        <v>238</v>
      </c>
      <c r="D77" s="18" t="s">
        <v>70</v>
      </c>
      <c r="E77" s="177"/>
      <c r="F77" s="177"/>
      <c r="G77" s="70"/>
      <c r="H77" s="29"/>
      <c r="I77" s="10"/>
    </row>
    <row r="78" spans="1:76" x14ac:dyDescent="0.2">
      <c r="A78" s="338" t="s">
        <v>629</v>
      </c>
      <c r="B78" s="338">
        <v>200401</v>
      </c>
      <c r="C78" s="331" t="s">
        <v>238</v>
      </c>
      <c r="D78" s="178" t="s">
        <v>71</v>
      </c>
      <c r="E78" s="177" t="s">
        <v>27</v>
      </c>
      <c r="F78" s="180">
        <f>MC!J952</f>
        <v>2775.8</v>
      </c>
      <c r="G78" s="70">
        <v>9.93</v>
      </c>
      <c r="H78" s="29">
        <f t="shared" ref="H77:H80" si="20">TRUNC(ROUND(G78*1.3196,2),2)</f>
        <v>13.1</v>
      </c>
      <c r="I78" s="10">
        <f t="shared" ref="I77:I80" si="21">TRUNC(ROUND(F78*H78,2),2)</f>
        <v>36362.980000000003</v>
      </c>
    </row>
    <row r="79" spans="1:76" x14ac:dyDescent="0.2">
      <c r="A79" s="386" t="s">
        <v>630</v>
      </c>
      <c r="B79" s="21">
        <v>2005</v>
      </c>
      <c r="C79" s="331" t="s">
        <v>238</v>
      </c>
      <c r="D79" s="18" t="s">
        <v>73</v>
      </c>
      <c r="E79" s="177"/>
      <c r="F79" s="177"/>
      <c r="G79" s="70"/>
      <c r="H79" s="29"/>
      <c r="I79" s="10"/>
    </row>
    <row r="80" spans="1:76" ht="25.5" x14ac:dyDescent="0.2">
      <c r="A80" s="338" t="s">
        <v>631</v>
      </c>
      <c r="B80" s="338">
        <v>200576</v>
      </c>
      <c r="C80" s="331" t="s">
        <v>238</v>
      </c>
      <c r="D80" s="178" t="s">
        <v>72</v>
      </c>
      <c r="E80" s="177" t="s">
        <v>31</v>
      </c>
      <c r="F80" s="180">
        <f>MC!J957</f>
        <v>1</v>
      </c>
      <c r="G80" s="70">
        <v>851.5</v>
      </c>
      <c r="H80" s="29">
        <f t="shared" si="20"/>
        <v>1123.6400000000001</v>
      </c>
      <c r="I80" s="10">
        <f t="shared" si="21"/>
        <v>1123.6400000000001</v>
      </c>
    </row>
    <row r="81" spans="1:11" x14ac:dyDescent="0.2">
      <c r="A81" s="11"/>
      <c r="B81" s="11"/>
      <c r="C81" s="5"/>
      <c r="D81" s="37" t="s">
        <v>632</v>
      </c>
      <c r="E81" s="5"/>
      <c r="F81" s="5"/>
      <c r="G81" s="71"/>
      <c r="H81" s="71"/>
      <c r="I81" s="86">
        <f>SUM(I77:I80)</f>
        <v>37486.620000000003</v>
      </c>
    </row>
    <row r="82" spans="1:11" x14ac:dyDescent="0.2">
      <c r="A82" s="11">
        <v>12</v>
      </c>
      <c r="B82" s="5">
        <v>21</v>
      </c>
      <c r="C82" s="5"/>
      <c r="D82" s="7" t="s">
        <v>78</v>
      </c>
      <c r="E82" s="5"/>
      <c r="F82" s="5"/>
      <c r="G82" s="71"/>
      <c r="H82" s="71"/>
      <c r="I82" s="5"/>
    </row>
    <row r="83" spans="1:11" x14ac:dyDescent="0.2">
      <c r="A83" s="22" t="s">
        <v>633</v>
      </c>
      <c r="B83" s="21">
        <v>2103</v>
      </c>
      <c r="C83" s="175" t="s">
        <v>238</v>
      </c>
      <c r="D83" s="18" t="s">
        <v>74</v>
      </c>
      <c r="E83" s="177"/>
      <c r="F83" s="177"/>
      <c r="G83" s="70"/>
      <c r="H83" s="29"/>
      <c r="I83" s="10"/>
    </row>
    <row r="84" spans="1:11" s="332" customFormat="1" x14ac:dyDescent="0.2">
      <c r="A84" s="338" t="s">
        <v>634</v>
      </c>
      <c r="B84" s="338" t="s">
        <v>314</v>
      </c>
      <c r="C84" s="331"/>
      <c r="D84" s="372" t="s">
        <v>569</v>
      </c>
      <c r="E84" s="334" t="s">
        <v>22</v>
      </c>
      <c r="F84" s="180">
        <f>MC!J966</f>
        <v>8</v>
      </c>
      <c r="G84" s="70">
        <f>'COMP-04'!I30</f>
        <v>200.70399999999998</v>
      </c>
      <c r="H84" s="29">
        <f t="shared" ref="H84" si="22">TRUNC(ROUND(G84*1.3196,2),2)</f>
        <v>264.85000000000002</v>
      </c>
      <c r="I84" s="10">
        <f t="shared" ref="I84" si="23">TRUNC(ROUND(F84*H84,2),2)</f>
        <v>2118.8000000000002</v>
      </c>
    </row>
    <row r="85" spans="1:11" s="332" customFormat="1" x14ac:dyDescent="0.2">
      <c r="A85" s="338" t="s">
        <v>635</v>
      </c>
      <c r="B85" s="338">
        <v>142115</v>
      </c>
      <c r="C85" s="331" t="s">
        <v>238</v>
      </c>
      <c r="D85" s="372" t="s">
        <v>572</v>
      </c>
      <c r="E85" s="334" t="s">
        <v>22</v>
      </c>
      <c r="F85" s="180">
        <f>MC!J971</f>
        <v>2</v>
      </c>
      <c r="G85" s="70">
        <v>46.27</v>
      </c>
      <c r="H85" s="29">
        <f t="shared" ref="H85" si="24">TRUNC(ROUND(G85*1.3196,2),2)</f>
        <v>61.06</v>
      </c>
      <c r="I85" s="10">
        <f t="shared" ref="I85" si="25">TRUNC(ROUND(F85*H85,2),2)</f>
        <v>122.12</v>
      </c>
    </row>
    <row r="86" spans="1:11" x14ac:dyDescent="0.2">
      <c r="A86" s="11"/>
      <c r="B86" s="11"/>
      <c r="C86" s="5"/>
      <c r="D86" s="37" t="s">
        <v>636</v>
      </c>
      <c r="E86" s="5"/>
      <c r="F86" s="5"/>
      <c r="G86" s="5"/>
      <c r="H86" s="5"/>
      <c r="I86" s="86">
        <f>SUM(I83:I85)</f>
        <v>2240.92</v>
      </c>
    </row>
    <row r="87" spans="1:11" x14ac:dyDescent="0.2">
      <c r="A87" s="11"/>
      <c r="B87" s="11"/>
      <c r="C87" s="5"/>
      <c r="D87" s="37" t="s">
        <v>15</v>
      </c>
      <c r="E87" s="5"/>
      <c r="F87" s="5"/>
      <c r="G87" s="5"/>
      <c r="H87" s="5"/>
      <c r="I87" s="225">
        <f>SUM(I8:I86)/2</f>
        <v>440416.01</v>
      </c>
    </row>
    <row r="88" spans="1:11" x14ac:dyDescent="0.2">
      <c r="J88" s="176"/>
    </row>
    <row r="89" spans="1:11" x14ac:dyDescent="0.2">
      <c r="J89" s="176"/>
    </row>
    <row r="90" spans="1:11" x14ac:dyDescent="0.2">
      <c r="J90" s="176"/>
    </row>
    <row r="92" spans="1:11" x14ac:dyDescent="0.2">
      <c r="K92" s="163"/>
    </row>
    <row r="93" spans="1:11" x14ac:dyDescent="0.2">
      <c r="I93" s="192"/>
    </row>
    <row r="94" spans="1:11" x14ac:dyDescent="0.2">
      <c r="I94" s="192"/>
    </row>
  </sheetData>
  <mergeCells count="13">
    <mergeCell ref="G3:I3"/>
    <mergeCell ref="B1:I1"/>
    <mergeCell ref="A6:A7"/>
    <mergeCell ref="G6:I6"/>
    <mergeCell ref="F6:F7"/>
    <mergeCell ref="E6:E7"/>
    <mergeCell ref="D6:D7"/>
    <mergeCell ref="C6:C7"/>
    <mergeCell ref="B6:B7"/>
    <mergeCell ref="B2:D2"/>
    <mergeCell ref="B3:D3"/>
    <mergeCell ref="B4:D4"/>
    <mergeCell ref="B5:E5"/>
  </mergeCells>
  <pageMargins left="0.51181102362204722" right="0.51181102362204722" top="0.78740157480314965" bottom="0.78740157480314965" header="0.31496062992125984" footer="0.31496062992125984"/>
  <pageSetup paperSize="9" scale="49" fitToHeight="0" orientation="portrait" r:id="rId1"/>
  <rowBreaks count="1" manualBreakCount="1">
    <brk id="66" max="8" man="1"/>
  </rowBreaks>
  <colBreaks count="1" manualBreakCount="1">
    <brk id="3" max="86"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971"/>
  <sheetViews>
    <sheetView view="pageBreakPreview" zoomScaleNormal="100" zoomScaleSheetLayoutView="100" workbookViewId="0">
      <pane ySplit="5" topLeftCell="A948" activePane="bottomLeft" state="frozenSplit"/>
      <selection pane="bottomLeft" activeCell="H955" sqref="H955"/>
    </sheetView>
  </sheetViews>
  <sheetFormatPr defaultRowHeight="12.75" x14ac:dyDescent="0.2"/>
  <cols>
    <col min="1" max="1" width="12.42578125" style="15" customWidth="1"/>
    <col min="2" max="2" width="64.7109375" style="15" customWidth="1"/>
    <col min="3" max="4" width="17" style="168" customWidth="1"/>
    <col min="5" max="8" width="17" style="15" customWidth="1"/>
    <col min="9" max="9" width="15.140625" style="15" customWidth="1"/>
    <col min="10" max="10" width="13.28515625" style="15" customWidth="1"/>
    <col min="11" max="16384" width="9.140625" style="15"/>
  </cols>
  <sheetData>
    <row r="1" spans="1:10" ht="21" customHeight="1" x14ac:dyDescent="0.2">
      <c r="A1" s="1"/>
      <c r="B1" s="416" t="s">
        <v>0</v>
      </c>
      <c r="C1" s="416"/>
      <c r="D1" s="416"/>
      <c r="E1" s="416"/>
      <c r="F1" s="416"/>
      <c r="G1" s="416"/>
      <c r="H1" s="416"/>
      <c r="I1" s="416"/>
      <c r="J1" s="417"/>
    </row>
    <row r="2" spans="1:10" x14ac:dyDescent="0.2">
      <c r="A2" s="2"/>
      <c r="B2" s="424" t="s">
        <v>79</v>
      </c>
      <c r="C2" s="424"/>
      <c r="D2" s="424"/>
      <c r="E2" s="3"/>
      <c r="F2" s="3"/>
      <c r="G2" s="3"/>
      <c r="H2" s="3"/>
      <c r="I2" s="413" t="s">
        <v>4</v>
      </c>
      <c r="J2" s="414"/>
    </row>
    <row r="3" spans="1:10" ht="30.75" customHeight="1" x14ac:dyDescent="0.2">
      <c r="A3" s="2"/>
      <c r="B3" s="424" t="str">
        <f>'PLANILHA ORÇAMENTÁRIA'!B3:D3</f>
        <v>OBRA: REFORMA DA ESCOLA MARIA OLIRIA SARCINELLI CAMPAGNARO NO MUNICÍPIO DE JOÃO NEIVA - ES</v>
      </c>
      <c r="C3" s="424"/>
      <c r="D3" s="424"/>
      <c r="E3" s="424"/>
      <c r="F3" s="424"/>
      <c r="G3" s="143" t="s">
        <v>3</v>
      </c>
      <c r="H3" s="24">
        <v>1.5727</v>
      </c>
      <c r="I3" s="413"/>
      <c r="J3" s="414"/>
    </row>
    <row r="4" spans="1:10" ht="24" customHeight="1" x14ac:dyDescent="0.2">
      <c r="A4" s="2"/>
      <c r="B4" s="426" t="s">
        <v>2</v>
      </c>
      <c r="C4" s="426"/>
      <c r="D4" s="426"/>
      <c r="E4" s="30"/>
      <c r="F4" s="30"/>
      <c r="G4" s="25" t="s">
        <v>5</v>
      </c>
      <c r="H4" s="24">
        <v>0.3196</v>
      </c>
      <c r="I4" s="26" t="s">
        <v>6</v>
      </c>
      <c r="J4" s="16" t="s">
        <v>708</v>
      </c>
    </row>
    <row r="5" spans="1:10" ht="25.5" x14ac:dyDescent="0.2">
      <c r="A5" s="22" t="s">
        <v>7</v>
      </c>
      <c r="B5" s="22" t="s">
        <v>10</v>
      </c>
      <c r="C5" s="273" t="s">
        <v>11</v>
      </c>
      <c r="D5" s="35" t="s">
        <v>422</v>
      </c>
      <c r="E5" s="35" t="s">
        <v>80</v>
      </c>
      <c r="F5" s="35" t="s">
        <v>81</v>
      </c>
      <c r="G5" s="35" t="s">
        <v>82</v>
      </c>
      <c r="H5" s="35" t="s">
        <v>83</v>
      </c>
      <c r="I5" s="35" t="s">
        <v>84</v>
      </c>
      <c r="J5" s="36" t="s">
        <v>85</v>
      </c>
    </row>
    <row r="6" spans="1:10" x14ac:dyDescent="0.2">
      <c r="A6" s="11">
        <v>1</v>
      </c>
      <c r="B6" s="7" t="s">
        <v>18</v>
      </c>
      <c r="C6" s="5"/>
      <c r="D6" s="5"/>
      <c r="E6" s="5"/>
      <c r="F6" s="6"/>
      <c r="G6" s="27"/>
      <c r="H6" s="8"/>
      <c r="I6" s="73"/>
      <c r="J6" s="73"/>
    </row>
    <row r="7" spans="1:10" x14ac:dyDescent="0.2">
      <c r="A7" s="22" t="s">
        <v>87</v>
      </c>
      <c r="B7" s="159" t="s">
        <v>329</v>
      </c>
      <c r="C7" s="13"/>
      <c r="D7" s="177"/>
      <c r="E7" s="9"/>
      <c r="F7" s="28"/>
      <c r="G7" s="29"/>
      <c r="H7" s="76"/>
      <c r="I7" s="19"/>
      <c r="J7" s="19"/>
    </row>
    <row r="8" spans="1:10" ht="25.5" x14ac:dyDescent="0.2">
      <c r="A8" s="19" t="s">
        <v>88</v>
      </c>
      <c r="B8" s="158" t="str">
        <f>'PLANILHA ORÇAMENTÁRIA'!D10</f>
        <v>Retirada de revestimento antigo em reboco</v>
      </c>
      <c r="C8" s="275" t="str">
        <f>'PLANILHA ORÇAMENTÁRIA'!E10</f>
        <v xml:space="preserve"> m2 </v>
      </c>
      <c r="D8" s="184" t="s">
        <v>422</v>
      </c>
      <c r="E8" s="184" t="s">
        <v>80</v>
      </c>
      <c r="F8" s="184" t="s">
        <v>81</v>
      </c>
      <c r="G8" s="184" t="s">
        <v>82</v>
      </c>
      <c r="H8" s="184" t="s">
        <v>83</v>
      </c>
      <c r="I8" s="184" t="s">
        <v>84</v>
      </c>
      <c r="J8" s="185" t="s">
        <v>85</v>
      </c>
    </row>
    <row r="9" spans="1:10" s="332" customFormat="1" x14ac:dyDescent="0.2">
      <c r="A9" s="334"/>
      <c r="B9" s="14" t="s">
        <v>556</v>
      </c>
      <c r="C9" s="275"/>
      <c r="D9" s="341"/>
      <c r="E9" s="341"/>
      <c r="F9" s="341"/>
      <c r="G9" s="341"/>
      <c r="H9" s="341"/>
      <c r="I9" s="341"/>
      <c r="J9" s="342"/>
    </row>
    <row r="10" spans="1:10" s="176" customFormat="1" ht="18" customHeight="1" x14ac:dyDescent="0.2">
      <c r="A10" s="177"/>
      <c r="B10" s="158" t="s">
        <v>543</v>
      </c>
      <c r="C10" s="275"/>
      <c r="D10" s="184"/>
      <c r="E10" s="184"/>
      <c r="F10" s="184">
        <v>2.2999999999999998</v>
      </c>
      <c r="G10" s="184">
        <v>1.6</v>
      </c>
      <c r="H10" s="184">
        <f>F10*G10</f>
        <v>3.6799999999999997</v>
      </c>
      <c r="I10" s="145"/>
      <c r="J10" s="185">
        <f>H10</f>
        <v>3.6799999999999997</v>
      </c>
    </row>
    <row r="11" spans="1:10" x14ac:dyDescent="0.2">
      <c r="A11" s="22"/>
      <c r="B11" s="395" t="s">
        <v>549</v>
      </c>
      <c r="C11" s="175"/>
      <c r="D11" s="177"/>
      <c r="E11" s="28"/>
      <c r="F11" s="179"/>
      <c r="G11" s="161"/>
      <c r="H11" s="341"/>
      <c r="I11" s="77"/>
      <c r="J11" s="77"/>
    </row>
    <row r="12" spans="1:10" x14ac:dyDescent="0.2">
      <c r="A12" s="22"/>
      <c r="B12" s="396" t="s">
        <v>550</v>
      </c>
      <c r="C12" s="175"/>
      <c r="D12" s="177"/>
      <c r="E12" s="28"/>
      <c r="F12" s="319">
        <v>6.95</v>
      </c>
      <c r="G12" s="161">
        <v>0.5</v>
      </c>
      <c r="H12" s="341">
        <f t="shared" ref="H12:H15" si="0">F12*G12</f>
        <v>3.4750000000000001</v>
      </c>
      <c r="I12" s="77"/>
      <c r="J12" s="180">
        <f>H12</f>
        <v>3.4750000000000001</v>
      </c>
    </row>
    <row r="13" spans="1:10" s="176" customFormat="1" x14ac:dyDescent="0.2">
      <c r="A13" s="283"/>
      <c r="B13" s="396" t="s">
        <v>551</v>
      </c>
      <c r="C13" s="175"/>
      <c r="D13" s="177"/>
      <c r="E13" s="28"/>
      <c r="F13" s="319">
        <v>11.28</v>
      </c>
      <c r="G13" s="161">
        <f t="shared" ref="G13:G15" si="1">(2.91-1.44)</f>
        <v>1.4700000000000002</v>
      </c>
      <c r="H13" s="341">
        <f t="shared" si="0"/>
        <v>16.581600000000002</v>
      </c>
      <c r="I13" s="180"/>
      <c r="J13" s="180">
        <f t="shared" ref="J13:J15" si="2">H13</f>
        <v>16.581600000000002</v>
      </c>
    </row>
    <row r="14" spans="1:10" x14ac:dyDescent="0.2">
      <c r="A14" s="22"/>
      <c r="B14" s="396" t="s">
        <v>553</v>
      </c>
      <c r="C14" s="175"/>
      <c r="D14" s="177"/>
      <c r="E14" s="28"/>
      <c r="F14" s="319">
        <v>6.95</v>
      </c>
      <c r="G14" s="161">
        <v>0.5</v>
      </c>
      <c r="H14" s="341">
        <f t="shared" si="0"/>
        <v>3.4750000000000001</v>
      </c>
      <c r="I14" s="77"/>
      <c r="J14" s="180">
        <f t="shared" si="2"/>
        <v>3.4750000000000001</v>
      </c>
    </row>
    <row r="15" spans="1:10" s="176" customFormat="1" x14ac:dyDescent="0.2">
      <c r="A15" s="283"/>
      <c r="B15" s="396" t="s">
        <v>552</v>
      </c>
      <c r="C15" s="175"/>
      <c r="D15" s="180"/>
      <c r="E15" s="28"/>
      <c r="F15" s="319">
        <v>11.28</v>
      </c>
      <c r="G15" s="161">
        <f t="shared" si="1"/>
        <v>1.4700000000000002</v>
      </c>
      <c r="H15" s="341">
        <f t="shared" si="0"/>
        <v>16.581600000000002</v>
      </c>
      <c r="I15" s="180"/>
      <c r="J15" s="180">
        <f t="shared" si="2"/>
        <v>16.581600000000002</v>
      </c>
    </row>
    <row r="16" spans="1:10" x14ac:dyDescent="0.2">
      <c r="A16" s="22"/>
      <c r="B16" s="14" t="s">
        <v>588</v>
      </c>
      <c r="C16" s="177"/>
      <c r="D16" s="184"/>
      <c r="E16" s="184"/>
      <c r="F16" s="184"/>
      <c r="G16" s="184"/>
      <c r="H16" s="341"/>
      <c r="I16" s="180"/>
      <c r="J16" s="180"/>
    </row>
    <row r="17" spans="1:10" s="176" customFormat="1" x14ac:dyDescent="0.2">
      <c r="A17" s="294"/>
      <c r="B17" s="397" t="s">
        <v>591</v>
      </c>
      <c r="C17" s="177"/>
      <c r="D17" s="184"/>
      <c r="E17" s="184"/>
      <c r="F17" s="184">
        <v>16</v>
      </c>
      <c r="G17" s="184">
        <v>2.2000000000000002</v>
      </c>
      <c r="H17" s="341">
        <f t="shared" ref="H17:H20" si="3">F17*G17</f>
        <v>35.200000000000003</v>
      </c>
      <c r="I17" s="180"/>
      <c r="J17" s="180">
        <f t="shared" ref="J17:J20" si="4">H17</f>
        <v>35.200000000000003</v>
      </c>
    </row>
    <row r="18" spans="1:10" s="176" customFormat="1" x14ac:dyDescent="0.2">
      <c r="A18" s="294"/>
      <c r="B18" s="14" t="s">
        <v>590</v>
      </c>
      <c r="C18" s="177"/>
      <c r="D18" s="184"/>
      <c r="E18" s="184"/>
      <c r="F18" s="184"/>
      <c r="G18" s="184"/>
      <c r="H18" s="341"/>
      <c r="I18" s="180"/>
      <c r="J18" s="180"/>
    </row>
    <row r="19" spans="1:10" s="176" customFormat="1" x14ac:dyDescent="0.2">
      <c r="A19" s="283"/>
      <c r="B19" s="397" t="s">
        <v>591</v>
      </c>
      <c r="C19" s="175"/>
      <c r="D19" s="177"/>
      <c r="E19" s="28"/>
      <c r="F19" s="88">
        <v>28</v>
      </c>
      <c r="G19" s="161">
        <v>3</v>
      </c>
      <c r="H19" s="341">
        <f t="shared" si="3"/>
        <v>84</v>
      </c>
      <c r="I19" s="180"/>
      <c r="J19" s="180">
        <f t="shared" si="4"/>
        <v>84</v>
      </c>
    </row>
    <row r="20" spans="1:10" s="176" customFormat="1" x14ac:dyDescent="0.2">
      <c r="A20" s="278"/>
      <c r="B20" s="396" t="s">
        <v>606</v>
      </c>
      <c r="C20" s="175"/>
      <c r="D20" s="177"/>
      <c r="E20" s="28"/>
      <c r="F20" s="319">
        <v>12</v>
      </c>
      <c r="G20" s="161">
        <v>1</v>
      </c>
      <c r="H20" s="341">
        <f t="shared" si="3"/>
        <v>12</v>
      </c>
      <c r="I20" s="180"/>
      <c r="J20" s="180">
        <f t="shared" si="4"/>
        <v>12</v>
      </c>
    </row>
    <row r="21" spans="1:10" s="176" customFormat="1" x14ac:dyDescent="0.2">
      <c r="A21" s="278"/>
      <c r="B21" s="160"/>
      <c r="C21" s="175"/>
      <c r="D21" s="180"/>
      <c r="E21" s="175"/>
      <c r="F21" s="28"/>
      <c r="G21" s="161"/>
      <c r="H21" s="161"/>
      <c r="I21" s="180"/>
      <c r="J21" s="180"/>
    </row>
    <row r="22" spans="1:10" s="176" customFormat="1" x14ac:dyDescent="0.2">
      <c r="A22" s="279"/>
      <c r="B22" s="276"/>
      <c r="C22" s="175"/>
      <c r="D22" s="177"/>
      <c r="E22" s="175"/>
      <c r="F22" s="28"/>
      <c r="G22" s="161"/>
      <c r="H22" s="161"/>
      <c r="I22" s="180"/>
      <c r="J22" s="180"/>
    </row>
    <row r="23" spans="1:10" s="176" customFormat="1" x14ac:dyDescent="0.2">
      <c r="A23" s="280"/>
      <c r="B23" s="160"/>
      <c r="C23" s="175"/>
      <c r="D23" s="177"/>
      <c r="E23" s="175"/>
      <c r="F23" s="28"/>
      <c r="G23" s="161"/>
      <c r="H23" s="161"/>
      <c r="I23" s="81" t="s">
        <v>239</v>
      </c>
      <c r="J23" s="182">
        <f>SUM(J10:J22)</f>
        <v>174.9932</v>
      </c>
    </row>
    <row r="24" spans="1:10" x14ac:dyDescent="0.2">
      <c r="A24" s="22"/>
      <c r="B24" s="158"/>
      <c r="C24" s="175"/>
      <c r="D24" s="177"/>
      <c r="E24" s="9"/>
      <c r="F24" s="28"/>
      <c r="G24" s="29"/>
      <c r="H24" s="76"/>
      <c r="I24" s="19"/>
      <c r="J24" s="19"/>
    </row>
    <row r="25" spans="1:10" ht="25.5" x14ac:dyDescent="0.2">
      <c r="A25" s="19" t="s">
        <v>90</v>
      </c>
      <c r="B25" s="158" t="str">
        <f>'PLANILHA ORÇAMENTÁRIA'!D11</f>
        <v xml:space="preserve">Demolição de alvenaria </v>
      </c>
      <c r="C25" s="275" t="str">
        <f>'PLANILHA ORÇAMENTÁRIA'!E11</f>
        <v xml:space="preserve">m3 </v>
      </c>
      <c r="D25" s="184" t="s">
        <v>422</v>
      </c>
      <c r="E25" s="184" t="s">
        <v>80</v>
      </c>
      <c r="F25" s="184" t="s">
        <v>81</v>
      </c>
      <c r="G25" s="184" t="s">
        <v>82</v>
      </c>
      <c r="H25" s="184" t="s">
        <v>83</v>
      </c>
      <c r="I25" s="184" t="s">
        <v>84</v>
      </c>
      <c r="J25" s="185" t="s">
        <v>85</v>
      </c>
    </row>
    <row r="26" spans="1:10" s="176" customFormat="1" x14ac:dyDescent="0.2">
      <c r="A26" s="277"/>
      <c r="B26" s="292" t="s">
        <v>558</v>
      </c>
      <c r="C26" s="177"/>
      <c r="D26" s="184"/>
      <c r="E26" s="184"/>
      <c r="F26" s="184"/>
      <c r="G26" s="184"/>
      <c r="H26" s="184"/>
      <c r="I26" s="184"/>
      <c r="J26" s="185"/>
    </row>
    <row r="27" spans="1:10" s="176" customFormat="1" x14ac:dyDescent="0.2">
      <c r="A27" s="279"/>
      <c r="B27" s="291" t="s">
        <v>576</v>
      </c>
      <c r="C27" s="177"/>
      <c r="D27" s="184"/>
      <c r="E27" s="184">
        <v>2.62</v>
      </c>
      <c r="F27" s="184"/>
      <c r="G27" s="184">
        <v>2.13</v>
      </c>
      <c r="H27" s="184">
        <f>E27*G27</f>
        <v>5.5805999999999996</v>
      </c>
      <c r="I27" s="184">
        <f>H27*0.13</f>
        <v>0.72547799999999996</v>
      </c>
      <c r="J27" s="185">
        <f>I27</f>
        <v>0.72547799999999996</v>
      </c>
    </row>
    <row r="28" spans="1:10" s="176" customFormat="1" x14ac:dyDescent="0.2">
      <c r="A28" s="279"/>
      <c r="B28" s="291" t="s">
        <v>576</v>
      </c>
      <c r="C28" s="177"/>
      <c r="D28" s="184"/>
      <c r="E28" s="184">
        <v>2.62</v>
      </c>
      <c r="F28" s="184"/>
      <c r="G28" s="184">
        <v>2.13</v>
      </c>
      <c r="H28" s="341">
        <f>E28*G28</f>
        <v>5.5805999999999996</v>
      </c>
      <c r="I28" s="341">
        <f>H28*0.13</f>
        <v>0.72547799999999996</v>
      </c>
      <c r="J28" s="342">
        <f>I28</f>
        <v>0.72547799999999996</v>
      </c>
    </row>
    <row r="29" spans="1:10" s="176" customFormat="1" x14ac:dyDescent="0.2">
      <c r="A29" s="279"/>
      <c r="B29" s="195"/>
      <c r="C29" s="177"/>
      <c r="D29" s="184"/>
      <c r="E29" s="184"/>
      <c r="F29" s="184"/>
      <c r="G29" s="184"/>
      <c r="H29" s="184"/>
      <c r="I29" s="184"/>
      <c r="J29" s="185"/>
    </row>
    <row r="30" spans="1:10" s="176" customFormat="1" x14ac:dyDescent="0.2">
      <c r="A30" s="278"/>
      <c r="B30" s="160"/>
      <c r="C30" s="175"/>
      <c r="D30" s="184"/>
      <c r="E30" s="162"/>
      <c r="F30" s="184"/>
      <c r="G30" s="161"/>
      <c r="H30" s="161"/>
      <c r="I30" s="184"/>
      <c r="J30" s="185"/>
    </row>
    <row r="31" spans="1:10" x14ac:dyDescent="0.2">
      <c r="A31" s="22"/>
      <c r="B31" s="160"/>
      <c r="C31" s="175"/>
      <c r="D31" s="177"/>
      <c r="E31" s="162"/>
      <c r="F31" s="28"/>
      <c r="G31" s="161"/>
      <c r="H31" s="161"/>
      <c r="I31" s="81" t="s">
        <v>239</v>
      </c>
      <c r="J31" s="182">
        <f>SUM(J26:J30)</f>
        <v>1.4509559999999999</v>
      </c>
    </row>
    <row r="32" spans="1:10" x14ac:dyDescent="0.2">
      <c r="A32" s="22"/>
      <c r="B32" s="158"/>
      <c r="C32" s="175"/>
      <c r="D32" s="177"/>
      <c r="E32" s="9"/>
      <c r="F32" s="28"/>
      <c r="G32" s="29"/>
      <c r="H32" s="76"/>
      <c r="I32" s="19"/>
      <c r="J32" s="19"/>
    </row>
    <row r="33" spans="1:10" ht="25.5" x14ac:dyDescent="0.2">
      <c r="A33" s="19" t="s">
        <v>91</v>
      </c>
      <c r="B33" s="158" t="str">
        <f>'PLANILHA ORÇAMENTÁRIA'!D12</f>
        <v xml:space="preserve">Retirada de portas e janelas de madeira, inclusive batentes </v>
      </c>
      <c r="C33" s="275" t="str">
        <f>'PLANILHA ORÇAMENTÁRIA'!E12</f>
        <v xml:space="preserve">m2 </v>
      </c>
      <c r="D33" s="184" t="s">
        <v>422</v>
      </c>
      <c r="E33" s="184" t="s">
        <v>80</v>
      </c>
      <c r="F33" s="184" t="s">
        <v>81</v>
      </c>
      <c r="G33" s="184" t="s">
        <v>82</v>
      </c>
      <c r="H33" s="184" t="s">
        <v>83</v>
      </c>
      <c r="I33" s="184" t="s">
        <v>84</v>
      </c>
      <c r="J33" s="185" t="s">
        <v>85</v>
      </c>
    </row>
    <row r="34" spans="1:10" s="176" customFormat="1" x14ac:dyDescent="0.2">
      <c r="A34" s="177"/>
      <c r="B34" s="402" t="s">
        <v>559</v>
      </c>
      <c r="C34" s="275"/>
      <c r="D34" s="184"/>
      <c r="E34" s="184"/>
      <c r="F34" s="184"/>
      <c r="G34" s="184"/>
      <c r="H34" s="184"/>
      <c r="I34" s="184"/>
      <c r="J34" s="185"/>
    </row>
    <row r="35" spans="1:10" s="176" customFormat="1" x14ac:dyDescent="0.2">
      <c r="A35" s="177"/>
      <c r="B35" s="396" t="s">
        <v>560</v>
      </c>
      <c r="C35" s="275"/>
      <c r="D35" s="341">
        <v>7</v>
      </c>
      <c r="E35" s="341"/>
      <c r="F35" s="341">
        <v>0.8</v>
      </c>
      <c r="G35" s="341">
        <v>2.1</v>
      </c>
      <c r="H35" s="341">
        <f>D35*F35*G35</f>
        <v>11.760000000000002</v>
      </c>
      <c r="I35" s="341"/>
      <c r="J35" s="342">
        <f>H35</f>
        <v>11.760000000000002</v>
      </c>
    </row>
    <row r="36" spans="1:10" s="176" customFormat="1" x14ac:dyDescent="0.2">
      <c r="A36" s="177"/>
      <c r="B36" s="402" t="s">
        <v>558</v>
      </c>
      <c r="C36" s="275"/>
      <c r="D36" s="341"/>
      <c r="E36" s="341"/>
      <c r="F36" s="341"/>
      <c r="G36" s="341"/>
      <c r="H36" s="341"/>
      <c r="I36" s="341"/>
      <c r="J36" s="342"/>
    </row>
    <row r="37" spans="1:10" s="176" customFormat="1" x14ac:dyDescent="0.2">
      <c r="A37" s="273"/>
      <c r="B37" s="396" t="s">
        <v>560</v>
      </c>
      <c r="C37" s="275"/>
      <c r="D37" s="341">
        <v>14</v>
      </c>
      <c r="E37" s="341"/>
      <c r="F37" s="341">
        <v>0.8</v>
      </c>
      <c r="G37" s="341">
        <v>2.1</v>
      </c>
      <c r="H37" s="341">
        <f>D37*F37*G37</f>
        <v>23.520000000000003</v>
      </c>
      <c r="I37" s="341"/>
      <c r="J37" s="342">
        <f>H37</f>
        <v>23.520000000000003</v>
      </c>
    </row>
    <row r="38" spans="1:10" s="176" customFormat="1" x14ac:dyDescent="0.2">
      <c r="A38" s="273"/>
      <c r="B38" s="396" t="s">
        <v>561</v>
      </c>
      <c r="C38" s="175"/>
      <c r="D38" s="162">
        <v>3</v>
      </c>
      <c r="E38" s="162"/>
      <c r="F38" s="341">
        <v>0.7</v>
      </c>
      <c r="G38" s="341">
        <v>2.1</v>
      </c>
      <c r="H38" s="341">
        <f>D38*F38*G38</f>
        <v>4.4099999999999993</v>
      </c>
      <c r="I38" s="341"/>
      <c r="J38" s="342">
        <f>H38</f>
        <v>4.4099999999999993</v>
      </c>
    </row>
    <row r="39" spans="1:10" s="176" customFormat="1" x14ac:dyDescent="0.2">
      <c r="A39" s="273"/>
      <c r="B39" s="396" t="s">
        <v>562</v>
      </c>
      <c r="C39" s="175"/>
      <c r="D39" s="162">
        <v>3</v>
      </c>
      <c r="E39" s="162"/>
      <c r="F39" s="341">
        <v>0.6</v>
      </c>
      <c r="G39" s="341">
        <v>2.1</v>
      </c>
      <c r="H39" s="341">
        <f>D39*F39*G39</f>
        <v>3.78</v>
      </c>
      <c r="I39" s="341"/>
      <c r="J39" s="342">
        <f>H39</f>
        <v>3.78</v>
      </c>
    </row>
    <row r="40" spans="1:10" s="176" customFormat="1" x14ac:dyDescent="0.2">
      <c r="A40" s="273"/>
      <c r="B40" s="160"/>
      <c r="C40" s="175"/>
      <c r="D40" s="162"/>
      <c r="E40" s="162"/>
      <c r="F40" s="28"/>
      <c r="G40" s="161"/>
      <c r="H40" s="161"/>
      <c r="I40" s="147"/>
      <c r="J40" s="180"/>
    </row>
    <row r="41" spans="1:10" s="176" customFormat="1" x14ac:dyDescent="0.2">
      <c r="A41" s="277"/>
      <c r="B41" s="160"/>
      <c r="C41" s="175"/>
      <c r="D41" s="162"/>
      <c r="E41" s="175"/>
      <c r="F41" s="28"/>
      <c r="G41" s="161"/>
      <c r="H41" s="161"/>
      <c r="I41" s="81" t="s">
        <v>239</v>
      </c>
      <c r="J41" s="182">
        <f>SUM(J34:J40)</f>
        <v>43.47</v>
      </c>
    </row>
    <row r="42" spans="1:10" x14ac:dyDescent="0.2">
      <c r="A42" s="22"/>
      <c r="B42" s="158"/>
      <c r="C42" s="175"/>
      <c r="D42" s="177"/>
      <c r="E42" s="9"/>
      <c r="F42" s="28"/>
      <c r="G42" s="29"/>
      <c r="H42" s="76"/>
      <c r="I42" s="19"/>
      <c r="J42" s="19"/>
    </row>
    <row r="43" spans="1:10" s="332" customFormat="1" ht="25.5" x14ac:dyDescent="0.2">
      <c r="A43" s="334" t="s">
        <v>92</v>
      </c>
      <c r="B43" s="158" t="s">
        <v>582</v>
      </c>
      <c r="C43" s="275" t="str">
        <f>'PLANILHA ORÇAMENTÁRIA'!E16</f>
        <v>m2</v>
      </c>
      <c r="D43" s="341" t="s">
        <v>422</v>
      </c>
      <c r="E43" s="341" t="s">
        <v>584</v>
      </c>
      <c r="F43" s="341" t="s">
        <v>81</v>
      </c>
      <c r="G43" s="341" t="s">
        <v>82</v>
      </c>
      <c r="H43" s="341" t="s">
        <v>83</v>
      </c>
      <c r="I43" s="341" t="s">
        <v>84</v>
      </c>
      <c r="J43" s="342" t="s">
        <v>85</v>
      </c>
    </row>
    <row r="44" spans="1:10" s="332" customFormat="1" x14ac:dyDescent="0.2">
      <c r="A44" s="393"/>
      <c r="B44" s="402" t="s">
        <v>558</v>
      </c>
      <c r="C44" s="275"/>
      <c r="D44" s="341"/>
      <c r="E44" s="341"/>
      <c r="F44" s="341"/>
      <c r="G44" s="341"/>
      <c r="H44" s="341"/>
      <c r="I44" s="341"/>
      <c r="J44" s="342"/>
    </row>
    <row r="45" spans="1:10" s="332" customFormat="1" x14ac:dyDescent="0.2">
      <c r="A45" s="393"/>
      <c r="B45" s="396" t="s">
        <v>583</v>
      </c>
      <c r="C45" s="275"/>
      <c r="D45" s="341">
        <v>1</v>
      </c>
      <c r="E45" s="341">
        <v>5</v>
      </c>
      <c r="F45" s="341"/>
      <c r="G45" s="341"/>
      <c r="H45" s="341"/>
      <c r="I45" s="341"/>
      <c r="J45" s="342">
        <f>E45</f>
        <v>5</v>
      </c>
    </row>
    <row r="46" spans="1:10" s="332" customFormat="1" x14ac:dyDescent="0.2">
      <c r="A46" s="393"/>
      <c r="B46" s="158"/>
      <c r="C46" s="331"/>
      <c r="D46" s="334"/>
      <c r="E46" s="331"/>
      <c r="F46" s="28"/>
      <c r="G46" s="29"/>
      <c r="H46" s="76"/>
      <c r="I46" s="334"/>
      <c r="J46" s="334"/>
    </row>
    <row r="47" spans="1:10" s="332" customFormat="1" x14ac:dyDescent="0.2">
      <c r="A47" s="393"/>
      <c r="B47" s="158"/>
      <c r="C47" s="331"/>
      <c r="D47" s="334"/>
      <c r="E47" s="331"/>
      <c r="F47" s="28"/>
      <c r="G47" s="29"/>
      <c r="H47" s="76"/>
      <c r="I47" s="81" t="s">
        <v>239</v>
      </c>
      <c r="J47" s="339">
        <f>SUM(J44:J46)</f>
        <v>5</v>
      </c>
    </row>
    <row r="48" spans="1:10" s="332" customFormat="1" x14ac:dyDescent="0.2">
      <c r="A48" s="393"/>
      <c r="B48" s="158"/>
      <c r="C48" s="331"/>
      <c r="D48" s="334"/>
      <c r="E48" s="331"/>
      <c r="F48" s="28"/>
      <c r="G48" s="29"/>
      <c r="H48" s="76"/>
      <c r="I48" s="334"/>
      <c r="J48" s="334"/>
    </row>
    <row r="49" spans="1:10" s="332" customFormat="1" x14ac:dyDescent="0.2">
      <c r="A49" s="393"/>
      <c r="B49" s="158"/>
      <c r="C49" s="331"/>
      <c r="D49" s="334"/>
      <c r="E49" s="331"/>
      <c r="F49" s="28"/>
      <c r="G49" s="29"/>
      <c r="H49" s="76"/>
      <c r="I49" s="334"/>
      <c r="J49" s="334"/>
    </row>
    <row r="50" spans="1:10" ht="25.5" x14ac:dyDescent="0.2">
      <c r="A50" s="19" t="s">
        <v>332</v>
      </c>
      <c r="B50" s="158" t="str">
        <f>'PLANILHA ORÇAMENTÁRIA'!D14</f>
        <v xml:space="preserve">Retirada de esquadrias metálicas </v>
      </c>
      <c r="C50" s="275" t="str">
        <f>'PLANILHA ORÇAMENTÁRIA'!E14</f>
        <v xml:space="preserve">m2 </v>
      </c>
      <c r="D50" s="184" t="s">
        <v>422</v>
      </c>
      <c r="E50" s="184" t="s">
        <v>80</v>
      </c>
      <c r="F50" s="184" t="s">
        <v>81</v>
      </c>
      <c r="G50" s="184" t="s">
        <v>82</v>
      </c>
      <c r="H50" s="184" t="s">
        <v>83</v>
      </c>
      <c r="I50" s="184" t="s">
        <v>84</v>
      </c>
      <c r="J50" s="185" t="s">
        <v>85</v>
      </c>
    </row>
    <row r="51" spans="1:10" s="176" customFormat="1" x14ac:dyDescent="0.2">
      <c r="A51" s="177"/>
      <c r="B51" s="276"/>
      <c r="C51" s="275"/>
      <c r="D51" s="184"/>
      <c r="E51" s="184"/>
      <c r="F51" s="184"/>
      <c r="G51" s="184"/>
      <c r="H51" s="184"/>
      <c r="I51" s="184"/>
      <c r="J51" s="185"/>
    </row>
    <row r="52" spans="1:10" s="176" customFormat="1" x14ac:dyDescent="0.2">
      <c r="A52" s="177"/>
      <c r="B52" s="402" t="s">
        <v>556</v>
      </c>
      <c r="C52" s="275"/>
      <c r="D52" s="184"/>
      <c r="E52" s="184"/>
      <c r="F52" s="184"/>
      <c r="G52" s="184"/>
      <c r="H52" s="184"/>
      <c r="I52" s="184"/>
      <c r="J52" s="185"/>
    </row>
    <row r="53" spans="1:10" s="176" customFormat="1" x14ac:dyDescent="0.2">
      <c r="A53" s="177"/>
      <c r="B53" s="403" t="s">
        <v>563</v>
      </c>
      <c r="C53" s="275"/>
      <c r="D53" s="184">
        <v>1</v>
      </c>
      <c r="E53" s="184"/>
      <c r="F53" s="184">
        <v>2.8</v>
      </c>
      <c r="G53" s="184">
        <v>1.43</v>
      </c>
      <c r="H53" s="184">
        <f>F53*G53</f>
        <v>4.0039999999999996</v>
      </c>
      <c r="I53" s="184"/>
      <c r="J53" s="185">
        <f>H53</f>
        <v>4.0039999999999996</v>
      </c>
    </row>
    <row r="54" spans="1:10" s="176" customFormat="1" x14ac:dyDescent="0.2">
      <c r="A54" s="177"/>
      <c r="B54" s="402" t="s">
        <v>558</v>
      </c>
      <c r="C54" s="275"/>
      <c r="D54" s="184"/>
      <c r="E54" s="184"/>
      <c r="F54" s="184"/>
      <c r="G54" s="184"/>
      <c r="H54" s="184"/>
      <c r="I54" s="184"/>
      <c r="J54" s="185"/>
    </row>
    <row r="55" spans="1:10" s="176" customFormat="1" x14ac:dyDescent="0.2">
      <c r="A55" s="177"/>
      <c r="B55" s="395" t="s">
        <v>581</v>
      </c>
      <c r="C55" s="275"/>
      <c r="D55" s="184">
        <v>1</v>
      </c>
      <c r="E55" s="184"/>
      <c r="F55" s="184">
        <v>0.5</v>
      </c>
      <c r="G55" s="184">
        <v>0.7</v>
      </c>
      <c r="H55" s="341">
        <f>F55*G55</f>
        <v>0.35</v>
      </c>
      <c r="I55" s="184"/>
      <c r="J55" s="342">
        <f>H55</f>
        <v>0.35</v>
      </c>
    </row>
    <row r="56" spans="1:10" s="176" customFormat="1" x14ac:dyDescent="0.2">
      <c r="A56" s="177"/>
      <c r="B56" s="160"/>
      <c r="C56" s="275"/>
      <c r="D56" s="184"/>
      <c r="E56" s="184"/>
      <c r="F56" s="184"/>
      <c r="G56" s="184"/>
      <c r="H56" s="184"/>
      <c r="I56" s="184"/>
      <c r="J56" s="185"/>
    </row>
    <row r="57" spans="1:10" s="176" customFormat="1" x14ac:dyDescent="0.2">
      <c r="A57" s="177"/>
      <c r="B57" s="160"/>
      <c r="C57" s="275"/>
      <c r="D57" s="184"/>
      <c r="E57" s="184"/>
      <c r="F57" s="184"/>
      <c r="G57" s="184"/>
      <c r="H57" s="184"/>
      <c r="I57" s="184"/>
      <c r="J57" s="185"/>
    </row>
    <row r="58" spans="1:10" s="176" customFormat="1" x14ac:dyDescent="0.2">
      <c r="A58" s="177"/>
      <c r="B58" s="160"/>
      <c r="C58" s="275"/>
      <c r="D58" s="184"/>
      <c r="E58" s="184"/>
      <c r="F58" s="184"/>
      <c r="G58" s="184"/>
      <c r="H58" s="161"/>
      <c r="I58" s="147"/>
      <c r="J58" s="180"/>
    </row>
    <row r="59" spans="1:10" s="176" customFormat="1" x14ac:dyDescent="0.2">
      <c r="A59" s="177"/>
      <c r="B59" s="158"/>
      <c r="C59" s="275"/>
      <c r="D59" s="184"/>
      <c r="E59" s="184"/>
      <c r="F59" s="184"/>
      <c r="G59" s="184"/>
      <c r="H59" s="184"/>
      <c r="I59" s="81" t="s">
        <v>239</v>
      </c>
      <c r="J59" s="339">
        <f>SUM(J53:J58)</f>
        <v>4.3539999999999992</v>
      </c>
    </row>
    <row r="60" spans="1:10" s="332" customFormat="1" x14ac:dyDescent="0.2">
      <c r="A60" s="334"/>
      <c r="B60" s="158"/>
      <c r="C60" s="275"/>
      <c r="D60" s="341"/>
      <c r="E60" s="341"/>
      <c r="F60" s="341"/>
      <c r="G60" s="341"/>
      <c r="H60" s="341"/>
      <c r="I60" s="147"/>
      <c r="J60" s="346"/>
    </row>
    <row r="61" spans="1:10" s="332" customFormat="1" x14ac:dyDescent="0.2">
      <c r="A61" s="334"/>
      <c r="B61" s="158"/>
      <c r="C61" s="275"/>
      <c r="D61" s="341"/>
      <c r="E61" s="341"/>
      <c r="F61" s="341"/>
      <c r="G61" s="341"/>
      <c r="H61" s="341"/>
      <c r="I61" s="147"/>
      <c r="J61" s="346"/>
    </row>
    <row r="62" spans="1:10" s="176" customFormat="1" ht="25.5" x14ac:dyDescent="0.2">
      <c r="A62" s="338" t="s">
        <v>410</v>
      </c>
      <c r="B62" s="158" t="s">
        <v>419</v>
      </c>
      <c r="C62" s="275" t="s">
        <v>21</v>
      </c>
      <c r="D62" s="341" t="s">
        <v>422</v>
      </c>
      <c r="E62" s="341" t="s">
        <v>80</v>
      </c>
      <c r="F62" s="341" t="s">
        <v>81</v>
      </c>
      <c r="G62" s="341" t="s">
        <v>82</v>
      </c>
      <c r="H62" s="341" t="s">
        <v>83</v>
      </c>
      <c r="I62" s="341" t="s">
        <v>84</v>
      </c>
      <c r="J62" s="342" t="s">
        <v>85</v>
      </c>
    </row>
    <row r="63" spans="1:10" s="176" customFormat="1" ht="15" x14ac:dyDescent="0.25">
      <c r="A63" s="177"/>
      <c r="B63" s="408" t="s">
        <v>639</v>
      </c>
      <c r="C63" s="409"/>
      <c r="D63" s="409"/>
      <c r="E63" s="409"/>
      <c r="F63" s="409"/>
      <c r="G63" s="409"/>
      <c r="H63" s="409"/>
      <c r="I63" s="147"/>
      <c r="J63" s="180"/>
    </row>
    <row r="64" spans="1:10" s="176" customFormat="1" ht="15" x14ac:dyDescent="0.25">
      <c r="A64" s="177"/>
      <c r="B64" s="409" t="s">
        <v>640</v>
      </c>
      <c r="C64" s="409"/>
      <c r="D64" s="409"/>
      <c r="E64" s="409"/>
      <c r="F64" s="409" t="s">
        <v>492</v>
      </c>
      <c r="G64" s="409" t="s">
        <v>641</v>
      </c>
      <c r="H64" s="409" t="s">
        <v>642</v>
      </c>
      <c r="I64" s="147"/>
      <c r="J64" s="180"/>
    </row>
    <row r="65" spans="1:10" s="176" customFormat="1" ht="15" x14ac:dyDescent="0.25">
      <c r="A65" s="177"/>
      <c r="B65" s="409"/>
      <c r="C65" s="409"/>
      <c r="D65" s="409"/>
      <c r="E65" s="409"/>
      <c r="F65" s="409">
        <v>6.83</v>
      </c>
      <c r="G65" s="409">
        <v>2.9</v>
      </c>
      <c r="H65" s="410">
        <f>F65*G65</f>
        <v>19.806999999999999</v>
      </c>
      <c r="I65" s="147"/>
      <c r="J65" s="180">
        <f>H65</f>
        <v>19.806999999999999</v>
      </c>
    </row>
    <row r="66" spans="1:10" s="332" customFormat="1" ht="15" x14ac:dyDescent="0.25">
      <c r="A66" s="334"/>
      <c r="B66" s="409"/>
      <c r="C66" s="409"/>
      <c r="D66" s="409"/>
      <c r="E66" s="409"/>
      <c r="F66" s="409">
        <v>6.83</v>
      </c>
      <c r="G66" s="409">
        <v>2.9</v>
      </c>
      <c r="H66" s="410">
        <f t="shared" ref="H66:H89" si="5">F66*G66</f>
        <v>19.806999999999999</v>
      </c>
      <c r="I66" s="147"/>
      <c r="J66" s="180">
        <f t="shared" ref="J66:J129" si="6">H66</f>
        <v>19.806999999999999</v>
      </c>
    </row>
    <row r="67" spans="1:10" s="332" customFormat="1" ht="15" x14ac:dyDescent="0.25">
      <c r="A67" s="334"/>
      <c r="B67" s="409"/>
      <c r="C67" s="409"/>
      <c r="D67" s="409"/>
      <c r="E67" s="409"/>
      <c r="F67" s="409">
        <v>7.34</v>
      </c>
      <c r="G67" s="409">
        <v>2.9</v>
      </c>
      <c r="H67" s="410">
        <f t="shared" si="5"/>
        <v>21.285999999999998</v>
      </c>
      <c r="I67" s="147"/>
      <c r="J67" s="180">
        <f t="shared" si="6"/>
        <v>21.285999999999998</v>
      </c>
    </row>
    <row r="68" spans="1:10" s="332" customFormat="1" ht="15" x14ac:dyDescent="0.25">
      <c r="A68" s="334"/>
      <c r="B68" s="409"/>
      <c r="C68" s="409"/>
      <c r="D68" s="409"/>
      <c r="E68" s="409"/>
      <c r="F68" s="409">
        <v>7.34</v>
      </c>
      <c r="G68" s="409">
        <v>2.9</v>
      </c>
      <c r="H68" s="410">
        <v>10.78</v>
      </c>
      <c r="I68" s="147"/>
      <c r="J68" s="180">
        <f t="shared" si="6"/>
        <v>10.78</v>
      </c>
    </row>
    <row r="69" spans="1:10" s="332" customFormat="1" ht="15" x14ac:dyDescent="0.25">
      <c r="A69" s="334"/>
      <c r="B69" s="409"/>
      <c r="C69" s="409"/>
      <c r="D69" s="409"/>
      <c r="E69" s="409"/>
      <c r="F69" s="409">
        <v>7.34</v>
      </c>
      <c r="G69" s="409">
        <v>6.83</v>
      </c>
      <c r="H69" s="410">
        <f t="shared" si="5"/>
        <v>50.132199999999997</v>
      </c>
      <c r="I69" s="147"/>
      <c r="J69" s="180">
        <f t="shared" si="6"/>
        <v>50.132199999999997</v>
      </c>
    </row>
    <row r="70" spans="1:10" s="332" customFormat="1" ht="15" x14ac:dyDescent="0.25">
      <c r="A70" s="334"/>
      <c r="B70" s="409" t="s">
        <v>643</v>
      </c>
      <c r="C70" s="409"/>
      <c r="D70" s="409"/>
      <c r="E70" s="409"/>
      <c r="F70" s="409">
        <v>6.83</v>
      </c>
      <c r="G70" s="409">
        <v>2.9</v>
      </c>
      <c r="H70" s="410">
        <f t="shared" si="5"/>
        <v>19.806999999999999</v>
      </c>
      <c r="I70" s="147"/>
      <c r="J70" s="180">
        <f t="shared" si="6"/>
        <v>19.806999999999999</v>
      </c>
    </row>
    <row r="71" spans="1:10" s="332" customFormat="1" ht="15" x14ac:dyDescent="0.25">
      <c r="A71" s="334"/>
      <c r="B71" s="409"/>
      <c r="C71" s="409"/>
      <c r="D71" s="409"/>
      <c r="E71" s="409"/>
      <c r="F71" s="409">
        <v>6.83</v>
      </c>
      <c r="G71" s="409">
        <v>2.9</v>
      </c>
      <c r="H71" s="410">
        <f t="shared" si="5"/>
        <v>19.806999999999999</v>
      </c>
      <c r="I71" s="147"/>
      <c r="J71" s="180">
        <f t="shared" si="6"/>
        <v>19.806999999999999</v>
      </c>
    </row>
    <row r="72" spans="1:10" s="332" customFormat="1" ht="15" x14ac:dyDescent="0.25">
      <c r="A72" s="334"/>
      <c r="B72" s="409"/>
      <c r="C72" s="409"/>
      <c r="D72" s="409"/>
      <c r="E72" s="409"/>
      <c r="F72" s="409">
        <v>7.36</v>
      </c>
      <c r="G72" s="409">
        <v>2.9</v>
      </c>
      <c r="H72" s="410">
        <f t="shared" si="5"/>
        <v>21.344000000000001</v>
      </c>
      <c r="I72" s="147"/>
      <c r="J72" s="180">
        <f t="shared" si="6"/>
        <v>21.344000000000001</v>
      </c>
    </row>
    <row r="73" spans="1:10" s="332" customFormat="1" ht="15" x14ac:dyDescent="0.25">
      <c r="A73" s="334"/>
      <c r="B73" s="409"/>
      <c r="C73" s="409"/>
      <c r="D73" s="409"/>
      <c r="E73" s="409"/>
      <c r="F73" s="409">
        <v>7.36</v>
      </c>
      <c r="G73" s="409">
        <v>2.9</v>
      </c>
      <c r="H73" s="410">
        <v>10.47</v>
      </c>
      <c r="I73" s="147"/>
      <c r="J73" s="180">
        <f t="shared" si="6"/>
        <v>10.47</v>
      </c>
    </row>
    <row r="74" spans="1:10" s="332" customFormat="1" ht="15" x14ac:dyDescent="0.25">
      <c r="A74" s="334"/>
      <c r="B74" s="409"/>
      <c r="C74" s="409"/>
      <c r="D74" s="409"/>
      <c r="E74" s="409"/>
      <c r="F74" s="409">
        <v>7.36</v>
      </c>
      <c r="G74" s="409">
        <v>6.83</v>
      </c>
      <c r="H74" s="410">
        <f t="shared" si="5"/>
        <v>50.268800000000006</v>
      </c>
      <c r="I74" s="147"/>
      <c r="J74" s="180">
        <f t="shared" si="6"/>
        <v>50.268800000000006</v>
      </c>
    </row>
    <row r="75" spans="1:10" s="332" customFormat="1" ht="15" x14ac:dyDescent="0.25">
      <c r="A75" s="334"/>
      <c r="B75" s="409" t="s">
        <v>644</v>
      </c>
      <c r="C75" s="409"/>
      <c r="D75" s="409"/>
      <c r="E75" s="409"/>
      <c r="F75" s="409">
        <v>6.83</v>
      </c>
      <c r="G75" s="409">
        <v>2.9</v>
      </c>
      <c r="H75" s="410">
        <f t="shared" si="5"/>
        <v>19.806999999999999</v>
      </c>
      <c r="I75" s="147"/>
      <c r="J75" s="180">
        <f t="shared" si="6"/>
        <v>19.806999999999999</v>
      </c>
    </row>
    <row r="76" spans="1:10" s="332" customFormat="1" ht="15" x14ac:dyDescent="0.25">
      <c r="A76" s="334"/>
      <c r="B76" s="409"/>
      <c r="C76" s="409"/>
      <c r="D76" s="409"/>
      <c r="E76" s="409"/>
      <c r="F76" s="409">
        <v>6.83</v>
      </c>
      <c r="G76" s="409">
        <v>2.9</v>
      </c>
      <c r="H76" s="410">
        <f t="shared" si="5"/>
        <v>19.806999999999999</v>
      </c>
      <c r="I76" s="147"/>
      <c r="J76" s="180">
        <f t="shared" si="6"/>
        <v>19.806999999999999</v>
      </c>
    </row>
    <row r="77" spans="1:10" s="332" customFormat="1" ht="15" x14ac:dyDescent="0.25">
      <c r="A77" s="334"/>
      <c r="B77" s="409"/>
      <c r="C77" s="409"/>
      <c r="D77" s="409"/>
      <c r="E77" s="409"/>
      <c r="F77" s="409">
        <v>7.21</v>
      </c>
      <c r="G77" s="409">
        <v>2.9</v>
      </c>
      <c r="H77" s="410">
        <f t="shared" si="5"/>
        <v>20.908999999999999</v>
      </c>
      <c r="I77" s="147"/>
      <c r="J77" s="180">
        <f t="shared" si="6"/>
        <v>20.908999999999999</v>
      </c>
    </row>
    <row r="78" spans="1:10" s="332" customFormat="1" ht="15" x14ac:dyDescent="0.25">
      <c r="A78" s="334"/>
      <c r="B78" s="409"/>
      <c r="C78" s="409"/>
      <c r="D78" s="409"/>
      <c r="E78" s="409"/>
      <c r="F78" s="409">
        <v>7.21</v>
      </c>
      <c r="G78" s="409">
        <v>2.9</v>
      </c>
      <c r="H78" s="410">
        <v>10.4</v>
      </c>
      <c r="I78" s="147"/>
      <c r="J78" s="180">
        <f t="shared" si="6"/>
        <v>10.4</v>
      </c>
    </row>
    <row r="79" spans="1:10" s="332" customFormat="1" ht="15" x14ac:dyDescent="0.25">
      <c r="A79" s="334"/>
      <c r="B79" s="409"/>
      <c r="C79" s="409"/>
      <c r="D79" s="409"/>
      <c r="E79" s="409"/>
      <c r="F79" s="409">
        <v>7.21</v>
      </c>
      <c r="G79" s="409">
        <v>6.83</v>
      </c>
      <c r="H79" s="410">
        <f t="shared" si="5"/>
        <v>49.244300000000003</v>
      </c>
      <c r="I79" s="147"/>
      <c r="J79" s="180">
        <f t="shared" si="6"/>
        <v>49.244300000000003</v>
      </c>
    </row>
    <row r="80" spans="1:10" s="332" customFormat="1" ht="15" x14ac:dyDescent="0.25">
      <c r="A80" s="334"/>
      <c r="B80" s="409" t="s">
        <v>645</v>
      </c>
      <c r="C80" s="409"/>
      <c r="D80" s="409"/>
      <c r="E80" s="409"/>
      <c r="F80" s="409">
        <v>6.83</v>
      </c>
      <c r="G80" s="409">
        <v>2.9</v>
      </c>
      <c r="H80" s="410">
        <f t="shared" si="5"/>
        <v>19.806999999999999</v>
      </c>
      <c r="I80" s="147"/>
      <c r="J80" s="180">
        <f t="shared" si="6"/>
        <v>19.806999999999999</v>
      </c>
    </row>
    <row r="81" spans="1:10" s="332" customFormat="1" ht="15" x14ac:dyDescent="0.25">
      <c r="A81" s="334"/>
      <c r="B81" s="409"/>
      <c r="C81" s="409"/>
      <c r="D81" s="409"/>
      <c r="E81" s="409"/>
      <c r="F81" s="409">
        <v>6.83</v>
      </c>
      <c r="G81" s="409">
        <v>2.9</v>
      </c>
      <c r="H81" s="410">
        <f t="shared" si="5"/>
        <v>19.806999999999999</v>
      </c>
      <c r="I81" s="147"/>
      <c r="J81" s="180">
        <f t="shared" si="6"/>
        <v>19.806999999999999</v>
      </c>
    </row>
    <row r="82" spans="1:10" s="332" customFormat="1" ht="15" x14ac:dyDescent="0.25">
      <c r="A82" s="334"/>
      <c r="B82" s="409"/>
      <c r="C82" s="409"/>
      <c r="D82" s="409"/>
      <c r="E82" s="409"/>
      <c r="F82" s="409">
        <v>7.31</v>
      </c>
      <c r="G82" s="409">
        <v>2.9</v>
      </c>
      <c r="H82" s="410">
        <f t="shared" si="5"/>
        <v>21.198999999999998</v>
      </c>
      <c r="I82" s="147"/>
      <c r="J82" s="180">
        <f t="shared" si="6"/>
        <v>21.198999999999998</v>
      </c>
    </row>
    <row r="83" spans="1:10" s="332" customFormat="1" ht="15" x14ac:dyDescent="0.25">
      <c r="A83" s="334"/>
      <c r="B83" s="409"/>
      <c r="C83" s="409"/>
      <c r="D83" s="409"/>
      <c r="E83" s="409"/>
      <c r="F83" s="409">
        <v>7.31</v>
      </c>
      <c r="G83" s="409">
        <v>2.9</v>
      </c>
      <c r="H83" s="410">
        <v>10.69</v>
      </c>
      <c r="I83" s="147"/>
      <c r="J83" s="180">
        <f t="shared" si="6"/>
        <v>10.69</v>
      </c>
    </row>
    <row r="84" spans="1:10" s="332" customFormat="1" ht="15" x14ac:dyDescent="0.25">
      <c r="A84" s="334"/>
      <c r="B84" s="409"/>
      <c r="C84" s="409"/>
      <c r="D84" s="409"/>
      <c r="E84" s="409"/>
      <c r="F84" s="409">
        <v>7.31</v>
      </c>
      <c r="G84" s="409">
        <v>6.83</v>
      </c>
      <c r="H84" s="410">
        <f t="shared" si="5"/>
        <v>49.927299999999995</v>
      </c>
      <c r="I84" s="147"/>
      <c r="J84" s="180">
        <f t="shared" si="6"/>
        <v>49.927299999999995</v>
      </c>
    </row>
    <row r="85" spans="1:10" s="332" customFormat="1" ht="15" x14ac:dyDescent="0.25">
      <c r="A85" s="334"/>
      <c r="B85" s="409" t="s">
        <v>646</v>
      </c>
      <c r="C85" s="409"/>
      <c r="D85" s="409"/>
      <c r="E85" s="409"/>
      <c r="F85" s="409">
        <v>6.83</v>
      </c>
      <c r="G85" s="409">
        <v>2.9</v>
      </c>
      <c r="H85" s="410">
        <f t="shared" si="5"/>
        <v>19.806999999999999</v>
      </c>
      <c r="I85" s="147"/>
      <c r="J85" s="180">
        <f t="shared" si="6"/>
        <v>19.806999999999999</v>
      </c>
    </row>
    <row r="86" spans="1:10" s="332" customFormat="1" ht="15" x14ac:dyDescent="0.25">
      <c r="A86" s="334"/>
      <c r="B86" s="409"/>
      <c r="C86" s="409"/>
      <c r="D86" s="409"/>
      <c r="E86" s="409"/>
      <c r="F86" s="409">
        <v>6.83</v>
      </c>
      <c r="G86" s="409">
        <v>2.9</v>
      </c>
      <c r="H86" s="410">
        <f t="shared" si="5"/>
        <v>19.806999999999999</v>
      </c>
      <c r="I86" s="147"/>
      <c r="J86" s="180">
        <f t="shared" si="6"/>
        <v>19.806999999999999</v>
      </c>
    </row>
    <row r="87" spans="1:10" s="332" customFormat="1" ht="15" x14ac:dyDescent="0.25">
      <c r="A87" s="334"/>
      <c r="B87" s="409"/>
      <c r="C87" s="409"/>
      <c r="D87" s="409"/>
      <c r="E87" s="409"/>
      <c r="F87" s="409">
        <v>7.31</v>
      </c>
      <c r="G87" s="409">
        <v>2.9</v>
      </c>
      <c r="H87" s="410">
        <f t="shared" si="5"/>
        <v>21.198999999999998</v>
      </c>
      <c r="I87" s="147"/>
      <c r="J87" s="180">
        <f t="shared" si="6"/>
        <v>21.198999999999998</v>
      </c>
    </row>
    <row r="88" spans="1:10" s="332" customFormat="1" ht="15" x14ac:dyDescent="0.25">
      <c r="A88" s="334"/>
      <c r="B88" s="409"/>
      <c r="C88" s="409"/>
      <c r="D88" s="409"/>
      <c r="E88" s="409"/>
      <c r="F88" s="409">
        <v>7.31</v>
      </c>
      <c r="G88" s="409">
        <v>2.9</v>
      </c>
      <c r="H88" s="410">
        <v>19.690000000000001</v>
      </c>
      <c r="I88" s="147"/>
      <c r="J88" s="180">
        <f t="shared" si="6"/>
        <v>19.690000000000001</v>
      </c>
    </row>
    <row r="89" spans="1:10" s="332" customFormat="1" ht="15" x14ac:dyDescent="0.25">
      <c r="A89" s="334"/>
      <c r="B89" s="409"/>
      <c r="C89" s="409"/>
      <c r="D89" s="409"/>
      <c r="E89" s="409"/>
      <c r="F89" s="409">
        <v>7.31</v>
      </c>
      <c r="G89" s="409">
        <v>6.83</v>
      </c>
      <c r="H89" s="410">
        <f t="shared" si="5"/>
        <v>49.927299999999995</v>
      </c>
      <c r="I89" s="147"/>
      <c r="J89" s="180">
        <f t="shared" si="6"/>
        <v>49.927299999999995</v>
      </c>
    </row>
    <row r="90" spans="1:10" s="332" customFormat="1" ht="15" x14ac:dyDescent="0.25">
      <c r="A90" s="334"/>
      <c r="B90" s="409" t="s">
        <v>647</v>
      </c>
      <c r="C90" s="409"/>
      <c r="D90" s="409"/>
      <c r="E90" s="409"/>
      <c r="F90" s="409" t="s">
        <v>492</v>
      </c>
      <c r="G90" s="409" t="s">
        <v>641</v>
      </c>
      <c r="H90" s="409" t="s">
        <v>642</v>
      </c>
      <c r="I90" s="147"/>
      <c r="J90" s="180" t="str">
        <f t="shared" si="6"/>
        <v>A</v>
      </c>
    </row>
    <row r="91" spans="1:10" s="332" customFormat="1" ht="15" x14ac:dyDescent="0.25">
      <c r="A91" s="334"/>
      <c r="B91" s="409"/>
      <c r="C91" s="409"/>
      <c r="D91" s="409"/>
      <c r="E91" s="409"/>
      <c r="F91" s="409">
        <v>6.83</v>
      </c>
      <c r="G91" s="409">
        <v>2.9</v>
      </c>
      <c r="H91" s="410">
        <f>F91*G91</f>
        <v>19.806999999999999</v>
      </c>
      <c r="I91" s="147"/>
      <c r="J91" s="180">
        <f t="shared" si="6"/>
        <v>19.806999999999999</v>
      </c>
    </row>
    <row r="92" spans="1:10" s="332" customFormat="1" ht="15" x14ac:dyDescent="0.25">
      <c r="A92" s="334"/>
      <c r="B92" s="409"/>
      <c r="C92" s="409"/>
      <c r="D92" s="409"/>
      <c r="E92" s="409"/>
      <c r="F92" s="409">
        <v>6.83</v>
      </c>
      <c r="G92" s="409">
        <v>2.9</v>
      </c>
      <c r="H92" s="410">
        <f t="shared" ref="H92:H115" si="7">F92*G92</f>
        <v>19.806999999999999</v>
      </c>
      <c r="I92" s="147"/>
      <c r="J92" s="180">
        <f t="shared" si="6"/>
        <v>19.806999999999999</v>
      </c>
    </row>
    <row r="93" spans="1:10" s="332" customFormat="1" ht="15" x14ac:dyDescent="0.25">
      <c r="A93" s="334"/>
      <c r="B93" s="409"/>
      <c r="C93" s="409"/>
      <c r="D93" s="409"/>
      <c r="E93" s="409"/>
      <c r="F93" s="409">
        <v>7.21</v>
      </c>
      <c r="G93" s="409">
        <v>2.9</v>
      </c>
      <c r="H93" s="410">
        <f t="shared" si="7"/>
        <v>20.908999999999999</v>
      </c>
      <c r="I93" s="147"/>
      <c r="J93" s="180">
        <f t="shared" si="6"/>
        <v>20.908999999999999</v>
      </c>
    </row>
    <row r="94" spans="1:10" s="332" customFormat="1" ht="15" x14ac:dyDescent="0.25">
      <c r="A94" s="334"/>
      <c r="B94" s="409"/>
      <c r="C94" s="409"/>
      <c r="D94" s="409"/>
      <c r="E94" s="409"/>
      <c r="F94" s="409">
        <v>7.21</v>
      </c>
      <c r="G94" s="409">
        <v>2.9</v>
      </c>
      <c r="H94" s="410">
        <v>10.4</v>
      </c>
      <c r="I94" s="147"/>
      <c r="J94" s="180">
        <f t="shared" si="6"/>
        <v>10.4</v>
      </c>
    </row>
    <row r="95" spans="1:10" s="332" customFormat="1" ht="15" x14ac:dyDescent="0.25">
      <c r="A95" s="334"/>
      <c r="B95" s="409"/>
      <c r="C95" s="409"/>
      <c r="D95" s="409"/>
      <c r="E95" s="409"/>
      <c r="F95" s="409">
        <v>7.21</v>
      </c>
      <c r="G95" s="409">
        <v>6.83</v>
      </c>
      <c r="H95" s="410">
        <f t="shared" si="7"/>
        <v>49.244300000000003</v>
      </c>
      <c r="I95" s="147"/>
      <c r="J95" s="180">
        <f t="shared" si="6"/>
        <v>49.244300000000003</v>
      </c>
    </row>
    <row r="96" spans="1:10" s="332" customFormat="1" ht="15" x14ac:dyDescent="0.25">
      <c r="A96" s="334"/>
      <c r="B96" s="409" t="s">
        <v>648</v>
      </c>
      <c r="C96" s="409"/>
      <c r="D96" s="409"/>
      <c r="E96" s="409"/>
      <c r="F96" s="409">
        <v>6.83</v>
      </c>
      <c r="G96" s="409">
        <v>2.9</v>
      </c>
      <c r="H96" s="410">
        <f t="shared" si="7"/>
        <v>19.806999999999999</v>
      </c>
      <c r="I96" s="147"/>
      <c r="J96" s="180">
        <f t="shared" si="6"/>
        <v>19.806999999999999</v>
      </c>
    </row>
    <row r="97" spans="1:10" s="332" customFormat="1" ht="15" x14ac:dyDescent="0.25">
      <c r="A97" s="334"/>
      <c r="B97" s="409"/>
      <c r="C97" s="409"/>
      <c r="D97" s="409"/>
      <c r="E97" s="409"/>
      <c r="F97" s="409">
        <v>6.83</v>
      </c>
      <c r="G97" s="409">
        <v>2.9</v>
      </c>
      <c r="H97" s="410">
        <f t="shared" si="7"/>
        <v>19.806999999999999</v>
      </c>
      <c r="I97" s="147"/>
      <c r="J97" s="180">
        <f t="shared" si="6"/>
        <v>19.806999999999999</v>
      </c>
    </row>
    <row r="98" spans="1:10" s="332" customFormat="1" ht="15" x14ac:dyDescent="0.25">
      <c r="A98" s="334"/>
      <c r="B98" s="409"/>
      <c r="C98" s="409"/>
      <c r="D98" s="409"/>
      <c r="E98" s="409"/>
      <c r="F98" s="409">
        <v>7.36</v>
      </c>
      <c r="G98" s="409">
        <v>2.9</v>
      </c>
      <c r="H98" s="410">
        <f t="shared" si="7"/>
        <v>21.344000000000001</v>
      </c>
      <c r="I98" s="147"/>
      <c r="J98" s="180">
        <f t="shared" si="6"/>
        <v>21.344000000000001</v>
      </c>
    </row>
    <row r="99" spans="1:10" s="332" customFormat="1" ht="15" x14ac:dyDescent="0.25">
      <c r="A99" s="334"/>
      <c r="B99" s="409"/>
      <c r="C99" s="409"/>
      <c r="D99" s="409"/>
      <c r="E99" s="409"/>
      <c r="F99" s="409">
        <v>7.36</v>
      </c>
      <c r="G99" s="409">
        <v>2.9</v>
      </c>
      <c r="H99" s="410">
        <v>10.84</v>
      </c>
      <c r="I99" s="147"/>
      <c r="J99" s="180">
        <f t="shared" si="6"/>
        <v>10.84</v>
      </c>
    </row>
    <row r="100" spans="1:10" s="332" customFormat="1" ht="15" x14ac:dyDescent="0.25">
      <c r="A100" s="334"/>
      <c r="B100" s="409"/>
      <c r="C100" s="409"/>
      <c r="D100" s="409"/>
      <c r="E100" s="409"/>
      <c r="F100" s="409">
        <v>7.36</v>
      </c>
      <c r="G100" s="409">
        <v>6.83</v>
      </c>
      <c r="H100" s="410">
        <f t="shared" si="7"/>
        <v>50.268800000000006</v>
      </c>
      <c r="I100" s="147"/>
      <c r="J100" s="180">
        <f t="shared" si="6"/>
        <v>50.268800000000006</v>
      </c>
    </row>
    <row r="101" spans="1:10" s="332" customFormat="1" ht="15" x14ac:dyDescent="0.25">
      <c r="A101" s="334"/>
      <c r="B101" s="409" t="s">
        <v>649</v>
      </c>
      <c r="C101" s="409"/>
      <c r="D101" s="409"/>
      <c r="E101" s="409"/>
      <c r="F101" s="409">
        <v>6.83</v>
      </c>
      <c r="G101" s="409">
        <v>2.9</v>
      </c>
      <c r="H101" s="410">
        <f t="shared" si="7"/>
        <v>19.806999999999999</v>
      </c>
      <c r="I101" s="147"/>
      <c r="J101" s="180">
        <f t="shared" si="6"/>
        <v>19.806999999999999</v>
      </c>
    </row>
    <row r="102" spans="1:10" s="332" customFormat="1" ht="15" x14ac:dyDescent="0.25">
      <c r="A102" s="334"/>
      <c r="B102" s="409"/>
      <c r="C102" s="409"/>
      <c r="D102" s="409"/>
      <c r="E102" s="409"/>
      <c r="F102" s="409">
        <v>6.83</v>
      </c>
      <c r="G102" s="409">
        <v>2.9</v>
      </c>
      <c r="H102" s="410">
        <f t="shared" si="7"/>
        <v>19.806999999999999</v>
      </c>
      <c r="I102" s="147"/>
      <c r="J102" s="180">
        <f t="shared" si="6"/>
        <v>19.806999999999999</v>
      </c>
    </row>
    <row r="103" spans="1:10" s="332" customFormat="1" ht="15" x14ac:dyDescent="0.25">
      <c r="A103" s="334"/>
      <c r="B103" s="409"/>
      <c r="C103" s="409"/>
      <c r="D103" s="409"/>
      <c r="E103" s="409"/>
      <c r="F103" s="409">
        <v>7.34</v>
      </c>
      <c r="G103" s="409">
        <v>2.9</v>
      </c>
      <c r="H103" s="410">
        <f t="shared" si="7"/>
        <v>21.285999999999998</v>
      </c>
      <c r="I103" s="147"/>
      <c r="J103" s="180">
        <f t="shared" si="6"/>
        <v>21.285999999999998</v>
      </c>
    </row>
    <row r="104" spans="1:10" s="332" customFormat="1" ht="15" x14ac:dyDescent="0.25">
      <c r="A104" s="334"/>
      <c r="B104" s="409"/>
      <c r="C104" s="409"/>
      <c r="D104" s="409"/>
      <c r="E104" s="409"/>
      <c r="F104" s="409">
        <v>7.34</v>
      </c>
      <c r="G104" s="409">
        <v>2.9</v>
      </c>
      <c r="H104" s="410">
        <v>10.78</v>
      </c>
      <c r="I104" s="147"/>
      <c r="J104" s="180">
        <f t="shared" si="6"/>
        <v>10.78</v>
      </c>
    </row>
    <row r="105" spans="1:10" s="332" customFormat="1" ht="15" x14ac:dyDescent="0.25">
      <c r="A105" s="334"/>
      <c r="B105" s="409"/>
      <c r="C105" s="409"/>
      <c r="D105" s="409"/>
      <c r="E105" s="409"/>
      <c r="F105" s="409">
        <v>7.34</v>
      </c>
      <c r="G105" s="409">
        <v>6.83</v>
      </c>
      <c r="H105" s="410">
        <f t="shared" si="7"/>
        <v>50.132199999999997</v>
      </c>
      <c r="I105" s="147"/>
      <c r="J105" s="180">
        <f t="shared" si="6"/>
        <v>50.132199999999997</v>
      </c>
    </row>
    <row r="106" spans="1:10" s="332" customFormat="1" ht="15" x14ac:dyDescent="0.25">
      <c r="A106" s="334"/>
      <c r="B106" s="409" t="s">
        <v>650</v>
      </c>
      <c r="C106" s="409"/>
      <c r="D106" s="409"/>
      <c r="E106" s="409"/>
      <c r="F106" s="409">
        <v>6.83</v>
      </c>
      <c r="G106" s="409">
        <v>2.9</v>
      </c>
      <c r="H106" s="410">
        <f t="shared" si="7"/>
        <v>19.806999999999999</v>
      </c>
      <c r="I106" s="147"/>
      <c r="J106" s="180">
        <f t="shared" si="6"/>
        <v>19.806999999999999</v>
      </c>
    </row>
    <row r="107" spans="1:10" s="332" customFormat="1" ht="15" x14ac:dyDescent="0.25">
      <c r="A107" s="334"/>
      <c r="B107" s="409"/>
      <c r="C107" s="409"/>
      <c r="D107" s="409"/>
      <c r="E107" s="409"/>
      <c r="F107" s="409">
        <v>6.83</v>
      </c>
      <c r="G107" s="409">
        <v>2.9</v>
      </c>
      <c r="H107" s="410">
        <f t="shared" si="7"/>
        <v>19.806999999999999</v>
      </c>
      <c r="I107" s="147"/>
      <c r="J107" s="180">
        <f t="shared" si="6"/>
        <v>19.806999999999999</v>
      </c>
    </row>
    <row r="108" spans="1:10" s="332" customFormat="1" ht="15" x14ac:dyDescent="0.25">
      <c r="A108" s="334"/>
      <c r="B108" s="409"/>
      <c r="C108" s="409"/>
      <c r="D108" s="409"/>
      <c r="E108" s="409"/>
      <c r="F108" s="409">
        <v>7.32</v>
      </c>
      <c r="G108" s="409">
        <v>2.9</v>
      </c>
      <c r="H108" s="410">
        <f t="shared" si="7"/>
        <v>21.228000000000002</v>
      </c>
      <c r="I108" s="147"/>
      <c r="J108" s="180">
        <f t="shared" si="6"/>
        <v>21.228000000000002</v>
      </c>
    </row>
    <row r="109" spans="1:10" s="332" customFormat="1" ht="15" x14ac:dyDescent="0.25">
      <c r="A109" s="334"/>
      <c r="B109" s="409"/>
      <c r="C109" s="409"/>
      <c r="D109" s="409"/>
      <c r="E109" s="409"/>
      <c r="F109" s="409">
        <v>7.32</v>
      </c>
      <c r="G109" s="409">
        <v>2.9</v>
      </c>
      <c r="H109" s="410">
        <v>10.78</v>
      </c>
      <c r="I109" s="147"/>
      <c r="J109" s="180">
        <f t="shared" si="6"/>
        <v>10.78</v>
      </c>
    </row>
    <row r="110" spans="1:10" s="332" customFormat="1" ht="15" x14ac:dyDescent="0.25">
      <c r="A110" s="334"/>
      <c r="B110" s="409"/>
      <c r="C110" s="409"/>
      <c r="D110" s="409"/>
      <c r="E110" s="409"/>
      <c r="F110" s="409">
        <v>7.32</v>
      </c>
      <c r="G110" s="409">
        <v>6.83</v>
      </c>
      <c r="H110" s="410">
        <f t="shared" si="7"/>
        <v>49.995600000000003</v>
      </c>
      <c r="I110" s="147"/>
      <c r="J110" s="180">
        <f t="shared" si="6"/>
        <v>49.995600000000003</v>
      </c>
    </row>
    <row r="111" spans="1:10" s="332" customFormat="1" ht="15" x14ac:dyDescent="0.25">
      <c r="A111" s="334"/>
      <c r="B111" s="409" t="s">
        <v>651</v>
      </c>
      <c r="C111" s="409"/>
      <c r="D111" s="409"/>
      <c r="E111" s="409"/>
      <c r="F111" s="409">
        <v>6.83</v>
      </c>
      <c r="G111" s="409">
        <v>2.9</v>
      </c>
      <c r="H111" s="410">
        <f t="shared" si="7"/>
        <v>19.806999999999999</v>
      </c>
      <c r="I111" s="147"/>
      <c r="J111" s="180">
        <f t="shared" si="6"/>
        <v>19.806999999999999</v>
      </c>
    </row>
    <row r="112" spans="1:10" s="332" customFormat="1" ht="15" x14ac:dyDescent="0.25">
      <c r="A112" s="334"/>
      <c r="B112" s="409"/>
      <c r="C112" s="409"/>
      <c r="D112" s="409"/>
      <c r="E112" s="409"/>
      <c r="F112" s="409">
        <v>6.83</v>
      </c>
      <c r="G112" s="409">
        <v>2.9</v>
      </c>
      <c r="H112" s="410">
        <f t="shared" si="7"/>
        <v>19.806999999999999</v>
      </c>
      <c r="I112" s="147"/>
      <c r="J112" s="180">
        <f t="shared" si="6"/>
        <v>19.806999999999999</v>
      </c>
    </row>
    <row r="113" spans="1:10" s="332" customFormat="1" ht="15" x14ac:dyDescent="0.25">
      <c r="A113" s="334"/>
      <c r="B113" s="409"/>
      <c r="C113" s="409"/>
      <c r="D113" s="409"/>
      <c r="E113" s="409"/>
      <c r="F113" s="409">
        <v>7.52</v>
      </c>
      <c r="G113" s="409">
        <v>2.9</v>
      </c>
      <c r="H113" s="410">
        <f t="shared" si="7"/>
        <v>21.808</v>
      </c>
      <c r="I113" s="147"/>
      <c r="J113" s="180">
        <f t="shared" si="6"/>
        <v>21.808</v>
      </c>
    </row>
    <row r="114" spans="1:10" s="332" customFormat="1" ht="15" x14ac:dyDescent="0.25">
      <c r="A114" s="334"/>
      <c r="B114" s="409"/>
      <c r="C114" s="409"/>
      <c r="D114" s="409"/>
      <c r="E114" s="409"/>
      <c r="F114" s="409">
        <v>7.52</v>
      </c>
      <c r="G114" s="409">
        <v>2.9</v>
      </c>
      <c r="H114" s="410">
        <v>11.308</v>
      </c>
      <c r="I114" s="147"/>
      <c r="J114" s="180">
        <f t="shared" si="6"/>
        <v>11.308</v>
      </c>
    </row>
    <row r="115" spans="1:10" s="332" customFormat="1" ht="15" x14ac:dyDescent="0.25">
      <c r="A115" s="334"/>
      <c r="B115" s="409"/>
      <c r="C115" s="409"/>
      <c r="D115" s="409"/>
      <c r="E115" s="409"/>
      <c r="F115" s="409">
        <v>7.52</v>
      </c>
      <c r="G115" s="409">
        <v>6.83</v>
      </c>
      <c r="H115" s="410">
        <f t="shared" si="7"/>
        <v>51.361599999999996</v>
      </c>
      <c r="I115" s="147"/>
      <c r="J115" s="180">
        <f t="shared" si="6"/>
        <v>51.361599999999996</v>
      </c>
    </row>
    <row r="116" spans="1:10" s="332" customFormat="1" ht="15" x14ac:dyDescent="0.25">
      <c r="A116" s="334"/>
      <c r="B116" s="409" t="s">
        <v>652</v>
      </c>
      <c r="C116" s="409"/>
      <c r="D116" s="409"/>
      <c r="E116" s="409"/>
      <c r="F116" s="409" t="s">
        <v>653</v>
      </c>
      <c r="G116" s="409" t="s">
        <v>654</v>
      </c>
      <c r="H116" s="409" t="s">
        <v>655</v>
      </c>
      <c r="I116" s="147"/>
      <c r="J116" s="180" t="str">
        <f t="shared" si="6"/>
        <v xml:space="preserve"> A</v>
      </c>
    </row>
    <row r="117" spans="1:10" s="332" customFormat="1" ht="15" x14ac:dyDescent="0.25">
      <c r="A117" s="334"/>
      <c r="B117" s="409"/>
      <c r="C117" s="409"/>
      <c r="D117" s="409"/>
      <c r="E117" s="409"/>
      <c r="F117" s="409">
        <v>6.83</v>
      </c>
      <c r="G117" s="409">
        <v>2.9</v>
      </c>
      <c r="H117" s="410">
        <f>F117*G117</f>
        <v>19.806999999999999</v>
      </c>
      <c r="I117" s="147"/>
      <c r="J117" s="180">
        <f t="shared" si="6"/>
        <v>19.806999999999999</v>
      </c>
    </row>
    <row r="118" spans="1:10" s="332" customFormat="1" ht="15" x14ac:dyDescent="0.25">
      <c r="A118" s="334"/>
      <c r="B118" s="409"/>
      <c r="C118" s="409"/>
      <c r="D118" s="409"/>
      <c r="E118" s="409"/>
      <c r="F118" s="409">
        <v>6.83</v>
      </c>
      <c r="G118" s="409">
        <v>2.9</v>
      </c>
      <c r="H118" s="410">
        <f>F118*G118</f>
        <v>19.806999999999999</v>
      </c>
      <c r="I118" s="147"/>
      <c r="J118" s="180">
        <f t="shared" si="6"/>
        <v>19.806999999999999</v>
      </c>
    </row>
    <row r="119" spans="1:10" s="332" customFormat="1" ht="15" x14ac:dyDescent="0.25">
      <c r="A119" s="334"/>
      <c r="B119" s="409"/>
      <c r="C119" s="409"/>
      <c r="D119" s="409"/>
      <c r="E119" s="409"/>
      <c r="F119" s="409">
        <v>7.47</v>
      </c>
      <c r="G119" s="409">
        <v>2.9</v>
      </c>
      <c r="H119" s="410">
        <f t="shared" ref="H119:H136" si="8">F119*G119</f>
        <v>21.663</v>
      </c>
      <c r="I119" s="147"/>
      <c r="J119" s="180">
        <f t="shared" si="6"/>
        <v>21.663</v>
      </c>
    </row>
    <row r="120" spans="1:10" s="332" customFormat="1" ht="15" x14ac:dyDescent="0.25">
      <c r="A120" s="334"/>
      <c r="B120" s="409"/>
      <c r="C120" s="409"/>
      <c r="D120" s="409"/>
      <c r="E120" s="409"/>
      <c r="F120" s="409">
        <v>7.47</v>
      </c>
      <c r="G120" s="409">
        <v>2.9</v>
      </c>
      <c r="H120" s="410">
        <v>11.16</v>
      </c>
      <c r="I120" s="147"/>
      <c r="J120" s="180">
        <f t="shared" si="6"/>
        <v>11.16</v>
      </c>
    </row>
    <row r="121" spans="1:10" s="332" customFormat="1" ht="15" x14ac:dyDescent="0.25">
      <c r="A121" s="334"/>
      <c r="B121" s="409"/>
      <c r="C121" s="409"/>
      <c r="D121" s="409"/>
      <c r="E121" s="409"/>
      <c r="F121" s="409">
        <v>7.47</v>
      </c>
      <c r="G121" s="409">
        <v>6.83</v>
      </c>
      <c r="H121" s="410">
        <f t="shared" si="8"/>
        <v>51.020099999999999</v>
      </c>
      <c r="I121" s="147"/>
      <c r="J121" s="180">
        <f t="shared" si="6"/>
        <v>51.020099999999999</v>
      </c>
    </row>
    <row r="122" spans="1:10" s="332" customFormat="1" ht="15" x14ac:dyDescent="0.25">
      <c r="A122" s="334"/>
      <c r="B122" s="409" t="s">
        <v>656</v>
      </c>
      <c r="C122" s="409"/>
      <c r="D122" s="409"/>
      <c r="E122" s="409"/>
      <c r="F122" s="409">
        <v>6.83</v>
      </c>
      <c r="G122" s="409">
        <v>2.9</v>
      </c>
      <c r="H122" s="410">
        <f t="shared" si="8"/>
        <v>19.806999999999999</v>
      </c>
      <c r="I122" s="147"/>
      <c r="J122" s="180">
        <f t="shared" si="6"/>
        <v>19.806999999999999</v>
      </c>
    </row>
    <row r="123" spans="1:10" s="332" customFormat="1" ht="15" x14ac:dyDescent="0.25">
      <c r="A123" s="334"/>
      <c r="B123" s="409"/>
      <c r="C123" s="409"/>
      <c r="D123" s="409"/>
      <c r="E123" s="409"/>
      <c r="F123" s="409">
        <v>6.83</v>
      </c>
      <c r="G123" s="409">
        <v>2.9</v>
      </c>
      <c r="H123" s="410">
        <f t="shared" si="8"/>
        <v>19.806999999999999</v>
      </c>
      <c r="I123" s="147"/>
      <c r="J123" s="180">
        <f t="shared" si="6"/>
        <v>19.806999999999999</v>
      </c>
    </row>
    <row r="124" spans="1:10" s="332" customFormat="1" ht="15" x14ac:dyDescent="0.25">
      <c r="A124" s="334"/>
      <c r="B124" s="409"/>
      <c r="C124" s="409"/>
      <c r="D124" s="409"/>
      <c r="E124" s="409"/>
      <c r="F124" s="409">
        <v>7.45</v>
      </c>
      <c r="G124" s="409">
        <v>2.9</v>
      </c>
      <c r="H124" s="410">
        <f t="shared" si="8"/>
        <v>21.605</v>
      </c>
      <c r="I124" s="147"/>
      <c r="J124" s="180">
        <f t="shared" si="6"/>
        <v>21.605</v>
      </c>
    </row>
    <row r="125" spans="1:10" s="332" customFormat="1" ht="15" x14ac:dyDescent="0.25">
      <c r="A125" s="334"/>
      <c r="B125" s="409"/>
      <c r="C125" s="409"/>
      <c r="D125" s="409"/>
      <c r="E125" s="409"/>
      <c r="F125" s="409">
        <v>7.45</v>
      </c>
      <c r="G125" s="409">
        <v>2.9</v>
      </c>
      <c r="H125" s="410">
        <v>11.1</v>
      </c>
      <c r="I125" s="147"/>
      <c r="J125" s="180">
        <f t="shared" si="6"/>
        <v>11.1</v>
      </c>
    </row>
    <row r="126" spans="1:10" s="332" customFormat="1" ht="15" x14ac:dyDescent="0.25">
      <c r="A126" s="334"/>
      <c r="B126" s="409"/>
      <c r="C126" s="409"/>
      <c r="D126" s="409"/>
      <c r="E126" s="409"/>
      <c r="F126" s="409">
        <v>7.45</v>
      </c>
      <c r="G126" s="409">
        <v>6.83</v>
      </c>
      <c r="H126" s="410">
        <f t="shared" si="8"/>
        <v>50.883500000000005</v>
      </c>
      <c r="I126" s="147"/>
      <c r="J126" s="180">
        <f t="shared" si="6"/>
        <v>50.883500000000005</v>
      </c>
    </row>
    <row r="127" spans="1:10" s="332" customFormat="1" ht="15" x14ac:dyDescent="0.25">
      <c r="A127" s="334"/>
      <c r="B127" s="409" t="s">
        <v>657</v>
      </c>
      <c r="C127" s="409"/>
      <c r="D127" s="409"/>
      <c r="E127" s="409"/>
      <c r="F127" s="409">
        <v>6.83</v>
      </c>
      <c r="G127" s="409">
        <v>2.9</v>
      </c>
      <c r="H127" s="410">
        <f>F127*G127</f>
        <v>19.806999999999999</v>
      </c>
      <c r="I127" s="147"/>
      <c r="J127" s="180">
        <f t="shared" si="6"/>
        <v>19.806999999999999</v>
      </c>
    </row>
    <row r="128" spans="1:10" s="332" customFormat="1" ht="15" x14ac:dyDescent="0.25">
      <c r="A128" s="334"/>
      <c r="B128" s="409"/>
      <c r="C128" s="409"/>
      <c r="D128" s="409"/>
      <c r="E128" s="409"/>
      <c r="F128" s="409">
        <v>6.83</v>
      </c>
      <c r="G128" s="409">
        <v>2.9</v>
      </c>
      <c r="H128" s="410">
        <f>F128*G128</f>
        <v>19.806999999999999</v>
      </c>
      <c r="I128" s="147"/>
      <c r="J128" s="180">
        <f t="shared" si="6"/>
        <v>19.806999999999999</v>
      </c>
    </row>
    <row r="129" spans="1:10" s="332" customFormat="1" ht="15" x14ac:dyDescent="0.25">
      <c r="A129" s="334"/>
      <c r="B129" s="409"/>
      <c r="C129" s="409"/>
      <c r="D129" s="409"/>
      <c r="E129" s="409"/>
      <c r="F129" s="409">
        <v>7.48</v>
      </c>
      <c r="G129" s="409">
        <v>2.9</v>
      </c>
      <c r="H129" s="410">
        <f>F129*G129</f>
        <v>21.692</v>
      </c>
      <c r="I129" s="147"/>
      <c r="J129" s="180">
        <f t="shared" si="6"/>
        <v>21.692</v>
      </c>
    </row>
    <row r="130" spans="1:10" s="332" customFormat="1" ht="15" x14ac:dyDescent="0.25">
      <c r="A130" s="334"/>
      <c r="B130" s="409"/>
      <c r="C130" s="409"/>
      <c r="D130" s="409"/>
      <c r="E130" s="409"/>
      <c r="F130" s="409">
        <v>7.48</v>
      </c>
      <c r="G130" s="409">
        <v>2.9</v>
      </c>
      <c r="H130" s="410">
        <v>11.192</v>
      </c>
      <c r="I130" s="147"/>
      <c r="J130" s="180">
        <f t="shared" ref="J130:J193" si="9">H130</f>
        <v>11.192</v>
      </c>
    </row>
    <row r="131" spans="1:10" s="332" customFormat="1" ht="15" x14ac:dyDescent="0.25">
      <c r="A131" s="334"/>
      <c r="B131" s="409"/>
      <c r="C131" s="409"/>
      <c r="D131" s="409"/>
      <c r="E131" s="409"/>
      <c r="F131" s="409">
        <v>7.48</v>
      </c>
      <c r="G131" s="409">
        <v>6.83</v>
      </c>
      <c r="H131" s="410">
        <f t="shared" si="8"/>
        <v>51.0884</v>
      </c>
      <c r="I131" s="147"/>
      <c r="J131" s="180">
        <f t="shared" si="9"/>
        <v>51.0884</v>
      </c>
    </row>
    <row r="132" spans="1:10" s="332" customFormat="1" ht="15" x14ac:dyDescent="0.25">
      <c r="A132" s="334"/>
      <c r="B132" s="409" t="s">
        <v>658</v>
      </c>
      <c r="C132" s="409"/>
      <c r="D132" s="409"/>
      <c r="E132" s="409"/>
      <c r="F132" s="409">
        <v>6.83</v>
      </c>
      <c r="G132" s="409">
        <v>2.9</v>
      </c>
      <c r="H132" s="410">
        <f t="shared" si="8"/>
        <v>19.806999999999999</v>
      </c>
      <c r="I132" s="147"/>
      <c r="J132" s="180">
        <f t="shared" si="9"/>
        <v>19.806999999999999</v>
      </c>
    </row>
    <row r="133" spans="1:10" s="332" customFormat="1" ht="15" x14ac:dyDescent="0.25">
      <c r="A133" s="334"/>
      <c r="B133" s="409"/>
      <c r="C133" s="409"/>
      <c r="D133" s="409"/>
      <c r="E133" s="409"/>
      <c r="F133" s="409">
        <v>6.83</v>
      </c>
      <c r="G133" s="409">
        <v>2.9</v>
      </c>
      <c r="H133" s="410">
        <f t="shared" si="8"/>
        <v>19.806999999999999</v>
      </c>
      <c r="I133" s="147"/>
      <c r="J133" s="180">
        <f t="shared" si="9"/>
        <v>19.806999999999999</v>
      </c>
    </row>
    <row r="134" spans="1:10" s="332" customFormat="1" ht="15" x14ac:dyDescent="0.25">
      <c r="A134" s="334"/>
      <c r="B134" s="409"/>
      <c r="C134" s="409"/>
      <c r="D134" s="409"/>
      <c r="E134" s="409"/>
      <c r="F134" s="409">
        <v>7.48</v>
      </c>
      <c r="G134" s="409">
        <v>2.9</v>
      </c>
      <c r="H134" s="410">
        <f t="shared" si="8"/>
        <v>21.692</v>
      </c>
      <c r="I134" s="147"/>
      <c r="J134" s="180">
        <f t="shared" si="9"/>
        <v>21.692</v>
      </c>
    </row>
    <row r="135" spans="1:10" s="332" customFormat="1" ht="15" x14ac:dyDescent="0.25">
      <c r="A135" s="334"/>
      <c r="B135" s="409"/>
      <c r="C135" s="409"/>
      <c r="D135" s="409"/>
      <c r="E135" s="409"/>
      <c r="F135" s="409">
        <v>7.48</v>
      </c>
      <c r="G135" s="409">
        <v>2.9</v>
      </c>
      <c r="H135" s="410">
        <v>11.192</v>
      </c>
      <c r="I135" s="147"/>
      <c r="J135" s="180">
        <f t="shared" si="9"/>
        <v>11.192</v>
      </c>
    </row>
    <row r="136" spans="1:10" s="332" customFormat="1" ht="15" x14ac:dyDescent="0.25">
      <c r="A136" s="334"/>
      <c r="B136" s="409"/>
      <c r="C136" s="409"/>
      <c r="D136" s="409"/>
      <c r="E136" s="409"/>
      <c r="F136" s="409">
        <v>7.48</v>
      </c>
      <c r="G136" s="409">
        <v>6.83</v>
      </c>
      <c r="H136" s="410">
        <f t="shared" si="8"/>
        <v>51.0884</v>
      </c>
      <c r="I136" s="147"/>
      <c r="J136" s="180">
        <f t="shared" si="9"/>
        <v>51.0884</v>
      </c>
    </row>
    <row r="137" spans="1:10" s="332" customFormat="1" ht="15" x14ac:dyDescent="0.25">
      <c r="A137" s="334"/>
      <c r="B137" s="409" t="s">
        <v>563</v>
      </c>
      <c r="C137" s="409"/>
      <c r="D137" s="409"/>
      <c r="E137" s="409"/>
      <c r="F137" s="409"/>
      <c r="G137" s="409"/>
      <c r="H137" s="410">
        <v>442.10700000000003</v>
      </c>
      <c r="I137" s="147"/>
      <c r="J137" s="180">
        <f t="shared" si="9"/>
        <v>442.10700000000003</v>
      </c>
    </row>
    <row r="138" spans="1:10" s="332" customFormat="1" ht="15" x14ac:dyDescent="0.25">
      <c r="A138" s="334"/>
      <c r="B138" s="409"/>
      <c r="C138" s="409"/>
      <c r="D138" s="409"/>
      <c r="E138" s="409"/>
      <c r="F138" s="409"/>
      <c r="G138" s="409"/>
      <c r="H138" s="410">
        <f>173.68+78.67+10.31</f>
        <v>262.66000000000003</v>
      </c>
      <c r="I138" s="147"/>
      <c r="J138" s="180">
        <f t="shared" si="9"/>
        <v>262.66000000000003</v>
      </c>
    </row>
    <row r="139" spans="1:10" s="332" customFormat="1" ht="15" x14ac:dyDescent="0.25">
      <c r="A139" s="334"/>
      <c r="B139" s="409" t="s">
        <v>659</v>
      </c>
      <c r="C139" s="409"/>
      <c r="D139" s="409"/>
      <c r="E139" s="409"/>
      <c r="F139" s="409" t="s">
        <v>492</v>
      </c>
      <c r="G139" s="409" t="s">
        <v>654</v>
      </c>
      <c r="H139" s="409" t="s">
        <v>642</v>
      </c>
      <c r="I139" s="147"/>
      <c r="J139" s="180" t="str">
        <f t="shared" si="9"/>
        <v>A</v>
      </c>
    </row>
    <row r="140" spans="1:10" s="332" customFormat="1" ht="15" x14ac:dyDescent="0.25">
      <c r="A140" s="334"/>
      <c r="B140" s="409"/>
      <c r="C140" s="409"/>
      <c r="D140" s="409"/>
      <c r="E140" s="409"/>
      <c r="F140" s="409">
        <v>11.28</v>
      </c>
      <c r="G140" s="409">
        <v>2.9</v>
      </c>
      <c r="H140" s="410">
        <f>F140*G140</f>
        <v>32.711999999999996</v>
      </c>
      <c r="I140" s="147"/>
      <c r="J140" s="180">
        <f t="shared" si="9"/>
        <v>32.711999999999996</v>
      </c>
    </row>
    <row r="141" spans="1:10" s="332" customFormat="1" ht="15" x14ac:dyDescent="0.25">
      <c r="A141" s="334"/>
      <c r="B141" s="409"/>
      <c r="C141" s="409"/>
      <c r="D141" s="409"/>
      <c r="E141" s="409"/>
      <c r="F141" s="409">
        <v>11.28</v>
      </c>
      <c r="G141" s="409">
        <v>2.9</v>
      </c>
      <c r="H141" s="410">
        <v>27.783999999999999</v>
      </c>
      <c r="I141" s="147"/>
      <c r="J141" s="180">
        <f t="shared" si="9"/>
        <v>27.783999999999999</v>
      </c>
    </row>
    <row r="142" spans="1:10" s="332" customFormat="1" ht="15" x14ac:dyDescent="0.25">
      <c r="A142" s="334"/>
      <c r="B142" s="409"/>
      <c r="C142" s="409"/>
      <c r="D142" s="409"/>
      <c r="E142" s="409"/>
      <c r="F142" s="409">
        <v>6.95</v>
      </c>
      <c r="G142" s="409">
        <v>2.9</v>
      </c>
      <c r="H142" s="410">
        <f>F142*G142</f>
        <v>20.155000000000001</v>
      </c>
      <c r="I142" s="147"/>
      <c r="J142" s="180">
        <f t="shared" si="9"/>
        <v>20.155000000000001</v>
      </c>
    </row>
    <row r="143" spans="1:10" s="332" customFormat="1" ht="15" x14ac:dyDescent="0.25">
      <c r="A143" s="334"/>
      <c r="B143" s="409"/>
      <c r="C143" s="409"/>
      <c r="D143" s="409"/>
      <c r="E143" s="409"/>
      <c r="F143" s="409">
        <v>6.95</v>
      </c>
      <c r="G143" s="409">
        <v>2.9</v>
      </c>
      <c r="H143" s="410">
        <v>11.895</v>
      </c>
      <c r="I143" s="147"/>
      <c r="J143" s="180">
        <f t="shared" si="9"/>
        <v>11.895</v>
      </c>
    </row>
    <row r="144" spans="1:10" s="332" customFormat="1" ht="15" x14ac:dyDescent="0.25">
      <c r="A144" s="334"/>
      <c r="B144" s="409"/>
      <c r="C144" s="409"/>
      <c r="D144" s="409"/>
      <c r="E144" s="409"/>
      <c r="F144" s="409">
        <v>6.95</v>
      </c>
      <c r="G144" s="409">
        <v>11.28</v>
      </c>
      <c r="H144" s="410">
        <f t="shared" ref="H144" si="10">F144*G144</f>
        <v>78.396000000000001</v>
      </c>
      <c r="I144" s="147"/>
      <c r="J144" s="180">
        <f t="shared" si="9"/>
        <v>78.396000000000001</v>
      </c>
    </row>
    <row r="145" spans="1:10" s="332" customFormat="1" ht="15" x14ac:dyDescent="0.25">
      <c r="A145" s="334"/>
      <c r="B145" s="409" t="s">
        <v>660</v>
      </c>
      <c r="C145" s="409"/>
      <c r="D145" s="409"/>
      <c r="E145" s="409"/>
      <c r="F145" s="409">
        <v>3.59</v>
      </c>
      <c r="G145" s="409">
        <v>2.9</v>
      </c>
      <c r="H145" s="410">
        <f>F145*G145</f>
        <v>10.411</v>
      </c>
      <c r="I145" s="147"/>
      <c r="J145" s="180">
        <f t="shared" si="9"/>
        <v>10.411</v>
      </c>
    </row>
    <row r="146" spans="1:10" s="332" customFormat="1" ht="15" x14ac:dyDescent="0.25">
      <c r="A146" s="334"/>
      <c r="B146" s="409"/>
      <c r="C146" s="409"/>
      <c r="D146" s="409"/>
      <c r="E146" s="409"/>
      <c r="F146" s="409">
        <v>3.59</v>
      </c>
      <c r="G146" s="409">
        <v>2.9</v>
      </c>
      <c r="H146" s="410">
        <f>F146*G146</f>
        <v>10.411</v>
      </c>
      <c r="I146" s="147"/>
      <c r="J146" s="180">
        <f t="shared" si="9"/>
        <v>10.411</v>
      </c>
    </row>
    <row r="147" spans="1:10" s="332" customFormat="1" ht="15" x14ac:dyDescent="0.25">
      <c r="A147" s="334"/>
      <c r="B147" s="409"/>
      <c r="C147" s="409"/>
      <c r="D147" s="409"/>
      <c r="E147" s="409"/>
      <c r="F147" s="409">
        <v>3.53</v>
      </c>
      <c r="G147" s="409">
        <v>2.9</v>
      </c>
      <c r="H147" s="410">
        <f>F147*G147</f>
        <v>10.236999999999998</v>
      </c>
      <c r="I147" s="147"/>
      <c r="J147" s="180">
        <f t="shared" si="9"/>
        <v>10.236999999999998</v>
      </c>
    </row>
    <row r="148" spans="1:10" s="332" customFormat="1" ht="15" x14ac:dyDescent="0.25">
      <c r="A148" s="334"/>
      <c r="B148" s="409"/>
      <c r="C148" s="409"/>
      <c r="D148" s="409"/>
      <c r="E148" s="409"/>
      <c r="F148" s="409">
        <v>3.53</v>
      </c>
      <c r="G148" s="409">
        <v>2.9</v>
      </c>
      <c r="H148" s="410">
        <f>F148*G148-(1.5*1.53)</f>
        <v>7.9419999999999984</v>
      </c>
      <c r="I148" s="147"/>
      <c r="J148" s="180">
        <f t="shared" si="9"/>
        <v>7.9419999999999984</v>
      </c>
    </row>
    <row r="149" spans="1:10" s="332" customFormat="1" ht="15" x14ac:dyDescent="0.25">
      <c r="A149" s="334"/>
      <c r="B149" s="409"/>
      <c r="C149" s="409"/>
      <c r="D149" s="409"/>
      <c r="E149" s="409"/>
      <c r="F149" s="409">
        <v>3.53</v>
      </c>
      <c r="G149" s="409">
        <v>3.59</v>
      </c>
      <c r="H149" s="410">
        <f>F149*G149</f>
        <v>12.672699999999999</v>
      </c>
      <c r="I149" s="147"/>
      <c r="J149" s="180">
        <f t="shared" si="9"/>
        <v>12.672699999999999</v>
      </c>
    </row>
    <row r="150" spans="1:10" s="332" customFormat="1" ht="15" x14ac:dyDescent="0.25">
      <c r="A150" s="334"/>
      <c r="B150" s="409" t="s">
        <v>661</v>
      </c>
      <c r="C150" s="409"/>
      <c r="D150" s="409"/>
      <c r="E150" s="409"/>
      <c r="F150" s="409">
        <v>3.59</v>
      </c>
      <c r="G150" s="409">
        <v>2.9</v>
      </c>
      <c r="H150" s="410">
        <f>F150*G150</f>
        <v>10.411</v>
      </c>
      <c r="I150" s="147"/>
      <c r="J150" s="180">
        <f t="shared" si="9"/>
        <v>10.411</v>
      </c>
    </row>
    <row r="151" spans="1:10" s="332" customFormat="1" ht="15" x14ac:dyDescent="0.25">
      <c r="A151" s="334"/>
      <c r="B151" s="409"/>
      <c r="C151" s="409"/>
      <c r="D151" s="409"/>
      <c r="E151" s="409"/>
      <c r="F151" s="409">
        <v>3.59</v>
      </c>
      <c r="G151" s="409">
        <v>2.9</v>
      </c>
      <c r="H151" s="410">
        <f>F151*G151-(2.7+1.7)</f>
        <v>6.0109999999999992</v>
      </c>
      <c r="I151" s="147"/>
      <c r="J151" s="180">
        <f t="shared" si="9"/>
        <v>6.0109999999999992</v>
      </c>
    </row>
    <row r="152" spans="1:10" s="332" customFormat="1" ht="15" x14ac:dyDescent="0.25">
      <c r="A152" s="334"/>
      <c r="B152" s="409"/>
      <c r="C152" s="409"/>
      <c r="D152" s="409"/>
      <c r="E152" s="409"/>
      <c r="F152" s="409">
        <v>4.1500000000000004</v>
      </c>
      <c r="G152" s="409">
        <v>2.9</v>
      </c>
      <c r="H152" s="410">
        <f>F152*G152-(2.52*1.43)</f>
        <v>8.4314</v>
      </c>
      <c r="I152" s="147"/>
      <c r="J152" s="180">
        <f t="shared" si="9"/>
        <v>8.4314</v>
      </c>
    </row>
    <row r="153" spans="1:10" s="332" customFormat="1" ht="15" x14ac:dyDescent="0.25">
      <c r="A153" s="334"/>
      <c r="B153" s="409"/>
      <c r="C153" s="409"/>
      <c r="D153" s="409"/>
      <c r="E153" s="409"/>
      <c r="F153" s="409">
        <v>4.1500000000000004</v>
      </c>
      <c r="G153" s="409">
        <v>2.9</v>
      </c>
      <c r="H153" s="410">
        <f>F153*G153-(1.5*1.53)</f>
        <v>9.74</v>
      </c>
      <c r="I153" s="147"/>
      <c r="J153" s="180">
        <f t="shared" si="9"/>
        <v>9.74</v>
      </c>
    </row>
    <row r="154" spans="1:10" s="332" customFormat="1" ht="15" x14ac:dyDescent="0.25">
      <c r="A154" s="334"/>
      <c r="B154" s="409"/>
      <c r="C154" s="409"/>
      <c r="D154" s="409"/>
      <c r="E154" s="409"/>
      <c r="F154" s="409">
        <v>3.59</v>
      </c>
      <c r="G154" s="409">
        <v>4.1500000000000004</v>
      </c>
      <c r="H154" s="410">
        <f>F154*G154</f>
        <v>14.8985</v>
      </c>
      <c r="I154" s="147"/>
      <c r="J154" s="180">
        <f t="shared" si="9"/>
        <v>14.8985</v>
      </c>
    </row>
    <row r="155" spans="1:10" s="332" customFormat="1" ht="15" x14ac:dyDescent="0.25">
      <c r="A155" s="334"/>
      <c r="B155" s="409" t="s">
        <v>662</v>
      </c>
      <c r="C155" s="409"/>
      <c r="D155" s="409"/>
      <c r="E155" s="409"/>
      <c r="F155" s="409">
        <v>3.68</v>
      </c>
      <c r="G155" s="410">
        <v>1</v>
      </c>
      <c r="H155" s="410">
        <f>F155*G155</f>
        <v>3.68</v>
      </c>
      <c r="I155" s="147"/>
      <c r="J155" s="180">
        <f t="shared" si="9"/>
        <v>3.68</v>
      </c>
    </row>
    <row r="156" spans="1:10" s="332" customFormat="1" ht="15" x14ac:dyDescent="0.25">
      <c r="A156" s="334"/>
      <c r="B156" s="409"/>
      <c r="C156" s="409"/>
      <c r="D156" s="409"/>
      <c r="E156" s="409"/>
      <c r="F156" s="409">
        <v>3.68</v>
      </c>
      <c r="G156" s="410">
        <v>1</v>
      </c>
      <c r="H156" s="410">
        <f>F156*G156-(3.5*0.8)</f>
        <v>0.87999999999999989</v>
      </c>
      <c r="I156" s="147"/>
      <c r="J156" s="180">
        <f t="shared" si="9"/>
        <v>0.87999999999999989</v>
      </c>
    </row>
    <row r="157" spans="1:10" s="332" customFormat="1" ht="15" x14ac:dyDescent="0.25">
      <c r="A157" s="334"/>
      <c r="B157" s="409"/>
      <c r="C157" s="409"/>
      <c r="D157" s="409"/>
      <c r="E157" s="409"/>
      <c r="F157" s="409">
        <v>6.83</v>
      </c>
      <c r="G157" s="410">
        <v>1</v>
      </c>
      <c r="H157" s="410">
        <f t="shared" ref="H157:H158" si="11">F157*G157</f>
        <v>6.83</v>
      </c>
      <c r="I157" s="147"/>
      <c r="J157" s="180">
        <f t="shared" si="9"/>
        <v>6.83</v>
      </c>
    </row>
    <row r="158" spans="1:10" s="332" customFormat="1" ht="15" x14ac:dyDescent="0.25">
      <c r="A158" s="334"/>
      <c r="B158" s="409"/>
      <c r="C158" s="409"/>
      <c r="D158" s="409"/>
      <c r="E158" s="409"/>
      <c r="F158" s="409">
        <v>6.83</v>
      </c>
      <c r="G158" s="410">
        <v>1</v>
      </c>
      <c r="H158" s="410">
        <f t="shared" si="11"/>
        <v>6.83</v>
      </c>
      <c r="I158" s="147"/>
      <c r="J158" s="180">
        <f t="shared" si="9"/>
        <v>6.83</v>
      </c>
    </row>
    <row r="159" spans="1:10" s="332" customFormat="1" ht="15" x14ac:dyDescent="0.25">
      <c r="A159" s="334"/>
      <c r="B159" s="409"/>
      <c r="C159" s="409"/>
      <c r="D159" s="409"/>
      <c r="E159" s="409"/>
      <c r="F159" s="409">
        <v>3.68</v>
      </c>
      <c r="G159" s="409">
        <v>6.83</v>
      </c>
      <c r="H159" s="410">
        <f>F159*G159</f>
        <v>25.134400000000003</v>
      </c>
      <c r="I159" s="147"/>
      <c r="J159" s="180">
        <f t="shared" si="9"/>
        <v>25.134400000000003</v>
      </c>
    </row>
    <row r="160" spans="1:10" s="332" customFormat="1" ht="15" x14ac:dyDescent="0.25">
      <c r="A160" s="334"/>
      <c r="B160" s="409" t="s">
        <v>663</v>
      </c>
      <c r="C160" s="409"/>
      <c r="D160" s="409"/>
      <c r="E160" s="409"/>
      <c r="F160" s="409">
        <v>3.63</v>
      </c>
      <c r="G160" s="410">
        <v>1</v>
      </c>
      <c r="H160" s="410">
        <f>F160*G160</f>
        <v>3.63</v>
      </c>
      <c r="I160" s="147"/>
      <c r="J160" s="180">
        <f t="shared" si="9"/>
        <v>3.63</v>
      </c>
    </row>
    <row r="161" spans="1:10" s="332" customFormat="1" ht="15" x14ac:dyDescent="0.25">
      <c r="A161" s="334"/>
      <c r="B161" s="409"/>
      <c r="C161" s="409"/>
      <c r="D161" s="409"/>
      <c r="E161" s="409"/>
      <c r="F161" s="409">
        <v>3.63</v>
      </c>
      <c r="G161" s="410">
        <v>1</v>
      </c>
      <c r="H161" s="410">
        <f>F161*G161-(3.5*0.8)</f>
        <v>0.82999999999999963</v>
      </c>
      <c r="I161" s="147"/>
      <c r="J161" s="180">
        <f t="shared" si="9"/>
        <v>0.82999999999999963</v>
      </c>
    </row>
    <row r="162" spans="1:10" s="332" customFormat="1" ht="15" x14ac:dyDescent="0.25">
      <c r="A162" s="334"/>
      <c r="B162" s="409"/>
      <c r="C162" s="409"/>
      <c r="D162" s="409"/>
      <c r="E162" s="409"/>
      <c r="F162" s="409">
        <v>6.83</v>
      </c>
      <c r="G162" s="410">
        <v>1</v>
      </c>
      <c r="H162" s="410">
        <f t="shared" ref="H162:H163" si="12">F162*G162</f>
        <v>6.83</v>
      </c>
      <c r="I162" s="147"/>
      <c r="J162" s="180">
        <f t="shared" si="9"/>
        <v>6.83</v>
      </c>
    </row>
    <row r="163" spans="1:10" s="332" customFormat="1" ht="15" x14ac:dyDescent="0.25">
      <c r="A163" s="334"/>
      <c r="B163" s="409"/>
      <c r="C163" s="409"/>
      <c r="D163" s="409"/>
      <c r="E163" s="409"/>
      <c r="F163" s="409">
        <v>6.83</v>
      </c>
      <c r="G163" s="410">
        <v>1</v>
      </c>
      <c r="H163" s="410">
        <f t="shared" si="12"/>
        <v>6.83</v>
      </c>
      <c r="I163" s="147"/>
      <c r="J163" s="180">
        <f t="shared" si="9"/>
        <v>6.83</v>
      </c>
    </row>
    <row r="164" spans="1:10" s="332" customFormat="1" ht="15" x14ac:dyDescent="0.25">
      <c r="A164" s="334"/>
      <c r="B164" s="409"/>
      <c r="C164" s="409"/>
      <c r="D164" s="409"/>
      <c r="E164" s="409"/>
      <c r="F164" s="409">
        <v>3.63</v>
      </c>
      <c r="G164" s="409">
        <v>6.83</v>
      </c>
      <c r="H164" s="410">
        <f>F164*G164</f>
        <v>24.792899999999999</v>
      </c>
      <c r="I164" s="147"/>
      <c r="J164" s="180">
        <f t="shared" si="9"/>
        <v>24.792899999999999</v>
      </c>
    </row>
    <row r="165" spans="1:10" s="332" customFormat="1" ht="15" x14ac:dyDescent="0.25">
      <c r="A165" s="334"/>
      <c r="B165" s="409" t="s">
        <v>664</v>
      </c>
      <c r="C165" s="409"/>
      <c r="D165" s="409"/>
      <c r="E165" s="409"/>
      <c r="F165" s="409">
        <v>4.1100000000000003</v>
      </c>
      <c r="G165" s="410">
        <v>1.45</v>
      </c>
      <c r="H165" s="410">
        <f>F165*G165</f>
        <v>5.9595000000000002</v>
      </c>
      <c r="I165" s="147"/>
      <c r="J165" s="180">
        <f t="shared" si="9"/>
        <v>5.9595000000000002</v>
      </c>
    </row>
    <row r="166" spans="1:10" s="332" customFormat="1" ht="15" x14ac:dyDescent="0.25">
      <c r="A166" s="334"/>
      <c r="B166" s="408" t="s">
        <v>665</v>
      </c>
      <c r="C166" s="409"/>
      <c r="D166" s="409"/>
      <c r="E166" s="409"/>
      <c r="F166" s="409"/>
      <c r="G166" s="409"/>
      <c r="H166" s="409"/>
      <c r="I166" s="147"/>
      <c r="J166" s="180">
        <f t="shared" si="9"/>
        <v>0</v>
      </c>
    </row>
    <row r="167" spans="1:10" s="332" customFormat="1" ht="15" x14ac:dyDescent="0.25">
      <c r="A167" s="334"/>
      <c r="B167" s="409" t="s">
        <v>666</v>
      </c>
      <c r="C167" s="409"/>
      <c r="D167" s="409"/>
      <c r="E167" s="409"/>
      <c r="F167" s="409" t="s">
        <v>492</v>
      </c>
      <c r="G167" s="409" t="s">
        <v>641</v>
      </c>
      <c r="H167" s="409" t="s">
        <v>642</v>
      </c>
      <c r="I167" s="147"/>
      <c r="J167" s="180" t="str">
        <f t="shared" si="9"/>
        <v>A</v>
      </c>
    </row>
    <row r="168" spans="1:10" s="332" customFormat="1" ht="15" x14ac:dyDescent="0.25">
      <c r="A168" s="334"/>
      <c r="B168" s="409"/>
      <c r="C168" s="409"/>
      <c r="D168" s="409"/>
      <c r="E168" s="409"/>
      <c r="F168" s="409">
        <v>3.55</v>
      </c>
      <c r="G168" s="409">
        <v>2.9</v>
      </c>
      <c r="H168" s="410">
        <f>F168*G168</f>
        <v>10.295</v>
      </c>
      <c r="I168" s="147"/>
      <c r="J168" s="180">
        <f t="shared" si="9"/>
        <v>10.295</v>
      </c>
    </row>
    <row r="169" spans="1:10" s="332" customFormat="1" ht="15" x14ac:dyDescent="0.25">
      <c r="A169" s="334"/>
      <c r="B169" s="409"/>
      <c r="C169" s="409"/>
      <c r="D169" s="409"/>
      <c r="E169" s="409"/>
      <c r="F169" s="409">
        <v>3.55</v>
      </c>
      <c r="G169" s="409">
        <v>2.9</v>
      </c>
      <c r="H169" s="410">
        <f>F169*G169-(3.5*0.6)</f>
        <v>8.1950000000000003</v>
      </c>
      <c r="I169" s="147"/>
      <c r="J169" s="180">
        <f t="shared" si="9"/>
        <v>8.1950000000000003</v>
      </c>
    </row>
    <row r="170" spans="1:10" s="332" customFormat="1" ht="15" x14ac:dyDescent="0.25">
      <c r="A170" s="334"/>
      <c r="B170" s="409"/>
      <c r="C170" s="409"/>
      <c r="D170" s="409"/>
      <c r="E170" s="409"/>
      <c r="F170" s="409">
        <v>3.64</v>
      </c>
      <c r="G170" s="409">
        <v>2.9</v>
      </c>
      <c r="H170" s="410">
        <f t="shared" ref="H170" si="13">F170*G170</f>
        <v>10.555999999999999</v>
      </c>
      <c r="I170" s="147"/>
      <c r="J170" s="180">
        <f t="shared" si="9"/>
        <v>10.555999999999999</v>
      </c>
    </row>
    <row r="171" spans="1:10" s="332" customFormat="1" ht="15" x14ac:dyDescent="0.25">
      <c r="A171" s="334"/>
      <c r="B171" s="409"/>
      <c r="C171" s="409"/>
      <c r="D171" s="409"/>
      <c r="E171" s="409"/>
      <c r="F171" s="409">
        <v>3.64</v>
      </c>
      <c r="G171" s="409">
        <v>2.9</v>
      </c>
      <c r="H171" s="410">
        <f>F171*G171-(2.47*1.4)</f>
        <v>7.097999999999999</v>
      </c>
      <c r="I171" s="147"/>
      <c r="J171" s="180">
        <f t="shared" si="9"/>
        <v>7.097999999999999</v>
      </c>
    </row>
    <row r="172" spans="1:10" s="332" customFormat="1" ht="15" x14ac:dyDescent="0.25">
      <c r="A172" s="334"/>
      <c r="B172" s="409"/>
      <c r="C172" s="409"/>
      <c r="D172" s="409"/>
      <c r="E172" s="409"/>
      <c r="F172" s="411">
        <v>3.55</v>
      </c>
      <c r="G172" s="411">
        <v>3.64</v>
      </c>
      <c r="H172" s="412">
        <f>F172*G172</f>
        <v>12.922000000000001</v>
      </c>
      <c r="I172" s="147"/>
      <c r="J172" s="180">
        <f t="shared" si="9"/>
        <v>12.922000000000001</v>
      </c>
    </row>
    <row r="173" spans="1:10" s="332" customFormat="1" ht="15" x14ac:dyDescent="0.25">
      <c r="A173" s="334"/>
      <c r="B173" s="409" t="s">
        <v>667</v>
      </c>
      <c r="C173" s="409"/>
      <c r="D173" s="409"/>
      <c r="E173" s="409"/>
      <c r="F173" s="409">
        <v>2.2400000000000002</v>
      </c>
      <c r="G173" s="409">
        <v>2.9</v>
      </c>
      <c r="H173" s="410">
        <f t="shared" ref="H173:H186" si="14">F173*G173</f>
        <v>6.4960000000000004</v>
      </c>
      <c r="I173" s="147"/>
      <c r="J173" s="180">
        <f t="shared" si="9"/>
        <v>6.4960000000000004</v>
      </c>
    </row>
    <row r="174" spans="1:10" s="332" customFormat="1" ht="15" x14ac:dyDescent="0.25">
      <c r="A174" s="334"/>
      <c r="B174" s="409"/>
      <c r="C174" s="409"/>
      <c r="D174" s="409"/>
      <c r="E174" s="409"/>
      <c r="F174" s="409">
        <v>2.2400000000000002</v>
      </c>
      <c r="G174" s="409">
        <v>2.9</v>
      </c>
      <c r="H174" s="410">
        <f t="shared" si="14"/>
        <v>6.4960000000000004</v>
      </c>
      <c r="I174" s="147"/>
      <c r="J174" s="180">
        <f t="shared" si="9"/>
        <v>6.4960000000000004</v>
      </c>
    </row>
    <row r="175" spans="1:10" s="332" customFormat="1" ht="15" x14ac:dyDescent="0.25">
      <c r="A175" s="334"/>
      <c r="B175" s="409"/>
      <c r="C175" s="409"/>
      <c r="D175" s="409"/>
      <c r="E175" s="409"/>
      <c r="F175" s="409">
        <v>3.12</v>
      </c>
      <c r="G175" s="409">
        <v>2.9</v>
      </c>
      <c r="H175" s="410">
        <f>F175*G175-(2.3*1.4)</f>
        <v>5.8280000000000003</v>
      </c>
      <c r="I175" s="147"/>
      <c r="J175" s="180">
        <f t="shared" si="9"/>
        <v>5.8280000000000003</v>
      </c>
    </row>
    <row r="176" spans="1:10" s="332" customFormat="1" ht="15" x14ac:dyDescent="0.25">
      <c r="A176" s="334"/>
      <c r="B176" s="409"/>
      <c r="C176" s="409"/>
      <c r="D176" s="409"/>
      <c r="E176" s="409"/>
      <c r="F176" s="409">
        <v>3.12</v>
      </c>
      <c r="G176" s="409">
        <v>2.9</v>
      </c>
      <c r="H176" s="410">
        <f t="shared" si="14"/>
        <v>9.048</v>
      </c>
      <c r="I176" s="147"/>
      <c r="J176" s="180">
        <f t="shared" si="9"/>
        <v>9.048</v>
      </c>
    </row>
    <row r="177" spans="1:10" s="332" customFormat="1" ht="15" x14ac:dyDescent="0.25">
      <c r="A177" s="334"/>
      <c r="B177" s="409"/>
      <c r="C177" s="409"/>
      <c r="D177" s="409"/>
      <c r="E177" s="409"/>
      <c r="F177" s="409">
        <v>3.12</v>
      </c>
      <c r="G177" s="409">
        <v>2.2400000000000002</v>
      </c>
      <c r="H177" s="410">
        <f t="shared" si="14"/>
        <v>6.9888000000000012</v>
      </c>
      <c r="I177" s="147"/>
      <c r="J177" s="180">
        <f t="shared" si="9"/>
        <v>6.9888000000000012</v>
      </c>
    </row>
    <row r="178" spans="1:10" s="332" customFormat="1" ht="15" x14ac:dyDescent="0.25">
      <c r="A178" s="334"/>
      <c r="B178" s="409" t="s">
        <v>668</v>
      </c>
      <c r="C178" s="409"/>
      <c r="D178" s="409"/>
      <c r="E178" s="409"/>
      <c r="F178" s="409">
        <v>1.1599999999999999</v>
      </c>
      <c r="G178" s="409">
        <v>2.9</v>
      </c>
      <c r="H178" s="410">
        <f t="shared" si="14"/>
        <v>3.3639999999999999</v>
      </c>
      <c r="I178" s="147"/>
      <c r="J178" s="180">
        <f t="shared" si="9"/>
        <v>3.3639999999999999</v>
      </c>
    </row>
    <row r="179" spans="1:10" s="332" customFormat="1" ht="15" x14ac:dyDescent="0.25">
      <c r="A179" s="334"/>
      <c r="B179" s="409"/>
      <c r="C179" s="409"/>
      <c r="D179" s="409"/>
      <c r="E179" s="409"/>
      <c r="F179" s="409">
        <v>1.1599999999999999</v>
      </c>
      <c r="G179" s="409">
        <v>2.9</v>
      </c>
      <c r="H179" s="410">
        <f t="shared" si="14"/>
        <v>3.3639999999999999</v>
      </c>
      <c r="I179" s="147"/>
      <c r="J179" s="180">
        <f t="shared" si="9"/>
        <v>3.3639999999999999</v>
      </c>
    </row>
    <row r="180" spans="1:10" s="332" customFormat="1" ht="15" x14ac:dyDescent="0.25">
      <c r="A180" s="334"/>
      <c r="B180" s="409"/>
      <c r="C180" s="409"/>
      <c r="D180" s="409"/>
      <c r="E180" s="409"/>
      <c r="F180" s="409">
        <v>3.12</v>
      </c>
      <c r="G180" s="409">
        <v>2.9</v>
      </c>
      <c r="H180" s="410">
        <f>F180*G180</f>
        <v>9.048</v>
      </c>
      <c r="I180" s="147"/>
      <c r="J180" s="180">
        <f t="shared" si="9"/>
        <v>9.048</v>
      </c>
    </row>
    <row r="181" spans="1:10" s="332" customFormat="1" ht="15" x14ac:dyDescent="0.25">
      <c r="A181" s="334"/>
      <c r="B181" s="409"/>
      <c r="C181" s="409"/>
      <c r="D181" s="409"/>
      <c r="E181" s="409"/>
      <c r="F181" s="409">
        <v>3.12</v>
      </c>
      <c r="G181" s="409">
        <v>2.9</v>
      </c>
      <c r="H181" s="410">
        <f>F181*G181</f>
        <v>9.048</v>
      </c>
      <c r="I181" s="147"/>
      <c r="J181" s="180">
        <f t="shared" si="9"/>
        <v>9.048</v>
      </c>
    </row>
    <row r="182" spans="1:10" s="332" customFormat="1" ht="15" x14ac:dyDescent="0.25">
      <c r="A182" s="334"/>
      <c r="B182" s="409"/>
      <c r="C182" s="409"/>
      <c r="D182" s="409"/>
      <c r="E182" s="409"/>
      <c r="F182" s="409">
        <v>1.1599999999999999</v>
      </c>
      <c r="G182" s="409">
        <v>3.12</v>
      </c>
      <c r="H182" s="410">
        <f>F182*G182</f>
        <v>3.6191999999999998</v>
      </c>
      <c r="I182" s="147"/>
      <c r="J182" s="180">
        <f t="shared" si="9"/>
        <v>3.6191999999999998</v>
      </c>
    </row>
    <row r="183" spans="1:10" s="332" customFormat="1" ht="15" x14ac:dyDescent="0.25">
      <c r="A183" s="334"/>
      <c r="B183" s="409" t="s">
        <v>669</v>
      </c>
      <c r="C183" s="409"/>
      <c r="D183" s="409"/>
      <c r="E183" s="409"/>
      <c r="F183" s="409">
        <v>3.6</v>
      </c>
      <c r="G183" s="409">
        <v>2.9</v>
      </c>
      <c r="H183" s="410">
        <f t="shared" si="14"/>
        <v>10.44</v>
      </c>
      <c r="I183" s="147"/>
      <c r="J183" s="180">
        <f t="shared" si="9"/>
        <v>10.44</v>
      </c>
    </row>
    <row r="184" spans="1:10" s="332" customFormat="1" ht="15" x14ac:dyDescent="0.25">
      <c r="A184" s="334"/>
      <c r="B184" s="409"/>
      <c r="C184" s="409"/>
      <c r="D184" s="409"/>
      <c r="E184" s="409"/>
      <c r="F184" s="409">
        <v>3.61</v>
      </c>
      <c r="G184" s="409">
        <v>2.9</v>
      </c>
      <c r="H184" s="410">
        <f t="shared" si="14"/>
        <v>10.468999999999999</v>
      </c>
      <c r="I184" s="147"/>
      <c r="J184" s="180">
        <f t="shared" si="9"/>
        <v>10.468999999999999</v>
      </c>
    </row>
    <row r="185" spans="1:10" s="332" customFormat="1" ht="15" x14ac:dyDescent="0.25">
      <c r="A185" s="334"/>
      <c r="B185" s="409"/>
      <c r="C185" s="409"/>
      <c r="D185" s="409"/>
      <c r="E185" s="409"/>
      <c r="F185" s="409">
        <v>6.82</v>
      </c>
      <c r="G185" s="409">
        <v>2.9</v>
      </c>
      <c r="H185" s="410">
        <f t="shared" si="14"/>
        <v>19.777999999999999</v>
      </c>
      <c r="I185" s="147"/>
      <c r="J185" s="180">
        <f t="shared" si="9"/>
        <v>19.777999999999999</v>
      </c>
    </row>
    <row r="186" spans="1:10" s="332" customFormat="1" ht="15" x14ac:dyDescent="0.25">
      <c r="A186" s="334"/>
      <c r="B186" s="409"/>
      <c r="C186" s="409"/>
      <c r="D186" s="409"/>
      <c r="E186" s="409"/>
      <c r="F186" s="409">
        <v>4.74</v>
      </c>
      <c r="G186" s="409">
        <v>2.9</v>
      </c>
      <c r="H186" s="410">
        <f t="shared" si="14"/>
        <v>13.746</v>
      </c>
      <c r="I186" s="147"/>
      <c r="J186" s="180">
        <f t="shared" si="9"/>
        <v>13.746</v>
      </c>
    </row>
    <row r="187" spans="1:10" s="332" customFormat="1" ht="15" x14ac:dyDescent="0.25">
      <c r="A187" s="334"/>
      <c r="B187" s="409"/>
      <c r="C187" s="409"/>
      <c r="D187" s="409"/>
      <c r="E187" s="409"/>
      <c r="F187" s="409">
        <v>2.0699999999999998</v>
      </c>
      <c r="G187" s="409">
        <v>2.9</v>
      </c>
      <c r="H187" s="410">
        <f>F187*G187-(2.02*1.5)</f>
        <v>2.972999999999999</v>
      </c>
      <c r="I187" s="147"/>
      <c r="J187" s="180">
        <f t="shared" si="9"/>
        <v>2.972999999999999</v>
      </c>
    </row>
    <row r="188" spans="1:10" s="332" customFormat="1" ht="15" x14ac:dyDescent="0.25">
      <c r="A188" s="334"/>
      <c r="B188" s="409"/>
      <c r="C188" s="409"/>
      <c r="D188" s="409"/>
      <c r="E188" s="409"/>
      <c r="F188" s="409"/>
      <c r="G188" s="409"/>
      <c r="H188" s="410">
        <v>21.39</v>
      </c>
      <c r="I188" s="147"/>
      <c r="J188" s="180">
        <f t="shared" si="9"/>
        <v>21.39</v>
      </c>
    </row>
    <row r="189" spans="1:10" s="332" customFormat="1" ht="15" x14ac:dyDescent="0.25">
      <c r="A189" s="334"/>
      <c r="B189" s="409"/>
      <c r="C189" s="409"/>
      <c r="D189" s="409"/>
      <c r="E189" s="409"/>
      <c r="F189" s="409"/>
      <c r="G189" s="409"/>
      <c r="H189" s="410"/>
      <c r="I189" s="147"/>
      <c r="J189" s="180">
        <f t="shared" si="9"/>
        <v>0</v>
      </c>
    </row>
    <row r="190" spans="1:10" s="332" customFormat="1" ht="15" x14ac:dyDescent="0.25">
      <c r="A190" s="334"/>
      <c r="B190" s="409"/>
      <c r="C190" s="409"/>
      <c r="D190" s="409"/>
      <c r="E190" s="409"/>
      <c r="F190" s="409"/>
      <c r="G190" s="409"/>
      <c r="H190" s="410"/>
      <c r="I190" s="147"/>
      <c r="J190" s="180">
        <f t="shared" si="9"/>
        <v>0</v>
      </c>
    </row>
    <row r="191" spans="1:10" s="332" customFormat="1" ht="15" x14ac:dyDescent="0.25">
      <c r="A191" s="334"/>
      <c r="B191" s="409" t="s">
        <v>670</v>
      </c>
      <c r="C191" s="409"/>
      <c r="D191" s="409"/>
      <c r="E191" s="409"/>
      <c r="F191" s="409">
        <v>3.6</v>
      </c>
      <c r="G191" s="409">
        <v>2.9</v>
      </c>
      <c r="H191" s="410">
        <f t="shared" ref="H191:H194" si="15">F191*G191</f>
        <v>10.44</v>
      </c>
      <c r="I191" s="147"/>
      <c r="J191" s="180">
        <f t="shared" si="9"/>
        <v>10.44</v>
      </c>
    </row>
    <row r="192" spans="1:10" s="332" customFormat="1" ht="15" x14ac:dyDescent="0.25">
      <c r="A192" s="334"/>
      <c r="B192" s="409"/>
      <c r="C192" s="409"/>
      <c r="D192" s="409"/>
      <c r="E192" s="409"/>
      <c r="F192" s="409">
        <v>3.61</v>
      </c>
      <c r="G192" s="409">
        <v>2.9</v>
      </c>
      <c r="H192" s="410">
        <f t="shared" si="15"/>
        <v>10.468999999999999</v>
      </c>
      <c r="I192" s="147"/>
      <c r="J192" s="180">
        <f t="shared" si="9"/>
        <v>10.468999999999999</v>
      </c>
    </row>
    <row r="193" spans="1:10" s="332" customFormat="1" ht="15" x14ac:dyDescent="0.25">
      <c r="A193" s="334"/>
      <c r="B193" s="409"/>
      <c r="C193" s="409"/>
      <c r="D193" s="409"/>
      <c r="E193" s="409"/>
      <c r="F193" s="409">
        <v>6.82</v>
      </c>
      <c r="G193" s="409">
        <v>2.9</v>
      </c>
      <c r="H193" s="410">
        <f t="shared" si="15"/>
        <v>19.777999999999999</v>
      </c>
      <c r="I193" s="147"/>
      <c r="J193" s="180">
        <f t="shared" si="9"/>
        <v>19.777999999999999</v>
      </c>
    </row>
    <row r="194" spans="1:10" s="332" customFormat="1" ht="15" x14ac:dyDescent="0.25">
      <c r="A194" s="334"/>
      <c r="B194" s="409"/>
      <c r="C194" s="409"/>
      <c r="D194" s="409"/>
      <c r="E194" s="409"/>
      <c r="F194" s="409">
        <v>4.74</v>
      </c>
      <c r="G194" s="409">
        <v>2.9</v>
      </c>
      <c r="H194" s="410">
        <f t="shared" si="15"/>
        <v>13.746</v>
      </c>
      <c r="I194" s="147"/>
      <c r="J194" s="180">
        <f t="shared" ref="J194:J257" si="16">H194</f>
        <v>13.746</v>
      </c>
    </row>
    <row r="195" spans="1:10" s="332" customFormat="1" ht="15" x14ac:dyDescent="0.25">
      <c r="A195" s="334"/>
      <c r="B195" s="409"/>
      <c r="C195" s="409"/>
      <c r="D195" s="409"/>
      <c r="E195" s="409"/>
      <c r="F195" s="409">
        <v>2.0699999999999998</v>
      </c>
      <c r="G195" s="409">
        <v>2.9</v>
      </c>
      <c r="H195" s="410">
        <f>F195*G195-(2.02*1.5)</f>
        <v>2.972999999999999</v>
      </c>
      <c r="I195" s="147"/>
      <c r="J195" s="180">
        <f t="shared" si="16"/>
        <v>2.972999999999999</v>
      </c>
    </row>
    <row r="196" spans="1:10" s="332" customFormat="1" ht="15" x14ac:dyDescent="0.25">
      <c r="A196" s="334"/>
      <c r="B196" s="409"/>
      <c r="C196" s="409"/>
      <c r="D196" s="409"/>
      <c r="E196" s="409"/>
      <c r="F196" s="409"/>
      <c r="G196" s="409"/>
      <c r="H196" s="410">
        <v>21.39</v>
      </c>
      <c r="I196" s="147"/>
      <c r="J196" s="180">
        <f t="shared" si="16"/>
        <v>21.39</v>
      </c>
    </row>
    <row r="197" spans="1:10" s="332" customFormat="1" ht="15" x14ac:dyDescent="0.25">
      <c r="A197" s="334"/>
      <c r="B197" s="409" t="s">
        <v>671</v>
      </c>
      <c r="C197" s="409"/>
      <c r="D197" s="409"/>
      <c r="E197" s="409"/>
      <c r="F197" s="409"/>
      <c r="G197" s="409"/>
      <c r="H197" s="410"/>
      <c r="I197" s="147"/>
      <c r="J197" s="180">
        <f t="shared" si="16"/>
        <v>0</v>
      </c>
    </row>
    <row r="198" spans="1:10" s="332" customFormat="1" ht="15" x14ac:dyDescent="0.25">
      <c r="A198" s="334"/>
      <c r="B198" s="409"/>
      <c r="C198" s="409"/>
      <c r="D198" s="409"/>
      <c r="E198" s="409"/>
      <c r="F198" s="409"/>
      <c r="G198" s="409"/>
      <c r="H198" s="410"/>
      <c r="I198" s="147"/>
      <c r="J198" s="180">
        <f t="shared" si="16"/>
        <v>0</v>
      </c>
    </row>
    <row r="199" spans="1:10" s="332" customFormat="1" ht="15" x14ac:dyDescent="0.25">
      <c r="A199" s="334"/>
      <c r="B199" s="409" t="s">
        <v>672</v>
      </c>
      <c r="C199" s="409"/>
      <c r="D199" s="409"/>
      <c r="E199" s="409"/>
      <c r="F199" s="409">
        <v>11.1</v>
      </c>
      <c r="G199" s="409">
        <v>2.9</v>
      </c>
      <c r="H199" s="410">
        <f t="shared" ref="H199:H215" si="17">F199*G199</f>
        <v>32.19</v>
      </c>
      <c r="I199" s="147"/>
      <c r="J199" s="180">
        <f t="shared" si="16"/>
        <v>32.19</v>
      </c>
    </row>
    <row r="200" spans="1:10" s="332" customFormat="1" ht="15" x14ac:dyDescent="0.25">
      <c r="A200" s="334"/>
      <c r="B200" s="409"/>
      <c r="C200" s="409"/>
      <c r="D200" s="409"/>
      <c r="E200" s="409"/>
      <c r="F200" s="409">
        <v>11.1</v>
      </c>
      <c r="G200" s="409">
        <v>2.9</v>
      </c>
      <c r="H200" s="410">
        <f>F200*G200-(3.5*1.5*3)</f>
        <v>16.439999999999998</v>
      </c>
      <c r="I200" s="147"/>
      <c r="J200" s="180">
        <f t="shared" si="16"/>
        <v>16.439999999999998</v>
      </c>
    </row>
    <row r="201" spans="1:10" s="332" customFormat="1" ht="15" x14ac:dyDescent="0.25">
      <c r="A201" s="334"/>
      <c r="B201" s="409"/>
      <c r="C201" s="409"/>
      <c r="D201" s="409"/>
      <c r="E201" s="409"/>
      <c r="F201" s="409">
        <v>6.82</v>
      </c>
      <c r="G201" s="409">
        <v>2.9</v>
      </c>
      <c r="H201" s="410">
        <f t="shared" si="17"/>
        <v>19.777999999999999</v>
      </c>
      <c r="I201" s="147"/>
      <c r="J201" s="180">
        <f t="shared" si="16"/>
        <v>19.777999999999999</v>
      </c>
    </row>
    <row r="202" spans="1:10" s="332" customFormat="1" ht="15" x14ac:dyDescent="0.25">
      <c r="A202" s="334"/>
      <c r="B202" s="409"/>
      <c r="C202" s="409"/>
      <c r="D202" s="409"/>
      <c r="E202" s="409"/>
      <c r="F202" s="409">
        <v>6.82</v>
      </c>
      <c r="G202" s="409">
        <v>2.9</v>
      </c>
      <c r="H202" s="410">
        <f t="shared" si="17"/>
        <v>19.777999999999999</v>
      </c>
      <c r="I202" s="147"/>
      <c r="J202" s="180">
        <f t="shared" si="16"/>
        <v>19.777999999999999</v>
      </c>
    </row>
    <row r="203" spans="1:10" s="332" customFormat="1" ht="15" x14ac:dyDescent="0.25">
      <c r="A203" s="334"/>
      <c r="B203" s="409"/>
      <c r="C203" s="409"/>
      <c r="D203" s="409"/>
      <c r="E203" s="409"/>
      <c r="F203" s="409">
        <v>6.82</v>
      </c>
      <c r="G203" s="409">
        <v>11.1</v>
      </c>
      <c r="H203" s="410">
        <f t="shared" si="17"/>
        <v>75.701999999999998</v>
      </c>
      <c r="I203" s="147"/>
      <c r="J203" s="180">
        <f t="shared" si="16"/>
        <v>75.701999999999998</v>
      </c>
    </row>
    <row r="204" spans="1:10" s="332" customFormat="1" ht="15" x14ac:dyDescent="0.25">
      <c r="A204" s="334"/>
      <c r="B204" s="409"/>
      <c r="C204" s="409"/>
      <c r="D204" s="409"/>
      <c r="E204" s="409"/>
      <c r="F204" s="409"/>
      <c r="G204" s="409"/>
      <c r="H204" s="410"/>
      <c r="I204" s="147"/>
      <c r="J204" s="180">
        <f t="shared" si="16"/>
        <v>0</v>
      </c>
    </row>
    <row r="205" spans="1:10" s="332" customFormat="1" ht="15" x14ac:dyDescent="0.25">
      <c r="A205" s="334"/>
      <c r="B205" s="409" t="s">
        <v>673</v>
      </c>
      <c r="C205" s="409"/>
      <c r="D205" s="409"/>
      <c r="E205" s="409"/>
      <c r="F205" s="409">
        <v>4.8</v>
      </c>
      <c r="G205" s="409">
        <v>2.9</v>
      </c>
      <c r="H205" s="410">
        <f t="shared" si="17"/>
        <v>13.92</v>
      </c>
      <c r="I205" s="147"/>
      <c r="J205" s="180">
        <f t="shared" si="16"/>
        <v>13.92</v>
      </c>
    </row>
    <row r="206" spans="1:10" s="332" customFormat="1" ht="15" x14ac:dyDescent="0.25">
      <c r="A206" s="334"/>
      <c r="B206" s="409"/>
      <c r="C206" s="409"/>
      <c r="D206" s="409"/>
      <c r="E206" s="409"/>
      <c r="F206" s="409">
        <v>4.8</v>
      </c>
      <c r="G206" s="409">
        <v>2.9</v>
      </c>
      <c r="H206" s="410">
        <f t="shared" si="17"/>
        <v>13.92</v>
      </c>
      <c r="I206" s="147"/>
      <c r="J206" s="180">
        <f t="shared" si="16"/>
        <v>13.92</v>
      </c>
    </row>
    <row r="207" spans="1:10" s="332" customFormat="1" ht="15" x14ac:dyDescent="0.25">
      <c r="A207" s="334"/>
      <c r="B207" s="409"/>
      <c r="C207" s="409"/>
      <c r="D207" s="409"/>
      <c r="E207" s="409"/>
      <c r="F207" s="409">
        <v>3.46</v>
      </c>
      <c r="G207" s="409">
        <v>2.9</v>
      </c>
      <c r="H207" s="410">
        <f t="shared" si="17"/>
        <v>10.033999999999999</v>
      </c>
      <c r="I207" s="147"/>
      <c r="J207" s="180">
        <f t="shared" si="16"/>
        <v>10.033999999999999</v>
      </c>
    </row>
    <row r="208" spans="1:10" s="332" customFormat="1" ht="15" x14ac:dyDescent="0.25">
      <c r="A208" s="334"/>
      <c r="B208" s="409"/>
      <c r="C208" s="409"/>
      <c r="D208" s="409"/>
      <c r="E208" s="409"/>
      <c r="F208" s="409">
        <v>3.46</v>
      </c>
      <c r="G208" s="409">
        <v>2.9</v>
      </c>
      <c r="H208" s="410">
        <f>F208*G208-(3.5*1.5)</f>
        <v>4.7839999999999989</v>
      </c>
      <c r="I208" s="147"/>
      <c r="J208" s="180">
        <f t="shared" si="16"/>
        <v>4.7839999999999989</v>
      </c>
    </row>
    <row r="209" spans="1:10" s="332" customFormat="1" ht="15" x14ac:dyDescent="0.25">
      <c r="A209" s="334"/>
      <c r="B209" s="409"/>
      <c r="C209" s="409"/>
      <c r="D209" s="409"/>
      <c r="E209" s="409"/>
      <c r="F209" s="409">
        <v>3.46</v>
      </c>
      <c r="G209" s="409">
        <v>4.8</v>
      </c>
      <c r="H209" s="410">
        <f t="shared" si="17"/>
        <v>16.608000000000001</v>
      </c>
      <c r="I209" s="147"/>
      <c r="J209" s="180">
        <f t="shared" si="16"/>
        <v>16.608000000000001</v>
      </c>
    </row>
    <row r="210" spans="1:10" s="332" customFormat="1" ht="15" x14ac:dyDescent="0.25">
      <c r="A210" s="334"/>
      <c r="B210" s="409"/>
      <c r="C210" s="409"/>
      <c r="D210" s="409"/>
      <c r="E210" s="409"/>
      <c r="F210" s="409"/>
      <c r="G210" s="409"/>
      <c r="H210" s="410"/>
      <c r="I210" s="147"/>
      <c r="J210" s="180">
        <f t="shared" si="16"/>
        <v>0</v>
      </c>
    </row>
    <row r="211" spans="1:10" s="332" customFormat="1" ht="15" x14ac:dyDescent="0.25">
      <c r="A211" s="334"/>
      <c r="B211" s="409" t="s">
        <v>674</v>
      </c>
      <c r="C211" s="409"/>
      <c r="D211" s="409"/>
      <c r="E211" s="409"/>
      <c r="F211" s="409">
        <v>6.83</v>
      </c>
      <c r="G211" s="409">
        <v>2.9</v>
      </c>
      <c r="H211" s="410">
        <f t="shared" si="17"/>
        <v>19.806999999999999</v>
      </c>
      <c r="I211" s="147"/>
      <c r="J211" s="180">
        <f t="shared" si="16"/>
        <v>19.806999999999999</v>
      </c>
    </row>
    <row r="212" spans="1:10" s="332" customFormat="1" ht="15" x14ac:dyDescent="0.25">
      <c r="A212" s="334"/>
      <c r="B212" s="409"/>
      <c r="C212" s="409"/>
      <c r="D212" s="409"/>
      <c r="E212" s="409"/>
      <c r="F212" s="409">
        <v>6.83</v>
      </c>
      <c r="G212" s="409">
        <v>2.9</v>
      </c>
      <c r="H212" s="410">
        <f t="shared" si="17"/>
        <v>19.806999999999999</v>
      </c>
      <c r="I212" s="147"/>
      <c r="J212" s="180">
        <f t="shared" si="16"/>
        <v>19.806999999999999</v>
      </c>
    </row>
    <row r="213" spans="1:10" s="332" customFormat="1" ht="15" x14ac:dyDescent="0.25">
      <c r="A213" s="334"/>
      <c r="B213" s="409"/>
      <c r="C213" s="409"/>
      <c r="D213" s="409"/>
      <c r="E213" s="409"/>
      <c r="F213" s="409">
        <v>11.06</v>
      </c>
      <c r="G213" s="409">
        <v>2.9</v>
      </c>
      <c r="H213" s="410">
        <f t="shared" si="17"/>
        <v>32.073999999999998</v>
      </c>
      <c r="I213" s="147"/>
      <c r="J213" s="180">
        <f t="shared" si="16"/>
        <v>32.073999999999998</v>
      </c>
    </row>
    <row r="214" spans="1:10" s="332" customFormat="1" ht="15" x14ac:dyDescent="0.25">
      <c r="A214" s="334"/>
      <c r="B214" s="409"/>
      <c r="C214" s="409"/>
      <c r="D214" s="409"/>
      <c r="E214" s="409"/>
      <c r="F214" s="409">
        <v>11.06</v>
      </c>
      <c r="G214" s="409">
        <v>2.9</v>
      </c>
      <c r="H214" s="410">
        <f>F214*G214-(3.5*1.5*3)</f>
        <v>16.323999999999998</v>
      </c>
      <c r="I214" s="147"/>
      <c r="J214" s="180">
        <f t="shared" si="16"/>
        <v>16.323999999999998</v>
      </c>
    </row>
    <row r="215" spans="1:10" s="332" customFormat="1" ht="15" x14ac:dyDescent="0.25">
      <c r="A215" s="334"/>
      <c r="B215" s="409"/>
      <c r="C215" s="409"/>
      <c r="D215" s="409"/>
      <c r="E215" s="409"/>
      <c r="F215" s="411">
        <v>6.83</v>
      </c>
      <c r="G215" s="411">
        <v>11.06</v>
      </c>
      <c r="H215" s="412">
        <f t="shared" si="17"/>
        <v>75.5398</v>
      </c>
      <c r="I215" s="147"/>
      <c r="J215" s="180">
        <f t="shared" si="16"/>
        <v>75.5398</v>
      </c>
    </row>
    <row r="216" spans="1:10" s="332" customFormat="1" ht="15" x14ac:dyDescent="0.25">
      <c r="A216" s="334"/>
      <c r="B216" s="409"/>
      <c r="C216" s="409"/>
      <c r="D216" s="409"/>
      <c r="E216" s="409"/>
      <c r="F216" s="409"/>
      <c r="G216" s="409"/>
      <c r="H216" s="409"/>
      <c r="I216" s="147"/>
      <c r="J216" s="180">
        <f t="shared" si="16"/>
        <v>0</v>
      </c>
    </row>
    <row r="217" spans="1:10" s="332" customFormat="1" ht="15" x14ac:dyDescent="0.25">
      <c r="A217" s="334"/>
      <c r="B217" s="409" t="s">
        <v>675</v>
      </c>
      <c r="C217" s="409"/>
      <c r="D217" s="409"/>
      <c r="E217" s="409"/>
      <c r="F217" s="409">
        <v>2.76</v>
      </c>
      <c r="G217" s="409">
        <v>1</v>
      </c>
      <c r="H217" s="410">
        <f t="shared" ref="H217:H221" si="18">F217*G217</f>
        <v>2.76</v>
      </c>
      <c r="I217" s="147"/>
      <c r="J217" s="180">
        <f t="shared" si="16"/>
        <v>2.76</v>
      </c>
    </row>
    <row r="218" spans="1:10" s="332" customFormat="1" ht="15" x14ac:dyDescent="0.25">
      <c r="A218" s="334"/>
      <c r="B218" s="409"/>
      <c r="C218" s="409"/>
      <c r="D218" s="409"/>
      <c r="E218" s="409"/>
      <c r="F218" s="409">
        <v>1.25</v>
      </c>
      <c r="G218" s="409">
        <v>1</v>
      </c>
      <c r="H218" s="410">
        <f t="shared" si="18"/>
        <v>1.25</v>
      </c>
      <c r="I218" s="147"/>
      <c r="J218" s="180">
        <f t="shared" si="16"/>
        <v>1.25</v>
      </c>
    </row>
    <row r="219" spans="1:10" s="332" customFormat="1" ht="15" x14ac:dyDescent="0.25">
      <c r="A219" s="334"/>
      <c r="B219" s="409"/>
      <c r="C219" s="409"/>
      <c r="D219" s="409"/>
      <c r="E219" s="409"/>
      <c r="F219" s="409">
        <v>2.76</v>
      </c>
      <c r="G219" s="409">
        <v>1</v>
      </c>
      <c r="H219" s="410">
        <f t="shared" si="18"/>
        <v>2.76</v>
      </c>
      <c r="I219" s="147"/>
      <c r="J219" s="180">
        <f t="shared" si="16"/>
        <v>2.76</v>
      </c>
    </row>
    <row r="220" spans="1:10" s="332" customFormat="1" ht="15" x14ac:dyDescent="0.25">
      <c r="A220" s="334"/>
      <c r="B220" s="409"/>
      <c r="C220" s="409"/>
      <c r="D220" s="409"/>
      <c r="E220" s="409"/>
      <c r="F220" s="409">
        <v>1.25</v>
      </c>
      <c r="G220" s="409">
        <v>1</v>
      </c>
      <c r="H220" s="410">
        <f t="shared" si="18"/>
        <v>1.25</v>
      </c>
      <c r="I220" s="147"/>
      <c r="J220" s="180">
        <f t="shared" si="16"/>
        <v>1.25</v>
      </c>
    </row>
    <row r="221" spans="1:10" s="332" customFormat="1" ht="15" x14ac:dyDescent="0.25">
      <c r="A221" s="334"/>
      <c r="B221" s="409"/>
      <c r="C221" s="409"/>
      <c r="D221" s="409"/>
      <c r="E221" s="409"/>
      <c r="F221" s="411">
        <v>2.76</v>
      </c>
      <c r="G221" s="411">
        <v>1.25</v>
      </c>
      <c r="H221" s="412">
        <f t="shared" si="18"/>
        <v>3.4499999999999997</v>
      </c>
      <c r="I221" s="147"/>
      <c r="J221" s="180">
        <f t="shared" si="16"/>
        <v>3.4499999999999997</v>
      </c>
    </row>
    <row r="222" spans="1:10" s="332" customFormat="1" ht="15" x14ac:dyDescent="0.25">
      <c r="A222" s="334"/>
      <c r="B222" s="409"/>
      <c r="C222" s="409"/>
      <c r="D222" s="409"/>
      <c r="E222" s="409"/>
      <c r="F222" s="409"/>
      <c r="G222" s="409"/>
      <c r="H222" s="409"/>
      <c r="I222" s="147"/>
      <c r="J222" s="180">
        <f t="shared" si="16"/>
        <v>0</v>
      </c>
    </row>
    <row r="223" spans="1:10" s="332" customFormat="1" ht="15" x14ac:dyDescent="0.25">
      <c r="A223" s="334"/>
      <c r="B223" s="409" t="s">
        <v>676</v>
      </c>
      <c r="C223" s="409"/>
      <c r="D223" s="409"/>
      <c r="E223" s="409"/>
      <c r="F223" s="409">
        <v>3.35</v>
      </c>
      <c r="G223" s="409">
        <v>2.9</v>
      </c>
      <c r="H223" s="410">
        <f t="shared" ref="H223:H227" si="19">F223*G223</f>
        <v>9.7149999999999999</v>
      </c>
      <c r="I223" s="147"/>
      <c r="J223" s="180">
        <f t="shared" si="16"/>
        <v>9.7149999999999999</v>
      </c>
    </row>
    <row r="224" spans="1:10" s="332" customFormat="1" ht="15" x14ac:dyDescent="0.25">
      <c r="A224" s="334"/>
      <c r="B224" s="409"/>
      <c r="C224" s="409"/>
      <c r="D224" s="409"/>
      <c r="E224" s="409"/>
      <c r="F224" s="409">
        <v>3.6</v>
      </c>
      <c r="G224" s="409">
        <v>2.9</v>
      </c>
      <c r="H224" s="410">
        <f t="shared" si="19"/>
        <v>10.44</v>
      </c>
      <c r="I224" s="147"/>
      <c r="J224" s="180">
        <f t="shared" si="16"/>
        <v>10.44</v>
      </c>
    </row>
    <row r="225" spans="1:10" s="332" customFormat="1" ht="15" x14ac:dyDescent="0.25">
      <c r="A225" s="334"/>
      <c r="B225" s="409"/>
      <c r="C225" s="409"/>
      <c r="D225" s="409"/>
      <c r="E225" s="409"/>
      <c r="F225" s="409">
        <v>3.35</v>
      </c>
      <c r="G225" s="409">
        <v>2.9</v>
      </c>
      <c r="H225" s="410">
        <f t="shared" si="19"/>
        <v>9.7149999999999999</v>
      </c>
      <c r="I225" s="147"/>
      <c r="J225" s="180">
        <f t="shared" si="16"/>
        <v>9.7149999999999999</v>
      </c>
    </row>
    <row r="226" spans="1:10" s="332" customFormat="1" ht="15" x14ac:dyDescent="0.25">
      <c r="A226" s="334"/>
      <c r="B226" s="409"/>
      <c r="C226" s="409"/>
      <c r="D226" s="409"/>
      <c r="E226" s="409"/>
      <c r="F226" s="409">
        <v>3.6</v>
      </c>
      <c r="G226" s="409">
        <v>2.9</v>
      </c>
      <c r="H226" s="410">
        <f t="shared" si="19"/>
        <v>10.44</v>
      </c>
      <c r="I226" s="147"/>
      <c r="J226" s="180">
        <f t="shared" si="16"/>
        <v>10.44</v>
      </c>
    </row>
    <row r="227" spans="1:10" s="332" customFormat="1" ht="15" x14ac:dyDescent="0.25">
      <c r="A227" s="334"/>
      <c r="B227" s="409"/>
      <c r="C227" s="409"/>
      <c r="D227" s="409"/>
      <c r="E227" s="409"/>
      <c r="F227" s="411">
        <v>3.35</v>
      </c>
      <c r="G227" s="411">
        <v>3.6</v>
      </c>
      <c r="H227" s="412">
        <f t="shared" si="19"/>
        <v>12.06</v>
      </c>
      <c r="I227" s="147"/>
      <c r="J227" s="180">
        <f t="shared" si="16"/>
        <v>12.06</v>
      </c>
    </row>
    <row r="228" spans="1:10" s="332" customFormat="1" ht="15" x14ac:dyDescent="0.25">
      <c r="A228" s="334"/>
      <c r="B228" s="409"/>
      <c r="C228" s="409"/>
      <c r="D228" s="409"/>
      <c r="E228" s="409"/>
      <c r="F228" s="409"/>
      <c r="G228" s="409"/>
      <c r="H228" s="409"/>
      <c r="I228" s="147"/>
      <c r="J228" s="180">
        <f t="shared" si="16"/>
        <v>0</v>
      </c>
    </row>
    <row r="229" spans="1:10" s="332" customFormat="1" ht="15" x14ac:dyDescent="0.25">
      <c r="A229" s="334"/>
      <c r="B229" s="409" t="s">
        <v>677</v>
      </c>
      <c r="C229" s="409"/>
      <c r="D229" s="409"/>
      <c r="E229" s="409"/>
      <c r="F229" s="409">
        <v>3.35</v>
      </c>
      <c r="G229" s="409">
        <v>2.9</v>
      </c>
      <c r="H229" s="410">
        <f t="shared" ref="H229:H233" si="20">F229*G229</f>
        <v>9.7149999999999999</v>
      </c>
      <c r="I229" s="147"/>
      <c r="J229" s="180">
        <f t="shared" si="16"/>
        <v>9.7149999999999999</v>
      </c>
    </row>
    <row r="230" spans="1:10" s="332" customFormat="1" ht="15" x14ac:dyDescent="0.25">
      <c r="A230" s="334"/>
      <c r="B230" s="409"/>
      <c r="C230" s="409"/>
      <c r="D230" s="409"/>
      <c r="E230" s="409"/>
      <c r="F230" s="409">
        <v>3.6</v>
      </c>
      <c r="G230" s="409">
        <v>2.9</v>
      </c>
      <c r="H230" s="410">
        <f t="shared" si="20"/>
        <v>10.44</v>
      </c>
      <c r="I230" s="147"/>
      <c r="J230" s="180">
        <f t="shared" si="16"/>
        <v>10.44</v>
      </c>
    </row>
    <row r="231" spans="1:10" s="332" customFormat="1" ht="15" x14ac:dyDescent="0.25">
      <c r="A231" s="334"/>
      <c r="B231" s="409"/>
      <c r="C231" s="409"/>
      <c r="D231" s="409"/>
      <c r="E231" s="409"/>
      <c r="F231" s="409">
        <v>3.35</v>
      </c>
      <c r="G231" s="409">
        <v>2.9</v>
      </c>
      <c r="H231" s="410">
        <f t="shared" si="20"/>
        <v>9.7149999999999999</v>
      </c>
      <c r="I231" s="147"/>
      <c r="J231" s="180">
        <f t="shared" si="16"/>
        <v>9.7149999999999999</v>
      </c>
    </row>
    <row r="232" spans="1:10" s="332" customFormat="1" ht="15" x14ac:dyDescent="0.25">
      <c r="A232" s="334"/>
      <c r="B232" s="409"/>
      <c r="C232" s="409"/>
      <c r="D232" s="409"/>
      <c r="E232" s="409"/>
      <c r="F232" s="409">
        <v>3.6</v>
      </c>
      <c r="G232" s="409">
        <v>2.9</v>
      </c>
      <c r="H232" s="410">
        <f t="shared" si="20"/>
        <v>10.44</v>
      </c>
      <c r="I232" s="147"/>
      <c r="J232" s="180">
        <f t="shared" si="16"/>
        <v>10.44</v>
      </c>
    </row>
    <row r="233" spans="1:10" s="332" customFormat="1" ht="15" x14ac:dyDescent="0.25">
      <c r="A233" s="334"/>
      <c r="B233" s="409"/>
      <c r="C233" s="409"/>
      <c r="D233" s="409"/>
      <c r="E233" s="409"/>
      <c r="F233" s="411">
        <v>3.35</v>
      </c>
      <c r="G233" s="411">
        <v>3.6</v>
      </c>
      <c r="H233" s="412">
        <f t="shared" si="20"/>
        <v>12.06</v>
      </c>
      <c r="I233" s="147"/>
      <c r="J233" s="180">
        <f t="shared" si="16"/>
        <v>12.06</v>
      </c>
    </row>
    <row r="234" spans="1:10" s="332" customFormat="1" ht="15" x14ac:dyDescent="0.25">
      <c r="A234" s="334"/>
      <c r="B234" s="409"/>
      <c r="C234" s="409"/>
      <c r="D234" s="409"/>
      <c r="E234" s="409"/>
      <c r="F234" s="409"/>
      <c r="G234" s="409"/>
      <c r="H234" s="409"/>
      <c r="I234" s="147"/>
      <c r="J234" s="180">
        <f t="shared" si="16"/>
        <v>0</v>
      </c>
    </row>
    <row r="235" spans="1:10" s="332" customFormat="1" ht="15" x14ac:dyDescent="0.25">
      <c r="A235" s="334"/>
      <c r="B235" s="409" t="s">
        <v>678</v>
      </c>
      <c r="C235" s="409"/>
      <c r="D235" s="409"/>
      <c r="E235" s="409"/>
      <c r="F235" s="409" t="s">
        <v>679</v>
      </c>
      <c r="G235" s="409"/>
      <c r="H235" s="410"/>
      <c r="I235" s="147"/>
      <c r="J235" s="180">
        <f t="shared" si="16"/>
        <v>0</v>
      </c>
    </row>
    <row r="236" spans="1:10" s="332" customFormat="1" ht="15" x14ac:dyDescent="0.25">
      <c r="A236" s="334"/>
      <c r="B236" s="409"/>
      <c r="C236" s="409"/>
      <c r="D236" s="409"/>
      <c r="E236" s="409"/>
      <c r="F236" s="409">
        <v>20.6</v>
      </c>
      <c r="G236" s="409">
        <v>2.9</v>
      </c>
      <c r="H236" s="410">
        <f t="shared" ref="H236:H238" si="21">F236*G236</f>
        <v>59.74</v>
      </c>
      <c r="I236" s="147"/>
      <c r="J236" s="180">
        <f t="shared" si="16"/>
        <v>59.74</v>
      </c>
    </row>
    <row r="237" spans="1:10" s="332" customFormat="1" ht="15" x14ac:dyDescent="0.25">
      <c r="A237" s="334"/>
      <c r="B237" s="409"/>
      <c r="C237" s="409"/>
      <c r="D237" s="409"/>
      <c r="E237" s="409"/>
      <c r="F237" s="409"/>
      <c r="G237" s="409"/>
      <c r="H237" s="410">
        <f t="shared" si="21"/>
        <v>0</v>
      </c>
      <c r="I237" s="147"/>
      <c r="J237" s="180">
        <f t="shared" si="16"/>
        <v>0</v>
      </c>
    </row>
    <row r="238" spans="1:10" s="332" customFormat="1" ht="15" x14ac:dyDescent="0.25">
      <c r="A238" s="334"/>
      <c r="B238" s="409"/>
      <c r="C238" s="409"/>
      <c r="D238" s="409"/>
      <c r="E238" s="409"/>
      <c r="F238" s="409"/>
      <c r="G238" s="409"/>
      <c r="H238" s="410">
        <f t="shared" si="21"/>
        <v>0</v>
      </c>
      <c r="I238" s="147"/>
      <c r="J238" s="180">
        <f t="shared" si="16"/>
        <v>0</v>
      </c>
    </row>
    <row r="239" spans="1:10" s="332" customFormat="1" ht="15" x14ac:dyDescent="0.25">
      <c r="A239" s="334"/>
      <c r="B239" s="409"/>
      <c r="C239" s="409"/>
      <c r="D239" s="409"/>
      <c r="E239" s="409"/>
      <c r="F239" s="411"/>
      <c r="G239" s="411"/>
      <c r="H239" s="412">
        <v>20.87</v>
      </c>
      <c r="I239" s="147"/>
      <c r="J239" s="180">
        <f t="shared" si="16"/>
        <v>20.87</v>
      </c>
    </row>
    <row r="240" spans="1:10" s="332" customFormat="1" ht="15" x14ac:dyDescent="0.25">
      <c r="A240" s="334"/>
      <c r="B240" s="409"/>
      <c r="C240" s="409"/>
      <c r="D240" s="409"/>
      <c r="E240" s="409"/>
      <c r="F240" s="409"/>
      <c r="G240" s="409"/>
      <c r="H240" s="409"/>
      <c r="I240" s="147"/>
      <c r="J240" s="180">
        <f t="shared" si="16"/>
        <v>0</v>
      </c>
    </row>
    <row r="241" spans="1:10" s="332" customFormat="1" ht="15" x14ac:dyDescent="0.25">
      <c r="A241" s="334"/>
      <c r="B241" s="409" t="s">
        <v>680</v>
      </c>
      <c r="C241" s="409"/>
      <c r="D241" s="409"/>
      <c r="E241" s="409"/>
      <c r="F241" s="409">
        <v>1.83</v>
      </c>
      <c r="G241" s="409">
        <v>1</v>
      </c>
      <c r="H241" s="410">
        <f t="shared" ref="H241:H245" si="22">F241*G241</f>
        <v>1.83</v>
      </c>
      <c r="I241" s="147"/>
      <c r="J241" s="180">
        <f t="shared" si="16"/>
        <v>1.83</v>
      </c>
    </row>
    <row r="242" spans="1:10" s="332" customFormat="1" ht="15" x14ac:dyDescent="0.25">
      <c r="A242" s="334"/>
      <c r="B242" s="409"/>
      <c r="C242" s="409"/>
      <c r="D242" s="409"/>
      <c r="E242" s="409"/>
      <c r="F242" s="409">
        <v>1.38</v>
      </c>
      <c r="G242" s="409">
        <v>1</v>
      </c>
      <c r="H242" s="410">
        <f t="shared" si="22"/>
        <v>1.38</v>
      </c>
      <c r="I242" s="147"/>
      <c r="J242" s="180">
        <f t="shared" si="16"/>
        <v>1.38</v>
      </c>
    </row>
    <row r="243" spans="1:10" s="332" customFormat="1" ht="15" x14ac:dyDescent="0.25">
      <c r="A243" s="334"/>
      <c r="B243" s="409"/>
      <c r="C243" s="409"/>
      <c r="D243" s="409"/>
      <c r="E243" s="409"/>
      <c r="F243" s="409">
        <v>1.83</v>
      </c>
      <c r="G243" s="409">
        <v>1</v>
      </c>
      <c r="H243" s="410">
        <f t="shared" si="22"/>
        <v>1.83</v>
      </c>
      <c r="I243" s="147"/>
      <c r="J243" s="180">
        <f t="shared" si="16"/>
        <v>1.83</v>
      </c>
    </row>
    <row r="244" spans="1:10" s="332" customFormat="1" ht="15" x14ac:dyDescent="0.25">
      <c r="A244" s="334"/>
      <c r="B244" s="409"/>
      <c r="C244" s="409"/>
      <c r="D244" s="409"/>
      <c r="E244" s="409"/>
      <c r="F244" s="409">
        <v>1.38</v>
      </c>
      <c r="G244" s="409">
        <v>1</v>
      </c>
      <c r="H244" s="410">
        <f t="shared" si="22"/>
        <v>1.38</v>
      </c>
      <c r="I244" s="147"/>
      <c r="J244" s="180">
        <f t="shared" si="16"/>
        <v>1.38</v>
      </c>
    </row>
    <row r="245" spans="1:10" s="332" customFormat="1" ht="15" x14ac:dyDescent="0.25">
      <c r="A245" s="334"/>
      <c r="B245" s="409"/>
      <c r="C245" s="409"/>
      <c r="D245" s="409"/>
      <c r="E245" s="409"/>
      <c r="F245" s="411">
        <v>1.83</v>
      </c>
      <c r="G245" s="411">
        <v>1.38</v>
      </c>
      <c r="H245" s="412">
        <f t="shared" si="22"/>
        <v>2.5253999999999999</v>
      </c>
      <c r="I245" s="147"/>
      <c r="J245" s="180">
        <f t="shared" si="16"/>
        <v>2.5253999999999999</v>
      </c>
    </row>
    <row r="246" spans="1:10" s="332" customFormat="1" ht="15" x14ac:dyDescent="0.25">
      <c r="A246" s="334"/>
      <c r="B246" s="409"/>
      <c r="C246" s="409"/>
      <c r="D246" s="409"/>
      <c r="E246" s="409"/>
      <c r="F246" s="409"/>
      <c r="G246" s="409"/>
      <c r="H246" s="409"/>
      <c r="I246" s="147"/>
      <c r="J246" s="180">
        <f t="shared" si="16"/>
        <v>0</v>
      </c>
    </row>
    <row r="247" spans="1:10" s="332" customFormat="1" ht="15" x14ac:dyDescent="0.25">
      <c r="A247" s="334"/>
      <c r="B247" s="409" t="s">
        <v>681</v>
      </c>
      <c r="C247" s="409"/>
      <c r="D247" s="409"/>
      <c r="E247" s="409"/>
      <c r="F247" s="409">
        <v>1.53</v>
      </c>
      <c r="G247" s="409">
        <v>1</v>
      </c>
      <c r="H247" s="410">
        <f t="shared" ref="H247:H251" si="23">F247*G247</f>
        <v>1.53</v>
      </c>
      <c r="I247" s="147"/>
      <c r="J247" s="180">
        <f t="shared" si="16"/>
        <v>1.53</v>
      </c>
    </row>
    <row r="248" spans="1:10" s="332" customFormat="1" ht="15" x14ac:dyDescent="0.25">
      <c r="A248" s="334"/>
      <c r="B248" s="409"/>
      <c r="C248" s="409"/>
      <c r="D248" s="409"/>
      <c r="E248" s="409"/>
      <c r="F248" s="409">
        <v>1.93</v>
      </c>
      <c r="G248" s="409">
        <v>1</v>
      </c>
      <c r="H248" s="410">
        <f t="shared" si="23"/>
        <v>1.93</v>
      </c>
      <c r="I248" s="147"/>
      <c r="J248" s="180">
        <f t="shared" si="16"/>
        <v>1.93</v>
      </c>
    </row>
    <row r="249" spans="1:10" s="332" customFormat="1" ht="15" x14ac:dyDescent="0.25">
      <c r="A249" s="334"/>
      <c r="B249" s="409"/>
      <c r="C249" s="409"/>
      <c r="D249" s="409"/>
      <c r="E249" s="409"/>
      <c r="F249" s="409">
        <v>1.53</v>
      </c>
      <c r="G249" s="409">
        <v>1</v>
      </c>
      <c r="H249" s="410">
        <f t="shared" si="23"/>
        <v>1.53</v>
      </c>
      <c r="I249" s="147"/>
      <c r="J249" s="180">
        <f t="shared" si="16"/>
        <v>1.53</v>
      </c>
    </row>
    <row r="250" spans="1:10" s="332" customFormat="1" ht="15" x14ac:dyDescent="0.25">
      <c r="A250" s="334"/>
      <c r="B250" s="409"/>
      <c r="C250" s="409"/>
      <c r="D250" s="409"/>
      <c r="E250" s="409"/>
      <c r="F250" s="409">
        <v>1.93</v>
      </c>
      <c r="G250" s="409">
        <v>1</v>
      </c>
      <c r="H250" s="410">
        <f t="shared" si="23"/>
        <v>1.93</v>
      </c>
      <c r="I250" s="147"/>
      <c r="J250" s="180">
        <f t="shared" si="16"/>
        <v>1.93</v>
      </c>
    </row>
    <row r="251" spans="1:10" s="332" customFormat="1" ht="15" x14ac:dyDescent="0.25">
      <c r="A251" s="334"/>
      <c r="B251" s="409"/>
      <c r="C251" s="409"/>
      <c r="D251" s="409"/>
      <c r="E251" s="409"/>
      <c r="F251" s="411">
        <f>F247</f>
        <v>1.53</v>
      </c>
      <c r="G251" s="411">
        <f>F248</f>
        <v>1.93</v>
      </c>
      <c r="H251" s="412">
        <f t="shared" si="23"/>
        <v>2.9529000000000001</v>
      </c>
      <c r="I251" s="147"/>
      <c r="J251" s="180">
        <f t="shared" si="16"/>
        <v>2.9529000000000001</v>
      </c>
    </row>
    <row r="252" spans="1:10" s="332" customFormat="1" ht="15" x14ac:dyDescent="0.25">
      <c r="A252" s="334"/>
      <c r="B252" s="409"/>
      <c r="C252" s="409"/>
      <c r="D252" s="409"/>
      <c r="E252" s="409"/>
      <c r="F252" s="409"/>
      <c r="G252" s="409"/>
      <c r="H252" s="409"/>
      <c r="I252" s="147"/>
      <c r="J252" s="180">
        <f t="shared" si="16"/>
        <v>0</v>
      </c>
    </row>
    <row r="253" spans="1:10" s="332" customFormat="1" ht="15" x14ac:dyDescent="0.25">
      <c r="A253" s="334"/>
      <c r="B253" s="409" t="s">
        <v>573</v>
      </c>
      <c r="C253" s="409"/>
      <c r="D253" s="409"/>
      <c r="E253" s="409"/>
      <c r="F253" s="409">
        <v>3.59</v>
      </c>
      <c r="G253" s="409">
        <v>1</v>
      </c>
      <c r="H253" s="410">
        <f t="shared" ref="H253:H257" si="24">F253*G253</f>
        <v>3.59</v>
      </c>
      <c r="I253" s="147"/>
      <c r="J253" s="180">
        <f t="shared" si="16"/>
        <v>3.59</v>
      </c>
    </row>
    <row r="254" spans="1:10" s="332" customFormat="1" ht="15" x14ac:dyDescent="0.25">
      <c r="A254" s="334"/>
      <c r="B254" s="409"/>
      <c r="C254" s="409"/>
      <c r="D254" s="409"/>
      <c r="E254" s="409"/>
      <c r="F254" s="409">
        <v>6.78</v>
      </c>
      <c r="G254" s="409">
        <v>1</v>
      </c>
      <c r="H254" s="410">
        <f t="shared" si="24"/>
        <v>6.78</v>
      </c>
      <c r="I254" s="147"/>
      <c r="J254" s="180">
        <f t="shared" si="16"/>
        <v>6.78</v>
      </c>
    </row>
    <row r="255" spans="1:10" s="332" customFormat="1" ht="15" x14ac:dyDescent="0.25">
      <c r="A255" s="334"/>
      <c r="B255" s="409"/>
      <c r="C255" s="409"/>
      <c r="D255" s="409"/>
      <c r="E255" s="409"/>
      <c r="F255" s="409">
        <v>3.59</v>
      </c>
      <c r="G255" s="409">
        <v>0.9</v>
      </c>
      <c r="H255" s="410">
        <f t="shared" si="24"/>
        <v>3.2309999999999999</v>
      </c>
      <c r="I255" s="147"/>
      <c r="J255" s="180">
        <f t="shared" si="16"/>
        <v>3.2309999999999999</v>
      </c>
    </row>
    <row r="256" spans="1:10" s="332" customFormat="1" ht="15" x14ac:dyDescent="0.25">
      <c r="A256" s="334"/>
      <c r="B256" s="409"/>
      <c r="C256" s="409"/>
      <c r="D256" s="409"/>
      <c r="E256" s="409"/>
      <c r="F256" s="409">
        <v>6.78</v>
      </c>
      <c r="G256" s="409">
        <v>1</v>
      </c>
      <c r="H256" s="410">
        <f t="shared" si="24"/>
        <v>6.78</v>
      </c>
      <c r="I256" s="147"/>
      <c r="J256" s="180">
        <f t="shared" si="16"/>
        <v>6.78</v>
      </c>
    </row>
    <row r="257" spans="1:10" s="332" customFormat="1" ht="15" x14ac:dyDescent="0.25">
      <c r="A257" s="334"/>
      <c r="B257" s="409"/>
      <c r="C257" s="409"/>
      <c r="D257" s="409"/>
      <c r="E257" s="409"/>
      <c r="F257" s="411">
        <f>F253</f>
        <v>3.59</v>
      </c>
      <c r="G257" s="411">
        <f>F254</f>
        <v>6.78</v>
      </c>
      <c r="H257" s="412">
        <f t="shared" si="24"/>
        <v>24.340199999999999</v>
      </c>
      <c r="I257" s="147"/>
      <c r="J257" s="180">
        <f t="shared" si="16"/>
        <v>24.340199999999999</v>
      </c>
    </row>
    <row r="258" spans="1:10" s="332" customFormat="1" ht="15" x14ac:dyDescent="0.25">
      <c r="A258" s="334"/>
      <c r="B258" s="409"/>
      <c r="C258" s="409"/>
      <c r="D258" s="409"/>
      <c r="E258" s="409"/>
      <c r="F258" s="409"/>
      <c r="G258" s="409"/>
      <c r="H258" s="409"/>
      <c r="I258" s="147"/>
      <c r="J258" s="180">
        <f t="shared" ref="J258:J321" si="25">H258</f>
        <v>0</v>
      </c>
    </row>
    <row r="259" spans="1:10" s="332" customFormat="1" ht="15" x14ac:dyDescent="0.25">
      <c r="A259" s="334"/>
      <c r="B259" s="409"/>
      <c r="C259" s="409"/>
      <c r="D259" s="409"/>
      <c r="E259" s="409"/>
      <c r="F259" s="409"/>
      <c r="G259" s="409"/>
      <c r="H259" s="409"/>
      <c r="I259" s="147"/>
      <c r="J259" s="180">
        <f t="shared" si="25"/>
        <v>0</v>
      </c>
    </row>
    <row r="260" spans="1:10" s="332" customFormat="1" ht="15" x14ac:dyDescent="0.25">
      <c r="A260" s="334"/>
      <c r="B260" s="409" t="s">
        <v>592</v>
      </c>
      <c r="C260" s="409"/>
      <c r="D260" s="409"/>
      <c r="E260" s="409"/>
      <c r="F260" s="409">
        <v>60.32</v>
      </c>
      <c r="G260" s="409">
        <v>7.5</v>
      </c>
      <c r="H260" s="410">
        <f t="shared" ref="H260:H263" si="26">F260*G260</f>
        <v>452.4</v>
      </c>
      <c r="I260" s="147"/>
      <c r="J260" s="180">
        <f t="shared" si="25"/>
        <v>452.4</v>
      </c>
    </row>
    <row r="261" spans="1:10" s="332" customFormat="1" ht="15" x14ac:dyDescent="0.25">
      <c r="A261" s="334"/>
      <c r="B261" s="409"/>
      <c r="C261" s="409"/>
      <c r="D261" s="409"/>
      <c r="E261" s="409"/>
      <c r="F261" s="409">
        <v>18.43</v>
      </c>
      <c r="G261" s="409">
        <v>7.5</v>
      </c>
      <c r="H261" s="410">
        <f t="shared" si="26"/>
        <v>138.22499999999999</v>
      </c>
      <c r="I261" s="147"/>
      <c r="J261" s="180">
        <f t="shared" si="25"/>
        <v>138.22499999999999</v>
      </c>
    </row>
    <row r="262" spans="1:10" s="332" customFormat="1" ht="15" x14ac:dyDescent="0.25">
      <c r="A262" s="334"/>
      <c r="B262" s="409"/>
      <c r="C262" s="409"/>
      <c r="D262" s="409"/>
      <c r="E262" s="409"/>
      <c r="F262" s="409">
        <v>29</v>
      </c>
      <c r="G262" s="409">
        <v>7.5</v>
      </c>
      <c r="H262" s="410">
        <f t="shared" si="26"/>
        <v>217.5</v>
      </c>
      <c r="I262" s="147"/>
      <c r="J262" s="180">
        <f t="shared" si="25"/>
        <v>217.5</v>
      </c>
    </row>
    <row r="263" spans="1:10" s="332" customFormat="1" ht="15" x14ac:dyDescent="0.25">
      <c r="A263" s="334"/>
      <c r="B263" s="409"/>
      <c r="C263" s="409"/>
      <c r="D263" s="409"/>
      <c r="E263" s="409"/>
      <c r="F263" s="409">
        <v>30</v>
      </c>
      <c r="G263" s="409">
        <v>7.5</v>
      </c>
      <c r="H263" s="410">
        <f t="shared" si="26"/>
        <v>225</v>
      </c>
      <c r="I263" s="147"/>
      <c r="J263" s="180">
        <f t="shared" si="25"/>
        <v>225</v>
      </c>
    </row>
    <row r="264" spans="1:10" s="332" customFormat="1" ht="15" x14ac:dyDescent="0.25">
      <c r="A264" s="334"/>
      <c r="B264" s="409"/>
      <c r="C264" s="409"/>
      <c r="D264" s="409"/>
      <c r="E264" s="409"/>
      <c r="F264" s="409">
        <v>28.5</v>
      </c>
      <c r="G264" s="409">
        <v>7.5</v>
      </c>
      <c r="H264" s="410">
        <f>F264*G264</f>
        <v>213.75</v>
      </c>
      <c r="I264" s="147"/>
      <c r="J264" s="180">
        <f t="shared" si="25"/>
        <v>213.75</v>
      </c>
    </row>
    <row r="265" spans="1:10" s="332" customFormat="1" ht="15" x14ac:dyDescent="0.25">
      <c r="A265" s="334"/>
      <c r="B265" s="409"/>
      <c r="C265" s="409"/>
      <c r="D265" s="409"/>
      <c r="E265" s="409"/>
      <c r="F265" s="409" t="s">
        <v>682</v>
      </c>
      <c r="G265" s="409"/>
      <c r="H265" s="410">
        <f>-45*1.5*3.5</f>
        <v>-236.25</v>
      </c>
      <c r="I265" s="147"/>
      <c r="J265" s="180">
        <f t="shared" si="25"/>
        <v>-236.25</v>
      </c>
    </row>
    <row r="266" spans="1:10" s="332" customFormat="1" ht="15" x14ac:dyDescent="0.25">
      <c r="A266" s="334"/>
      <c r="B266" s="409" t="s">
        <v>683</v>
      </c>
      <c r="C266" s="409"/>
      <c r="D266" s="409"/>
      <c r="E266" s="409"/>
      <c r="F266" s="409" t="s">
        <v>492</v>
      </c>
      <c r="G266" s="409" t="s">
        <v>641</v>
      </c>
      <c r="H266" s="409" t="s">
        <v>642</v>
      </c>
      <c r="I266" s="147"/>
      <c r="J266" s="180" t="str">
        <f t="shared" si="25"/>
        <v>A</v>
      </c>
    </row>
    <row r="267" spans="1:10" s="332" customFormat="1" ht="15" x14ac:dyDescent="0.25">
      <c r="A267" s="334"/>
      <c r="B267" s="409"/>
      <c r="C267" s="409"/>
      <c r="D267" s="409"/>
      <c r="E267" s="409"/>
      <c r="F267" s="409">
        <v>10.82</v>
      </c>
      <c r="G267" s="409">
        <v>2.9</v>
      </c>
      <c r="H267" s="409">
        <f>F267*G267</f>
        <v>31.378</v>
      </c>
      <c r="I267" s="147"/>
      <c r="J267" s="180">
        <f t="shared" si="25"/>
        <v>31.378</v>
      </c>
    </row>
    <row r="268" spans="1:10" s="332" customFormat="1" ht="15" x14ac:dyDescent="0.25">
      <c r="A268" s="334"/>
      <c r="B268" s="409"/>
      <c r="C268" s="409"/>
      <c r="D268" s="409"/>
      <c r="E268" s="409"/>
      <c r="F268" s="409">
        <v>10.82</v>
      </c>
      <c r="G268" s="409">
        <v>2.9</v>
      </c>
      <c r="H268" s="409">
        <f t="shared" ref="H268:H286" si="27">F268*G268</f>
        <v>31.378</v>
      </c>
      <c r="I268" s="147"/>
      <c r="J268" s="180">
        <f t="shared" si="25"/>
        <v>31.378</v>
      </c>
    </row>
    <row r="269" spans="1:10" s="332" customFormat="1" ht="15" x14ac:dyDescent="0.25">
      <c r="A269" s="334"/>
      <c r="B269" s="409"/>
      <c r="C269" s="409"/>
      <c r="D269" s="409"/>
      <c r="E269" s="409"/>
      <c r="F269" s="409">
        <v>2.9</v>
      </c>
      <c r="G269" s="409">
        <v>2.9</v>
      </c>
      <c r="H269" s="409">
        <f t="shared" si="27"/>
        <v>8.41</v>
      </c>
      <c r="I269" s="147"/>
      <c r="J269" s="180">
        <f t="shared" si="25"/>
        <v>8.41</v>
      </c>
    </row>
    <row r="270" spans="1:10" s="332" customFormat="1" ht="15" x14ac:dyDescent="0.25">
      <c r="A270" s="334"/>
      <c r="B270" s="409"/>
      <c r="C270" s="409"/>
      <c r="D270" s="409"/>
      <c r="E270" s="409"/>
      <c r="F270" s="409">
        <v>2.9</v>
      </c>
      <c r="G270" s="409">
        <v>2.9</v>
      </c>
      <c r="H270" s="409">
        <f t="shared" si="27"/>
        <v>8.41</v>
      </c>
      <c r="I270" s="147"/>
      <c r="J270" s="180">
        <f t="shared" si="25"/>
        <v>8.41</v>
      </c>
    </row>
    <row r="271" spans="1:10" s="332" customFormat="1" ht="15" x14ac:dyDescent="0.25">
      <c r="A271" s="334"/>
      <c r="B271" s="409"/>
      <c r="C271" s="409"/>
      <c r="D271" s="409"/>
      <c r="E271" s="409"/>
      <c r="F271" s="409">
        <v>2.9</v>
      </c>
      <c r="G271" s="409">
        <v>10.82</v>
      </c>
      <c r="H271" s="409">
        <f t="shared" si="27"/>
        <v>31.378</v>
      </c>
      <c r="I271" s="147"/>
      <c r="J271" s="180">
        <f t="shared" si="25"/>
        <v>31.378</v>
      </c>
    </row>
    <row r="272" spans="1:10" s="332" customFormat="1" ht="15" x14ac:dyDescent="0.25">
      <c r="A272" s="334"/>
      <c r="B272" s="409" t="s">
        <v>684</v>
      </c>
      <c r="C272" s="409"/>
      <c r="D272" s="409"/>
      <c r="E272" s="409"/>
      <c r="F272" s="409">
        <v>1.77</v>
      </c>
      <c r="G272" s="409">
        <v>2.9</v>
      </c>
      <c r="H272" s="409">
        <f t="shared" si="27"/>
        <v>5.133</v>
      </c>
      <c r="I272" s="147"/>
      <c r="J272" s="180">
        <f t="shared" si="25"/>
        <v>5.133</v>
      </c>
    </row>
    <row r="273" spans="1:10" s="332" customFormat="1" ht="15" x14ac:dyDescent="0.25">
      <c r="A273" s="334"/>
      <c r="B273" s="409"/>
      <c r="C273" s="409"/>
      <c r="D273" s="409"/>
      <c r="E273" s="409"/>
      <c r="F273" s="409">
        <v>1.77</v>
      </c>
      <c r="G273" s="409">
        <v>2.9</v>
      </c>
      <c r="H273" s="409">
        <f t="shared" si="27"/>
        <v>5.133</v>
      </c>
      <c r="I273" s="147"/>
      <c r="J273" s="180">
        <f t="shared" si="25"/>
        <v>5.133</v>
      </c>
    </row>
    <row r="274" spans="1:10" s="332" customFormat="1" ht="15" x14ac:dyDescent="0.25">
      <c r="A274" s="334"/>
      <c r="B274" s="409"/>
      <c r="C274" s="409"/>
      <c r="D274" s="409"/>
      <c r="E274" s="409"/>
      <c r="F274" s="409">
        <v>2.9</v>
      </c>
      <c r="G274" s="409">
        <v>2.9</v>
      </c>
      <c r="H274" s="409">
        <f t="shared" si="27"/>
        <v>8.41</v>
      </c>
      <c r="I274" s="147"/>
      <c r="J274" s="180">
        <f t="shared" si="25"/>
        <v>8.41</v>
      </c>
    </row>
    <row r="275" spans="1:10" s="332" customFormat="1" ht="15" x14ac:dyDescent="0.25">
      <c r="A275" s="334"/>
      <c r="B275" s="409"/>
      <c r="C275" s="409"/>
      <c r="D275" s="409"/>
      <c r="E275" s="409"/>
      <c r="F275" s="409">
        <v>2.9</v>
      </c>
      <c r="G275" s="409">
        <v>2.9</v>
      </c>
      <c r="H275" s="409">
        <f t="shared" si="27"/>
        <v>8.41</v>
      </c>
      <c r="I275" s="147"/>
      <c r="J275" s="180">
        <f t="shared" si="25"/>
        <v>8.41</v>
      </c>
    </row>
    <row r="276" spans="1:10" s="332" customFormat="1" ht="15" x14ac:dyDescent="0.25">
      <c r="A276" s="334"/>
      <c r="B276" s="409"/>
      <c r="C276" s="409"/>
      <c r="D276" s="409"/>
      <c r="E276" s="409"/>
      <c r="F276" s="409">
        <v>2.9</v>
      </c>
      <c r="G276" s="409">
        <v>1.77</v>
      </c>
      <c r="H276" s="409">
        <f t="shared" si="27"/>
        <v>5.133</v>
      </c>
      <c r="I276" s="147"/>
      <c r="J276" s="180">
        <f t="shared" si="25"/>
        <v>5.133</v>
      </c>
    </row>
    <row r="277" spans="1:10" s="332" customFormat="1" ht="15" x14ac:dyDescent="0.25">
      <c r="A277" s="334"/>
      <c r="B277" s="409" t="s">
        <v>685</v>
      </c>
      <c r="C277" s="409"/>
      <c r="D277" s="409"/>
      <c r="E277" s="409"/>
      <c r="F277" s="409">
        <v>6.83</v>
      </c>
      <c r="G277" s="409">
        <v>2.9</v>
      </c>
      <c r="H277" s="409">
        <f t="shared" si="27"/>
        <v>19.806999999999999</v>
      </c>
      <c r="I277" s="147"/>
      <c r="J277" s="180">
        <f t="shared" si="25"/>
        <v>19.806999999999999</v>
      </c>
    </row>
    <row r="278" spans="1:10" s="332" customFormat="1" ht="15" x14ac:dyDescent="0.25">
      <c r="A278" s="334"/>
      <c r="B278" s="409"/>
      <c r="C278" s="409"/>
      <c r="D278" s="409"/>
      <c r="E278" s="409"/>
      <c r="F278" s="409">
        <v>6.83</v>
      </c>
      <c r="G278" s="409">
        <v>2.9</v>
      </c>
      <c r="H278" s="409">
        <f t="shared" si="27"/>
        <v>19.806999999999999</v>
      </c>
      <c r="I278" s="147"/>
      <c r="J278" s="180">
        <f t="shared" si="25"/>
        <v>19.806999999999999</v>
      </c>
    </row>
    <row r="279" spans="1:10" s="332" customFormat="1" ht="15" x14ac:dyDescent="0.25">
      <c r="A279" s="334"/>
      <c r="B279" s="409"/>
      <c r="C279" s="409"/>
      <c r="D279" s="409"/>
      <c r="E279" s="409"/>
      <c r="F279" s="409">
        <v>14.65</v>
      </c>
      <c r="G279" s="409">
        <v>2.9</v>
      </c>
      <c r="H279" s="409">
        <f t="shared" si="27"/>
        <v>42.484999999999999</v>
      </c>
      <c r="I279" s="147"/>
      <c r="J279" s="180">
        <f t="shared" si="25"/>
        <v>42.484999999999999</v>
      </c>
    </row>
    <row r="280" spans="1:10" s="332" customFormat="1" ht="15" x14ac:dyDescent="0.25">
      <c r="A280" s="334"/>
      <c r="B280" s="409"/>
      <c r="C280" s="409"/>
      <c r="D280" s="409"/>
      <c r="E280" s="409"/>
      <c r="F280" s="409">
        <v>14.65</v>
      </c>
      <c r="G280" s="409">
        <v>2.9</v>
      </c>
      <c r="H280" s="409">
        <f>F280*G280-(3.5*1.5*3)</f>
        <v>26.734999999999999</v>
      </c>
      <c r="I280" s="147"/>
      <c r="J280" s="180">
        <f t="shared" si="25"/>
        <v>26.734999999999999</v>
      </c>
    </row>
    <row r="281" spans="1:10" s="332" customFormat="1" ht="15" x14ac:dyDescent="0.25">
      <c r="A281" s="334"/>
      <c r="B281" s="409"/>
      <c r="C281" s="409"/>
      <c r="D281" s="409"/>
      <c r="E281" s="409"/>
      <c r="F281" s="411">
        <v>6.83</v>
      </c>
      <c r="G281" s="411">
        <v>14.65</v>
      </c>
      <c r="H281" s="411">
        <f t="shared" si="27"/>
        <v>100.0595</v>
      </c>
      <c r="I281" s="147"/>
      <c r="J281" s="180">
        <f t="shared" si="25"/>
        <v>100.0595</v>
      </c>
    </row>
    <row r="282" spans="1:10" s="332" customFormat="1" ht="15" x14ac:dyDescent="0.25">
      <c r="A282" s="334"/>
      <c r="B282" s="409" t="s">
        <v>686</v>
      </c>
      <c r="C282" s="409"/>
      <c r="D282" s="409"/>
      <c r="E282" s="409"/>
      <c r="F282" s="409">
        <v>7.36</v>
      </c>
      <c r="G282" s="409">
        <v>2.9</v>
      </c>
      <c r="H282" s="409">
        <f t="shared" si="27"/>
        <v>21.344000000000001</v>
      </c>
      <c r="I282" s="147"/>
      <c r="J282" s="180">
        <f t="shared" si="25"/>
        <v>21.344000000000001</v>
      </c>
    </row>
    <row r="283" spans="1:10" s="332" customFormat="1" ht="15" x14ac:dyDescent="0.25">
      <c r="A283" s="334"/>
      <c r="B283" s="409"/>
      <c r="C283" s="409"/>
      <c r="D283" s="409"/>
      <c r="E283" s="409"/>
      <c r="F283" s="409">
        <v>6.01</v>
      </c>
      <c r="G283" s="409">
        <v>2.9</v>
      </c>
      <c r="H283" s="409">
        <f t="shared" si="27"/>
        <v>17.428999999999998</v>
      </c>
      <c r="I283" s="147"/>
      <c r="J283" s="180">
        <f t="shared" si="25"/>
        <v>17.428999999999998</v>
      </c>
    </row>
    <row r="284" spans="1:10" s="332" customFormat="1" ht="15" x14ac:dyDescent="0.25">
      <c r="A284" s="334"/>
      <c r="B284" s="409"/>
      <c r="C284" s="409"/>
      <c r="D284" s="409"/>
      <c r="E284" s="409"/>
      <c r="F284" s="409">
        <v>3.65</v>
      </c>
      <c r="G284" s="409">
        <v>2.9</v>
      </c>
      <c r="H284" s="409">
        <f>F284*G284-(3.5*1.5)</f>
        <v>5.3349999999999991</v>
      </c>
      <c r="I284" s="147"/>
      <c r="J284" s="180">
        <f t="shared" si="25"/>
        <v>5.3349999999999991</v>
      </c>
    </row>
    <row r="285" spans="1:10" s="332" customFormat="1" ht="15" x14ac:dyDescent="0.25">
      <c r="A285" s="334"/>
      <c r="B285" s="409"/>
      <c r="C285" s="409"/>
      <c r="D285" s="409"/>
      <c r="E285" s="409"/>
      <c r="F285" s="409">
        <v>6.72</v>
      </c>
      <c r="G285" s="409">
        <v>2.9</v>
      </c>
      <c r="H285" s="409">
        <f t="shared" si="27"/>
        <v>19.488</v>
      </c>
      <c r="I285" s="147"/>
      <c r="J285" s="180">
        <f t="shared" si="25"/>
        <v>19.488</v>
      </c>
    </row>
    <row r="286" spans="1:10" s="332" customFormat="1" ht="15" x14ac:dyDescent="0.25">
      <c r="A286" s="334"/>
      <c r="B286" s="409"/>
      <c r="C286" s="409"/>
      <c r="D286" s="409"/>
      <c r="E286" s="409"/>
      <c r="F286" s="409">
        <v>4.51</v>
      </c>
      <c r="G286" s="409">
        <v>2.9</v>
      </c>
      <c r="H286" s="409">
        <f t="shared" si="27"/>
        <v>13.078999999999999</v>
      </c>
      <c r="I286" s="147"/>
      <c r="J286" s="180">
        <f t="shared" si="25"/>
        <v>13.078999999999999</v>
      </c>
    </row>
    <row r="287" spans="1:10" s="332" customFormat="1" ht="15" x14ac:dyDescent="0.25">
      <c r="A287" s="334"/>
      <c r="B287" s="409"/>
      <c r="C287" s="409"/>
      <c r="D287" s="409"/>
      <c r="E287" s="409"/>
      <c r="F287" s="409"/>
      <c r="G287" s="409"/>
      <c r="H287" s="409">
        <v>41.66</v>
      </c>
      <c r="I287" s="147"/>
      <c r="J287" s="180">
        <f t="shared" si="25"/>
        <v>41.66</v>
      </c>
    </row>
    <row r="288" spans="1:10" s="332" customFormat="1" ht="15" x14ac:dyDescent="0.25">
      <c r="A288" s="334"/>
      <c r="B288" s="409" t="s">
        <v>687</v>
      </c>
      <c r="C288" s="409"/>
      <c r="D288" s="409"/>
      <c r="E288" s="409"/>
      <c r="F288" s="409">
        <v>193</v>
      </c>
      <c r="G288" s="409">
        <f>2.9-1.9</f>
        <v>1</v>
      </c>
      <c r="H288" s="409">
        <f>F288*G288</f>
        <v>193</v>
      </c>
      <c r="I288" s="147"/>
      <c r="J288" s="180">
        <f t="shared" si="25"/>
        <v>193</v>
      </c>
    </row>
    <row r="289" spans="1:10" s="332" customFormat="1" ht="15" x14ac:dyDescent="0.25">
      <c r="A289" s="334"/>
      <c r="B289" s="409"/>
      <c r="C289" s="409"/>
      <c r="D289" s="409"/>
      <c r="E289" s="409"/>
      <c r="F289" s="409">
        <v>138</v>
      </c>
      <c r="G289" s="409">
        <v>1</v>
      </c>
      <c r="H289" s="409">
        <f>F289*G289</f>
        <v>138</v>
      </c>
      <c r="I289" s="147"/>
      <c r="J289" s="180">
        <f t="shared" si="25"/>
        <v>138</v>
      </c>
    </row>
    <row r="290" spans="1:10" s="332" customFormat="1" ht="15" x14ac:dyDescent="0.25">
      <c r="A290" s="334"/>
      <c r="B290" s="409"/>
      <c r="C290" s="409"/>
      <c r="D290" s="409"/>
      <c r="E290" s="409"/>
      <c r="F290" s="409">
        <v>193</v>
      </c>
      <c r="G290" s="409">
        <f>2.9-1.9</f>
        <v>1</v>
      </c>
      <c r="H290" s="409">
        <f>F290*G290</f>
        <v>193</v>
      </c>
      <c r="I290" s="147"/>
      <c r="J290" s="180">
        <f t="shared" si="25"/>
        <v>193</v>
      </c>
    </row>
    <row r="291" spans="1:10" s="332" customFormat="1" ht="15" x14ac:dyDescent="0.25">
      <c r="A291" s="334"/>
      <c r="B291" s="409"/>
      <c r="C291" s="409"/>
      <c r="D291" s="409"/>
      <c r="E291" s="409"/>
      <c r="F291" s="409">
        <v>138</v>
      </c>
      <c r="G291" s="409">
        <v>1</v>
      </c>
      <c r="H291" s="409">
        <f>F291*G291</f>
        <v>138</v>
      </c>
      <c r="I291" s="147"/>
      <c r="J291" s="180">
        <f t="shared" si="25"/>
        <v>138</v>
      </c>
    </row>
    <row r="292" spans="1:10" s="332" customFormat="1" ht="15" x14ac:dyDescent="0.25">
      <c r="A292" s="334"/>
      <c r="B292" s="409"/>
      <c r="C292" s="409"/>
      <c r="D292" s="409"/>
      <c r="E292" s="409"/>
      <c r="F292" s="411">
        <v>1.93</v>
      </c>
      <c r="G292" s="411">
        <v>1.38</v>
      </c>
      <c r="H292" s="411">
        <f t="shared" ref="H292:H296" si="28">F292*G292</f>
        <v>2.6633999999999998</v>
      </c>
      <c r="I292" s="147"/>
      <c r="J292" s="180">
        <f t="shared" si="25"/>
        <v>2.6633999999999998</v>
      </c>
    </row>
    <row r="293" spans="1:10" s="332" customFormat="1" ht="15" x14ac:dyDescent="0.25">
      <c r="A293" s="334"/>
      <c r="B293" s="409" t="s">
        <v>688</v>
      </c>
      <c r="C293" s="409"/>
      <c r="D293" s="409"/>
      <c r="E293" s="409"/>
      <c r="F293" s="409">
        <v>11.14</v>
      </c>
      <c r="G293" s="409">
        <v>0.75</v>
      </c>
      <c r="H293" s="409">
        <f t="shared" si="28"/>
        <v>8.3550000000000004</v>
      </c>
      <c r="I293" s="147"/>
      <c r="J293" s="180">
        <f t="shared" si="25"/>
        <v>8.3550000000000004</v>
      </c>
    </row>
    <row r="294" spans="1:10" s="332" customFormat="1" ht="15" x14ac:dyDescent="0.25">
      <c r="A294" s="334"/>
      <c r="B294" s="409"/>
      <c r="C294" s="409"/>
      <c r="D294" s="409"/>
      <c r="E294" s="409"/>
      <c r="F294" s="409">
        <v>11.65</v>
      </c>
      <c r="G294" s="409">
        <v>2.9</v>
      </c>
      <c r="H294" s="409">
        <f t="shared" si="28"/>
        <v>33.784999999999997</v>
      </c>
      <c r="I294" s="147"/>
      <c r="J294" s="180">
        <f t="shared" si="25"/>
        <v>33.784999999999997</v>
      </c>
    </row>
    <row r="295" spans="1:10" s="332" customFormat="1" ht="15" x14ac:dyDescent="0.25">
      <c r="A295" s="334"/>
      <c r="B295" s="409"/>
      <c r="C295" s="409"/>
      <c r="D295" s="409"/>
      <c r="E295" s="409"/>
      <c r="F295" s="409">
        <v>11.14</v>
      </c>
      <c r="G295" s="409">
        <v>0.75</v>
      </c>
      <c r="H295" s="409">
        <f t="shared" si="28"/>
        <v>8.3550000000000004</v>
      </c>
      <c r="I295" s="147"/>
      <c r="J295" s="180">
        <f t="shared" si="25"/>
        <v>8.3550000000000004</v>
      </c>
    </row>
    <row r="296" spans="1:10" s="332" customFormat="1" ht="15" x14ac:dyDescent="0.25">
      <c r="A296" s="334"/>
      <c r="B296" s="409"/>
      <c r="C296" s="409"/>
      <c r="D296" s="409"/>
      <c r="E296" s="409"/>
      <c r="F296" s="409">
        <v>11.65</v>
      </c>
      <c r="G296" s="409">
        <v>2.9</v>
      </c>
      <c r="H296" s="409">
        <f t="shared" si="28"/>
        <v>33.784999999999997</v>
      </c>
      <c r="I296" s="147"/>
      <c r="J296" s="180">
        <f t="shared" si="25"/>
        <v>33.784999999999997</v>
      </c>
    </row>
    <row r="297" spans="1:10" s="332" customFormat="1" ht="15" x14ac:dyDescent="0.25">
      <c r="A297" s="334"/>
      <c r="B297" s="409"/>
      <c r="C297" s="409"/>
      <c r="D297" s="409"/>
      <c r="E297" s="409"/>
      <c r="F297" s="411"/>
      <c r="G297" s="411"/>
      <c r="H297" s="411">
        <v>160.84</v>
      </c>
      <c r="I297" s="147"/>
      <c r="J297" s="180">
        <f t="shared" si="25"/>
        <v>160.84</v>
      </c>
    </row>
    <row r="298" spans="1:10" s="332" customFormat="1" ht="15" x14ac:dyDescent="0.25">
      <c r="A298" s="334"/>
      <c r="B298" s="409" t="s">
        <v>689</v>
      </c>
      <c r="C298" s="409"/>
      <c r="D298" s="409"/>
      <c r="E298" s="409"/>
      <c r="F298" s="409">
        <v>7.46</v>
      </c>
      <c r="G298" s="409">
        <v>2.9</v>
      </c>
      <c r="H298" s="409">
        <f>F298*G298</f>
        <v>21.634</v>
      </c>
      <c r="I298" s="147"/>
      <c r="J298" s="180">
        <f t="shared" si="25"/>
        <v>21.634</v>
      </c>
    </row>
    <row r="299" spans="1:10" s="332" customFormat="1" ht="15" x14ac:dyDescent="0.25">
      <c r="A299" s="334"/>
      <c r="B299" s="409"/>
      <c r="C299" s="409"/>
      <c r="D299" s="409"/>
      <c r="E299" s="409"/>
      <c r="F299" s="409">
        <v>3.28</v>
      </c>
      <c r="G299" s="409">
        <f>2.9-1.43</f>
        <v>1.47</v>
      </c>
      <c r="H299" s="409">
        <f t="shared" ref="H299:H301" si="29">F299*G299</f>
        <v>4.8215999999999992</v>
      </c>
      <c r="I299" s="147"/>
      <c r="J299" s="180">
        <f t="shared" si="25"/>
        <v>4.8215999999999992</v>
      </c>
    </row>
    <row r="300" spans="1:10" s="332" customFormat="1" ht="15" x14ac:dyDescent="0.25">
      <c r="A300" s="334"/>
      <c r="B300" s="409"/>
      <c r="C300" s="409"/>
      <c r="D300" s="409"/>
      <c r="E300" s="409"/>
      <c r="F300" s="409">
        <v>7.46</v>
      </c>
      <c r="G300" s="409">
        <v>2.9</v>
      </c>
      <c r="H300" s="409">
        <f t="shared" si="29"/>
        <v>21.634</v>
      </c>
      <c r="I300" s="147"/>
      <c r="J300" s="180">
        <f t="shared" si="25"/>
        <v>21.634</v>
      </c>
    </row>
    <row r="301" spans="1:10" s="332" customFormat="1" ht="15" x14ac:dyDescent="0.25">
      <c r="A301" s="334"/>
      <c r="B301" s="409"/>
      <c r="C301" s="409"/>
      <c r="D301" s="409"/>
      <c r="E301" s="409"/>
      <c r="F301" s="409">
        <v>3.28</v>
      </c>
      <c r="G301" s="409">
        <f>2.9-1.43</f>
        <v>1.47</v>
      </c>
      <c r="H301" s="409">
        <f t="shared" si="29"/>
        <v>4.8215999999999992</v>
      </c>
      <c r="I301" s="147"/>
      <c r="J301" s="180">
        <f t="shared" si="25"/>
        <v>4.8215999999999992</v>
      </c>
    </row>
    <row r="302" spans="1:10" s="332" customFormat="1" ht="15" x14ac:dyDescent="0.25">
      <c r="A302" s="334"/>
      <c r="B302" s="409"/>
      <c r="C302" s="409"/>
      <c r="D302" s="409"/>
      <c r="E302" s="409"/>
      <c r="F302" s="411">
        <v>7.46</v>
      </c>
      <c r="G302" s="411">
        <v>3.28</v>
      </c>
      <c r="H302" s="412">
        <f>F302*G302</f>
        <v>24.468799999999998</v>
      </c>
      <c r="I302" s="147"/>
      <c r="J302" s="180">
        <f t="shared" si="25"/>
        <v>24.468799999999998</v>
      </c>
    </row>
    <row r="303" spans="1:10" s="332" customFormat="1" ht="15" x14ac:dyDescent="0.25">
      <c r="A303" s="334"/>
      <c r="B303" s="409" t="s">
        <v>690</v>
      </c>
      <c r="C303" s="409"/>
      <c r="D303" s="409"/>
      <c r="E303" s="409"/>
      <c r="F303" s="409">
        <v>3.52</v>
      </c>
      <c r="G303" s="409">
        <f>2.9-1</f>
        <v>1.9</v>
      </c>
      <c r="H303" s="409">
        <f>F303*G303</f>
        <v>6.6879999999999997</v>
      </c>
      <c r="I303" s="147"/>
      <c r="J303" s="180">
        <f t="shared" si="25"/>
        <v>6.6879999999999997</v>
      </c>
    </row>
    <row r="304" spans="1:10" s="332" customFormat="1" ht="15" x14ac:dyDescent="0.25">
      <c r="A304" s="334"/>
      <c r="B304" s="409"/>
      <c r="C304" s="409"/>
      <c r="D304" s="409"/>
      <c r="E304" s="409"/>
      <c r="F304" s="409">
        <v>3.65</v>
      </c>
      <c r="G304" s="409">
        <v>2.9</v>
      </c>
      <c r="H304" s="409">
        <f t="shared" ref="H304:H306" si="30">F304*G304</f>
        <v>10.584999999999999</v>
      </c>
      <c r="I304" s="147"/>
      <c r="J304" s="180">
        <f t="shared" si="25"/>
        <v>10.584999999999999</v>
      </c>
    </row>
    <row r="305" spans="1:10" s="332" customFormat="1" ht="15" x14ac:dyDescent="0.25">
      <c r="A305" s="334"/>
      <c r="B305" s="409"/>
      <c r="C305" s="409"/>
      <c r="D305" s="409"/>
      <c r="E305" s="409"/>
      <c r="F305" s="409">
        <v>3.52</v>
      </c>
      <c r="G305" s="409">
        <v>2.9</v>
      </c>
      <c r="H305" s="409">
        <f t="shared" si="30"/>
        <v>10.208</v>
      </c>
      <c r="I305" s="147"/>
      <c r="J305" s="180">
        <f t="shared" si="25"/>
        <v>10.208</v>
      </c>
    </row>
    <row r="306" spans="1:10" s="332" customFormat="1" ht="15" x14ac:dyDescent="0.25">
      <c r="A306" s="334"/>
      <c r="B306" s="409"/>
      <c r="C306" s="409"/>
      <c r="D306" s="409"/>
      <c r="E306" s="409"/>
      <c r="F306" s="409">
        <v>3.65</v>
      </c>
      <c r="G306" s="409">
        <v>1</v>
      </c>
      <c r="H306" s="409">
        <f t="shared" si="30"/>
        <v>3.65</v>
      </c>
      <c r="I306" s="147"/>
      <c r="J306" s="180">
        <f t="shared" si="25"/>
        <v>3.65</v>
      </c>
    </row>
    <row r="307" spans="1:10" s="332" customFormat="1" ht="15" x14ac:dyDescent="0.25">
      <c r="A307" s="334"/>
      <c r="B307" s="409"/>
      <c r="C307" s="409"/>
      <c r="D307" s="409"/>
      <c r="E307" s="409"/>
      <c r="F307" s="411">
        <v>3.52</v>
      </c>
      <c r="G307" s="411">
        <v>3.65</v>
      </c>
      <c r="H307" s="412">
        <f>F307*G307</f>
        <v>12.847999999999999</v>
      </c>
      <c r="I307" s="147"/>
      <c r="J307" s="180">
        <f t="shared" si="25"/>
        <v>12.847999999999999</v>
      </c>
    </row>
    <row r="308" spans="1:10" s="332" customFormat="1" ht="15" x14ac:dyDescent="0.25">
      <c r="A308" s="334"/>
      <c r="B308" s="409" t="s">
        <v>668</v>
      </c>
      <c r="C308" s="409"/>
      <c r="D308" s="409"/>
      <c r="E308" s="409"/>
      <c r="F308" s="409">
        <v>2.13</v>
      </c>
      <c r="G308" s="409">
        <v>2.9</v>
      </c>
      <c r="H308" s="409">
        <f>F308*G308</f>
        <v>6.1769999999999996</v>
      </c>
      <c r="I308" s="147"/>
      <c r="J308" s="180">
        <f t="shared" si="25"/>
        <v>6.1769999999999996</v>
      </c>
    </row>
    <row r="309" spans="1:10" s="332" customFormat="1" ht="15" x14ac:dyDescent="0.25">
      <c r="A309" s="334"/>
      <c r="B309" s="409"/>
      <c r="C309" s="409"/>
      <c r="D309" s="409"/>
      <c r="E309" s="409"/>
      <c r="F309" s="409">
        <v>2.76</v>
      </c>
      <c r="G309" s="409">
        <v>2.9</v>
      </c>
      <c r="H309" s="409">
        <f t="shared" ref="H309:H311" si="31">F309*G309</f>
        <v>8.0039999999999996</v>
      </c>
      <c r="I309" s="147"/>
      <c r="J309" s="180">
        <f t="shared" si="25"/>
        <v>8.0039999999999996</v>
      </c>
    </row>
    <row r="310" spans="1:10" s="332" customFormat="1" ht="15" x14ac:dyDescent="0.25">
      <c r="A310" s="334"/>
      <c r="B310" s="409"/>
      <c r="C310" s="409"/>
      <c r="D310" s="409"/>
      <c r="E310" s="409"/>
      <c r="F310" s="409">
        <v>2.13</v>
      </c>
      <c r="G310" s="409">
        <v>2.9</v>
      </c>
      <c r="H310" s="409">
        <f t="shared" si="31"/>
        <v>6.1769999999999996</v>
      </c>
      <c r="I310" s="147"/>
      <c r="J310" s="180">
        <f t="shared" si="25"/>
        <v>6.1769999999999996</v>
      </c>
    </row>
    <row r="311" spans="1:10" s="332" customFormat="1" ht="15" x14ac:dyDescent="0.25">
      <c r="A311" s="334"/>
      <c r="B311" s="409"/>
      <c r="C311" s="409"/>
      <c r="D311" s="409"/>
      <c r="E311" s="409"/>
      <c r="F311" s="409">
        <v>2.76</v>
      </c>
      <c r="G311" s="409">
        <v>2.9</v>
      </c>
      <c r="H311" s="409">
        <f t="shared" si="31"/>
        <v>8.0039999999999996</v>
      </c>
      <c r="I311" s="147"/>
      <c r="J311" s="180">
        <f t="shared" si="25"/>
        <v>8.0039999999999996</v>
      </c>
    </row>
    <row r="312" spans="1:10" s="332" customFormat="1" ht="15" x14ac:dyDescent="0.25">
      <c r="A312" s="334"/>
      <c r="B312" s="409"/>
      <c r="C312" s="409"/>
      <c r="D312" s="409"/>
      <c r="E312" s="409"/>
      <c r="F312" s="411">
        <v>2.13</v>
      </c>
      <c r="G312" s="411">
        <v>2.76</v>
      </c>
      <c r="H312" s="412">
        <f>F312*G312</f>
        <v>5.8787999999999991</v>
      </c>
      <c r="I312" s="147"/>
      <c r="J312" s="180">
        <f t="shared" si="25"/>
        <v>5.8787999999999991</v>
      </c>
    </row>
    <row r="313" spans="1:10" s="332" customFormat="1" ht="15" x14ac:dyDescent="0.25">
      <c r="A313" s="334"/>
      <c r="B313" s="409"/>
      <c r="C313" s="409"/>
      <c r="D313" s="409"/>
      <c r="E313" s="409"/>
      <c r="F313" s="409"/>
      <c r="G313" s="409"/>
      <c r="H313" s="409"/>
      <c r="I313" s="147"/>
      <c r="J313" s="180">
        <f t="shared" si="25"/>
        <v>0</v>
      </c>
    </row>
    <row r="314" spans="1:10" s="332" customFormat="1" ht="15" x14ac:dyDescent="0.25">
      <c r="A314" s="334"/>
      <c r="B314" s="409"/>
      <c r="C314" s="409"/>
      <c r="D314" s="409"/>
      <c r="E314" s="409"/>
      <c r="F314" s="409"/>
      <c r="G314" s="409"/>
      <c r="H314" s="409"/>
      <c r="I314" s="147"/>
      <c r="J314" s="180">
        <f t="shared" si="25"/>
        <v>0</v>
      </c>
    </row>
    <row r="315" spans="1:10" s="332" customFormat="1" ht="15" x14ac:dyDescent="0.25">
      <c r="A315" s="334"/>
      <c r="B315" s="409"/>
      <c r="C315" s="409"/>
      <c r="D315" s="409"/>
      <c r="E315" s="409"/>
      <c r="F315" s="409"/>
      <c r="G315" s="409"/>
      <c r="H315" s="409"/>
      <c r="I315" s="147"/>
      <c r="J315" s="180">
        <f t="shared" si="25"/>
        <v>0</v>
      </c>
    </row>
    <row r="316" spans="1:10" s="332" customFormat="1" ht="15" x14ac:dyDescent="0.25">
      <c r="A316" s="334"/>
      <c r="B316" s="409" t="s">
        <v>563</v>
      </c>
      <c r="C316" s="409"/>
      <c r="D316" s="409"/>
      <c r="E316" s="409"/>
      <c r="F316" s="409" t="s">
        <v>679</v>
      </c>
      <c r="G316" s="409"/>
      <c r="H316" s="410"/>
      <c r="I316" s="147"/>
      <c r="J316" s="180">
        <f t="shared" si="25"/>
        <v>0</v>
      </c>
    </row>
    <row r="317" spans="1:10" s="332" customFormat="1" ht="15" x14ac:dyDescent="0.25">
      <c r="A317" s="334"/>
      <c r="B317" s="409"/>
      <c r="C317" s="409"/>
      <c r="D317" s="409"/>
      <c r="E317" s="409"/>
      <c r="F317" s="409">
        <v>62</v>
      </c>
      <c r="G317" s="409">
        <v>2.9</v>
      </c>
      <c r="H317" s="410">
        <f t="shared" ref="H317:H319" si="32">F317*G317</f>
        <v>179.79999999999998</v>
      </c>
      <c r="I317" s="147"/>
      <c r="J317" s="180">
        <f t="shared" si="25"/>
        <v>179.79999999999998</v>
      </c>
    </row>
    <row r="318" spans="1:10" s="332" customFormat="1" ht="15" x14ac:dyDescent="0.25">
      <c r="A318" s="334"/>
      <c r="B318" s="409"/>
      <c r="C318" s="409"/>
      <c r="D318" s="409"/>
      <c r="E318" s="409"/>
      <c r="F318" s="409"/>
      <c r="G318" s="409"/>
      <c r="H318" s="410">
        <f t="shared" si="32"/>
        <v>0</v>
      </c>
      <c r="I318" s="147"/>
      <c r="J318" s="180">
        <f t="shared" si="25"/>
        <v>0</v>
      </c>
    </row>
    <row r="319" spans="1:10" s="332" customFormat="1" ht="15" x14ac:dyDescent="0.25">
      <c r="A319" s="334"/>
      <c r="B319" s="409"/>
      <c r="C319" s="409"/>
      <c r="D319" s="409"/>
      <c r="E319" s="409"/>
      <c r="F319" s="409"/>
      <c r="G319" s="409"/>
      <c r="H319" s="410">
        <f t="shared" si="32"/>
        <v>0</v>
      </c>
      <c r="I319" s="147"/>
      <c r="J319" s="180">
        <f t="shared" si="25"/>
        <v>0</v>
      </c>
    </row>
    <row r="320" spans="1:10" s="332" customFormat="1" ht="15" x14ac:dyDescent="0.25">
      <c r="A320" s="334"/>
      <c r="B320" s="409"/>
      <c r="C320" s="409"/>
      <c r="D320" s="409"/>
      <c r="E320" s="409"/>
      <c r="F320" s="411"/>
      <c r="G320" s="411"/>
      <c r="H320" s="412">
        <v>83.82</v>
      </c>
      <c r="I320" s="147"/>
      <c r="J320" s="180">
        <f t="shared" si="25"/>
        <v>83.82</v>
      </c>
    </row>
    <row r="321" spans="1:10" s="332" customFormat="1" ht="15" x14ac:dyDescent="0.25">
      <c r="A321" s="334"/>
      <c r="B321" s="409"/>
      <c r="C321" s="409"/>
      <c r="D321" s="409"/>
      <c r="E321" s="409"/>
      <c r="F321" s="409"/>
      <c r="G321" s="409"/>
      <c r="H321" s="409"/>
      <c r="I321" s="147"/>
      <c r="J321" s="180">
        <f t="shared" si="25"/>
        <v>0</v>
      </c>
    </row>
    <row r="322" spans="1:10" s="332" customFormat="1" ht="15" x14ac:dyDescent="0.25">
      <c r="A322" s="334"/>
      <c r="B322" s="409" t="s">
        <v>691</v>
      </c>
      <c r="C322" s="409"/>
      <c r="D322" s="409"/>
      <c r="E322" s="409"/>
      <c r="F322" s="409">
        <v>3.6</v>
      </c>
      <c r="G322" s="409">
        <v>2.9</v>
      </c>
      <c r="H322" s="410">
        <f t="shared" ref="H322:H326" si="33">F322*G322</f>
        <v>10.44</v>
      </c>
      <c r="I322" s="147"/>
      <c r="J322" s="180">
        <f t="shared" ref="J322:J363" si="34">H322</f>
        <v>10.44</v>
      </c>
    </row>
    <row r="323" spans="1:10" s="332" customFormat="1" ht="15" x14ac:dyDescent="0.25">
      <c r="A323" s="334"/>
      <c r="B323" s="409"/>
      <c r="C323" s="409"/>
      <c r="D323" s="409"/>
      <c r="E323" s="409"/>
      <c r="F323" s="409">
        <v>2.15</v>
      </c>
      <c r="G323" s="409">
        <v>2.9</v>
      </c>
      <c r="H323" s="410">
        <f t="shared" si="33"/>
        <v>6.2349999999999994</v>
      </c>
      <c r="I323" s="147"/>
      <c r="J323" s="180">
        <f t="shared" si="34"/>
        <v>6.2349999999999994</v>
      </c>
    </row>
    <row r="324" spans="1:10" s="332" customFormat="1" ht="15" x14ac:dyDescent="0.25">
      <c r="A324" s="334"/>
      <c r="B324" s="409"/>
      <c r="C324" s="409"/>
      <c r="D324" s="409"/>
      <c r="E324" s="409"/>
      <c r="F324" s="409">
        <v>3.6</v>
      </c>
      <c r="G324" s="409">
        <v>1</v>
      </c>
      <c r="H324" s="410">
        <f t="shared" si="33"/>
        <v>3.6</v>
      </c>
      <c r="I324" s="147"/>
      <c r="J324" s="180">
        <f t="shared" si="34"/>
        <v>3.6</v>
      </c>
    </row>
    <row r="325" spans="1:10" s="332" customFormat="1" ht="15" x14ac:dyDescent="0.25">
      <c r="A325" s="334"/>
      <c r="B325" s="409"/>
      <c r="C325" s="409"/>
      <c r="D325" s="409"/>
      <c r="E325" s="409"/>
      <c r="F325" s="409">
        <v>2.15</v>
      </c>
      <c r="G325" s="409">
        <v>2.9</v>
      </c>
      <c r="H325" s="410">
        <f t="shared" si="33"/>
        <v>6.2349999999999994</v>
      </c>
      <c r="I325" s="147"/>
      <c r="J325" s="180">
        <f t="shared" si="34"/>
        <v>6.2349999999999994</v>
      </c>
    </row>
    <row r="326" spans="1:10" s="332" customFormat="1" ht="15" x14ac:dyDescent="0.25">
      <c r="A326" s="334"/>
      <c r="B326" s="409"/>
      <c r="C326" s="409"/>
      <c r="D326" s="409"/>
      <c r="E326" s="409"/>
      <c r="F326" s="411">
        <f>F322</f>
        <v>3.6</v>
      </c>
      <c r="G326" s="411">
        <f>F323</f>
        <v>2.15</v>
      </c>
      <c r="H326" s="412">
        <f t="shared" si="33"/>
        <v>7.74</v>
      </c>
      <c r="I326" s="147"/>
      <c r="J326" s="180">
        <f t="shared" si="34"/>
        <v>7.74</v>
      </c>
    </row>
    <row r="327" spans="1:10" s="332" customFormat="1" ht="15" x14ac:dyDescent="0.25">
      <c r="A327" s="334"/>
      <c r="B327" s="409"/>
      <c r="C327" s="409"/>
      <c r="D327" s="409"/>
      <c r="E327" s="409"/>
      <c r="F327" s="409"/>
      <c r="G327" s="409"/>
      <c r="H327" s="409"/>
      <c r="I327" s="147"/>
      <c r="J327" s="180">
        <f t="shared" si="34"/>
        <v>0</v>
      </c>
    </row>
    <row r="328" spans="1:10" s="332" customFormat="1" ht="15" x14ac:dyDescent="0.25">
      <c r="A328" s="334"/>
      <c r="B328" s="409" t="s">
        <v>692</v>
      </c>
      <c r="C328" s="409"/>
      <c r="D328" s="409"/>
      <c r="E328" s="409"/>
      <c r="F328" s="409">
        <v>1.74</v>
      </c>
      <c r="G328" s="409">
        <v>2.2999999999999998</v>
      </c>
      <c r="H328" s="410">
        <f t="shared" ref="H328:H332" si="35">F328*G328</f>
        <v>4.0019999999999998</v>
      </c>
      <c r="I328" s="147"/>
      <c r="J328" s="180">
        <f t="shared" si="34"/>
        <v>4.0019999999999998</v>
      </c>
    </row>
    <row r="329" spans="1:10" s="332" customFormat="1" ht="15" x14ac:dyDescent="0.25">
      <c r="A329" s="334"/>
      <c r="B329" s="409"/>
      <c r="C329" s="409"/>
      <c r="D329" s="409"/>
      <c r="E329" s="409"/>
      <c r="F329" s="409">
        <v>4.28</v>
      </c>
      <c r="G329" s="409">
        <v>2.2999999999999998</v>
      </c>
      <c r="H329" s="410">
        <f t="shared" si="35"/>
        <v>9.8439999999999994</v>
      </c>
      <c r="I329" s="147"/>
      <c r="J329" s="180">
        <f t="shared" si="34"/>
        <v>9.8439999999999994</v>
      </c>
    </row>
    <row r="330" spans="1:10" s="332" customFormat="1" ht="15" x14ac:dyDescent="0.25">
      <c r="A330" s="334"/>
      <c r="B330" s="409"/>
      <c r="C330" s="409"/>
      <c r="D330" s="409"/>
      <c r="E330" s="409"/>
      <c r="F330" s="409">
        <v>1.74</v>
      </c>
      <c r="G330" s="409">
        <v>2.2999999999999998</v>
      </c>
      <c r="H330" s="410">
        <f t="shared" si="35"/>
        <v>4.0019999999999998</v>
      </c>
      <c r="I330" s="147"/>
      <c r="J330" s="180">
        <f t="shared" si="34"/>
        <v>4.0019999999999998</v>
      </c>
    </row>
    <row r="331" spans="1:10" s="332" customFormat="1" ht="15" x14ac:dyDescent="0.25">
      <c r="A331" s="334"/>
      <c r="B331" s="409"/>
      <c r="C331" s="409"/>
      <c r="D331" s="409"/>
      <c r="E331" s="409"/>
      <c r="F331" s="409">
        <v>4.28</v>
      </c>
      <c r="G331" s="409">
        <v>2.2999999999999998</v>
      </c>
      <c r="H331" s="410">
        <f t="shared" si="35"/>
        <v>9.8439999999999994</v>
      </c>
      <c r="I331" s="147"/>
      <c r="J331" s="180">
        <f t="shared" si="34"/>
        <v>9.8439999999999994</v>
      </c>
    </row>
    <row r="332" spans="1:10" s="332" customFormat="1" ht="15" x14ac:dyDescent="0.25">
      <c r="A332" s="334"/>
      <c r="B332" s="409"/>
      <c r="C332" s="409"/>
      <c r="D332" s="409"/>
      <c r="E332" s="409"/>
      <c r="F332" s="411">
        <f>F328</f>
        <v>1.74</v>
      </c>
      <c r="G332" s="411">
        <f>F329</f>
        <v>4.28</v>
      </c>
      <c r="H332" s="412">
        <f t="shared" si="35"/>
        <v>7.4472000000000005</v>
      </c>
      <c r="I332" s="147"/>
      <c r="J332" s="180">
        <f t="shared" si="34"/>
        <v>7.4472000000000005</v>
      </c>
    </row>
    <row r="333" spans="1:10" s="332" customFormat="1" ht="15" x14ac:dyDescent="0.25">
      <c r="A333" s="334"/>
      <c r="B333" s="409"/>
      <c r="C333" s="409"/>
      <c r="D333" s="409"/>
      <c r="E333" s="409"/>
      <c r="F333" s="409"/>
      <c r="G333" s="409"/>
      <c r="H333" s="409"/>
      <c r="I333" s="147"/>
      <c r="J333" s="180">
        <f t="shared" si="34"/>
        <v>0</v>
      </c>
    </row>
    <row r="334" spans="1:10" s="332" customFormat="1" ht="15" x14ac:dyDescent="0.25">
      <c r="A334" s="334"/>
      <c r="B334" s="409" t="s">
        <v>693</v>
      </c>
      <c r="C334" s="409"/>
      <c r="D334" s="409"/>
      <c r="E334" s="409"/>
      <c r="F334" s="409">
        <v>4.28</v>
      </c>
      <c r="G334" s="409">
        <v>2.9</v>
      </c>
      <c r="H334" s="410">
        <f t="shared" ref="H334:H338" si="36">F334*G334</f>
        <v>12.412000000000001</v>
      </c>
      <c r="I334" s="147"/>
      <c r="J334" s="180">
        <f t="shared" si="34"/>
        <v>12.412000000000001</v>
      </c>
    </row>
    <row r="335" spans="1:10" s="332" customFormat="1" ht="15" x14ac:dyDescent="0.25">
      <c r="A335" s="334"/>
      <c r="B335" s="409"/>
      <c r="C335" s="409"/>
      <c r="D335" s="409"/>
      <c r="E335" s="409"/>
      <c r="F335" s="409">
        <v>3.6</v>
      </c>
      <c r="G335" s="409">
        <f>2.9-1.5</f>
        <v>1.4</v>
      </c>
      <c r="H335" s="410">
        <f t="shared" si="36"/>
        <v>5.04</v>
      </c>
      <c r="I335" s="147"/>
      <c r="J335" s="180">
        <f t="shared" si="34"/>
        <v>5.04</v>
      </c>
    </row>
    <row r="336" spans="1:10" s="332" customFormat="1" ht="15" x14ac:dyDescent="0.25">
      <c r="A336" s="334"/>
      <c r="B336" s="409"/>
      <c r="C336" s="409"/>
      <c r="D336" s="409"/>
      <c r="E336" s="409"/>
      <c r="F336" s="409">
        <v>4.28</v>
      </c>
      <c r="G336" s="409">
        <v>2.9</v>
      </c>
      <c r="H336" s="410">
        <f t="shared" si="36"/>
        <v>12.412000000000001</v>
      </c>
      <c r="I336" s="147"/>
      <c r="J336" s="180">
        <f t="shared" si="34"/>
        <v>12.412000000000001</v>
      </c>
    </row>
    <row r="337" spans="1:10" s="332" customFormat="1" ht="15" x14ac:dyDescent="0.25">
      <c r="A337" s="334"/>
      <c r="B337" s="409"/>
      <c r="C337" s="409"/>
      <c r="D337" s="409"/>
      <c r="E337" s="409"/>
      <c r="F337" s="409">
        <v>3.6</v>
      </c>
      <c r="G337" s="409">
        <v>2.9</v>
      </c>
      <c r="H337" s="410">
        <f t="shared" si="36"/>
        <v>10.44</v>
      </c>
      <c r="I337" s="147"/>
      <c r="J337" s="180">
        <f t="shared" si="34"/>
        <v>10.44</v>
      </c>
    </row>
    <row r="338" spans="1:10" s="332" customFormat="1" ht="15" x14ac:dyDescent="0.25">
      <c r="A338" s="334"/>
      <c r="B338" s="409"/>
      <c r="C338" s="409"/>
      <c r="D338" s="409"/>
      <c r="E338" s="409"/>
      <c r="F338" s="411">
        <f>F334</f>
        <v>4.28</v>
      </c>
      <c r="G338" s="411">
        <f>F335</f>
        <v>3.6</v>
      </c>
      <c r="H338" s="412">
        <f t="shared" si="36"/>
        <v>15.408000000000001</v>
      </c>
      <c r="I338" s="147"/>
      <c r="J338" s="180">
        <f t="shared" si="34"/>
        <v>15.408000000000001</v>
      </c>
    </row>
    <row r="339" spans="1:10" s="332" customFormat="1" ht="15" x14ac:dyDescent="0.25">
      <c r="A339" s="334"/>
      <c r="B339" s="409"/>
      <c r="C339" s="409"/>
      <c r="D339" s="409"/>
      <c r="E339" s="409"/>
      <c r="F339" s="409"/>
      <c r="G339" s="409"/>
      <c r="H339" s="409"/>
      <c r="I339" s="147"/>
      <c r="J339" s="180">
        <f t="shared" si="34"/>
        <v>0</v>
      </c>
    </row>
    <row r="340" spans="1:10" s="332" customFormat="1" ht="15" x14ac:dyDescent="0.25">
      <c r="A340" s="334"/>
      <c r="B340" s="409" t="s">
        <v>694</v>
      </c>
      <c r="C340" s="409"/>
      <c r="D340" s="409"/>
      <c r="E340" s="409"/>
      <c r="F340" s="409" t="s">
        <v>695</v>
      </c>
      <c r="G340" s="409"/>
      <c r="H340" s="410"/>
      <c r="I340" s="147"/>
      <c r="J340" s="180">
        <f t="shared" si="34"/>
        <v>0</v>
      </c>
    </row>
    <row r="341" spans="1:10" s="332" customFormat="1" ht="15" x14ac:dyDescent="0.25">
      <c r="A341" s="334"/>
      <c r="B341" s="409"/>
      <c r="C341" s="409"/>
      <c r="D341" s="409"/>
      <c r="E341" s="409"/>
      <c r="F341" s="409">
        <v>71.900000000000006</v>
      </c>
      <c r="G341" s="409">
        <v>2.9</v>
      </c>
      <c r="H341" s="410">
        <f t="shared" ref="H341:H343" si="37">F341*G341</f>
        <v>208.51000000000002</v>
      </c>
      <c r="I341" s="147"/>
      <c r="J341" s="180">
        <f t="shared" si="34"/>
        <v>208.51000000000002</v>
      </c>
    </row>
    <row r="342" spans="1:10" s="332" customFormat="1" ht="15" x14ac:dyDescent="0.25">
      <c r="A342" s="334"/>
      <c r="B342" s="409"/>
      <c r="C342" s="409"/>
      <c r="D342" s="409"/>
      <c r="E342" s="409"/>
      <c r="F342" s="409"/>
      <c r="G342" s="409"/>
      <c r="H342" s="410">
        <f t="shared" si="37"/>
        <v>0</v>
      </c>
      <c r="I342" s="147"/>
      <c r="J342" s="180">
        <f t="shared" si="34"/>
        <v>0</v>
      </c>
    </row>
    <row r="343" spans="1:10" s="332" customFormat="1" ht="15" x14ac:dyDescent="0.25">
      <c r="A343" s="334"/>
      <c r="B343" s="409"/>
      <c r="C343" s="409"/>
      <c r="D343" s="409"/>
      <c r="E343" s="409"/>
      <c r="F343" s="409"/>
      <c r="G343" s="409"/>
      <c r="H343" s="410">
        <f t="shared" si="37"/>
        <v>0</v>
      </c>
      <c r="I343" s="147"/>
      <c r="J343" s="180">
        <f t="shared" si="34"/>
        <v>0</v>
      </c>
    </row>
    <row r="344" spans="1:10" s="332" customFormat="1" ht="15" x14ac:dyDescent="0.25">
      <c r="A344" s="334"/>
      <c r="B344" s="409"/>
      <c r="C344" s="409"/>
      <c r="D344" s="409"/>
      <c r="E344" s="409"/>
      <c r="F344" s="409" t="s">
        <v>682</v>
      </c>
      <c r="G344" s="409"/>
      <c r="H344" s="410">
        <f>-5*1.2*1.8</f>
        <v>-10.8</v>
      </c>
      <c r="I344" s="147"/>
      <c r="J344" s="180">
        <f t="shared" si="34"/>
        <v>-10.8</v>
      </c>
    </row>
    <row r="345" spans="1:10" s="332" customFormat="1" ht="15" x14ac:dyDescent="0.25">
      <c r="A345" s="334"/>
      <c r="B345" s="409"/>
      <c r="C345" s="409"/>
      <c r="D345" s="409"/>
      <c r="E345" s="409"/>
      <c r="F345" s="411"/>
      <c r="G345" s="411"/>
      <c r="H345" s="412">
        <v>322.02999999999997</v>
      </c>
      <c r="I345" s="147"/>
      <c r="J345" s="180">
        <f t="shared" si="34"/>
        <v>322.02999999999997</v>
      </c>
    </row>
    <row r="346" spans="1:10" s="332" customFormat="1" ht="15" x14ac:dyDescent="0.25">
      <c r="A346" s="334"/>
      <c r="B346" s="409"/>
      <c r="C346" s="409"/>
      <c r="D346" s="409"/>
      <c r="E346" s="409"/>
      <c r="F346" s="409"/>
      <c r="G346" s="409"/>
      <c r="H346" s="409"/>
      <c r="I346" s="147"/>
      <c r="J346" s="180">
        <f t="shared" si="34"/>
        <v>0</v>
      </c>
    </row>
    <row r="347" spans="1:10" s="332" customFormat="1" ht="15" x14ac:dyDescent="0.25">
      <c r="A347" s="334"/>
      <c r="B347" s="409"/>
      <c r="C347" s="409"/>
      <c r="D347" s="409"/>
      <c r="E347" s="409"/>
      <c r="F347" s="409"/>
      <c r="G347" s="409"/>
      <c r="H347" s="409"/>
      <c r="I347" s="147"/>
      <c r="J347" s="180">
        <f t="shared" si="34"/>
        <v>0</v>
      </c>
    </row>
    <row r="348" spans="1:10" s="332" customFormat="1" ht="15" x14ac:dyDescent="0.25">
      <c r="A348" s="334"/>
      <c r="B348" s="409" t="s">
        <v>696</v>
      </c>
      <c r="C348" s="409"/>
      <c r="D348" s="409"/>
      <c r="E348" s="409"/>
      <c r="F348" s="409">
        <v>3.59</v>
      </c>
      <c r="G348" s="409">
        <v>1</v>
      </c>
      <c r="H348" s="410">
        <f t="shared" ref="H348:H352" si="38">F348*G348</f>
        <v>3.59</v>
      </c>
      <c r="I348" s="147"/>
      <c r="J348" s="180">
        <f t="shared" si="34"/>
        <v>3.59</v>
      </c>
    </row>
    <row r="349" spans="1:10" s="332" customFormat="1" ht="15" x14ac:dyDescent="0.25">
      <c r="A349" s="334"/>
      <c r="B349" s="409"/>
      <c r="C349" s="409"/>
      <c r="D349" s="409"/>
      <c r="E349" s="409"/>
      <c r="F349" s="409">
        <v>6.78</v>
      </c>
      <c r="G349" s="409">
        <v>1</v>
      </c>
      <c r="H349" s="410">
        <f t="shared" si="38"/>
        <v>6.78</v>
      </c>
      <c r="I349" s="147"/>
      <c r="J349" s="180">
        <f t="shared" si="34"/>
        <v>6.78</v>
      </c>
    </row>
    <row r="350" spans="1:10" s="332" customFormat="1" ht="15" x14ac:dyDescent="0.25">
      <c r="A350" s="334"/>
      <c r="B350" s="409"/>
      <c r="C350" s="409"/>
      <c r="D350" s="409"/>
      <c r="E350" s="409"/>
      <c r="F350" s="409">
        <v>3.59</v>
      </c>
      <c r="G350" s="409">
        <v>0.9</v>
      </c>
      <c r="H350" s="410">
        <f t="shared" si="38"/>
        <v>3.2309999999999999</v>
      </c>
      <c r="I350" s="147"/>
      <c r="J350" s="180">
        <f t="shared" si="34"/>
        <v>3.2309999999999999</v>
      </c>
    </row>
    <row r="351" spans="1:10" s="332" customFormat="1" ht="15" x14ac:dyDescent="0.25">
      <c r="A351" s="334"/>
      <c r="B351" s="409"/>
      <c r="C351" s="409"/>
      <c r="D351" s="409"/>
      <c r="E351" s="409"/>
      <c r="F351" s="409">
        <v>6.78</v>
      </c>
      <c r="G351" s="409">
        <v>1</v>
      </c>
      <c r="H351" s="410">
        <f t="shared" si="38"/>
        <v>6.78</v>
      </c>
      <c r="I351" s="147"/>
      <c r="J351" s="180">
        <f t="shared" si="34"/>
        <v>6.78</v>
      </c>
    </row>
    <row r="352" spans="1:10" s="332" customFormat="1" ht="15" x14ac:dyDescent="0.25">
      <c r="A352" s="334"/>
      <c r="B352" s="409"/>
      <c r="C352" s="409"/>
      <c r="D352" s="409"/>
      <c r="E352" s="409"/>
      <c r="F352" s="411">
        <f>F348</f>
        <v>3.59</v>
      </c>
      <c r="G352" s="411">
        <f>F349</f>
        <v>6.78</v>
      </c>
      <c r="H352" s="412">
        <f t="shared" si="38"/>
        <v>24.340199999999999</v>
      </c>
      <c r="I352" s="147"/>
      <c r="J352" s="180">
        <f t="shared" si="34"/>
        <v>24.340199999999999</v>
      </c>
    </row>
    <row r="353" spans="1:10" s="332" customFormat="1" ht="15" x14ac:dyDescent="0.25">
      <c r="A353" s="334"/>
      <c r="B353" s="409"/>
      <c r="C353" s="409"/>
      <c r="D353" s="409"/>
      <c r="E353" s="409"/>
      <c r="F353" s="409"/>
      <c r="G353" s="409"/>
      <c r="H353" s="409"/>
      <c r="I353" s="147"/>
      <c r="J353" s="180">
        <f t="shared" si="34"/>
        <v>0</v>
      </c>
    </row>
    <row r="354" spans="1:10" s="332" customFormat="1" ht="15" x14ac:dyDescent="0.25">
      <c r="A354" s="334"/>
      <c r="B354" s="409" t="s">
        <v>697</v>
      </c>
      <c r="C354" s="409"/>
      <c r="D354" s="409"/>
      <c r="E354" s="409"/>
      <c r="F354" s="409">
        <v>2.9</v>
      </c>
      <c r="G354" s="409">
        <v>1</v>
      </c>
      <c r="H354" s="410">
        <f t="shared" ref="H354:H358" si="39">F354*G354</f>
        <v>2.9</v>
      </c>
      <c r="I354" s="147"/>
      <c r="J354" s="180">
        <f t="shared" si="34"/>
        <v>2.9</v>
      </c>
    </row>
    <row r="355" spans="1:10" s="332" customFormat="1" ht="15" x14ac:dyDescent="0.25">
      <c r="A355" s="334"/>
      <c r="B355" s="409"/>
      <c r="C355" s="409"/>
      <c r="D355" s="409"/>
      <c r="E355" s="409"/>
      <c r="F355" s="409">
        <v>3.59</v>
      </c>
      <c r="G355" s="409">
        <v>1</v>
      </c>
      <c r="H355" s="410">
        <f t="shared" si="39"/>
        <v>3.59</v>
      </c>
      <c r="I355" s="147"/>
      <c r="J355" s="180">
        <f t="shared" si="34"/>
        <v>3.59</v>
      </c>
    </row>
    <row r="356" spans="1:10" s="332" customFormat="1" ht="15" x14ac:dyDescent="0.25">
      <c r="A356" s="334"/>
      <c r="B356" s="409"/>
      <c r="C356" s="409"/>
      <c r="D356" s="409"/>
      <c r="E356" s="409"/>
      <c r="F356" s="409">
        <v>2.9</v>
      </c>
      <c r="G356" s="409">
        <v>1</v>
      </c>
      <c r="H356" s="410">
        <f t="shared" si="39"/>
        <v>2.9</v>
      </c>
      <c r="I356" s="147"/>
      <c r="J356" s="180">
        <f t="shared" si="34"/>
        <v>2.9</v>
      </c>
    </row>
    <row r="357" spans="1:10" s="332" customFormat="1" ht="15" x14ac:dyDescent="0.25">
      <c r="A357" s="334"/>
      <c r="B357" s="409"/>
      <c r="C357" s="409"/>
      <c r="D357" s="409"/>
      <c r="E357" s="409"/>
      <c r="F357" s="409">
        <v>3.59</v>
      </c>
      <c r="G357" s="409">
        <v>0.9</v>
      </c>
      <c r="H357" s="410">
        <f t="shared" si="39"/>
        <v>3.2309999999999999</v>
      </c>
      <c r="I357" s="147"/>
      <c r="J357" s="180">
        <f t="shared" si="34"/>
        <v>3.2309999999999999</v>
      </c>
    </row>
    <row r="358" spans="1:10" s="332" customFormat="1" ht="15" x14ac:dyDescent="0.25">
      <c r="A358" s="334"/>
      <c r="B358" s="409"/>
      <c r="C358" s="409"/>
      <c r="D358" s="409"/>
      <c r="E358" s="409"/>
      <c r="F358" s="411">
        <f>F354</f>
        <v>2.9</v>
      </c>
      <c r="G358" s="411">
        <f>F355</f>
        <v>3.59</v>
      </c>
      <c r="H358" s="412">
        <f t="shared" si="39"/>
        <v>10.411</v>
      </c>
      <c r="I358" s="147"/>
      <c r="J358" s="180">
        <f t="shared" si="34"/>
        <v>10.411</v>
      </c>
    </row>
    <row r="359" spans="1:10" s="332" customFormat="1" ht="15" x14ac:dyDescent="0.25">
      <c r="A359" s="334"/>
      <c r="B359" s="409"/>
      <c r="C359" s="409"/>
      <c r="D359" s="409"/>
      <c r="E359" s="409"/>
      <c r="F359" s="409"/>
      <c r="G359" s="409"/>
      <c r="H359" s="409"/>
      <c r="I359" s="147"/>
      <c r="J359" s="180">
        <f t="shared" si="34"/>
        <v>0</v>
      </c>
    </row>
    <row r="360" spans="1:10" s="332" customFormat="1" ht="15" x14ac:dyDescent="0.25">
      <c r="A360" s="334"/>
      <c r="B360" s="409" t="s">
        <v>698</v>
      </c>
      <c r="C360" s="409"/>
      <c r="D360" s="409">
        <v>2</v>
      </c>
      <c r="E360" s="409"/>
      <c r="F360" s="409">
        <v>80</v>
      </c>
      <c r="G360" s="409">
        <v>1</v>
      </c>
      <c r="H360" s="410">
        <f>F360*G360*D360</f>
        <v>160</v>
      </c>
      <c r="I360" s="147"/>
      <c r="J360" s="180">
        <f t="shared" si="34"/>
        <v>160</v>
      </c>
    </row>
    <row r="361" spans="1:10" s="332" customFormat="1" ht="15" x14ac:dyDescent="0.25">
      <c r="A361" s="334"/>
      <c r="B361" s="409"/>
      <c r="C361" s="409"/>
      <c r="D361" s="409">
        <v>2</v>
      </c>
      <c r="E361" s="409"/>
      <c r="F361" s="409">
        <f>40-4.8</f>
        <v>35.200000000000003</v>
      </c>
      <c r="G361" s="409">
        <v>2.5</v>
      </c>
      <c r="H361" s="410">
        <f t="shared" ref="H361:H363" si="40">F361*G361*D361</f>
        <v>176</v>
      </c>
      <c r="I361" s="147"/>
      <c r="J361" s="180">
        <f t="shared" si="34"/>
        <v>176</v>
      </c>
    </row>
    <row r="362" spans="1:10" s="332" customFormat="1" ht="15" x14ac:dyDescent="0.25">
      <c r="A362" s="334"/>
      <c r="B362" s="409"/>
      <c r="C362" s="409"/>
      <c r="D362" s="409">
        <v>2</v>
      </c>
      <c r="E362" s="409"/>
      <c r="F362" s="409">
        <f>69-29</f>
        <v>40</v>
      </c>
      <c r="G362" s="409">
        <v>2.5</v>
      </c>
      <c r="H362" s="410">
        <f t="shared" si="40"/>
        <v>200</v>
      </c>
      <c r="I362" s="147"/>
      <c r="J362" s="180">
        <f t="shared" si="34"/>
        <v>200</v>
      </c>
    </row>
    <row r="363" spans="1:10" s="332" customFormat="1" ht="15" x14ac:dyDescent="0.25">
      <c r="A363" s="334"/>
      <c r="B363" s="409"/>
      <c r="C363" s="409"/>
      <c r="D363" s="409">
        <v>2</v>
      </c>
      <c r="E363" s="409"/>
      <c r="F363" s="409">
        <v>36</v>
      </c>
      <c r="G363" s="409">
        <v>2.5</v>
      </c>
      <c r="H363" s="410">
        <f t="shared" si="40"/>
        <v>180</v>
      </c>
      <c r="I363" s="147"/>
      <c r="J363" s="180">
        <f t="shared" si="34"/>
        <v>180</v>
      </c>
    </row>
    <row r="364" spans="1:10" s="332" customFormat="1" x14ac:dyDescent="0.2">
      <c r="A364" s="334"/>
      <c r="B364" s="403"/>
      <c r="C364" s="331"/>
      <c r="D364" s="162"/>
      <c r="E364" s="162"/>
      <c r="F364" s="28"/>
      <c r="G364" s="161"/>
      <c r="H364" s="161"/>
      <c r="I364" s="147"/>
      <c r="J364" s="180"/>
    </row>
    <row r="365" spans="1:10" s="176" customFormat="1" x14ac:dyDescent="0.2">
      <c r="A365" s="177"/>
      <c r="B365" s="403"/>
      <c r="C365" s="175"/>
      <c r="D365" s="162"/>
      <c r="E365" s="162"/>
      <c r="F365" s="28"/>
      <c r="G365" s="161"/>
      <c r="H365" s="161"/>
      <c r="I365" s="147"/>
      <c r="J365" s="180"/>
    </row>
    <row r="366" spans="1:10" s="176" customFormat="1" x14ac:dyDescent="0.2">
      <c r="A366" s="177"/>
      <c r="B366" s="160"/>
      <c r="C366" s="175"/>
      <c r="D366" s="162"/>
      <c r="E366" s="162"/>
      <c r="F366" s="28"/>
      <c r="G366" s="161"/>
      <c r="H366" s="161"/>
      <c r="I366" s="147"/>
      <c r="J366" s="180"/>
    </row>
    <row r="367" spans="1:10" s="176" customFormat="1" x14ac:dyDescent="0.2">
      <c r="A367" s="177"/>
      <c r="B367" s="178"/>
      <c r="C367" s="13"/>
      <c r="D367" s="177"/>
      <c r="E367" s="175"/>
      <c r="F367" s="28"/>
      <c r="G367" s="29"/>
      <c r="H367" s="76"/>
      <c r="I367" s="81" t="s">
        <v>239</v>
      </c>
      <c r="J367" s="339">
        <f>SUM(J64:J366)</f>
        <v>7943.8735999999953</v>
      </c>
    </row>
    <row r="368" spans="1:10" s="176" customFormat="1" x14ac:dyDescent="0.2">
      <c r="A368" s="177"/>
      <c r="B368" s="178"/>
      <c r="C368" s="13"/>
      <c r="D368" s="177"/>
      <c r="E368" s="175"/>
      <c r="F368" s="28"/>
      <c r="G368" s="29"/>
      <c r="H368" s="76"/>
      <c r="I368" s="147"/>
      <c r="J368" s="188"/>
    </row>
    <row r="369" spans="1:10" s="176" customFormat="1" x14ac:dyDescent="0.2">
      <c r="A369" s="177"/>
      <c r="B369" s="178"/>
      <c r="C369" s="13"/>
      <c r="D369" s="177"/>
      <c r="E369" s="175"/>
      <c r="F369" s="28"/>
      <c r="G369" s="29"/>
      <c r="H369" s="76"/>
      <c r="I369" s="147"/>
      <c r="J369" s="188"/>
    </row>
    <row r="370" spans="1:10" s="176" customFormat="1" ht="25.5" x14ac:dyDescent="0.2">
      <c r="A370" s="177" t="s">
        <v>411</v>
      </c>
      <c r="B370" s="178" t="str">
        <f>'PLANILHA ORÇAMENTÁRIA'!D16</f>
        <v xml:space="preserve">Lixamento de madeira com pintura antiga a óleo para recebimento de nova camada de tinta </v>
      </c>
      <c r="C370" s="275" t="str">
        <f>'PLANILHA ORÇAMENTÁRIA'!E15</f>
        <v xml:space="preserve">m2 </v>
      </c>
      <c r="D370" s="184" t="s">
        <v>422</v>
      </c>
      <c r="E370" s="184" t="s">
        <v>80</v>
      </c>
      <c r="F370" s="184" t="s">
        <v>81</v>
      </c>
      <c r="G370" s="184" t="s">
        <v>82</v>
      </c>
      <c r="H370" s="184" t="s">
        <v>83</v>
      </c>
      <c r="I370" s="185" t="s">
        <v>84</v>
      </c>
      <c r="J370" s="185" t="s">
        <v>702</v>
      </c>
    </row>
    <row r="371" spans="1:10" s="176" customFormat="1" x14ac:dyDescent="0.2">
      <c r="A371" s="177"/>
      <c r="B371" s="343"/>
      <c r="C371" s="275"/>
      <c r="D371" s="184"/>
      <c r="E371" s="184"/>
      <c r="F371" s="184"/>
      <c r="G371" s="184"/>
      <c r="H371" s="184"/>
      <c r="I371" s="185"/>
      <c r="J371" s="185"/>
    </row>
    <row r="372" spans="1:10" s="176" customFormat="1" x14ac:dyDescent="0.2">
      <c r="A372" s="177"/>
      <c r="B372" s="401" t="s">
        <v>556</v>
      </c>
      <c r="C372" s="275"/>
      <c r="D372" s="184"/>
      <c r="E372" s="184"/>
      <c r="F372" s="184"/>
      <c r="G372" s="184"/>
      <c r="H372" s="184"/>
      <c r="I372" s="185"/>
      <c r="J372" s="185"/>
    </row>
    <row r="373" spans="1:10" s="176" customFormat="1" x14ac:dyDescent="0.2">
      <c r="A373" s="177"/>
      <c r="B373" s="400" t="s">
        <v>557</v>
      </c>
      <c r="C373" s="275"/>
      <c r="D373" s="184">
        <v>11</v>
      </c>
      <c r="E373" s="184"/>
      <c r="F373" s="184">
        <v>0.8</v>
      </c>
      <c r="G373" s="184">
        <v>2.1</v>
      </c>
      <c r="H373" s="184">
        <f>D373*F373*G373</f>
        <v>18.480000000000004</v>
      </c>
      <c r="I373" s="185"/>
      <c r="J373" s="185">
        <f>H373</f>
        <v>18.480000000000004</v>
      </c>
    </row>
    <row r="374" spans="1:10" s="176" customFormat="1" x14ac:dyDescent="0.2">
      <c r="A374" s="177"/>
      <c r="B374" s="401" t="s">
        <v>701</v>
      </c>
      <c r="C374" s="275"/>
      <c r="D374" s="341"/>
      <c r="E374" s="341"/>
      <c r="F374" s="341"/>
      <c r="G374" s="341"/>
      <c r="H374" s="341"/>
      <c r="I374" s="342"/>
      <c r="J374" s="342"/>
    </row>
    <row r="375" spans="1:10" s="332" customFormat="1" x14ac:dyDescent="0.2">
      <c r="A375" s="334"/>
      <c r="B375" s="335" t="s">
        <v>700</v>
      </c>
      <c r="C375" s="275"/>
      <c r="D375" s="341">
        <v>6</v>
      </c>
      <c r="E375" s="341"/>
      <c r="F375" s="341">
        <v>0.9</v>
      </c>
      <c r="G375" s="341">
        <v>1.5</v>
      </c>
      <c r="H375" s="341">
        <f>D375*F375*G375</f>
        <v>8.1000000000000014</v>
      </c>
      <c r="I375" s="342"/>
      <c r="J375" s="342">
        <f t="shared" ref="J375:J376" si="41">H375</f>
        <v>8.1000000000000014</v>
      </c>
    </row>
    <row r="376" spans="1:10" s="176" customFormat="1" x14ac:dyDescent="0.2">
      <c r="A376" s="177"/>
      <c r="B376" s="335" t="s">
        <v>699</v>
      </c>
      <c r="C376" s="275"/>
      <c r="D376" s="341">
        <v>8</v>
      </c>
      <c r="E376" s="341"/>
      <c r="F376" s="341">
        <v>0.6</v>
      </c>
      <c r="G376" s="341">
        <v>1.5</v>
      </c>
      <c r="H376" s="341">
        <f>D376*F376*G376</f>
        <v>7.1999999999999993</v>
      </c>
      <c r="I376" s="342"/>
      <c r="J376" s="342">
        <f t="shared" si="41"/>
        <v>7.1999999999999993</v>
      </c>
    </row>
    <row r="377" spans="1:10" s="176" customFormat="1" x14ac:dyDescent="0.2">
      <c r="A377" s="177"/>
      <c r="B377" s="297"/>
      <c r="C377" s="275"/>
      <c r="D377" s="184"/>
      <c r="E377" s="184"/>
      <c r="F377" s="184"/>
      <c r="G377" s="184"/>
      <c r="H377" s="184"/>
      <c r="I377" s="81" t="s">
        <v>239</v>
      </c>
      <c r="J377" s="182">
        <f>SUM(J371:J376)*2</f>
        <v>67.56</v>
      </c>
    </row>
    <row r="378" spans="1:10" s="176" customFormat="1" x14ac:dyDescent="0.2">
      <c r="A378" s="177"/>
      <c r="B378" s="178"/>
      <c r="C378" s="13"/>
      <c r="D378" s="177"/>
      <c r="E378" s="175"/>
      <c r="F378" s="28"/>
      <c r="G378" s="29"/>
      <c r="H378" s="76"/>
      <c r="I378" s="147"/>
      <c r="J378" s="188"/>
    </row>
    <row r="379" spans="1:10" s="176" customFormat="1" x14ac:dyDescent="0.2">
      <c r="A379" s="177"/>
      <c r="B379" s="178"/>
      <c r="C379" s="275"/>
      <c r="D379" s="184"/>
      <c r="E379" s="184"/>
      <c r="F379" s="184"/>
      <c r="G379" s="184"/>
      <c r="H379" s="184"/>
      <c r="I379" s="147"/>
      <c r="J379" s="188"/>
    </row>
    <row r="380" spans="1:10" s="176" customFormat="1" ht="38.25" x14ac:dyDescent="0.2">
      <c r="A380" s="177" t="s">
        <v>412</v>
      </c>
      <c r="B380" s="178" t="str">
        <f>'PLANILHA ORÇAMENTÁRIA'!D17</f>
        <v xml:space="preserve"> Recuperação de piso de quadra com demolição parcial do concreto e aplicação de granilite, inclusive
regularização</v>
      </c>
      <c r="C380" s="275" t="str">
        <f>'PLANILHA ORÇAMENTÁRIA'!E17</f>
        <v>m2</v>
      </c>
      <c r="D380" s="184" t="s">
        <v>422</v>
      </c>
      <c r="E380" s="184" t="s">
        <v>80</v>
      </c>
      <c r="F380" s="184" t="s">
        <v>81</v>
      </c>
      <c r="G380" s="184" t="s">
        <v>82</v>
      </c>
      <c r="H380" s="184" t="s">
        <v>83</v>
      </c>
      <c r="I380" s="184" t="s">
        <v>84</v>
      </c>
      <c r="J380" s="185" t="s">
        <v>85</v>
      </c>
    </row>
    <row r="381" spans="1:10" s="332" customFormat="1" x14ac:dyDescent="0.2">
      <c r="A381" s="334"/>
      <c r="B381" s="394" t="s">
        <v>598</v>
      </c>
      <c r="C381" s="334"/>
      <c r="D381" s="319"/>
      <c r="E381" s="341">
        <v>5.2</v>
      </c>
      <c r="F381" s="341">
        <v>0.16</v>
      </c>
      <c r="G381" s="341"/>
      <c r="H381" s="341">
        <f>E381*F381</f>
        <v>0.83200000000000007</v>
      </c>
      <c r="I381" s="341"/>
      <c r="J381" s="342">
        <f>H381</f>
        <v>0.83200000000000007</v>
      </c>
    </row>
    <row r="382" spans="1:10" s="332" customFormat="1" x14ac:dyDescent="0.2">
      <c r="A382" s="334"/>
      <c r="B382" s="394" t="s">
        <v>599</v>
      </c>
      <c r="C382" s="334"/>
      <c r="D382" s="319"/>
      <c r="E382" s="341">
        <v>12</v>
      </c>
      <c r="F382" s="341">
        <v>0.6</v>
      </c>
      <c r="G382" s="341"/>
      <c r="H382" s="341">
        <f t="shared" ref="H382:H383" si="42">E382*F382</f>
        <v>7.1999999999999993</v>
      </c>
      <c r="I382" s="341"/>
      <c r="J382" s="342">
        <f t="shared" ref="J382:J383" si="43">H382</f>
        <v>7.1999999999999993</v>
      </c>
    </row>
    <row r="383" spans="1:10" s="332" customFormat="1" x14ac:dyDescent="0.2">
      <c r="A383" s="334"/>
      <c r="B383" s="394" t="s">
        <v>600</v>
      </c>
      <c r="C383" s="334"/>
      <c r="D383" s="319"/>
      <c r="E383" s="341">
        <v>12</v>
      </c>
      <c r="F383" s="341">
        <v>0.6</v>
      </c>
      <c r="G383" s="341"/>
      <c r="H383" s="341">
        <f t="shared" si="42"/>
        <v>7.1999999999999993</v>
      </c>
      <c r="I383" s="341"/>
      <c r="J383" s="342">
        <f t="shared" si="43"/>
        <v>7.1999999999999993</v>
      </c>
    </row>
    <row r="384" spans="1:10" s="332" customFormat="1" x14ac:dyDescent="0.2">
      <c r="A384" s="334"/>
      <c r="B384" s="335"/>
      <c r="C384" s="275"/>
      <c r="D384" s="341"/>
      <c r="E384" s="341"/>
      <c r="F384" s="341"/>
      <c r="G384" s="341"/>
      <c r="H384" s="341"/>
      <c r="I384" s="341"/>
      <c r="J384" s="342"/>
    </row>
    <row r="385" spans="1:10" s="176" customFormat="1" x14ac:dyDescent="0.2">
      <c r="A385" s="177"/>
      <c r="B385" s="89"/>
      <c r="C385" s="275"/>
      <c r="D385" s="184"/>
      <c r="E385" s="184"/>
      <c r="F385" s="184"/>
      <c r="G385" s="184"/>
      <c r="H385" s="184"/>
      <c r="I385" s="184"/>
      <c r="J385" s="185"/>
    </row>
    <row r="386" spans="1:10" s="176" customFormat="1" x14ac:dyDescent="0.2">
      <c r="A386" s="177"/>
      <c r="B386" s="178"/>
      <c r="C386" s="275"/>
      <c r="D386" s="184"/>
      <c r="E386" s="184"/>
      <c r="F386" s="184"/>
      <c r="G386" s="184"/>
      <c r="H386" s="184"/>
      <c r="I386" s="81" t="s">
        <v>239</v>
      </c>
      <c r="J386" s="339">
        <f>SUM(J381:J385)</f>
        <v>15.231999999999999</v>
      </c>
    </row>
    <row r="387" spans="1:10" s="176" customFormat="1" x14ac:dyDescent="0.2">
      <c r="A387" s="177"/>
      <c r="B387" s="178"/>
      <c r="C387" s="275"/>
      <c r="D387" s="184"/>
      <c r="E387" s="184"/>
      <c r="F387" s="184"/>
      <c r="G387" s="184"/>
      <c r="H387" s="184"/>
      <c r="I387" s="147"/>
      <c r="J387" s="188"/>
    </row>
    <row r="388" spans="1:10" s="176" customFormat="1" ht="25.5" x14ac:dyDescent="0.2">
      <c r="A388" s="338" t="s">
        <v>413</v>
      </c>
      <c r="B388" s="178" t="str">
        <f>'PLANILHA ORÇAMENTÁRIA'!D18</f>
        <v xml:space="preserve">Lixamento manual em superfícies metálicas em obra </v>
      </c>
      <c r="C388" s="275" t="s">
        <v>268</v>
      </c>
      <c r="D388" s="184" t="s">
        <v>422</v>
      </c>
      <c r="E388" s="184" t="s">
        <v>80</v>
      </c>
      <c r="F388" s="184" t="s">
        <v>81</v>
      </c>
      <c r="G388" s="184" t="s">
        <v>82</v>
      </c>
      <c r="H388" s="184" t="s">
        <v>83</v>
      </c>
      <c r="I388" s="184" t="s">
        <v>84</v>
      </c>
      <c r="J388" s="185" t="s">
        <v>85</v>
      </c>
    </row>
    <row r="389" spans="1:10" s="332" customFormat="1" x14ac:dyDescent="0.2">
      <c r="A389" s="338"/>
      <c r="B389" s="333" t="s">
        <v>559</v>
      </c>
      <c r="C389" s="275"/>
      <c r="D389" s="341"/>
      <c r="E389" s="341"/>
      <c r="F389" s="341"/>
      <c r="G389" s="341"/>
      <c r="H389" s="341"/>
      <c r="I389" s="341"/>
      <c r="J389" s="342"/>
    </row>
    <row r="390" spans="1:10" s="176" customFormat="1" x14ac:dyDescent="0.2">
      <c r="A390" s="177"/>
      <c r="B390" s="178" t="s">
        <v>542</v>
      </c>
      <c r="C390" s="275"/>
      <c r="D390" s="184">
        <v>1</v>
      </c>
      <c r="E390" s="184"/>
      <c r="F390" s="184">
        <v>1.45</v>
      </c>
      <c r="G390" s="184">
        <v>2.5499999999999998</v>
      </c>
      <c r="H390" s="184">
        <f>D390*F390*G390</f>
        <v>3.6974999999999998</v>
      </c>
      <c r="I390" s="184"/>
      <c r="J390" s="185">
        <f>H390</f>
        <v>3.6974999999999998</v>
      </c>
    </row>
    <row r="391" spans="1:10" s="176" customFormat="1" x14ac:dyDescent="0.2">
      <c r="A391" s="177"/>
      <c r="B391" s="394" t="s">
        <v>575</v>
      </c>
      <c r="C391" s="177"/>
      <c r="D391" s="184">
        <v>1</v>
      </c>
      <c r="E391" s="184"/>
      <c r="F391" s="184">
        <v>2.5499999999999998</v>
      </c>
      <c r="G391" s="184">
        <v>1.85</v>
      </c>
      <c r="H391" s="341">
        <f>D391*F391*G391</f>
        <v>4.7175000000000002</v>
      </c>
      <c r="I391" s="341"/>
      <c r="J391" s="342">
        <f>H391</f>
        <v>4.7175000000000002</v>
      </c>
    </row>
    <row r="392" spans="1:10" s="176" customFormat="1" x14ac:dyDescent="0.2">
      <c r="A392" s="177"/>
      <c r="B392" s="333" t="s">
        <v>588</v>
      </c>
      <c r="C392" s="177"/>
      <c r="D392" s="184"/>
      <c r="E392" s="184"/>
      <c r="F392" s="184"/>
      <c r="G392" s="184"/>
      <c r="H392" s="184"/>
      <c r="I392" s="184"/>
      <c r="J392" s="185"/>
    </row>
    <row r="393" spans="1:10" s="176" customFormat="1" x14ac:dyDescent="0.2">
      <c r="A393" s="177"/>
      <c r="B393" s="335" t="s">
        <v>542</v>
      </c>
      <c r="C393" s="177"/>
      <c r="D393" s="341">
        <v>1</v>
      </c>
      <c r="E393" s="341"/>
      <c r="F393" s="341">
        <v>1.42</v>
      </c>
      <c r="G393" s="341">
        <v>2.4</v>
      </c>
      <c r="H393" s="341">
        <f>D393*F393*G393</f>
        <v>3.4079999999999999</v>
      </c>
      <c r="I393" s="341"/>
      <c r="J393" s="342">
        <f>H393</f>
        <v>3.4079999999999999</v>
      </c>
    </row>
    <row r="394" spans="1:10" s="176" customFormat="1" x14ac:dyDescent="0.2">
      <c r="A394" s="177"/>
      <c r="B394" s="402" t="s">
        <v>558</v>
      </c>
      <c r="C394" s="331"/>
      <c r="D394" s="162"/>
      <c r="E394" s="162"/>
      <c r="F394" s="28"/>
      <c r="G394" s="161"/>
      <c r="H394" s="161"/>
      <c r="I394" s="147"/>
      <c r="J394" s="180"/>
    </row>
    <row r="395" spans="1:10" s="176" customFormat="1" x14ac:dyDescent="0.2">
      <c r="A395" s="177"/>
      <c r="B395" s="396" t="s">
        <v>589</v>
      </c>
      <c r="C395" s="331"/>
      <c r="D395" s="162"/>
      <c r="E395" s="162"/>
      <c r="F395" s="28">
        <v>4.8</v>
      </c>
      <c r="G395" s="161">
        <v>2.4</v>
      </c>
      <c r="H395" s="161">
        <f>F395*G395</f>
        <v>11.52</v>
      </c>
      <c r="I395" s="147"/>
      <c r="J395" s="180">
        <f>H395</f>
        <v>11.52</v>
      </c>
    </row>
    <row r="396" spans="1:10" s="332" customFormat="1" x14ac:dyDescent="0.2">
      <c r="A396" s="334"/>
      <c r="B396" s="396"/>
      <c r="C396" s="331"/>
      <c r="D396" s="162"/>
      <c r="E396" s="162"/>
      <c r="F396" s="28"/>
      <c r="G396" s="161"/>
      <c r="H396" s="161"/>
      <c r="I396" s="81" t="s">
        <v>239</v>
      </c>
      <c r="J396" s="339">
        <f>SUM(J390:J395)</f>
        <v>23.342999999999996</v>
      </c>
    </row>
    <row r="397" spans="1:10" s="332" customFormat="1" x14ac:dyDescent="0.2">
      <c r="A397" s="334"/>
      <c r="B397" s="335"/>
      <c r="C397" s="275"/>
      <c r="D397" s="341"/>
      <c r="E397" s="341"/>
      <c r="F397" s="341"/>
      <c r="G397" s="341"/>
      <c r="H397" s="341"/>
      <c r="I397" s="147"/>
      <c r="J397" s="346"/>
    </row>
    <row r="398" spans="1:10" s="332" customFormat="1" ht="25.5" x14ac:dyDescent="0.2">
      <c r="A398" s="338" t="s">
        <v>414</v>
      </c>
      <c r="B398" s="335" t="s">
        <v>547</v>
      </c>
      <c r="C398" s="275" t="str">
        <f>'PLANILHA ORÇAMENTÁRIA'!E28</f>
        <v xml:space="preserve">m2 </v>
      </c>
      <c r="D398" s="341" t="s">
        <v>422</v>
      </c>
      <c r="E398" s="341" t="s">
        <v>80</v>
      </c>
      <c r="F398" s="341" t="s">
        <v>81</v>
      </c>
      <c r="G398" s="341" t="s">
        <v>82</v>
      </c>
      <c r="H398" s="341" t="s">
        <v>83</v>
      </c>
      <c r="I398" s="341" t="s">
        <v>84</v>
      </c>
      <c r="J398" s="342" t="s">
        <v>85</v>
      </c>
    </row>
    <row r="399" spans="1:10" s="332" customFormat="1" x14ac:dyDescent="0.2">
      <c r="A399" s="338"/>
      <c r="B399" s="333" t="s">
        <v>556</v>
      </c>
      <c r="C399" s="275"/>
      <c r="D399" s="341"/>
      <c r="E399" s="341"/>
      <c r="F399" s="341"/>
      <c r="G399" s="341"/>
      <c r="H399" s="341"/>
      <c r="I399" s="341"/>
      <c r="J399" s="342"/>
    </row>
    <row r="400" spans="1:10" s="332" customFormat="1" x14ac:dyDescent="0.2">
      <c r="A400" s="338"/>
      <c r="B400" s="335" t="s">
        <v>548</v>
      </c>
      <c r="C400" s="275"/>
      <c r="D400" s="341">
        <v>1</v>
      </c>
      <c r="E400" s="341">
        <v>2.93</v>
      </c>
      <c r="F400" s="341"/>
      <c r="G400" s="341">
        <v>7.0000000000000007E-2</v>
      </c>
      <c r="H400" s="341">
        <f>D400*E400*G400</f>
        <v>0.20510000000000003</v>
      </c>
      <c r="I400" s="147"/>
      <c r="J400" s="382">
        <f>H400</f>
        <v>0.20510000000000003</v>
      </c>
    </row>
    <row r="401" spans="1:10" s="332" customFormat="1" x14ac:dyDescent="0.2">
      <c r="A401" s="338"/>
      <c r="B401" s="335"/>
      <c r="C401" s="275"/>
      <c r="D401" s="341"/>
      <c r="E401" s="341"/>
      <c r="F401" s="341"/>
      <c r="G401" s="341"/>
      <c r="H401" s="341"/>
      <c r="I401" s="147"/>
      <c r="J401" s="346"/>
    </row>
    <row r="402" spans="1:10" s="332" customFormat="1" x14ac:dyDescent="0.2">
      <c r="A402" s="338"/>
      <c r="B402" s="335"/>
      <c r="C402" s="275"/>
      <c r="D402" s="341"/>
      <c r="E402" s="341"/>
      <c r="F402" s="341"/>
      <c r="G402" s="341"/>
      <c r="H402" s="341"/>
      <c r="I402" s="147"/>
      <c r="J402" s="346"/>
    </row>
    <row r="403" spans="1:10" s="332" customFormat="1" x14ac:dyDescent="0.2">
      <c r="A403" s="338"/>
      <c r="B403" s="335"/>
      <c r="C403" s="275"/>
      <c r="D403" s="341"/>
      <c r="E403" s="341"/>
      <c r="F403" s="341"/>
      <c r="G403" s="341"/>
      <c r="H403" s="341"/>
      <c r="I403" s="147"/>
      <c r="J403" s="346"/>
    </row>
    <row r="404" spans="1:10" s="176" customFormat="1" x14ac:dyDescent="0.2">
      <c r="A404" s="338"/>
      <c r="B404" s="178"/>
      <c r="C404" s="275"/>
      <c r="D404" s="184"/>
      <c r="E404" s="184"/>
      <c r="F404" s="184"/>
      <c r="G404" s="184"/>
      <c r="H404" s="184"/>
      <c r="I404" s="81" t="s">
        <v>239</v>
      </c>
      <c r="J404" s="339">
        <f>SUM(J400:J403)</f>
        <v>0.20510000000000003</v>
      </c>
    </row>
    <row r="405" spans="1:10" s="332" customFormat="1" x14ac:dyDescent="0.2">
      <c r="A405" s="338"/>
      <c r="B405" s="335"/>
      <c r="C405" s="275"/>
      <c r="D405" s="341"/>
      <c r="E405" s="341"/>
      <c r="F405" s="341"/>
      <c r="G405" s="341"/>
      <c r="H405" s="341"/>
      <c r="I405" s="147"/>
      <c r="J405" s="346"/>
    </row>
    <row r="406" spans="1:10" s="332" customFormat="1" ht="25.5" x14ac:dyDescent="0.2">
      <c r="A406" s="338" t="s">
        <v>415</v>
      </c>
      <c r="B406" s="335" t="s">
        <v>565</v>
      </c>
      <c r="C406" s="275" t="s">
        <v>22</v>
      </c>
      <c r="D406" s="341" t="s">
        <v>422</v>
      </c>
      <c r="E406" s="341" t="s">
        <v>80</v>
      </c>
      <c r="F406" s="341" t="s">
        <v>81</v>
      </c>
      <c r="G406" s="341" t="s">
        <v>82</v>
      </c>
      <c r="H406" s="341" t="s">
        <v>83</v>
      </c>
      <c r="I406" s="341" t="s">
        <v>84</v>
      </c>
      <c r="J406" s="342" t="s">
        <v>85</v>
      </c>
    </row>
    <row r="407" spans="1:10" s="332" customFormat="1" x14ac:dyDescent="0.2">
      <c r="A407" s="334"/>
      <c r="B407" s="333" t="s">
        <v>556</v>
      </c>
      <c r="C407" s="275"/>
      <c r="D407" s="341"/>
      <c r="E407" s="341"/>
      <c r="F407" s="341"/>
      <c r="G407" s="341"/>
      <c r="H407" s="341"/>
      <c r="I407" s="147"/>
      <c r="J407" s="382"/>
    </row>
    <row r="408" spans="1:10" s="332" customFormat="1" x14ac:dyDescent="0.2">
      <c r="A408" s="334"/>
      <c r="B408" s="335" t="s">
        <v>566</v>
      </c>
      <c r="C408" s="275"/>
      <c r="D408" s="341">
        <v>4</v>
      </c>
      <c r="E408" s="341"/>
      <c r="F408" s="341"/>
      <c r="G408" s="341"/>
      <c r="H408" s="341"/>
      <c r="I408" s="147"/>
      <c r="J408" s="346">
        <v>4</v>
      </c>
    </row>
    <row r="409" spans="1:10" s="332" customFormat="1" x14ac:dyDescent="0.2">
      <c r="A409" s="334"/>
      <c r="B409" s="335"/>
      <c r="C409" s="275"/>
      <c r="D409" s="341"/>
      <c r="E409" s="341"/>
      <c r="F409" s="341"/>
      <c r="G409" s="341"/>
      <c r="H409" s="341"/>
      <c r="I409" s="147"/>
      <c r="J409" s="346"/>
    </row>
    <row r="410" spans="1:10" s="332" customFormat="1" x14ac:dyDescent="0.2">
      <c r="A410" s="334"/>
      <c r="B410" s="335"/>
      <c r="C410" s="275"/>
      <c r="D410" s="341"/>
      <c r="E410" s="341"/>
      <c r="F410" s="341"/>
      <c r="G410" s="341"/>
      <c r="H410" s="341"/>
      <c r="I410" s="147"/>
      <c r="J410" s="346"/>
    </row>
    <row r="411" spans="1:10" x14ac:dyDescent="0.2">
      <c r="A411" s="334"/>
      <c r="B411" s="335"/>
      <c r="C411" s="275"/>
      <c r="D411" s="341"/>
      <c r="E411" s="341"/>
      <c r="F411" s="341"/>
      <c r="G411" s="341"/>
      <c r="H411" s="341"/>
      <c r="I411" s="81" t="s">
        <v>239</v>
      </c>
      <c r="J411" s="339">
        <f>SUM(J407:J410)</f>
        <v>4</v>
      </c>
    </row>
    <row r="412" spans="1:10" s="332" customFormat="1" x14ac:dyDescent="0.2">
      <c r="A412" s="334"/>
      <c r="B412" s="335"/>
      <c r="C412" s="275"/>
      <c r="D412" s="341"/>
      <c r="E412" s="341"/>
      <c r="F412" s="341"/>
      <c r="G412" s="341"/>
      <c r="H412" s="341"/>
      <c r="I412" s="147"/>
      <c r="J412" s="346"/>
    </row>
    <row r="413" spans="1:10" x14ac:dyDescent="0.2">
      <c r="A413" s="11">
        <v>2</v>
      </c>
      <c r="B413" s="7" t="str">
        <f>'PLANILHA ORÇAMENTÁRIA'!D22</f>
        <v>INSTALAÇÃO DO CANTEIRO DE OBRAS</v>
      </c>
      <c r="C413" s="5"/>
      <c r="D413" s="190"/>
      <c r="E413" s="73"/>
      <c r="F413" s="73"/>
      <c r="G413" s="73"/>
      <c r="H413" s="73"/>
      <c r="I413" s="73"/>
      <c r="J413" s="73"/>
    </row>
    <row r="414" spans="1:10" x14ac:dyDescent="0.2">
      <c r="A414" s="34" t="s">
        <v>93</v>
      </c>
      <c r="B414" s="18" t="str">
        <f>'PLANILHA ORÇAMENTÁRIA'!D23</f>
        <v>TAPUMES, BARRACÕES E COBERTURAS</v>
      </c>
      <c r="C414" s="177"/>
      <c r="D414" s="88"/>
      <c r="E414" s="179"/>
      <c r="F414" s="179"/>
      <c r="G414" s="179"/>
      <c r="H414" s="179"/>
      <c r="I414" s="179"/>
      <c r="J414" s="179"/>
    </row>
    <row r="415" spans="1:10" ht="25.5" x14ac:dyDescent="0.2">
      <c r="A415" s="19" t="s">
        <v>94</v>
      </c>
      <c r="B415" s="20" t="str">
        <f>'PLANILHA ORÇAMENTÁRIA'!D24</f>
        <v>Placa de obra nas dimensões de 2.0 x 4.0 m, padrão IOPES</v>
      </c>
      <c r="C415" s="177" t="str">
        <f>'PLANILHA ORÇAMENTÁRIA'!E24</f>
        <v>m2</v>
      </c>
      <c r="D415" s="184" t="s">
        <v>422</v>
      </c>
      <c r="E415" s="184" t="s">
        <v>80</v>
      </c>
      <c r="F415" s="184" t="s">
        <v>81</v>
      </c>
      <c r="G415" s="184" t="s">
        <v>82</v>
      </c>
      <c r="H415" s="184" t="s">
        <v>83</v>
      </c>
      <c r="I415" s="184" t="s">
        <v>84</v>
      </c>
      <c r="J415" s="185" t="s">
        <v>85</v>
      </c>
    </row>
    <row r="416" spans="1:10" x14ac:dyDescent="0.2">
      <c r="A416" s="19"/>
      <c r="B416" s="75"/>
      <c r="C416" s="177"/>
      <c r="D416" s="177"/>
      <c r="E416" s="180"/>
      <c r="F416" s="77">
        <v>4</v>
      </c>
      <c r="G416" s="77">
        <v>2</v>
      </c>
      <c r="H416" s="77"/>
      <c r="I416" s="77"/>
      <c r="J416" s="77">
        <f>G416</f>
        <v>2</v>
      </c>
    </row>
    <row r="417" spans="1:10" s="332" customFormat="1" x14ac:dyDescent="0.2">
      <c r="A417" s="334"/>
      <c r="B417" s="392"/>
      <c r="C417" s="334"/>
      <c r="D417" s="334"/>
      <c r="E417" s="180"/>
      <c r="F417" s="180"/>
      <c r="G417" s="180"/>
      <c r="H417" s="180"/>
      <c r="I417" s="180"/>
      <c r="J417" s="180"/>
    </row>
    <row r="418" spans="1:10" x14ac:dyDescent="0.2">
      <c r="A418" s="19"/>
      <c r="B418" s="20"/>
      <c r="C418" s="177"/>
      <c r="D418" s="177"/>
      <c r="E418" s="19"/>
      <c r="F418" s="19"/>
      <c r="G418" s="19"/>
      <c r="H418" s="19"/>
      <c r="I418" s="81" t="s">
        <v>239</v>
      </c>
      <c r="J418" s="182">
        <f>SUM(J416)</f>
        <v>2</v>
      </c>
    </row>
    <row r="419" spans="1:10" x14ac:dyDescent="0.2">
      <c r="A419" s="19"/>
      <c r="B419" s="20"/>
      <c r="C419" s="177"/>
      <c r="D419" s="177"/>
      <c r="E419" s="19"/>
      <c r="F419" s="19"/>
      <c r="G419" s="19"/>
      <c r="H419" s="19"/>
      <c r="I419" s="147"/>
      <c r="J419" s="92"/>
    </row>
    <row r="420" spans="1:10" s="176" customFormat="1" ht="25.5" x14ac:dyDescent="0.2">
      <c r="A420" s="19" t="s">
        <v>95</v>
      </c>
      <c r="B420" s="20" t="str">
        <f>'PLANILHA ORÇAMENTÁRIA'!D25</f>
        <v>Locação de andaime metálico para trabalho em fachada de edifíco (aluguel de 1 m² por 1 mês) inclusive frete, montagem e desmontagem  (BDI= 15,57%)</v>
      </c>
      <c r="C420" s="177" t="str">
        <f>'PLANILHA ORÇAMENTÁRIA'!E25</f>
        <v>m2</v>
      </c>
      <c r="D420" s="184" t="s">
        <v>422</v>
      </c>
      <c r="E420" s="184" t="s">
        <v>80</v>
      </c>
      <c r="F420" s="184" t="s">
        <v>81</v>
      </c>
      <c r="G420" s="184" t="s">
        <v>82</v>
      </c>
      <c r="H420" s="184" t="s">
        <v>83</v>
      </c>
      <c r="I420" s="184" t="s">
        <v>84</v>
      </c>
      <c r="J420" s="185" t="s">
        <v>85</v>
      </c>
    </row>
    <row r="421" spans="1:10" s="176" customFormat="1" x14ac:dyDescent="0.2">
      <c r="A421" s="177"/>
      <c r="B421" s="288" t="s">
        <v>433</v>
      </c>
      <c r="C421" s="177"/>
      <c r="D421" s="290">
        <v>3</v>
      </c>
      <c r="E421" s="184">
        <f>(60.45+17.75)*2</f>
        <v>156.4</v>
      </c>
      <c r="F421" s="184"/>
      <c r="G421" s="184"/>
      <c r="H421" s="184"/>
      <c r="I421" s="184"/>
      <c r="J421" s="185">
        <f>E421*D421</f>
        <v>469.20000000000005</v>
      </c>
    </row>
    <row r="422" spans="1:10" s="176" customFormat="1" x14ac:dyDescent="0.2">
      <c r="A422" s="19"/>
      <c r="B422" s="20"/>
      <c r="C422" s="177"/>
      <c r="D422" s="184"/>
      <c r="E422" s="84"/>
      <c r="F422" s="84"/>
      <c r="G422" s="84"/>
      <c r="H422" s="84"/>
      <c r="I422" s="81" t="s">
        <v>239</v>
      </c>
      <c r="J422" s="182">
        <f>SUM(J421)</f>
        <v>469.20000000000005</v>
      </c>
    </row>
    <row r="423" spans="1:10" s="176" customFormat="1" x14ac:dyDescent="0.2">
      <c r="A423" s="177"/>
      <c r="B423" s="178"/>
      <c r="C423" s="177"/>
      <c r="D423" s="177"/>
      <c r="E423" s="177"/>
      <c r="F423" s="177"/>
      <c r="G423" s="177"/>
      <c r="H423" s="177"/>
      <c r="I423" s="147"/>
      <c r="J423" s="188"/>
    </row>
    <row r="424" spans="1:10" ht="51" x14ac:dyDescent="0.2">
      <c r="A424" s="19" t="s">
        <v>96</v>
      </c>
      <c r="B424" s="20" t="str">
        <f>'PLANILHA ORÇAMENTÁRIA'!D26</f>
        <v>Tapume Telha Metálica Ondulada em aço galvalume 0,50mm Branca h=2,20m, incl. montagem estr. mad.8"x8", c/adesivo "IOPES" 60x60cm a cada 10m, incl. faixas pint. esmalte sint. cores azul c/ h=30cm e rosa c/ h=10cm (Reaproveitamento 2x)</v>
      </c>
      <c r="C424" s="177" t="str">
        <f>'PLANILHA ORÇAMENTÁRIA'!E26</f>
        <v>m</v>
      </c>
      <c r="D424" s="184" t="s">
        <v>422</v>
      </c>
      <c r="E424" s="184" t="s">
        <v>80</v>
      </c>
      <c r="F424" s="184" t="s">
        <v>81</v>
      </c>
      <c r="G424" s="184" t="s">
        <v>82</v>
      </c>
      <c r="H424" s="184" t="s">
        <v>83</v>
      </c>
      <c r="I424" s="184" t="s">
        <v>84</v>
      </c>
      <c r="J424" s="185" t="s">
        <v>85</v>
      </c>
    </row>
    <row r="425" spans="1:10" x14ac:dyDescent="0.2">
      <c r="A425" s="19"/>
      <c r="B425" s="75"/>
      <c r="C425" s="177"/>
      <c r="D425" s="177"/>
      <c r="E425" s="77">
        <v>6</v>
      </c>
      <c r="F425" s="19">
        <v>6</v>
      </c>
      <c r="G425" s="19"/>
      <c r="H425" s="19">
        <f>E425*F425</f>
        <v>36</v>
      </c>
      <c r="I425" s="19"/>
      <c r="J425" s="180">
        <f>H425</f>
        <v>36</v>
      </c>
    </row>
    <row r="426" spans="1:10" x14ac:dyDescent="0.2">
      <c r="A426" s="19"/>
      <c r="B426" s="75"/>
      <c r="C426" s="177"/>
      <c r="D426" s="177"/>
      <c r="E426" s="180"/>
      <c r="F426" s="19"/>
      <c r="G426" s="19"/>
      <c r="H426" s="19"/>
      <c r="I426" s="19"/>
      <c r="J426" s="180"/>
    </row>
    <row r="427" spans="1:10" x14ac:dyDescent="0.2">
      <c r="A427" s="79"/>
      <c r="B427" s="80"/>
      <c r="C427" s="181"/>
      <c r="D427" s="181"/>
      <c r="E427" s="79"/>
      <c r="F427" s="79"/>
      <c r="G427" s="79"/>
      <c r="H427" s="79"/>
      <c r="I427" s="81" t="s">
        <v>239</v>
      </c>
      <c r="J427" s="182">
        <f>SUM(J425:J426)</f>
        <v>36</v>
      </c>
    </row>
    <row r="428" spans="1:10" x14ac:dyDescent="0.2">
      <c r="A428" s="19"/>
      <c r="B428" s="20"/>
      <c r="C428" s="177"/>
      <c r="D428" s="177"/>
      <c r="E428" s="19"/>
      <c r="F428" s="19"/>
      <c r="G428" s="19"/>
      <c r="H428" s="19"/>
      <c r="I428" s="19"/>
      <c r="J428" s="19"/>
    </row>
    <row r="429" spans="1:10" ht="38.25" x14ac:dyDescent="0.2">
      <c r="A429" s="22" t="s">
        <v>97</v>
      </c>
      <c r="B429" s="18" t="str">
        <f>'PLANILHA ORÇAMENTÁRIA'!D27</f>
        <v>INSTALAÇÃO DO CANTEIRO DE OBRAS (UTILIZAÇÃO 2 VEZES), PROJETO PADRÃO LABOR NR.18 (OBRAS COM PRAZO DE EXECUÇÃO DE 6 A 12 MESES)</v>
      </c>
      <c r="C429" s="177"/>
      <c r="D429" s="177"/>
      <c r="E429" s="19"/>
      <c r="F429" s="19"/>
      <c r="G429" s="19"/>
      <c r="H429" s="19"/>
      <c r="I429" s="19"/>
      <c r="J429" s="19"/>
    </row>
    <row r="430" spans="1:10" ht="38.25" x14ac:dyDescent="0.2">
      <c r="A430" s="19" t="s">
        <v>98</v>
      </c>
      <c r="B430" s="20" t="str">
        <f>'PLANILHA ORÇAMENTÁRIA'!D28</f>
        <v>Barracão para almoxarifado área de 10.90m2, de chapa de compensado 12mm e pontaletes 8x8cm, piso cimentado e cobertura de telha de fibrocimento de 6mm, inclusive ponto de luz, conf. projeto (2 utilizações)</v>
      </c>
      <c r="C430" s="177" t="str">
        <f>'PLANILHA ORÇAMENTÁRIA'!E28</f>
        <v xml:space="preserve">m2 </v>
      </c>
      <c r="D430" s="184" t="s">
        <v>422</v>
      </c>
      <c r="E430" s="184" t="s">
        <v>80</v>
      </c>
      <c r="F430" s="184" t="s">
        <v>81</v>
      </c>
      <c r="G430" s="184" t="s">
        <v>82</v>
      </c>
      <c r="H430" s="184" t="s">
        <v>83</v>
      </c>
      <c r="I430" s="184" t="s">
        <v>84</v>
      </c>
      <c r="J430" s="185" t="s">
        <v>85</v>
      </c>
    </row>
    <row r="431" spans="1:10" x14ac:dyDescent="0.2">
      <c r="A431" s="19"/>
      <c r="B431" s="167"/>
      <c r="C431" s="177"/>
      <c r="D431" s="177"/>
      <c r="E431" s="77">
        <v>3.1150000000000002</v>
      </c>
      <c r="F431" s="77">
        <v>3.5</v>
      </c>
      <c r="G431" s="77"/>
      <c r="H431" s="77">
        <f>E431*F431</f>
        <v>10.9025</v>
      </c>
      <c r="I431" s="77"/>
      <c r="J431" s="77">
        <f>H431</f>
        <v>10.9025</v>
      </c>
    </row>
    <row r="432" spans="1:10" x14ac:dyDescent="0.2">
      <c r="A432" s="19"/>
      <c r="B432" s="20"/>
      <c r="C432" s="177"/>
      <c r="D432" s="177"/>
      <c r="E432" s="77"/>
      <c r="F432" s="77"/>
      <c r="G432" s="77"/>
      <c r="H432" s="77"/>
      <c r="I432" s="81" t="s">
        <v>239</v>
      </c>
      <c r="J432" s="182">
        <f>SUM(J431)</f>
        <v>10.9025</v>
      </c>
    </row>
    <row r="433" spans="1:10" x14ac:dyDescent="0.2">
      <c r="A433" s="19"/>
      <c r="B433" s="20"/>
      <c r="C433" s="177"/>
      <c r="D433" s="177"/>
      <c r="E433" s="19"/>
      <c r="F433" s="19"/>
      <c r="G433" s="19"/>
      <c r="H433" s="19"/>
      <c r="I433" s="19"/>
      <c r="J433" s="19"/>
    </row>
    <row r="434" spans="1:10" ht="38.25" x14ac:dyDescent="0.2">
      <c r="A434" s="19" t="s">
        <v>89</v>
      </c>
      <c r="B434" s="20" t="str">
        <f>'PLANILHA ORÇAMENTÁRIA'!D29</f>
        <v>Refeitório com paredes de chapa de compens. 12mm e pontaletes 8x8cm, piso ciment. e cobert. de telhas fibroc. 6mm, incl. ponto de luz e cx. de inspeção (cons. 1.21m2/func./turno), conf. projeto (2 utilizações)</v>
      </c>
      <c r="C434" s="177" t="str">
        <f>'PLANILHA ORÇAMENTÁRIA'!E29</f>
        <v xml:space="preserve">m2 </v>
      </c>
      <c r="D434" s="184" t="s">
        <v>422</v>
      </c>
      <c r="E434" s="184" t="s">
        <v>80</v>
      </c>
      <c r="F434" s="184" t="s">
        <v>81</v>
      </c>
      <c r="G434" s="184" t="s">
        <v>82</v>
      </c>
      <c r="H434" s="184" t="s">
        <v>83</v>
      </c>
      <c r="I434" s="184" t="s">
        <v>84</v>
      </c>
      <c r="J434" s="185" t="s">
        <v>85</v>
      </c>
    </row>
    <row r="435" spans="1:10" x14ac:dyDescent="0.2">
      <c r="A435" s="19"/>
      <c r="B435" s="195"/>
      <c r="C435" s="177"/>
      <c r="D435" s="177"/>
      <c r="E435" s="180">
        <v>3.1150000000000002</v>
      </c>
      <c r="F435" s="180">
        <v>3.5</v>
      </c>
      <c r="G435" s="180"/>
      <c r="H435" s="180">
        <f>E435*F435</f>
        <v>10.9025</v>
      </c>
      <c r="I435" s="180"/>
      <c r="J435" s="180">
        <f>H435</f>
        <v>10.9025</v>
      </c>
    </row>
    <row r="436" spans="1:10" x14ac:dyDescent="0.2">
      <c r="A436" s="19"/>
      <c r="B436" s="20"/>
      <c r="C436" s="177"/>
      <c r="D436" s="177"/>
      <c r="E436" s="77"/>
      <c r="F436" s="77"/>
      <c r="G436" s="77"/>
      <c r="H436" s="180"/>
      <c r="I436" s="81" t="s">
        <v>239</v>
      </c>
      <c r="J436" s="182">
        <f>SUM(J435)</f>
        <v>10.9025</v>
      </c>
    </row>
    <row r="437" spans="1:10" s="176" customFormat="1" x14ac:dyDescent="0.2">
      <c r="A437" s="177"/>
      <c r="B437" s="178"/>
      <c r="C437" s="177"/>
      <c r="D437" s="177"/>
      <c r="E437" s="180"/>
      <c r="F437" s="180"/>
      <c r="G437" s="180"/>
      <c r="H437" s="180"/>
      <c r="I437" s="147"/>
      <c r="J437" s="188"/>
    </row>
    <row r="438" spans="1:10" x14ac:dyDescent="0.2">
      <c r="A438" s="11">
        <v>3</v>
      </c>
      <c r="B438" s="7" t="str">
        <f>'PLANILHA ORÇAMENTÁRIA'!D31</f>
        <v>TRANSPORTES</v>
      </c>
      <c r="C438" s="74"/>
      <c r="D438" s="190"/>
      <c r="E438" s="73"/>
      <c r="F438" s="73"/>
      <c r="G438" s="73"/>
      <c r="H438" s="73"/>
      <c r="I438" s="73"/>
      <c r="J438" s="73"/>
    </row>
    <row r="439" spans="1:10" ht="45.75" customHeight="1" x14ac:dyDescent="0.2">
      <c r="A439" s="338" t="s">
        <v>100</v>
      </c>
      <c r="B439" s="20" t="str">
        <f>'PLANILHA ORÇAMENTÁRIA'!D32</f>
        <v>Índice de preço para remoção de entulho decorrente da execução de obras (Classe A CONAMA - NBR10.004 - Classe II-B), incluindo aluguel da caçamba, carga, transporte e descarga em área licenciada</v>
      </c>
      <c r="C439" s="177" t="str">
        <f>'PLANILHA ORÇAMENTÁRIA'!E32</f>
        <v xml:space="preserve">m3 </v>
      </c>
      <c r="D439" s="184" t="s">
        <v>422</v>
      </c>
      <c r="E439" s="184" t="s">
        <v>80</v>
      </c>
      <c r="F439" s="184" t="s">
        <v>81</v>
      </c>
      <c r="G439" s="184" t="s">
        <v>82</v>
      </c>
      <c r="H439" s="184" t="s">
        <v>83</v>
      </c>
      <c r="I439" s="184" t="s">
        <v>84</v>
      </c>
      <c r="J439" s="185" t="s">
        <v>85</v>
      </c>
    </row>
    <row r="440" spans="1:10" x14ac:dyDescent="0.2">
      <c r="A440" s="19"/>
      <c r="B440" s="292" t="s">
        <v>595</v>
      </c>
      <c r="C440" s="177"/>
      <c r="D440" s="184"/>
      <c r="E440" s="171"/>
      <c r="F440" s="171"/>
      <c r="G440" s="171"/>
      <c r="H440" s="84"/>
      <c r="I440" s="84"/>
      <c r="J440" s="85"/>
    </row>
    <row r="441" spans="1:10" x14ac:dyDescent="0.2">
      <c r="A441" s="19"/>
      <c r="B441" s="158" t="s">
        <v>543</v>
      </c>
      <c r="C441" s="275"/>
      <c r="D441" s="341"/>
      <c r="E441" s="341"/>
      <c r="F441" s="341">
        <v>2.2999999999999998</v>
      </c>
      <c r="G441" s="341">
        <v>1.6</v>
      </c>
      <c r="H441" s="341">
        <f>F441*G441</f>
        <v>3.6799999999999997</v>
      </c>
      <c r="I441" s="184">
        <f>H441*0.025</f>
        <v>9.1999999999999998E-2</v>
      </c>
      <c r="J441" s="342">
        <f t="shared" ref="J441:J458" si="44">I441</f>
        <v>9.1999999999999998E-2</v>
      </c>
    </row>
    <row r="442" spans="1:10" x14ac:dyDescent="0.2">
      <c r="A442" s="19"/>
      <c r="B442" s="395" t="s">
        <v>549</v>
      </c>
      <c r="C442" s="331"/>
      <c r="D442" s="334"/>
      <c r="E442" s="28"/>
      <c r="F442" s="336"/>
      <c r="G442" s="161"/>
      <c r="H442" s="341"/>
      <c r="I442" s="341"/>
      <c r="J442" s="342"/>
    </row>
    <row r="443" spans="1:10" x14ac:dyDescent="0.2">
      <c r="A443" s="19"/>
      <c r="B443" s="396" t="s">
        <v>550</v>
      </c>
      <c r="C443" s="331"/>
      <c r="D443" s="334"/>
      <c r="E443" s="28"/>
      <c r="F443" s="319">
        <v>6.95</v>
      </c>
      <c r="G443" s="161">
        <v>0.5</v>
      </c>
      <c r="H443" s="341">
        <f t="shared" ref="H443:H446" si="45">F443*G443</f>
        <v>3.4750000000000001</v>
      </c>
      <c r="I443" s="341">
        <f t="shared" ref="I443:I450" si="46">H443*0.025</f>
        <v>8.6875000000000008E-2</v>
      </c>
      <c r="J443" s="342">
        <f t="shared" si="44"/>
        <v>8.6875000000000008E-2</v>
      </c>
    </row>
    <row r="444" spans="1:10" x14ac:dyDescent="0.2">
      <c r="A444" s="19"/>
      <c r="B444" s="396" t="s">
        <v>551</v>
      </c>
      <c r="C444" s="331"/>
      <c r="D444" s="334"/>
      <c r="E444" s="28"/>
      <c r="F444" s="319">
        <v>11.28</v>
      </c>
      <c r="G444" s="161">
        <f t="shared" ref="G444:G446" si="47">(2.91-1.44)</f>
        <v>1.4700000000000002</v>
      </c>
      <c r="H444" s="341">
        <f t="shared" si="45"/>
        <v>16.581600000000002</v>
      </c>
      <c r="I444" s="341">
        <f t="shared" si="46"/>
        <v>0.41454000000000008</v>
      </c>
      <c r="J444" s="342">
        <f t="shared" si="44"/>
        <v>0.41454000000000008</v>
      </c>
    </row>
    <row r="445" spans="1:10" x14ac:dyDescent="0.2">
      <c r="A445" s="19"/>
      <c r="B445" s="396" t="s">
        <v>553</v>
      </c>
      <c r="C445" s="331"/>
      <c r="D445" s="334"/>
      <c r="E445" s="28"/>
      <c r="F445" s="319">
        <v>6.95</v>
      </c>
      <c r="G445" s="161">
        <v>0.5</v>
      </c>
      <c r="H445" s="341">
        <f t="shared" si="45"/>
        <v>3.4750000000000001</v>
      </c>
      <c r="I445" s="341">
        <f t="shared" si="46"/>
        <v>8.6875000000000008E-2</v>
      </c>
      <c r="J445" s="342">
        <f t="shared" si="44"/>
        <v>8.6875000000000008E-2</v>
      </c>
    </row>
    <row r="446" spans="1:10" x14ac:dyDescent="0.2">
      <c r="A446" s="19"/>
      <c r="B446" s="396" t="s">
        <v>552</v>
      </c>
      <c r="C446" s="331"/>
      <c r="D446" s="180"/>
      <c r="E446" s="28"/>
      <c r="F446" s="319">
        <v>11.28</v>
      </c>
      <c r="G446" s="161">
        <f t="shared" si="47"/>
        <v>1.4700000000000002</v>
      </c>
      <c r="H446" s="341">
        <f t="shared" si="45"/>
        <v>16.581600000000002</v>
      </c>
      <c r="I446" s="341">
        <f t="shared" si="46"/>
        <v>0.41454000000000008</v>
      </c>
      <c r="J446" s="342">
        <f t="shared" si="44"/>
        <v>0.41454000000000008</v>
      </c>
    </row>
    <row r="447" spans="1:10" s="169" customFormat="1" x14ac:dyDescent="0.2">
      <c r="A447" s="170"/>
      <c r="B447" s="14" t="s">
        <v>588</v>
      </c>
      <c r="C447" s="334"/>
      <c r="D447" s="341"/>
      <c r="E447" s="341"/>
      <c r="F447" s="341"/>
      <c r="G447" s="341"/>
      <c r="H447" s="341"/>
      <c r="I447" s="341"/>
      <c r="J447" s="342"/>
    </row>
    <row r="448" spans="1:10" s="176" customFormat="1" x14ac:dyDescent="0.2">
      <c r="A448" s="177"/>
      <c r="B448" s="397" t="s">
        <v>591</v>
      </c>
      <c r="C448" s="334"/>
      <c r="D448" s="341"/>
      <c r="E448" s="341"/>
      <c r="F448" s="341">
        <v>16</v>
      </c>
      <c r="G448" s="341">
        <v>2.2000000000000002</v>
      </c>
      <c r="H448" s="341">
        <f t="shared" ref="H448" si="48">F448*G448</f>
        <v>35.200000000000003</v>
      </c>
      <c r="I448" s="341">
        <f t="shared" si="46"/>
        <v>0.88000000000000012</v>
      </c>
      <c r="J448" s="342">
        <f t="shared" si="44"/>
        <v>0.88000000000000012</v>
      </c>
    </row>
    <row r="449" spans="1:10" x14ac:dyDescent="0.2">
      <c r="A449" s="19"/>
      <c r="B449" s="14" t="s">
        <v>590</v>
      </c>
      <c r="C449" s="334"/>
      <c r="D449" s="341"/>
      <c r="E449" s="341"/>
      <c r="F449" s="341"/>
      <c r="G449" s="341"/>
      <c r="H449" s="341"/>
      <c r="I449" s="341"/>
      <c r="J449" s="342"/>
    </row>
    <row r="450" spans="1:10" x14ac:dyDescent="0.2">
      <c r="A450" s="19"/>
      <c r="B450" s="397" t="s">
        <v>591</v>
      </c>
      <c r="C450" s="331"/>
      <c r="D450" s="334"/>
      <c r="E450" s="28"/>
      <c r="F450" s="319">
        <v>28</v>
      </c>
      <c r="G450" s="161">
        <v>6</v>
      </c>
      <c r="H450" s="341">
        <f t="shared" ref="H450" si="49">F450*G450</f>
        <v>168</v>
      </c>
      <c r="I450" s="341">
        <f t="shared" si="46"/>
        <v>4.2</v>
      </c>
      <c r="J450" s="342">
        <f t="shared" si="44"/>
        <v>4.2</v>
      </c>
    </row>
    <row r="451" spans="1:10" s="169" customFormat="1" x14ac:dyDescent="0.2">
      <c r="A451" s="170"/>
      <c r="B451" s="286"/>
      <c r="C451" s="177"/>
      <c r="D451" s="184"/>
      <c r="E451" s="171"/>
      <c r="F451" s="171"/>
      <c r="G451" s="171"/>
      <c r="H451" s="171"/>
      <c r="I451" s="184"/>
      <c r="J451" s="342"/>
    </row>
    <row r="452" spans="1:10" s="176" customFormat="1" x14ac:dyDescent="0.2">
      <c r="A452" s="177"/>
      <c r="B452" s="292" t="s">
        <v>594</v>
      </c>
      <c r="C452" s="177"/>
      <c r="D452" s="184"/>
      <c r="E452" s="184"/>
      <c r="F452" s="184"/>
      <c r="G452" s="184"/>
      <c r="H452" s="184"/>
      <c r="I452" s="184"/>
      <c r="J452" s="342"/>
    </row>
    <row r="453" spans="1:10" s="316" customFormat="1" x14ac:dyDescent="0.2">
      <c r="A453" s="317"/>
      <c r="B453" s="402" t="s">
        <v>559</v>
      </c>
      <c r="C453" s="275"/>
      <c r="D453" s="341"/>
      <c r="E453" s="341"/>
      <c r="F453" s="341"/>
      <c r="G453" s="341"/>
      <c r="H453" s="341"/>
      <c r="I453" s="318"/>
      <c r="J453" s="342"/>
    </row>
    <row r="454" spans="1:10" s="316" customFormat="1" x14ac:dyDescent="0.2">
      <c r="A454" s="317"/>
      <c r="B454" s="396" t="s">
        <v>560</v>
      </c>
      <c r="C454" s="275"/>
      <c r="D454" s="341">
        <v>7</v>
      </c>
      <c r="E454" s="341"/>
      <c r="F454" s="341">
        <v>0.8</v>
      </c>
      <c r="G454" s="341">
        <v>2.1</v>
      </c>
      <c r="H454" s="341">
        <f>D454*F454*G454</f>
        <v>11.760000000000002</v>
      </c>
      <c r="I454" s="318">
        <f>H454*0.13</f>
        <v>1.5288000000000002</v>
      </c>
      <c r="J454" s="342">
        <f t="shared" si="44"/>
        <v>1.5288000000000002</v>
      </c>
    </row>
    <row r="455" spans="1:10" s="176" customFormat="1" x14ac:dyDescent="0.2">
      <c r="A455" s="177"/>
      <c r="B455" s="402" t="s">
        <v>558</v>
      </c>
      <c r="C455" s="275"/>
      <c r="D455" s="341"/>
      <c r="E455" s="341"/>
      <c r="F455" s="341"/>
      <c r="G455" s="341"/>
      <c r="H455" s="341"/>
      <c r="I455" s="341"/>
      <c r="J455" s="342"/>
    </row>
    <row r="456" spans="1:10" x14ac:dyDescent="0.2">
      <c r="A456" s="19"/>
      <c r="B456" s="396" t="s">
        <v>560</v>
      </c>
      <c r="C456" s="275"/>
      <c r="D456" s="341">
        <v>14</v>
      </c>
      <c r="E456" s="341"/>
      <c r="F456" s="341">
        <v>0.8</v>
      </c>
      <c r="G456" s="341">
        <v>2.1</v>
      </c>
      <c r="H456" s="341">
        <f>D456*F456*G456</f>
        <v>23.520000000000003</v>
      </c>
      <c r="I456" s="341">
        <f t="shared" ref="I456:I458" si="50">H456*0.13</f>
        <v>3.0576000000000003</v>
      </c>
      <c r="J456" s="342">
        <f t="shared" si="44"/>
        <v>3.0576000000000003</v>
      </c>
    </row>
    <row r="457" spans="1:10" x14ac:dyDescent="0.2">
      <c r="A457" s="19"/>
      <c r="B457" s="396" t="s">
        <v>561</v>
      </c>
      <c r="C457" s="331"/>
      <c r="D457" s="162">
        <v>3</v>
      </c>
      <c r="E457" s="162"/>
      <c r="F457" s="341">
        <v>0.7</v>
      </c>
      <c r="G457" s="341">
        <v>2.1</v>
      </c>
      <c r="H457" s="341">
        <f>D457*F457*G457</f>
        <v>4.4099999999999993</v>
      </c>
      <c r="I457" s="341">
        <f t="shared" si="50"/>
        <v>0.57329999999999992</v>
      </c>
      <c r="J457" s="342">
        <f t="shared" si="44"/>
        <v>0.57329999999999992</v>
      </c>
    </row>
    <row r="458" spans="1:10" s="176" customFormat="1" x14ac:dyDescent="0.2">
      <c r="A458" s="177"/>
      <c r="B458" s="396" t="s">
        <v>562</v>
      </c>
      <c r="C458" s="331"/>
      <c r="D458" s="162">
        <v>3</v>
      </c>
      <c r="E458" s="162"/>
      <c r="F458" s="341">
        <v>0.6</v>
      </c>
      <c r="G458" s="341">
        <v>2.1</v>
      </c>
      <c r="H458" s="341">
        <f>D458*F458*G458</f>
        <v>3.78</v>
      </c>
      <c r="I458" s="341">
        <f t="shared" si="50"/>
        <v>0.4914</v>
      </c>
      <c r="J458" s="342">
        <f t="shared" si="44"/>
        <v>0.4914</v>
      </c>
    </row>
    <row r="459" spans="1:10" s="332" customFormat="1" x14ac:dyDescent="0.2">
      <c r="A459" s="334"/>
      <c r="B459" s="396"/>
      <c r="C459" s="331"/>
      <c r="D459" s="162"/>
      <c r="E459" s="162"/>
      <c r="F459" s="341"/>
      <c r="G459" s="341"/>
      <c r="H459" s="341"/>
      <c r="I459" s="341"/>
      <c r="J459" s="342"/>
    </row>
    <row r="460" spans="1:10" s="176" customFormat="1" x14ac:dyDescent="0.2">
      <c r="A460" s="177"/>
      <c r="B460" s="402" t="s">
        <v>596</v>
      </c>
      <c r="C460" s="177"/>
      <c r="D460" s="88"/>
      <c r="E460" s="179"/>
      <c r="F460" s="179"/>
      <c r="G460" s="88"/>
      <c r="H460" s="186"/>
      <c r="I460" s="186"/>
      <c r="J460" s="342"/>
    </row>
    <row r="461" spans="1:10" s="332" customFormat="1" x14ac:dyDescent="0.2">
      <c r="A461" s="334"/>
      <c r="B461" s="402" t="s">
        <v>559</v>
      </c>
      <c r="C461" s="275"/>
      <c r="D461" s="341"/>
      <c r="E461" s="341"/>
      <c r="F461" s="341"/>
      <c r="G461" s="341"/>
      <c r="H461" s="341"/>
      <c r="I461" s="341"/>
      <c r="J461" s="342"/>
    </row>
    <row r="462" spans="1:10" s="332" customFormat="1" x14ac:dyDescent="0.2">
      <c r="A462" s="334"/>
      <c r="B462" s="396" t="s">
        <v>560</v>
      </c>
      <c r="C462" s="275"/>
      <c r="D462" s="341">
        <v>7</v>
      </c>
      <c r="E462" s="341"/>
      <c r="F462" s="341">
        <v>0.8</v>
      </c>
      <c r="G462" s="341">
        <v>2.1</v>
      </c>
      <c r="H462" s="341">
        <f>D462*F462*G462</f>
        <v>11.760000000000002</v>
      </c>
      <c r="I462" s="341">
        <f>H462*0.04</f>
        <v>0.4704000000000001</v>
      </c>
      <c r="J462" s="342">
        <f>I462</f>
        <v>0.4704000000000001</v>
      </c>
    </row>
    <row r="463" spans="1:10" s="332" customFormat="1" x14ac:dyDescent="0.2">
      <c r="A463" s="334"/>
      <c r="B463" s="402" t="s">
        <v>558</v>
      </c>
      <c r="C463" s="275"/>
      <c r="D463" s="341"/>
      <c r="E463" s="341"/>
      <c r="F463" s="341"/>
      <c r="G463" s="341"/>
      <c r="H463" s="341"/>
      <c r="I463" s="341"/>
      <c r="J463" s="342"/>
    </row>
    <row r="464" spans="1:10" s="332" customFormat="1" x14ac:dyDescent="0.2">
      <c r="A464" s="334"/>
      <c r="B464" s="396" t="s">
        <v>560</v>
      </c>
      <c r="C464" s="275"/>
      <c r="D464" s="341">
        <v>14</v>
      </c>
      <c r="E464" s="341"/>
      <c r="F464" s="341">
        <v>0.8</v>
      </c>
      <c r="G464" s="341">
        <v>2.1</v>
      </c>
      <c r="H464" s="341">
        <f>D464*F464*G464</f>
        <v>23.520000000000003</v>
      </c>
      <c r="I464" s="341">
        <f t="shared" ref="I464:I466" si="51">H464*0.04</f>
        <v>0.94080000000000019</v>
      </c>
      <c r="J464" s="342">
        <f t="shared" ref="J464:J466" si="52">I464</f>
        <v>0.94080000000000019</v>
      </c>
    </row>
    <row r="465" spans="1:10" s="332" customFormat="1" x14ac:dyDescent="0.2">
      <c r="A465" s="334"/>
      <c r="B465" s="396" t="s">
        <v>561</v>
      </c>
      <c r="C465" s="331"/>
      <c r="D465" s="162">
        <v>3</v>
      </c>
      <c r="E465" s="162"/>
      <c r="F465" s="341">
        <v>0.7</v>
      </c>
      <c r="G465" s="341">
        <v>2.1</v>
      </c>
      <c r="H465" s="341">
        <f>D465*F465*G465</f>
        <v>4.4099999999999993</v>
      </c>
      <c r="I465" s="341">
        <f t="shared" si="51"/>
        <v>0.17639999999999997</v>
      </c>
      <c r="J465" s="342">
        <f t="shared" si="52"/>
        <v>0.17639999999999997</v>
      </c>
    </row>
    <row r="466" spans="1:10" s="332" customFormat="1" x14ac:dyDescent="0.2">
      <c r="A466" s="334"/>
      <c r="B466" s="396" t="s">
        <v>562</v>
      </c>
      <c r="C466" s="331"/>
      <c r="D466" s="162">
        <v>3</v>
      </c>
      <c r="E466" s="162"/>
      <c r="F466" s="341">
        <v>0.6</v>
      </c>
      <c r="G466" s="341">
        <v>2.1</v>
      </c>
      <c r="H466" s="341">
        <f>D466*F466*G466</f>
        <v>3.78</v>
      </c>
      <c r="I466" s="341">
        <f t="shared" si="51"/>
        <v>0.1512</v>
      </c>
      <c r="J466" s="342">
        <f t="shared" si="52"/>
        <v>0.1512</v>
      </c>
    </row>
    <row r="467" spans="1:10" s="332" customFormat="1" x14ac:dyDescent="0.2">
      <c r="A467" s="334"/>
      <c r="B467" s="392"/>
      <c r="C467" s="334"/>
      <c r="D467" s="319"/>
      <c r="E467" s="336"/>
      <c r="F467" s="336"/>
      <c r="G467" s="319"/>
      <c r="H467" s="344"/>
      <c r="I467" s="344"/>
      <c r="J467" s="344"/>
    </row>
    <row r="468" spans="1:10" s="332" customFormat="1" x14ac:dyDescent="0.2">
      <c r="A468" s="334"/>
      <c r="B468" s="402" t="s">
        <v>597</v>
      </c>
      <c r="C468" s="334"/>
      <c r="D468" s="319"/>
      <c r="E468" s="336"/>
      <c r="F468" s="336"/>
      <c r="G468" s="319"/>
      <c r="H468" s="344"/>
      <c r="I468" s="344"/>
      <c r="J468" s="344"/>
    </row>
    <row r="469" spans="1:10" s="332" customFormat="1" x14ac:dyDescent="0.2">
      <c r="A469" s="334"/>
      <c r="B469" s="402" t="s">
        <v>556</v>
      </c>
      <c r="C469" s="275"/>
      <c r="D469" s="341"/>
      <c r="E469" s="341"/>
      <c r="F469" s="341"/>
      <c r="G469" s="341"/>
      <c r="H469" s="341"/>
      <c r="I469" s="341"/>
      <c r="J469" s="342"/>
    </row>
    <row r="470" spans="1:10" s="332" customFormat="1" x14ac:dyDescent="0.2">
      <c r="A470" s="334"/>
      <c r="B470" s="403" t="s">
        <v>563</v>
      </c>
      <c r="C470" s="275"/>
      <c r="D470" s="341">
        <v>1</v>
      </c>
      <c r="E470" s="341"/>
      <c r="F470" s="341">
        <v>2.8</v>
      </c>
      <c r="G470" s="341">
        <v>1.43</v>
      </c>
      <c r="H470" s="341">
        <f>F470*G470</f>
        <v>4.0039999999999996</v>
      </c>
      <c r="I470" s="341">
        <f t="shared" ref="I470:I472" si="53">H470*0.04</f>
        <v>0.16016</v>
      </c>
      <c r="J470" s="342">
        <f>H470</f>
        <v>4.0039999999999996</v>
      </c>
    </row>
    <row r="471" spans="1:10" s="332" customFormat="1" x14ac:dyDescent="0.2">
      <c r="A471" s="334"/>
      <c r="B471" s="402" t="s">
        <v>558</v>
      </c>
      <c r="C471" s="275"/>
      <c r="D471" s="341"/>
      <c r="E471" s="341"/>
      <c r="F471" s="341"/>
      <c r="G471" s="341"/>
      <c r="H471" s="341"/>
      <c r="I471" s="341"/>
      <c r="J471" s="342"/>
    </row>
    <row r="472" spans="1:10" s="332" customFormat="1" x14ac:dyDescent="0.2">
      <c r="A472" s="334"/>
      <c r="B472" s="395" t="s">
        <v>581</v>
      </c>
      <c r="C472" s="275"/>
      <c r="D472" s="341">
        <v>1</v>
      </c>
      <c r="E472" s="341"/>
      <c r="F472" s="341">
        <v>0.5</v>
      </c>
      <c r="G472" s="341">
        <v>0.7</v>
      </c>
      <c r="H472" s="341">
        <f>F472*G472</f>
        <v>0.35</v>
      </c>
      <c r="I472" s="341">
        <f t="shared" si="53"/>
        <v>1.3999999999999999E-2</v>
      </c>
      <c r="J472" s="342">
        <f>H472</f>
        <v>0.35</v>
      </c>
    </row>
    <row r="473" spans="1:10" s="332" customFormat="1" x14ac:dyDescent="0.2">
      <c r="A473" s="334"/>
      <c r="B473" s="405"/>
      <c r="C473" s="334"/>
      <c r="D473" s="319"/>
      <c r="E473" s="336"/>
      <c r="F473" s="336"/>
      <c r="G473" s="319"/>
      <c r="H473" s="344"/>
      <c r="I473" s="344"/>
      <c r="J473" s="344"/>
    </row>
    <row r="474" spans="1:10" s="332" customFormat="1" x14ac:dyDescent="0.2">
      <c r="A474" s="334"/>
      <c r="B474" s="405"/>
      <c r="C474" s="334"/>
      <c r="D474" s="319"/>
      <c r="E474" s="336"/>
      <c r="F474" s="336"/>
      <c r="G474" s="319"/>
      <c r="H474" s="344"/>
      <c r="I474" s="344"/>
      <c r="J474" s="344"/>
    </row>
    <row r="475" spans="1:10" s="176" customFormat="1" x14ac:dyDescent="0.2">
      <c r="A475" s="177"/>
      <c r="B475" s="309"/>
      <c r="C475" s="177"/>
      <c r="D475" s="88"/>
      <c r="E475" s="179"/>
      <c r="F475" s="179"/>
      <c r="G475" s="179"/>
      <c r="H475" s="179"/>
      <c r="I475" s="81" t="s">
        <v>239</v>
      </c>
      <c r="J475" s="182">
        <f>SUM(J440:J474)</f>
        <v>17.91873</v>
      </c>
    </row>
    <row r="476" spans="1:10" s="176" customFormat="1" x14ac:dyDescent="0.2">
      <c r="A476" s="177"/>
      <c r="B476" s="178"/>
      <c r="C476" s="177"/>
      <c r="D476" s="88"/>
      <c r="E476" s="179"/>
      <c r="F476" s="179"/>
      <c r="G476" s="179"/>
      <c r="H476" s="179"/>
      <c r="I476" s="179"/>
      <c r="J476" s="179"/>
    </row>
    <row r="477" spans="1:10" x14ac:dyDescent="0.2">
      <c r="A477" s="11">
        <v>4</v>
      </c>
      <c r="B477" s="7" t="str">
        <f>'PLANILHA ORÇAMENTÁRIA'!D34</f>
        <v>ESQUADRIAS DE MADEIRA</v>
      </c>
      <c r="C477" s="5"/>
      <c r="D477" s="190"/>
      <c r="E477" s="73"/>
      <c r="F477" s="73"/>
      <c r="G477" s="73"/>
      <c r="H477" s="73"/>
      <c r="I477" s="73"/>
      <c r="J477" s="73"/>
    </row>
    <row r="478" spans="1:10" x14ac:dyDescent="0.2">
      <c r="A478" s="12" t="s">
        <v>101</v>
      </c>
      <c r="B478" s="14" t="str">
        <f>'PLANILHA ORÇAMENTÁRIA'!D35</f>
        <v>MARCOS E ALIZARES</v>
      </c>
      <c r="C478" s="13"/>
      <c r="D478" s="88"/>
      <c r="E478" s="38"/>
      <c r="F478" s="38"/>
      <c r="G478" s="38"/>
      <c r="H478" s="38"/>
      <c r="I478" s="179"/>
      <c r="J478" s="179"/>
    </row>
    <row r="479" spans="1:10" s="176" customFormat="1" ht="25.5" x14ac:dyDescent="0.2">
      <c r="A479" s="33" t="s">
        <v>423</v>
      </c>
      <c r="B479" s="291" t="s">
        <v>587</v>
      </c>
      <c r="C479" s="175" t="e">
        <f>'PLANILHA ORÇAMENTÁRIA'!#REF!</f>
        <v>#REF!</v>
      </c>
      <c r="D479" s="184" t="s">
        <v>422</v>
      </c>
      <c r="E479" s="184" t="s">
        <v>80</v>
      </c>
      <c r="F479" s="184" t="s">
        <v>81</v>
      </c>
      <c r="G479" s="184" t="s">
        <v>82</v>
      </c>
      <c r="H479" s="184" t="s">
        <v>83</v>
      </c>
      <c r="I479" s="184" t="s">
        <v>84</v>
      </c>
      <c r="J479" s="185" t="s">
        <v>85</v>
      </c>
    </row>
    <row r="480" spans="1:10" s="176" customFormat="1" x14ac:dyDescent="0.2">
      <c r="A480" s="33"/>
      <c r="B480" s="292" t="s">
        <v>558</v>
      </c>
      <c r="C480" s="13"/>
      <c r="D480" s="184"/>
      <c r="E480" s="184"/>
      <c r="F480" s="184"/>
      <c r="G480" s="184"/>
      <c r="H480" s="184"/>
      <c r="I480" s="184"/>
      <c r="J480" s="185"/>
    </row>
    <row r="481" spans="1:10" s="332" customFormat="1" x14ac:dyDescent="0.2">
      <c r="A481" s="33"/>
      <c r="B481" s="291" t="s">
        <v>586</v>
      </c>
      <c r="C481" s="13"/>
      <c r="D481" s="341">
        <v>1</v>
      </c>
      <c r="E481" s="341"/>
      <c r="F481" s="341"/>
      <c r="G481" s="341"/>
      <c r="H481" s="341"/>
      <c r="I481" s="341"/>
      <c r="J481" s="342">
        <f>D481</f>
        <v>1</v>
      </c>
    </row>
    <row r="482" spans="1:10" s="176" customFormat="1" x14ac:dyDescent="0.2">
      <c r="A482" s="33"/>
      <c r="B482" s="289"/>
      <c r="C482" s="13"/>
      <c r="D482" s="184"/>
      <c r="E482" s="184"/>
      <c r="F482" s="184"/>
      <c r="G482" s="184"/>
      <c r="H482" s="184"/>
      <c r="I482" s="81" t="s">
        <v>239</v>
      </c>
      <c r="J482" s="182">
        <f>J481</f>
        <v>1</v>
      </c>
    </row>
    <row r="483" spans="1:10" s="332" customFormat="1" x14ac:dyDescent="0.2">
      <c r="A483" s="33"/>
      <c r="B483" s="392"/>
      <c r="C483" s="13"/>
      <c r="D483" s="341"/>
      <c r="E483" s="341"/>
      <c r="F483" s="341"/>
      <c r="G483" s="341"/>
      <c r="H483" s="341"/>
      <c r="I483" s="341"/>
      <c r="J483" s="342"/>
    </row>
    <row r="484" spans="1:10" s="332" customFormat="1" x14ac:dyDescent="0.2">
      <c r="A484" s="33"/>
      <c r="B484" s="392"/>
      <c r="C484" s="13"/>
      <c r="D484" s="341"/>
      <c r="E484" s="341"/>
      <c r="F484" s="341"/>
      <c r="G484" s="341"/>
      <c r="H484" s="341"/>
      <c r="I484" s="341"/>
      <c r="J484" s="342"/>
    </row>
    <row r="485" spans="1:10" s="176" customFormat="1" ht="25.5" x14ac:dyDescent="0.2">
      <c r="A485" s="33" t="s">
        <v>608</v>
      </c>
      <c r="B485" s="20" t="str">
        <f>'PLANILHA ORÇAMENTÁRIA'!D37</f>
        <v xml:space="preserve">Alizar de madeira de lei de 1ª (Peroba, Ipê, Angelim Pedra ou equivalente) 7 x 1,5 cm </v>
      </c>
      <c r="C485" s="177" t="str">
        <f>'PLANILHA ORÇAMENTÁRIA'!E37</f>
        <v>m</v>
      </c>
      <c r="D485" s="184" t="s">
        <v>422</v>
      </c>
      <c r="E485" s="184" t="s">
        <v>584</v>
      </c>
      <c r="F485" s="184" t="s">
        <v>81</v>
      </c>
      <c r="G485" s="184" t="s">
        <v>82</v>
      </c>
      <c r="H485" s="184" t="s">
        <v>83</v>
      </c>
      <c r="I485" s="184" t="s">
        <v>84</v>
      </c>
      <c r="J485" s="185" t="s">
        <v>85</v>
      </c>
    </row>
    <row r="486" spans="1:10" s="176" customFormat="1" x14ac:dyDescent="0.2">
      <c r="A486" s="33"/>
      <c r="B486" s="292" t="s">
        <v>558</v>
      </c>
      <c r="C486" s="275"/>
      <c r="D486" s="184"/>
      <c r="E486" s="184"/>
      <c r="F486" s="184"/>
      <c r="G486" s="145"/>
      <c r="H486" s="184"/>
      <c r="I486" s="184"/>
      <c r="J486" s="185"/>
    </row>
    <row r="487" spans="1:10" s="176" customFormat="1" x14ac:dyDescent="0.2">
      <c r="A487" s="33"/>
      <c r="B487" s="291" t="s">
        <v>586</v>
      </c>
      <c r="C487" s="275"/>
      <c r="D487" s="184">
        <v>1</v>
      </c>
      <c r="E487" s="184">
        <v>5</v>
      </c>
      <c r="F487" s="184"/>
      <c r="G487" s="184"/>
      <c r="H487" s="184"/>
      <c r="I487" s="184"/>
      <c r="J487" s="185">
        <f>E487</f>
        <v>5</v>
      </c>
    </row>
    <row r="488" spans="1:10" s="176" customFormat="1" x14ac:dyDescent="0.2">
      <c r="A488" s="33"/>
      <c r="B488" s="160"/>
      <c r="C488" s="275"/>
      <c r="D488" s="184"/>
      <c r="E488" s="184"/>
      <c r="F488" s="184"/>
      <c r="G488" s="184"/>
      <c r="H488" s="161"/>
      <c r="I488" s="147"/>
      <c r="J488" s="185"/>
    </row>
    <row r="489" spans="1:10" s="176" customFormat="1" x14ac:dyDescent="0.2">
      <c r="A489" s="33"/>
      <c r="B489" s="286"/>
      <c r="C489" s="13"/>
      <c r="D489" s="177"/>
      <c r="E489" s="184"/>
      <c r="F489" s="28"/>
      <c r="G489" s="184"/>
      <c r="H489" s="76"/>
      <c r="I489" s="147"/>
      <c r="J489" s="185"/>
    </row>
    <row r="490" spans="1:10" s="176" customFormat="1" x14ac:dyDescent="0.2">
      <c r="A490" s="33"/>
      <c r="B490" s="289"/>
      <c r="C490" s="13"/>
      <c r="D490" s="177"/>
      <c r="E490" s="184"/>
      <c r="F490" s="184"/>
      <c r="G490" s="184"/>
      <c r="H490" s="161"/>
      <c r="I490" s="147"/>
      <c r="J490" s="185"/>
    </row>
    <row r="491" spans="1:10" s="176" customFormat="1" ht="13.5" customHeight="1" x14ac:dyDescent="0.2">
      <c r="A491" s="33"/>
      <c r="B491" s="286"/>
      <c r="C491" s="13"/>
      <c r="D491" s="177"/>
      <c r="E491" s="175"/>
      <c r="F491" s="28"/>
      <c r="G491" s="29"/>
      <c r="H491" s="76"/>
      <c r="I491" s="81" t="s">
        <v>239</v>
      </c>
      <c r="J491" s="182">
        <f>SUM(J486:J490)</f>
        <v>5</v>
      </c>
    </row>
    <row r="492" spans="1:10" s="176" customFormat="1" x14ac:dyDescent="0.2">
      <c r="A492" s="33"/>
      <c r="B492" s="287"/>
      <c r="C492" s="13"/>
      <c r="D492" s="177"/>
      <c r="E492" s="175"/>
      <c r="F492" s="28"/>
      <c r="G492" s="29"/>
      <c r="H492" s="76"/>
      <c r="I492" s="147"/>
      <c r="J492" s="188"/>
    </row>
    <row r="493" spans="1:10" s="176" customFormat="1" ht="51" x14ac:dyDescent="0.2">
      <c r="A493" s="12" t="s">
        <v>613</v>
      </c>
      <c r="B493" s="292" t="str">
        <f>'PLANILHA ORÇAMENTÁRIA'!D38</f>
        <v>PORTA EM MADEIRA DE LEI TIPO ANGELIM PEDRA OU EQUIV.C/ENCHIMENTO EM MADEIRA 1A.QUALIDADE ESP. 30MM P/ PINTURA, INCLUSIVE ALIZARES, DOBRADIÇAS E FECHADURA EXTERNA, EXCLUSIVE MARCO</v>
      </c>
      <c r="C493" s="13"/>
      <c r="D493" s="184"/>
      <c r="E493" s="184"/>
      <c r="F493" s="184"/>
      <c r="G493" s="184"/>
      <c r="H493" s="184"/>
      <c r="I493" s="184"/>
      <c r="J493" s="185"/>
    </row>
    <row r="494" spans="1:10" s="176" customFormat="1" ht="63.75" x14ac:dyDescent="0.2">
      <c r="A494" s="33" t="s">
        <v>609</v>
      </c>
      <c r="B494" s="335" t="s">
        <v>611</v>
      </c>
      <c r="C494" s="175" t="e">
        <f>'PLANILHA ORÇAMENTÁRIA'!#REF!</f>
        <v>#REF!</v>
      </c>
      <c r="D494" s="184" t="s">
        <v>422</v>
      </c>
      <c r="E494" s="184" t="s">
        <v>80</v>
      </c>
      <c r="F494" s="184" t="s">
        <v>81</v>
      </c>
      <c r="G494" s="184" t="s">
        <v>82</v>
      </c>
      <c r="H494" s="184" t="s">
        <v>83</v>
      </c>
      <c r="I494" s="184" t="s">
        <v>84</v>
      </c>
      <c r="J494" s="185" t="s">
        <v>85</v>
      </c>
    </row>
    <row r="495" spans="1:10" s="176" customFormat="1" x14ac:dyDescent="0.2">
      <c r="A495" s="33"/>
      <c r="B495" s="396" t="s">
        <v>562</v>
      </c>
      <c r="C495" s="331"/>
      <c r="D495" s="162">
        <v>3</v>
      </c>
      <c r="E495" s="184"/>
      <c r="F495" s="184"/>
      <c r="G495" s="184"/>
      <c r="H495" s="184"/>
      <c r="I495" s="184"/>
      <c r="J495" s="185">
        <f>D495</f>
        <v>3</v>
      </c>
    </row>
    <row r="496" spans="1:10" s="176" customFormat="1" x14ac:dyDescent="0.2">
      <c r="A496" s="33"/>
      <c r="B496" s="14"/>
      <c r="C496" s="175"/>
      <c r="D496" s="88"/>
      <c r="E496" s="179"/>
      <c r="F496" s="179"/>
      <c r="G496" s="179"/>
      <c r="H496" s="179"/>
      <c r="I496" s="81" t="s">
        <v>239</v>
      </c>
      <c r="J496" s="182">
        <f>SUM(J495)</f>
        <v>3</v>
      </c>
    </row>
    <row r="497" spans="1:10" s="176" customFormat="1" x14ac:dyDescent="0.2">
      <c r="A497" s="33"/>
      <c r="B497" s="286"/>
      <c r="C497" s="175"/>
      <c r="D497" s="177"/>
      <c r="E497" s="175"/>
      <c r="F497" s="28"/>
      <c r="G497" s="29"/>
      <c r="H497" s="76"/>
      <c r="I497" s="147"/>
      <c r="J497" s="188"/>
    </row>
    <row r="498" spans="1:10" s="176" customFormat="1" ht="51" x14ac:dyDescent="0.2">
      <c r="A498" s="33" t="s">
        <v>610</v>
      </c>
      <c r="B498" s="291" t="str">
        <f>'PLANILHA ORÇAMENTÁRIA'!D40</f>
        <v>Porta em madeira de lei tipo angelim pedra ou equiv.c/enchimento em madeira 1a.qualidade esp. 30mm p/ pintura, inclusive alizares, dobradiças e fechadura externa em latão cromado LaFonte ou equiv., exclusive marco, nas dim.: 0.70 x 2.10 m</v>
      </c>
      <c r="C498" s="175" t="str">
        <f>'PLANILHA ORÇAMENTÁRIA'!E40</f>
        <v>und</v>
      </c>
      <c r="D498" s="184" t="s">
        <v>422</v>
      </c>
      <c r="E498" s="184" t="s">
        <v>80</v>
      </c>
      <c r="F498" s="184" t="s">
        <v>81</v>
      </c>
      <c r="G498" s="184" t="s">
        <v>82</v>
      </c>
      <c r="H498" s="184" t="s">
        <v>83</v>
      </c>
      <c r="I498" s="184" t="s">
        <v>84</v>
      </c>
      <c r="J498" s="185" t="s">
        <v>85</v>
      </c>
    </row>
    <row r="499" spans="1:10" s="176" customFormat="1" x14ac:dyDescent="0.2">
      <c r="A499" s="33"/>
      <c r="B499" s="396" t="s">
        <v>561</v>
      </c>
      <c r="C499" s="331"/>
      <c r="D499" s="162">
        <v>3</v>
      </c>
      <c r="E499" s="184"/>
      <c r="F499" s="184"/>
      <c r="G499" s="184"/>
      <c r="H499" s="184"/>
      <c r="I499" s="184"/>
      <c r="J499" s="185">
        <f>D499</f>
        <v>3</v>
      </c>
    </row>
    <row r="500" spans="1:10" s="176" customFormat="1" x14ac:dyDescent="0.2">
      <c r="A500" s="33"/>
      <c r="B500" s="14"/>
      <c r="C500" s="175"/>
      <c r="D500" s="88"/>
      <c r="E500" s="179"/>
      <c r="F500" s="179"/>
      <c r="G500" s="179"/>
      <c r="H500" s="179"/>
      <c r="I500" s="81" t="s">
        <v>239</v>
      </c>
      <c r="J500" s="182">
        <f>SUM(J499)</f>
        <v>3</v>
      </c>
    </row>
    <row r="501" spans="1:10" s="176" customFormat="1" x14ac:dyDescent="0.2">
      <c r="A501" s="33"/>
      <c r="B501" s="286"/>
      <c r="C501" s="175"/>
      <c r="D501" s="177"/>
      <c r="E501" s="175"/>
      <c r="F501" s="28"/>
      <c r="G501" s="29"/>
      <c r="H501" s="76"/>
      <c r="I501" s="147"/>
      <c r="J501" s="188"/>
    </row>
    <row r="502" spans="1:10" s="176" customFormat="1" ht="63.75" x14ac:dyDescent="0.2">
      <c r="A502" s="33" t="s">
        <v>614</v>
      </c>
      <c r="B502" s="291" t="s">
        <v>545</v>
      </c>
      <c r="C502" s="175" t="e">
        <f>'PLANILHA ORÇAMENTÁRIA'!#REF!</f>
        <v>#REF!</v>
      </c>
      <c r="D502" s="184" t="s">
        <v>422</v>
      </c>
      <c r="E502" s="184" t="s">
        <v>80</v>
      </c>
      <c r="F502" s="184" t="s">
        <v>81</v>
      </c>
      <c r="G502" s="184" t="s">
        <v>82</v>
      </c>
      <c r="H502" s="184" t="s">
        <v>83</v>
      </c>
      <c r="I502" s="184" t="s">
        <v>84</v>
      </c>
      <c r="J502" s="185" t="s">
        <v>85</v>
      </c>
    </row>
    <row r="503" spans="1:10" s="176" customFormat="1" x14ac:dyDescent="0.2">
      <c r="A503" s="33"/>
      <c r="B503" s="402" t="s">
        <v>559</v>
      </c>
      <c r="C503" s="275"/>
      <c r="D503" s="341"/>
      <c r="E503" s="341"/>
      <c r="F503" s="341"/>
      <c r="G503" s="341"/>
      <c r="H503" s="341"/>
      <c r="I503" s="341"/>
      <c r="J503" s="342"/>
    </row>
    <row r="504" spans="1:10" s="332" customFormat="1" x14ac:dyDescent="0.2">
      <c r="A504" s="33"/>
      <c r="B504" s="396" t="s">
        <v>560</v>
      </c>
      <c r="C504" s="275"/>
      <c r="D504" s="341">
        <v>7</v>
      </c>
      <c r="E504" s="341"/>
      <c r="F504" s="341"/>
      <c r="G504" s="341"/>
      <c r="H504" s="341"/>
      <c r="I504" s="341"/>
      <c r="J504" s="342">
        <f>D504</f>
        <v>7</v>
      </c>
    </row>
    <row r="505" spans="1:10" s="332" customFormat="1" x14ac:dyDescent="0.2">
      <c r="A505" s="33"/>
      <c r="B505" s="402" t="s">
        <v>558</v>
      </c>
      <c r="C505" s="275"/>
      <c r="D505" s="341"/>
      <c r="E505" s="341"/>
      <c r="F505" s="341"/>
      <c r="G505" s="341"/>
      <c r="H505" s="341"/>
      <c r="I505" s="341"/>
      <c r="J505" s="342"/>
    </row>
    <row r="506" spans="1:10" s="332" customFormat="1" x14ac:dyDescent="0.2">
      <c r="A506" s="33"/>
      <c r="B506" s="396" t="s">
        <v>560</v>
      </c>
      <c r="C506" s="275"/>
      <c r="D506" s="341">
        <v>14</v>
      </c>
      <c r="E506" s="341"/>
      <c r="F506" s="341"/>
      <c r="G506" s="341"/>
      <c r="H506" s="341"/>
      <c r="I506" s="341"/>
      <c r="J506" s="342">
        <f t="shared" ref="J506:J507" si="54">D506</f>
        <v>14</v>
      </c>
    </row>
    <row r="507" spans="1:10" s="332" customFormat="1" x14ac:dyDescent="0.2">
      <c r="A507" s="33"/>
      <c r="B507" s="396"/>
      <c r="C507" s="331"/>
      <c r="D507" s="162"/>
      <c r="E507" s="341"/>
      <c r="F507" s="341"/>
      <c r="G507" s="341"/>
      <c r="H507" s="341"/>
      <c r="I507" s="341"/>
      <c r="J507" s="342">
        <f t="shared" si="54"/>
        <v>0</v>
      </c>
    </row>
    <row r="508" spans="1:10" s="176" customFormat="1" x14ac:dyDescent="0.2">
      <c r="A508" s="33"/>
      <c r="B508" s="289"/>
      <c r="C508" s="13"/>
      <c r="D508" s="184"/>
      <c r="E508" s="184"/>
      <c r="F508" s="184"/>
      <c r="G508" s="184"/>
      <c r="H508" s="184"/>
      <c r="I508" s="184"/>
      <c r="J508" s="185"/>
    </row>
    <row r="509" spans="1:10" s="176" customFormat="1" x14ac:dyDescent="0.2">
      <c r="A509" s="33"/>
      <c r="B509" s="287"/>
      <c r="C509" s="13"/>
      <c r="D509" s="88"/>
      <c r="E509" s="179"/>
      <c r="F509" s="179"/>
      <c r="G509" s="179"/>
      <c r="H509" s="179"/>
      <c r="I509" s="81" t="s">
        <v>239</v>
      </c>
      <c r="J509" s="182">
        <f>SUM(J503:J508)</f>
        <v>21</v>
      </c>
    </row>
    <row r="510" spans="1:10" s="332" customFormat="1" x14ac:dyDescent="0.2">
      <c r="A510" s="33"/>
      <c r="B510" s="387"/>
      <c r="C510" s="13"/>
      <c r="D510" s="319"/>
      <c r="E510" s="336"/>
      <c r="F510" s="336"/>
      <c r="G510" s="336"/>
      <c r="H510" s="336"/>
      <c r="I510" s="147"/>
      <c r="J510" s="346"/>
    </row>
    <row r="511" spans="1:10" s="332" customFormat="1" ht="51" x14ac:dyDescent="0.2">
      <c r="A511" s="33" t="s">
        <v>546</v>
      </c>
      <c r="B511" s="291" t="s">
        <v>429</v>
      </c>
      <c r="C511" s="331" t="e">
        <f>'PLANILHA ORÇAMENTÁRIA'!#REF!</f>
        <v>#REF!</v>
      </c>
      <c r="D511" s="341" t="s">
        <v>422</v>
      </c>
      <c r="E511" s="341" t="s">
        <v>80</v>
      </c>
      <c r="F511" s="341" t="s">
        <v>81</v>
      </c>
      <c r="G511" s="341" t="s">
        <v>82</v>
      </c>
      <c r="H511" s="341" t="s">
        <v>83</v>
      </c>
      <c r="I511" s="341" t="s">
        <v>84</v>
      </c>
      <c r="J511" s="342" t="s">
        <v>85</v>
      </c>
    </row>
    <row r="512" spans="1:10" s="332" customFormat="1" x14ac:dyDescent="0.2">
      <c r="A512" s="33"/>
      <c r="B512" s="387"/>
      <c r="C512" s="13"/>
      <c r="D512" s="341"/>
      <c r="E512" s="341"/>
      <c r="F512" s="341"/>
      <c r="G512" s="341"/>
      <c r="H512" s="341"/>
      <c r="I512" s="341"/>
      <c r="J512" s="342"/>
    </row>
    <row r="513" spans="1:10" s="332" customFormat="1" x14ac:dyDescent="0.2">
      <c r="A513" s="33"/>
      <c r="B513" s="387"/>
      <c r="C513" s="13"/>
      <c r="D513" s="341"/>
      <c r="E513" s="341"/>
      <c r="F513" s="341"/>
      <c r="G513" s="341"/>
      <c r="H513" s="341"/>
      <c r="I513" s="341"/>
      <c r="J513" s="342"/>
    </row>
    <row r="514" spans="1:10" s="332" customFormat="1" x14ac:dyDescent="0.2">
      <c r="A514" s="33"/>
      <c r="B514" s="387"/>
      <c r="C514" s="13"/>
      <c r="D514" s="319"/>
      <c r="E514" s="336"/>
      <c r="F514" s="336"/>
      <c r="G514" s="336"/>
      <c r="H514" s="336"/>
      <c r="I514" s="81" t="s">
        <v>239</v>
      </c>
      <c r="J514" s="339">
        <f>SUM(J512:J513)</f>
        <v>0</v>
      </c>
    </row>
    <row r="515" spans="1:10" s="332" customFormat="1" ht="15" customHeight="1" x14ac:dyDescent="0.2">
      <c r="A515" s="33"/>
      <c r="B515" s="387"/>
      <c r="C515" s="13"/>
      <c r="D515" s="319"/>
      <c r="E515" s="336"/>
      <c r="F515" s="336"/>
      <c r="G515" s="336"/>
      <c r="H515" s="336"/>
      <c r="I515" s="147"/>
      <c r="J515" s="346"/>
    </row>
    <row r="516" spans="1:10" x14ac:dyDescent="0.2">
      <c r="A516" s="11">
        <v>5</v>
      </c>
      <c r="B516" s="7" t="str">
        <f>'PLANILHA ORÇAMENTÁRIA'!D43</f>
        <v>ESQUADRIAS METÁLICAS</v>
      </c>
      <c r="C516" s="5"/>
      <c r="D516" s="190"/>
      <c r="E516" s="73"/>
      <c r="F516" s="73"/>
      <c r="G516" s="73"/>
      <c r="H516" s="73"/>
      <c r="I516" s="73"/>
      <c r="J516" s="73"/>
    </row>
    <row r="517" spans="1:10" x14ac:dyDescent="0.2">
      <c r="A517" s="22" t="s">
        <v>102</v>
      </c>
      <c r="B517" s="18" t="str">
        <f>'PLANILHA ORÇAMENTÁRIA'!D44</f>
        <v>GRADES E PORTÕES</v>
      </c>
      <c r="C517" s="177"/>
      <c r="D517" s="88"/>
      <c r="E517" s="38"/>
      <c r="F517" s="38"/>
      <c r="G517" s="38"/>
      <c r="H517" s="38"/>
      <c r="I517" s="38"/>
      <c r="J517" s="38"/>
    </row>
    <row r="518" spans="1:10" ht="25.5" x14ac:dyDescent="0.2">
      <c r="A518" s="19" t="s">
        <v>108</v>
      </c>
      <c r="B518" s="20" t="str">
        <f>'PLANILHA ORÇAMENTÁRIA'!D45</f>
        <v xml:space="preserve">Portão de ferro de abrir em barra chata, inclusive chumbamento </v>
      </c>
      <c r="C518" s="177" t="str">
        <f>'PLANILHA ORÇAMENTÁRIA'!E45</f>
        <v xml:space="preserve">m2 </v>
      </c>
      <c r="D518" s="184" t="s">
        <v>422</v>
      </c>
      <c r="E518" s="184" t="s">
        <v>80</v>
      </c>
      <c r="F518" s="184" t="s">
        <v>81</v>
      </c>
      <c r="G518" s="184" t="s">
        <v>82</v>
      </c>
      <c r="H518" s="184" t="s">
        <v>83</v>
      </c>
      <c r="I518" s="184" t="s">
        <v>84</v>
      </c>
      <c r="J518" s="185" t="s">
        <v>85</v>
      </c>
    </row>
    <row r="519" spans="1:10" x14ac:dyDescent="0.2">
      <c r="A519" s="19"/>
      <c r="B519" s="402" t="s">
        <v>558</v>
      </c>
      <c r="C519" s="331"/>
      <c r="D519" s="162"/>
      <c r="E519" s="162"/>
      <c r="F519" s="28"/>
      <c r="G519" s="161"/>
      <c r="H519" s="161"/>
      <c r="I519" s="147"/>
      <c r="J519" s="180"/>
    </row>
    <row r="520" spans="1:10" x14ac:dyDescent="0.2">
      <c r="A520" s="19"/>
      <c r="B520" s="396" t="s">
        <v>589</v>
      </c>
      <c r="C520" s="331"/>
      <c r="D520" s="162"/>
      <c r="E520" s="162"/>
      <c r="F520" s="28">
        <v>4.8</v>
      </c>
      <c r="G520" s="161">
        <v>2.4</v>
      </c>
      <c r="H520" s="161">
        <f>F520*G520</f>
        <v>11.52</v>
      </c>
      <c r="I520" s="147"/>
      <c r="J520" s="180">
        <f>H520</f>
        <v>11.52</v>
      </c>
    </row>
    <row r="521" spans="1:10" s="332" customFormat="1" x14ac:dyDescent="0.2">
      <c r="A521" s="334"/>
      <c r="B521" s="396"/>
      <c r="C521" s="331"/>
      <c r="D521" s="162"/>
      <c r="E521" s="162"/>
      <c r="F521" s="28"/>
      <c r="G521" s="161"/>
      <c r="H521" s="161"/>
      <c r="I521" s="147"/>
      <c r="J521" s="180"/>
    </row>
    <row r="522" spans="1:10" x14ac:dyDescent="0.2">
      <c r="A522" s="19"/>
      <c r="B522" s="75"/>
      <c r="C522" s="177"/>
      <c r="D522" s="184"/>
      <c r="E522" s="84"/>
      <c r="F522" s="84"/>
      <c r="G522" s="84"/>
      <c r="H522" s="84"/>
      <c r="I522" s="81" t="s">
        <v>239</v>
      </c>
      <c r="J522" s="182">
        <f>SUM(J519:J520)</f>
        <v>11.52</v>
      </c>
    </row>
    <row r="523" spans="1:10" x14ac:dyDescent="0.2">
      <c r="A523" s="19"/>
      <c r="B523" s="20"/>
      <c r="C523" s="177"/>
      <c r="D523" s="88"/>
      <c r="E523" s="38"/>
      <c r="F523" s="38"/>
      <c r="G523" s="38"/>
      <c r="H523" s="38"/>
      <c r="I523" s="38"/>
      <c r="J523" s="38"/>
    </row>
    <row r="524" spans="1:10" x14ac:dyDescent="0.2">
      <c r="A524" s="22" t="s">
        <v>103</v>
      </c>
      <c r="B524" s="18" t="str">
        <f>'PLANILHA ORÇAMENTÁRIA'!D46</f>
        <v>ESQUADRIAS METÁLICAS (M2)</v>
      </c>
      <c r="C524" s="177"/>
      <c r="D524" s="88"/>
      <c r="E524" s="38"/>
      <c r="F524" s="38"/>
      <c r="G524" s="38"/>
      <c r="H524" s="38"/>
      <c r="I524" s="38"/>
      <c r="J524" s="38"/>
    </row>
    <row r="525" spans="1:10" ht="38.25" x14ac:dyDescent="0.2">
      <c r="A525" s="19" t="s">
        <v>104</v>
      </c>
      <c r="B525" s="20" t="str">
        <f>'PLANILHA ORÇAMENTÁRIA'!D47</f>
        <v>Janela de correr para vidro em alumínio anodizado cor natural, linha 25, completa, incl. puxador com tranca, alizar, caixilho e contramarco, exclusive vidro</v>
      </c>
      <c r="C525" s="177" t="str">
        <f>'PLANILHA ORÇAMENTÁRIA'!E47</f>
        <v>m2</v>
      </c>
      <c r="D525" s="184" t="s">
        <v>422</v>
      </c>
      <c r="E525" s="184" t="s">
        <v>80</v>
      </c>
      <c r="F525" s="184" t="s">
        <v>81</v>
      </c>
      <c r="G525" s="184" t="s">
        <v>82</v>
      </c>
      <c r="H525" s="184" t="s">
        <v>83</v>
      </c>
      <c r="I525" s="184" t="s">
        <v>84</v>
      </c>
      <c r="J525" s="185" t="s">
        <v>85</v>
      </c>
    </row>
    <row r="526" spans="1:10" s="176" customFormat="1" x14ac:dyDescent="0.2">
      <c r="A526" s="177"/>
      <c r="B526" s="402" t="s">
        <v>556</v>
      </c>
      <c r="C526" s="275"/>
      <c r="D526" s="341"/>
      <c r="E526" s="341"/>
      <c r="F526" s="341"/>
      <c r="G526" s="341"/>
      <c r="H526" s="341"/>
      <c r="I526" s="341"/>
      <c r="J526" s="342"/>
    </row>
    <row r="527" spans="1:10" s="176" customFormat="1" x14ac:dyDescent="0.2">
      <c r="A527" s="177"/>
      <c r="B527" s="403" t="s">
        <v>563</v>
      </c>
      <c r="C527" s="275"/>
      <c r="D527" s="341">
        <v>1</v>
      </c>
      <c r="E527" s="341"/>
      <c r="F527" s="341">
        <v>2.8</v>
      </c>
      <c r="G527" s="341">
        <v>1.43</v>
      </c>
      <c r="H527" s="341">
        <f>F527*G527</f>
        <v>4.0039999999999996</v>
      </c>
      <c r="I527" s="341"/>
      <c r="J527" s="342">
        <f>H527</f>
        <v>4.0039999999999996</v>
      </c>
    </row>
    <row r="528" spans="1:10" s="176" customFormat="1" x14ac:dyDescent="0.2">
      <c r="A528" s="177"/>
      <c r="B528" s="282"/>
      <c r="C528" s="177"/>
      <c r="D528" s="184"/>
      <c r="E528" s="184"/>
      <c r="F528" s="184"/>
      <c r="G528" s="184"/>
      <c r="H528" s="184"/>
      <c r="I528" s="184"/>
      <c r="J528" s="185"/>
    </row>
    <row r="529" spans="1:10" x14ac:dyDescent="0.2">
      <c r="A529" s="38"/>
      <c r="B529" s="195"/>
      <c r="C529" s="177"/>
      <c r="D529" s="184"/>
      <c r="E529" s="184"/>
      <c r="F529" s="184"/>
      <c r="G529" s="184"/>
      <c r="H529" s="184"/>
      <c r="I529" s="184"/>
      <c r="J529" s="185"/>
    </row>
    <row r="530" spans="1:10" x14ac:dyDescent="0.2">
      <c r="A530" s="38"/>
      <c r="B530" s="195"/>
      <c r="C530" s="177"/>
      <c r="D530" s="184"/>
      <c r="E530" s="184"/>
      <c r="F530" s="184"/>
      <c r="G530" s="184"/>
      <c r="H530" s="184"/>
      <c r="I530" s="81" t="s">
        <v>239</v>
      </c>
      <c r="J530" s="182">
        <f>SUM(J527:J529)</f>
        <v>4.0039999999999996</v>
      </c>
    </row>
    <row r="531" spans="1:10" s="176" customFormat="1" x14ac:dyDescent="0.2">
      <c r="A531" s="179"/>
      <c r="B531" s="282"/>
      <c r="C531" s="177"/>
      <c r="D531" s="184"/>
      <c r="E531" s="184"/>
      <c r="F531" s="184"/>
      <c r="G531" s="184"/>
      <c r="H531" s="184"/>
      <c r="I531" s="147"/>
      <c r="J531" s="188"/>
    </row>
    <row r="532" spans="1:10" s="176" customFormat="1" ht="25.5" x14ac:dyDescent="0.2">
      <c r="A532" s="177" t="s">
        <v>615</v>
      </c>
      <c r="B532" s="178" t="str">
        <f>'PLANILHA ORÇAMENTÁRIA'!D48</f>
        <v>Báscula para vidro em alumínio anodizado cor natural, linha 25, completa, com tranca, caixilho, alizar e contramarco, exclusive vidro</v>
      </c>
      <c r="C532" s="177" t="str">
        <f>'PLANILHA ORÇAMENTÁRIA'!E48</f>
        <v>m2</v>
      </c>
      <c r="D532" s="184" t="s">
        <v>422</v>
      </c>
      <c r="E532" s="184" t="s">
        <v>80</v>
      </c>
      <c r="F532" s="184" t="s">
        <v>81</v>
      </c>
      <c r="G532" s="184" t="s">
        <v>82</v>
      </c>
      <c r="H532" s="184" t="s">
        <v>83</v>
      </c>
      <c r="I532" s="184" t="s">
        <v>84</v>
      </c>
      <c r="J532" s="185" t="s">
        <v>85</v>
      </c>
    </row>
    <row r="533" spans="1:10" s="176" customFormat="1" x14ac:dyDescent="0.2">
      <c r="A533" s="177"/>
      <c r="B533" s="402" t="s">
        <v>558</v>
      </c>
      <c r="C533" s="275"/>
      <c r="D533" s="341"/>
      <c r="E533" s="341"/>
      <c r="F533" s="341"/>
      <c r="G533" s="341"/>
      <c r="H533" s="341"/>
      <c r="I533" s="341"/>
      <c r="J533" s="342"/>
    </row>
    <row r="534" spans="1:10" s="176" customFormat="1" x14ac:dyDescent="0.2">
      <c r="A534" s="177"/>
      <c r="B534" s="395" t="s">
        <v>581</v>
      </c>
      <c r="C534" s="275"/>
      <c r="D534" s="341">
        <v>1</v>
      </c>
      <c r="E534" s="341"/>
      <c r="F534" s="341">
        <v>0.5</v>
      </c>
      <c r="G534" s="341">
        <v>0.7</v>
      </c>
      <c r="H534" s="341">
        <f>F534*G534</f>
        <v>0.35</v>
      </c>
      <c r="I534" s="341"/>
      <c r="J534" s="342">
        <f>H534</f>
        <v>0.35</v>
      </c>
    </row>
    <row r="535" spans="1:10" s="176" customFormat="1" x14ac:dyDescent="0.2">
      <c r="A535" s="177"/>
      <c r="B535" s="282"/>
      <c r="C535" s="177"/>
      <c r="D535" s="184"/>
      <c r="E535" s="184"/>
      <c r="F535" s="184"/>
      <c r="G535" s="184"/>
      <c r="H535" s="184"/>
      <c r="I535" s="184"/>
      <c r="J535" s="185"/>
    </row>
    <row r="536" spans="1:10" s="176" customFormat="1" x14ac:dyDescent="0.2">
      <c r="A536" s="177"/>
      <c r="B536" s="89"/>
      <c r="C536" s="177"/>
      <c r="D536" s="184"/>
      <c r="E536" s="184"/>
      <c r="F536" s="184"/>
      <c r="G536" s="184"/>
      <c r="H536" s="184"/>
      <c r="I536" s="184"/>
      <c r="J536" s="185"/>
    </row>
    <row r="537" spans="1:10" s="176" customFormat="1" x14ac:dyDescent="0.2">
      <c r="A537" s="177"/>
      <c r="B537" s="282"/>
      <c r="C537" s="177"/>
      <c r="D537" s="184"/>
      <c r="E537" s="184"/>
      <c r="F537" s="184"/>
      <c r="G537" s="184"/>
      <c r="H537" s="184"/>
      <c r="I537" s="184"/>
      <c r="J537" s="185"/>
    </row>
    <row r="538" spans="1:10" s="176" customFormat="1" x14ac:dyDescent="0.2">
      <c r="A538" s="177"/>
      <c r="B538" s="282"/>
      <c r="C538" s="177"/>
      <c r="D538" s="184"/>
      <c r="E538" s="184"/>
      <c r="F538" s="184"/>
      <c r="G538" s="184"/>
      <c r="H538" s="184"/>
      <c r="I538" s="81" t="s">
        <v>239</v>
      </c>
      <c r="J538" s="182">
        <f>SUM(J534:J537)</f>
        <v>0.35</v>
      </c>
    </row>
    <row r="539" spans="1:10" s="176" customFormat="1" x14ac:dyDescent="0.2">
      <c r="A539" s="177"/>
      <c r="B539" s="297"/>
      <c r="C539" s="177"/>
      <c r="D539" s="184"/>
      <c r="E539" s="184"/>
      <c r="F539" s="184"/>
      <c r="G539" s="184"/>
      <c r="H539" s="184"/>
      <c r="I539" s="147"/>
      <c r="J539" s="188"/>
    </row>
    <row r="540" spans="1:10" x14ac:dyDescent="0.2">
      <c r="A540" s="11">
        <v>6</v>
      </c>
      <c r="B540" s="7" t="str">
        <f>'PLANILHA ORÇAMENTÁRIA'!D50</f>
        <v>VIDROS E ESPELHOS</v>
      </c>
      <c r="C540" s="5"/>
      <c r="D540" s="190"/>
      <c r="E540" s="73"/>
      <c r="F540" s="73"/>
      <c r="G540" s="73"/>
      <c r="H540" s="73"/>
      <c r="I540" s="73"/>
      <c r="J540" s="73"/>
    </row>
    <row r="541" spans="1:10" x14ac:dyDescent="0.2">
      <c r="A541" s="22" t="s">
        <v>105</v>
      </c>
      <c r="B541" s="18" t="str">
        <f>'PLANILHA ORÇAMENTÁRIA'!D51</f>
        <v>VIDROS PARA ESQUADRIAS</v>
      </c>
      <c r="C541" s="177"/>
      <c r="D541" s="88"/>
      <c r="E541" s="38"/>
      <c r="F541" s="38"/>
      <c r="G541" s="38"/>
      <c r="H541" s="38"/>
      <c r="I541" s="38"/>
      <c r="J541" s="38"/>
    </row>
    <row r="542" spans="1:10" ht="25.5" x14ac:dyDescent="0.2">
      <c r="A542" s="19" t="s">
        <v>106</v>
      </c>
      <c r="B542" s="20" t="str">
        <f>'PLANILHA ORÇAMENTÁRIA'!D52</f>
        <v>Vidro plano transparente liso, com 4 mm de espessura (BDI= 15,57%)</v>
      </c>
      <c r="C542" s="177" t="str">
        <f>'PLANILHA ORÇAMENTÁRIA'!E52</f>
        <v xml:space="preserve">m2 </v>
      </c>
      <c r="D542" s="184" t="s">
        <v>422</v>
      </c>
      <c r="E542" s="184" t="s">
        <v>80</v>
      </c>
      <c r="F542" s="184" t="s">
        <v>81</v>
      </c>
      <c r="G542" s="184" t="s">
        <v>82</v>
      </c>
      <c r="H542" s="184" t="s">
        <v>83</v>
      </c>
      <c r="I542" s="184" t="s">
        <v>84</v>
      </c>
      <c r="J542" s="185" t="s">
        <v>85</v>
      </c>
    </row>
    <row r="543" spans="1:10" s="176" customFormat="1" x14ac:dyDescent="0.2">
      <c r="A543" s="177"/>
      <c r="B543" s="292" t="s">
        <v>539</v>
      </c>
      <c r="C543" s="177"/>
      <c r="D543" s="184"/>
      <c r="E543" s="184"/>
      <c r="F543" s="184"/>
      <c r="G543" s="184"/>
      <c r="H543" s="184"/>
      <c r="I543" s="184"/>
      <c r="J543" s="185"/>
    </row>
    <row r="544" spans="1:10" s="176" customFormat="1" x14ac:dyDescent="0.2">
      <c r="A544" s="177"/>
      <c r="B544" s="394" t="s">
        <v>540</v>
      </c>
      <c r="C544" s="177"/>
      <c r="D544" s="184">
        <v>1</v>
      </c>
      <c r="E544" s="184"/>
      <c r="F544" s="341">
        <v>2.95</v>
      </c>
      <c r="G544" s="184">
        <v>2.8</v>
      </c>
      <c r="H544" s="184">
        <f>D544*F544*G544</f>
        <v>8.26</v>
      </c>
      <c r="I544" s="184"/>
      <c r="J544" s="185">
        <f>H544</f>
        <v>8.26</v>
      </c>
    </row>
    <row r="545" spans="1:10" s="176" customFormat="1" x14ac:dyDescent="0.2">
      <c r="A545" s="177"/>
      <c r="B545" s="394" t="s">
        <v>541</v>
      </c>
      <c r="C545" s="177"/>
      <c r="D545" s="184">
        <v>1</v>
      </c>
      <c r="E545" s="184"/>
      <c r="F545" s="341">
        <v>2.95</v>
      </c>
      <c r="G545" s="341">
        <v>2.8</v>
      </c>
      <c r="H545" s="341">
        <f>D545*F545*G545</f>
        <v>8.26</v>
      </c>
      <c r="I545" s="341"/>
      <c r="J545" s="342">
        <f>H545</f>
        <v>8.26</v>
      </c>
    </row>
    <row r="546" spans="1:10" s="176" customFormat="1" x14ac:dyDescent="0.2">
      <c r="A546" s="177"/>
      <c r="B546" s="292" t="s">
        <v>555</v>
      </c>
      <c r="C546" s="177"/>
      <c r="D546" s="184"/>
      <c r="E546" s="184"/>
      <c r="F546" s="184"/>
      <c r="G546" s="184"/>
      <c r="H546" s="341"/>
      <c r="I546" s="341"/>
      <c r="J546" s="342"/>
    </row>
    <row r="547" spans="1:10" s="176" customFormat="1" x14ac:dyDescent="0.2">
      <c r="A547" s="177"/>
      <c r="B547" s="394" t="s">
        <v>540</v>
      </c>
      <c r="C547" s="177"/>
      <c r="D547" s="184">
        <v>1</v>
      </c>
      <c r="E547" s="184"/>
      <c r="F547" s="184">
        <v>2.02</v>
      </c>
      <c r="G547" s="184">
        <v>1.5</v>
      </c>
      <c r="H547" s="341">
        <f t="shared" ref="H547" si="55">D547*F547*G547</f>
        <v>3.0300000000000002</v>
      </c>
      <c r="I547" s="341"/>
      <c r="J547" s="342">
        <f t="shared" ref="J547" si="56">H547</f>
        <v>3.0300000000000002</v>
      </c>
    </row>
    <row r="548" spans="1:10" s="176" customFormat="1" x14ac:dyDescent="0.2">
      <c r="A548" s="177"/>
      <c r="B548" s="402" t="s">
        <v>556</v>
      </c>
      <c r="C548" s="275"/>
      <c r="D548" s="341"/>
      <c r="E548" s="341"/>
      <c r="F548" s="341"/>
      <c r="G548" s="341"/>
      <c r="H548" s="341"/>
      <c r="I548" s="341"/>
      <c r="J548" s="342"/>
    </row>
    <row r="549" spans="1:10" s="176" customFormat="1" x14ac:dyDescent="0.2">
      <c r="A549" s="177"/>
      <c r="B549" s="403" t="s">
        <v>563</v>
      </c>
      <c r="C549" s="275"/>
      <c r="D549" s="341">
        <v>1</v>
      </c>
      <c r="E549" s="341"/>
      <c r="F549" s="341">
        <v>2.8</v>
      </c>
      <c r="G549" s="341">
        <v>1.43</v>
      </c>
      <c r="H549" s="341">
        <f>F549*G549</f>
        <v>4.0039999999999996</v>
      </c>
      <c r="I549" s="341"/>
      <c r="J549" s="342">
        <f>H549</f>
        <v>4.0039999999999996</v>
      </c>
    </row>
    <row r="550" spans="1:10" s="176" customFormat="1" x14ac:dyDescent="0.2">
      <c r="A550" s="177"/>
      <c r="B550" s="403" t="s">
        <v>573</v>
      </c>
      <c r="C550" s="177"/>
      <c r="D550" s="184">
        <v>1</v>
      </c>
      <c r="E550" s="184"/>
      <c r="F550" s="341">
        <v>0.62</v>
      </c>
      <c r="G550" s="341">
        <v>0.5</v>
      </c>
      <c r="H550" s="341">
        <f>F550*G550</f>
        <v>0.31</v>
      </c>
      <c r="I550" s="341"/>
      <c r="J550" s="342">
        <f>H550</f>
        <v>0.31</v>
      </c>
    </row>
    <row r="551" spans="1:10" s="176" customFormat="1" x14ac:dyDescent="0.2">
      <c r="A551" s="177"/>
      <c r="B551" s="403" t="s">
        <v>574</v>
      </c>
      <c r="C551" s="177"/>
      <c r="D551" s="184">
        <v>1</v>
      </c>
      <c r="E551" s="184"/>
      <c r="F551" s="184">
        <v>0.6</v>
      </c>
      <c r="G551" s="184">
        <v>0.75</v>
      </c>
      <c r="H551" s="341">
        <f>F551*G551*1.5</f>
        <v>0.67499999999999993</v>
      </c>
      <c r="I551" s="341"/>
      <c r="J551" s="342">
        <f>H551</f>
        <v>0.67499999999999993</v>
      </c>
    </row>
    <row r="552" spans="1:10" s="176" customFormat="1" x14ac:dyDescent="0.2">
      <c r="A552" s="177"/>
      <c r="B552" s="292" t="s">
        <v>558</v>
      </c>
      <c r="C552" s="177"/>
      <c r="D552" s="184"/>
      <c r="E552" s="184"/>
      <c r="F552" s="184"/>
      <c r="G552" s="184"/>
      <c r="H552" s="184"/>
      <c r="I552" s="184"/>
      <c r="J552" s="185"/>
    </row>
    <row r="553" spans="1:10" s="176" customFormat="1" x14ac:dyDescent="0.2">
      <c r="A553" s="179"/>
      <c r="B553" s="394" t="s">
        <v>580</v>
      </c>
      <c r="C553" s="177"/>
      <c r="D553" s="184">
        <v>1</v>
      </c>
      <c r="E553" s="184"/>
      <c r="F553" s="184">
        <v>0.7</v>
      </c>
      <c r="G553" s="184">
        <v>0.7</v>
      </c>
      <c r="H553" s="341">
        <f>F553*G553*1.5</f>
        <v>0.73499999999999988</v>
      </c>
      <c r="I553" s="184"/>
      <c r="J553" s="185">
        <f>H553</f>
        <v>0.73499999999999988</v>
      </c>
    </row>
    <row r="554" spans="1:10" s="176" customFormat="1" x14ac:dyDescent="0.2">
      <c r="A554" s="177"/>
      <c r="B554" s="394" t="s">
        <v>581</v>
      </c>
      <c r="C554" s="177"/>
      <c r="D554" s="184">
        <v>1</v>
      </c>
      <c r="E554" s="184"/>
      <c r="F554" s="184">
        <v>0.5</v>
      </c>
      <c r="G554" s="184">
        <v>0.7</v>
      </c>
      <c r="H554" s="341">
        <f>F554*G554*1.5</f>
        <v>0.52499999999999991</v>
      </c>
      <c r="I554" s="184"/>
      <c r="J554" s="342">
        <f>H554</f>
        <v>0.52499999999999991</v>
      </c>
    </row>
    <row r="555" spans="1:10" s="332" customFormat="1" x14ac:dyDescent="0.2">
      <c r="A555" s="334"/>
      <c r="B555" s="394"/>
      <c r="C555" s="334"/>
      <c r="D555" s="341"/>
      <c r="E555" s="341"/>
      <c r="F555" s="341"/>
      <c r="G555" s="341"/>
      <c r="H555" s="341"/>
      <c r="I555" s="341"/>
      <c r="J555" s="342"/>
    </row>
    <row r="556" spans="1:10" s="176" customFormat="1" x14ac:dyDescent="0.2">
      <c r="A556" s="177"/>
      <c r="B556" s="282"/>
      <c r="C556" s="177"/>
      <c r="D556" s="184"/>
      <c r="E556" s="184"/>
      <c r="F556" s="184"/>
      <c r="G556" s="184"/>
      <c r="H556" s="184"/>
      <c r="I556" s="81" t="s">
        <v>239</v>
      </c>
      <c r="J556" s="182">
        <f>SUM(J544:J554)</f>
        <v>25.798999999999999</v>
      </c>
    </row>
    <row r="557" spans="1:10" x14ac:dyDescent="0.2">
      <c r="A557" s="19"/>
      <c r="B557" s="75"/>
      <c r="C557" s="177"/>
      <c r="D557" s="184"/>
      <c r="E557" s="84"/>
      <c r="F557" s="84"/>
      <c r="G557" s="84"/>
      <c r="H557" s="84"/>
      <c r="I557" s="38"/>
      <c r="J557" s="85"/>
    </row>
    <row r="558" spans="1:10" x14ac:dyDescent="0.2">
      <c r="A558" s="11">
        <v>7</v>
      </c>
      <c r="B558" s="7" t="str">
        <f>'PLANILHA ORÇAMENTÁRIA'!D54</f>
        <v>REVESTIMENTO DE PAREDES</v>
      </c>
      <c r="C558" s="5"/>
      <c r="D558" s="190"/>
      <c r="E558" s="73"/>
      <c r="F558" s="73"/>
      <c r="G558" s="73"/>
      <c r="H558" s="73"/>
      <c r="I558" s="73"/>
      <c r="J558" s="73"/>
    </row>
    <row r="559" spans="1:10" x14ac:dyDescent="0.2">
      <c r="A559" s="22" t="s">
        <v>107</v>
      </c>
      <c r="B559" s="18" t="str">
        <f>'PLANILHA ORÇAMENTÁRIA'!D55</f>
        <v>REVESTIMENTO COM ARGAMASSA</v>
      </c>
      <c r="C559" s="177"/>
      <c r="D559" s="88"/>
      <c r="E559" s="38"/>
      <c r="F559" s="38"/>
      <c r="G559" s="38"/>
      <c r="H559" s="38"/>
      <c r="I559" s="38"/>
      <c r="J559" s="38"/>
    </row>
    <row r="560" spans="1:10" ht="25.5" x14ac:dyDescent="0.2">
      <c r="A560" s="19" t="s">
        <v>108</v>
      </c>
      <c r="B560" s="189" t="str">
        <f>'PLANILHA ORÇAMENTÁRIA'!D56</f>
        <v xml:space="preserve">Chapisco de argamassa de cimento e areia média ou grossa lavada, no traço 1:3, espessura 5 mm </v>
      </c>
      <c r="C560" s="177" t="str">
        <f>'PLANILHA ORÇAMENTÁRIA'!E56</f>
        <v xml:space="preserve">m2 </v>
      </c>
      <c r="D560" s="184" t="s">
        <v>422</v>
      </c>
      <c r="E560" s="184" t="s">
        <v>80</v>
      </c>
      <c r="F560" s="184" t="s">
        <v>81</v>
      </c>
      <c r="G560" s="184" t="s">
        <v>82</v>
      </c>
      <c r="H560" s="184" t="s">
        <v>83</v>
      </c>
      <c r="I560" s="184" t="s">
        <v>84</v>
      </c>
      <c r="J560" s="185" t="s">
        <v>85</v>
      </c>
    </row>
    <row r="561" spans="1:10" s="332" customFormat="1" x14ac:dyDescent="0.2">
      <c r="A561" s="334"/>
      <c r="B561" s="292" t="s">
        <v>556</v>
      </c>
      <c r="C561" s="334"/>
      <c r="D561" s="341"/>
      <c r="E561" s="341"/>
      <c r="F561" s="341"/>
      <c r="G561" s="341"/>
      <c r="H561" s="341"/>
      <c r="I561" s="341"/>
      <c r="J561" s="342"/>
    </row>
    <row r="562" spans="1:10" x14ac:dyDescent="0.2">
      <c r="A562" s="334"/>
      <c r="B562" s="158" t="s">
        <v>543</v>
      </c>
      <c r="C562" s="275"/>
      <c r="D562" s="341"/>
      <c r="E562" s="341"/>
      <c r="F562" s="341">
        <v>2.2999999999999998</v>
      </c>
      <c r="G562" s="341">
        <v>1.6</v>
      </c>
      <c r="H562" s="341">
        <f>F562*G562</f>
        <v>3.6799999999999997</v>
      </c>
      <c r="I562" s="145"/>
      <c r="J562" s="342">
        <f>H562</f>
        <v>3.6799999999999997</v>
      </c>
    </row>
    <row r="563" spans="1:10" s="176" customFormat="1" x14ac:dyDescent="0.2">
      <c r="A563" s="177"/>
      <c r="B563" s="292" t="s">
        <v>588</v>
      </c>
      <c r="C563" s="177"/>
      <c r="D563" s="184"/>
      <c r="E563" s="184"/>
      <c r="F563" s="184"/>
      <c r="G563" s="184"/>
      <c r="H563" s="184"/>
      <c r="I563" s="145"/>
      <c r="J563" s="185"/>
    </row>
    <row r="564" spans="1:10" s="176" customFormat="1" x14ac:dyDescent="0.2">
      <c r="A564" s="177"/>
      <c r="B564" s="397" t="s">
        <v>591</v>
      </c>
      <c r="C564" s="334"/>
      <c r="D564" s="341"/>
      <c r="E564" s="341"/>
      <c r="F564" s="341">
        <v>16</v>
      </c>
      <c r="G564" s="341">
        <v>2.2000000000000002</v>
      </c>
      <c r="H564" s="341">
        <f t="shared" ref="H564" si="57">F564*G564</f>
        <v>35.200000000000003</v>
      </c>
      <c r="I564" s="180"/>
      <c r="J564" s="180">
        <f t="shared" ref="J564" si="58">H564</f>
        <v>35.200000000000003</v>
      </c>
    </row>
    <row r="565" spans="1:10" s="176" customFormat="1" x14ac:dyDescent="0.2">
      <c r="A565" s="177"/>
      <c r="B565" s="14" t="s">
        <v>592</v>
      </c>
      <c r="C565" s="334"/>
      <c r="D565" s="341"/>
      <c r="E565" s="341"/>
      <c r="F565" s="341"/>
      <c r="G565" s="341"/>
      <c r="H565" s="341"/>
      <c r="I565" s="180"/>
      <c r="J565" s="180"/>
    </row>
    <row r="566" spans="1:10" s="176" customFormat="1" x14ac:dyDescent="0.2">
      <c r="A566" s="177"/>
      <c r="B566" s="397" t="s">
        <v>591</v>
      </c>
      <c r="C566" s="331"/>
      <c r="D566" s="334"/>
      <c r="E566" s="28"/>
      <c r="F566" s="319">
        <v>28</v>
      </c>
      <c r="G566" s="161">
        <v>6</v>
      </c>
      <c r="H566" s="341">
        <f t="shared" ref="H566" si="59">F566*G566</f>
        <v>168</v>
      </c>
      <c r="I566" s="180"/>
      <c r="J566" s="180">
        <f t="shared" ref="J566" si="60">H566</f>
        <v>168</v>
      </c>
    </row>
    <row r="567" spans="1:10" s="176" customFormat="1" x14ac:dyDescent="0.2">
      <c r="A567" s="177"/>
      <c r="B567" s="75"/>
      <c r="C567" s="177"/>
      <c r="D567" s="184"/>
      <c r="E567" s="84"/>
      <c r="F567" s="84"/>
      <c r="G567" s="84"/>
      <c r="H567" s="84"/>
      <c r="I567" s="84"/>
      <c r="J567" s="185"/>
    </row>
    <row r="568" spans="1:10" s="176" customFormat="1" x14ac:dyDescent="0.2">
      <c r="A568" s="177"/>
      <c r="B568" s="75"/>
      <c r="C568" s="177"/>
      <c r="D568" s="184"/>
      <c r="E568" s="84"/>
      <c r="F568" s="84"/>
      <c r="G568" s="84"/>
      <c r="H568" s="184"/>
      <c r="I568" s="84"/>
      <c r="J568" s="185"/>
    </row>
    <row r="569" spans="1:10" s="176" customFormat="1" x14ac:dyDescent="0.2">
      <c r="A569" s="177"/>
      <c r="B569" s="160"/>
      <c r="C569" s="175"/>
      <c r="D569" s="177"/>
      <c r="E569" s="28"/>
      <c r="F569" s="179"/>
      <c r="G569" s="161"/>
      <c r="H569" s="161"/>
      <c r="I569" s="180"/>
      <c r="J569" s="180"/>
    </row>
    <row r="570" spans="1:10" s="176" customFormat="1" x14ac:dyDescent="0.2">
      <c r="A570" s="177"/>
      <c r="B570" s="293"/>
      <c r="C570" s="177"/>
      <c r="D570" s="184"/>
      <c r="E570" s="184"/>
      <c r="F570" s="184"/>
      <c r="G570" s="184"/>
      <c r="H570" s="184"/>
      <c r="I570" s="184"/>
      <c r="J570" s="185"/>
    </row>
    <row r="571" spans="1:10" s="176" customFormat="1" x14ac:dyDescent="0.2">
      <c r="A571" s="177"/>
      <c r="B571" s="160"/>
      <c r="C571" s="175"/>
      <c r="D571" s="177"/>
      <c r="E571" s="175"/>
      <c r="F571" s="28"/>
      <c r="G571" s="161"/>
      <c r="H571" s="161"/>
      <c r="I571" s="81" t="s">
        <v>239</v>
      </c>
      <c r="J571" s="182">
        <f>SUM(J564:J570)</f>
        <v>203.2</v>
      </c>
    </row>
    <row r="572" spans="1:10" s="176" customFormat="1" x14ac:dyDescent="0.2">
      <c r="A572" s="177"/>
      <c r="B572" s="78"/>
      <c r="C572" s="177"/>
      <c r="D572" s="186"/>
      <c r="E572" s="179"/>
      <c r="F572" s="179"/>
      <c r="G572" s="179"/>
      <c r="H572" s="186"/>
      <c r="I572" s="187"/>
      <c r="J572" s="188"/>
    </row>
    <row r="573" spans="1:10" ht="25.5" x14ac:dyDescent="0.2">
      <c r="A573" s="22" t="s">
        <v>109</v>
      </c>
      <c r="B573" s="18" t="str">
        <f>'PLANILHA ORÇAMENTÁRIA'!D57</f>
        <v>REVESTIMENTO EMPREGANDO ARGAMASSA DE CIMENTO, CAL E AREIA</v>
      </c>
      <c r="C573" s="177"/>
      <c r="D573" s="88"/>
      <c r="E573" s="38"/>
      <c r="F573" s="38"/>
      <c r="G573" s="38"/>
      <c r="H573" s="38"/>
      <c r="I573" s="38"/>
      <c r="J573" s="38"/>
    </row>
    <row r="574" spans="1:10" ht="25.5" customHeight="1" x14ac:dyDescent="0.2">
      <c r="A574" s="19" t="s">
        <v>110</v>
      </c>
      <c r="B574" s="20" t="str">
        <f>'PLANILHA ORÇAMENTÁRIA'!D58</f>
        <v xml:space="preserve">Reboco tipo paulista de argamassa de cimento, cal hidratada CH1 e areia média ou grossa lavada no traço 1:0.5:6, espessura 25 mm </v>
      </c>
      <c r="C574" s="177" t="str">
        <f>'PLANILHA ORÇAMENTÁRIA'!E58</f>
        <v xml:space="preserve">m2 </v>
      </c>
      <c r="D574" s="184" t="s">
        <v>422</v>
      </c>
      <c r="E574" s="184" t="s">
        <v>80</v>
      </c>
      <c r="F574" s="184" t="s">
        <v>81</v>
      </c>
      <c r="G574" s="184" t="s">
        <v>82</v>
      </c>
      <c r="H574" s="184" t="s">
        <v>83</v>
      </c>
      <c r="I574" s="184" t="s">
        <v>84</v>
      </c>
      <c r="J574" s="185" t="s">
        <v>85</v>
      </c>
    </row>
    <row r="575" spans="1:10" s="176" customFormat="1" ht="30" customHeight="1" x14ac:dyDescent="0.2">
      <c r="A575" s="334"/>
      <c r="B575" s="158" t="s">
        <v>543</v>
      </c>
      <c r="C575" s="275"/>
      <c r="D575" s="341"/>
      <c r="E575" s="341"/>
      <c r="F575" s="341">
        <v>2.2999999999999998</v>
      </c>
      <c r="G575" s="341">
        <v>1.6</v>
      </c>
      <c r="H575" s="341">
        <f>F575*G575</f>
        <v>3.6799999999999997</v>
      </c>
      <c r="I575" s="145"/>
      <c r="J575" s="342">
        <f>H575</f>
        <v>3.6799999999999997</v>
      </c>
    </row>
    <row r="576" spans="1:10" s="176" customFormat="1" x14ac:dyDescent="0.2">
      <c r="A576" s="177"/>
      <c r="B576" s="398" t="s">
        <v>549</v>
      </c>
      <c r="C576" s="331"/>
      <c r="D576" s="334"/>
      <c r="E576" s="28"/>
      <c r="F576" s="336"/>
      <c r="G576" s="161"/>
      <c r="H576" s="341"/>
      <c r="I576" s="180"/>
      <c r="J576" s="180"/>
    </row>
    <row r="577" spans="1:10" s="176" customFormat="1" x14ac:dyDescent="0.2">
      <c r="A577" s="177"/>
      <c r="B577" s="396" t="s">
        <v>550</v>
      </c>
      <c r="C577" s="331"/>
      <c r="D577" s="334"/>
      <c r="E577" s="28"/>
      <c r="F577" s="319">
        <v>6.95</v>
      </c>
      <c r="G577" s="161">
        <v>0.5</v>
      </c>
      <c r="H577" s="341">
        <f t="shared" ref="H577:H580" si="61">F577*G577</f>
        <v>3.4750000000000001</v>
      </c>
      <c r="I577" s="180"/>
      <c r="J577" s="180">
        <f>H577</f>
        <v>3.4750000000000001</v>
      </c>
    </row>
    <row r="578" spans="1:10" s="176" customFormat="1" x14ac:dyDescent="0.2">
      <c r="A578" s="177"/>
      <c r="B578" s="396" t="s">
        <v>551</v>
      </c>
      <c r="C578" s="331"/>
      <c r="D578" s="334"/>
      <c r="E578" s="28"/>
      <c r="F578" s="319">
        <v>11.28</v>
      </c>
      <c r="G578" s="161">
        <f t="shared" ref="G578:G580" si="62">(2.91-1.44)</f>
        <v>1.4700000000000002</v>
      </c>
      <c r="H578" s="341">
        <f t="shared" si="61"/>
        <v>16.581600000000002</v>
      </c>
      <c r="I578" s="180"/>
      <c r="J578" s="180">
        <f t="shared" ref="J578:J580" si="63">H578</f>
        <v>16.581600000000002</v>
      </c>
    </row>
    <row r="579" spans="1:10" s="176" customFormat="1" x14ac:dyDescent="0.2">
      <c r="A579" s="177"/>
      <c r="B579" s="396" t="s">
        <v>553</v>
      </c>
      <c r="C579" s="331"/>
      <c r="D579" s="334"/>
      <c r="E579" s="28"/>
      <c r="F579" s="319">
        <v>6.95</v>
      </c>
      <c r="G579" s="161">
        <v>0.5</v>
      </c>
      <c r="H579" s="341">
        <f t="shared" si="61"/>
        <v>3.4750000000000001</v>
      </c>
      <c r="I579" s="180"/>
      <c r="J579" s="180">
        <f t="shared" si="63"/>
        <v>3.4750000000000001</v>
      </c>
    </row>
    <row r="580" spans="1:10" s="176" customFormat="1" x14ac:dyDescent="0.2">
      <c r="A580" s="177"/>
      <c r="B580" s="396" t="s">
        <v>552</v>
      </c>
      <c r="C580" s="331"/>
      <c r="D580" s="180"/>
      <c r="E580" s="28"/>
      <c r="F580" s="319">
        <v>11.28</v>
      </c>
      <c r="G580" s="161">
        <f t="shared" si="62"/>
        <v>1.4700000000000002</v>
      </c>
      <c r="H580" s="341">
        <f t="shared" si="61"/>
        <v>16.581600000000002</v>
      </c>
      <c r="I580" s="180"/>
      <c r="J580" s="180">
        <f t="shared" si="63"/>
        <v>16.581600000000002</v>
      </c>
    </row>
    <row r="581" spans="1:10" s="332" customFormat="1" x14ac:dyDescent="0.2">
      <c r="A581" s="334"/>
      <c r="B581" s="396"/>
      <c r="C581" s="331"/>
      <c r="D581" s="180"/>
      <c r="E581" s="28"/>
      <c r="F581" s="319"/>
      <c r="G581" s="161"/>
      <c r="H581" s="341"/>
      <c r="I581" s="180"/>
      <c r="J581" s="180"/>
    </row>
    <row r="582" spans="1:10" s="176" customFormat="1" x14ac:dyDescent="0.2">
      <c r="A582" s="177"/>
      <c r="B582" s="396" t="s">
        <v>554</v>
      </c>
      <c r="C582" s="175"/>
      <c r="D582" s="180"/>
      <c r="E582" s="175"/>
      <c r="F582" s="28">
        <v>0.3</v>
      </c>
      <c r="G582" s="161">
        <v>0.3</v>
      </c>
      <c r="H582" s="341">
        <f t="shared" ref="H582" si="64">F582*G582</f>
        <v>0.09</v>
      </c>
      <c r="I582" s="180"/>
      <c r="J582" s="180">
        <f t="shared" ref="J582" si="65">H582</f>
        <v>0.09</v>
      </c>
    </row>
    <row r="583" spans="1:10" s="176" customFormat="1" x14ac:dyDescent="0.2">
      <c r="A583" s="177"/>
      <c r="B583" s="276"/>
      <c r="C583" s="175"/>
      <c r="D583" s="177"/>
      <c r="E583" s="175"/>
      <c r="F583" s="28"/>
      <c r="G583" s="161"/>
      <c r="H583" s="161"/>
      <c r="I583" s="180"/>
      <c r="J583" s="180"/>
    </row>
    <row r="584" spans="1:10" s="176" customFormat="1" x14ac:dyDescent="0.2">
      <c r="A584" s="177"/>
      <c r="B584" s="398" t="s">
        <v>577</v>
      </c>
      <c r="C584" s="175"/>
      <c r="D584" s="177"/>
      <c r="E584" s="175"/>
      <c r="F584" s="28"/>
      <c r="G584" s="161"/>
      <c r="H584" s="161"/>
      <c r="I584" s="180"/>
      <c r="J584" s="180"/>
    </row>
    <row r="585" spans="1:10" s="176" customFormat="1" x14ac:dyDescent="0.2">
      <c r="A585" s="177"/>
      <c r="B585" s="406" t="s">
        <v>578</v>
      </c>
      <c r="C585" s="13"/>
      <c r="D585" s="180"/>
      <c r="E585" s="28"/>
      <c r="F585" s="28">
        <v>0.16</v>
      </c>
      <c r="G585" s="28">
        <v>2.13</v>
      </c>
      <c r="H585" s="341">
        <f t="shared" ref="H585:H586" si="66">F585*G585</f>
        <v>0.34079999999999999</v>
      </c>
      <c r="I585" s="173"/>
      <c r="J585" s="180">
        <f>H585</f>
        <v>0.34079999999999999</v>
      </c>
    </row>
    <row r="586" spans="1:10" s="176" customFormat="1" x14ac:dyDescent="0.2">
      <c r="A586" s="177"/>
      <c r="B586" s="406" t="s">
        <v>579</v>
      </c>
      <c r="C586" s="13"/>
      <c r="D586" s="274"/>
      <c r="E586" s="162"/>
      <c r="F586" s="28">
        <v>0.16</v>
      </c>
      <c r="G586" s="161">
        <v>2.13</v>
      </c>
      <c r="H586" s="341">
        <f t="shared" si="66"/>
        <v>0.34079999999999999</v>
      </c>
      <c r="I586" s="281"/>
      <c r="J586" s="180">
        <f>H586</f>
        <v>0.34079999999999999</v>
      </c>
    </row>
    <row r="587" spans="1:10" s="176" customFormat="1" x14ac:dyDescent="0.2">
      <c r="A587" s="177"/>
      <c r="B587" s="399"/>
      <c r="C587" s="13"/>
      <c r="D587" s="177"/>
      <c r="E587" s="184"/>
      <c r="F587" s="28"/>
      <c r="G587" s="161"/>
      <c r="H587" s="161"/>
      <c r="I587" s="180"/>
      <c r="J587" s="180"/>
    </row>
    <row r="588" spans="1:10" s="176" customFormat="1" x14ac:dyDescent="0.2">
      <c r="A588" s="177"/>
      <c r="B588" s="397" t="s">
        <v>591</v>
      </c>
      <c r="C588" s="334"/>
      <c r="D588" s="341"/>
      <c r="E588" s="341"/>
      <c r="F588" s="341">
        <v>16</v>
      </c>
      <c r="G588" s="341">
        <v>2.2000000000000002</v>
      </c>
      <c r="H588" s="341">
        <f t="shared" ref="H588" si="67">F588*G588</f>
        <v>35.200000000000003</v>
      </c>
      <c r="I588" s="180"/>
      <c r="J588" s="180">
        <f t="shared" ref="J588" si="68">H588</f>
        <v>35.200000000000003</v>
      </c>
    </row>
    <row r="589" spans="1:10" s="176" customFormat="1" x14ac:dyDescent="0.2">
      <c r="A589" s="177"/>
      <c r="B589" s="14" t="s">
        <v>592</v>
      </c>
      <c r="C589" s="334"/>
      <c r="D589" s="341"/>
      <c r="E589" s="341"/>
      <c r="F589" s="341"/>
      <c r="G589" s="341"/>
      <c r="H589" s="341"/>
      <c r="I589" s="180"/>
      <c r="J589" s="180"/>
    </row>
    <row r="590" spans="1:10" s="176" customFormat="1" x14ac:dyDescent="0.2">
      <c r="A590" s="177"/>
      <c r="B590" s="397" t="s">
        <v>591</v>
      </c>
      <c r="C590" s="331"/>
      <c r="D590" s="334"/>
      <c r="E590" s="28"/>
      <c r="F590" s="319">
        <v>28</v>
      </c>
      <c r="G590" s="161">
        <v>3</v>
      </c>
      <c r="H590" s="341">
        <f t="shared" ref="H590:H591" si="69">F590*G590</f>
        <v>84</v>
      </c>
      <c r="I590" s="180"/>
      <c r="J590" s="180">
        <f t="shared" ref="J590:J591" si="70">H590</f>
        <v>84</v>
      </c>
    </row>
    <row r="591" spans="1:10" s="176" customFormat="1" x14ac:dyDescent="0.2">
      <c r="A591" s="177"/>
      <c r="B591" s="394" t="s">
        <v>607</v>
      </c>
      <c r="C591" s="177"/>
      <c r="D591" s="184"/>
      <c r="E591" s="184"/>
      <c r="F591" s="184">
        <v>12</v>
      </c>
      <c r="G591" s="184">
        <v>1</v>
      </c>
      <c r="H591" s="341">
        <f t="shared" si="69"/>
        <v>12</v>
      </c>
      <c r="I591" s="184"/>
      <c r="J591" s="180">
        <f t="shared" si="70"/>
        <v>12</v>
      </c>
    </row>
    <row r="592" spans="1:10" s="332" customFormat="1" x14ac:dyDescent="0.2">
      <c r="A592" s="334"/>
      <c r="B592" s="394"/>
      <c r="C592" s="334"/>
      <c r="D592" s="341"/>
      <c r="E592" s="341"/>
      <c r="F592" s="341"/>
      <c r="G592" s="341"/>
      <c r="H592" s="341"/>
      <c r="I592" s="341"/>
      <c r="J592" s="180"/>
    </row>
    <row r="593" spans="1:10" x14ac:dyDescent="0.2">
      <c r="A593" s="19"/>
      <c r="B593" s="20"/>
      <c r="C593" s="177"/>
      <c r="D593" s="88"/>
      <c r="E593" s="38"/>
      <c r="F593" s="38"/>
      <c r="G593" s="38"/>
      <c r="H593" s="38"/>
      <c r="I593" s="81" t="s">
        <v>239</v>
      </c>
      <c r="J593" s="182">
        <f>SUM(J575:J591)</f>
        <v>175.76480000000001</v>
      </c>
    </row>
    <row r="594" spans="1:10" x14ac:dyDescent="0.2">
      <c r="A594" s="19"/>
      <c r="B594" s="20"/>
      <c r="C594" s="177"/>
      <c r="D594" s="88"/>
      <c r="E594" s="38"/>
      <c r="F594" s="38"/>
      <c r="G594" s="38"/>
      <c r="H594" s="38"/>
      <c r="I594" s="38"/>
      <c r="J594" s="38"/>
    </row>
    <row r="595" spans="1:10" x14ac:dyDescent="0.2">
      <c r="A595" s="11">
        <v>8</v>
      </c>
      <c r="B595" s="7" t="str">
        <f>'PLANILHA ORÇAMENTÁRIA'!D60</f>
        <v>PISOS INTERNOS E EXTERNOS</v>
      </c>
      <c r="C595" s="5"/>
      <c r="D595" s="190"/>
      <c r="E595" s="73"/>
      <c r="F595" s="73"/>
      <c r="G595" s="73"/>
      <c r="H595" s="73"/>
      <c r="I595" s="73"/>
      <c r="J595" s="73"/>
    </row>
    <row r="596" spans="1:10" x14ac:dyDescent="0.2">
      <c r="A596" s="22" t="s">
        <v>111</v>
      </c>
      <c r="B596" s="18" t="str">
        <f>'PLANILHA ORÇAMENTÁRIA'!D61</f>
        <v>DEGRAUS, RODAPÉS, SOLEIRAS E PEITORIS</v>
      </c>
      <c r="C596" s="177"/>
      <c r="D596" s="88"/>
      <c r="E596" s="38"/>
      <c r="F596" s="38"/>
      <c r="G596" s="38"/>
      <c r="H596" s="38"/>
      <c r="I596" s="38"/>
      <c r="J596" s="38"/>
    </row>
    <row r="597" spans="1:10" ht="25.5" x14ac:dyDescent="0.2">
      <c r="A597" s="338" t="s">
        <v>112</v>
      </c>
      <c r="B597" s="20" t="str">
        <f>'PLANILHA ORÇAMENTÁRIA'!D62</f>
        <v>Peitoril de granito cinza polido, 19 cm, esp. 3cm</v>
      </c>
      <c r="C597" s="177" t="str">
        <f>'PLANILHA ORÇAMENTÁRIA'!E62</f>
        <v xml:space="preserve">m </v>
      </c>
      <c r="D597" s="184" t="s">
        <v>422</v>
      </c>
      <c r="E597" s="184" t="s">
        <v>80</v>
      </c>
      <c r="F597" s="184" t="s">
        <v>81</v>
      </c>
      <c r="G597" s="184" t="s">
        <v>82</v>
      </c>
      <c r="H597" s="184" t="s">
        <v>83</v>
      </c>
      <c r="I597" s="184" t="s">
        <v>84</v>
      </c>
      <c r="J597" s="185" t="s">
        <v>85</v>
      </c>
    </row>
    <row r="598" spans="1:10" s="176" customFormat="1" x14ac:dyDescent="0.2">
      <c r="A598" s="177"/>
      <c r="B598" s="335" t="s">
        <v>637</v>
      </c>
      <c r="C598" s="275"/>
      <c r="D598" s="341">
        <v>1</v>
      </c>
      <c r="E598" s="341">
        <v>25</v>
      </c>
      <c r="F598" s="341"/>
      <c r="G598" s="341">
        <v>7.0000000000000007E-2</v>
      </c>
      <c r="H598" s="341">
        <f>D598*E598*G598</f>
        <v>1.7500000000000002</v>
      </c>
      <c r="I598" s="147"/>
      <c r="J598" s="382">
        <f>H598</f>
        <v>1.7500000000000002</v>
      </c>
    </row>
    <row r="599" spans="1:10" s="176" customFormat="1" x14ac:dyDescent="0.2">
      <c r="A599" s="177"/>
      <c r="B599" s="335" t="s">
        <v>638</v>
      </c>
      <c r="C599" s="177"/>
      <c r="D599" s="184">
        <v>2</v>
      </c>
      <c r="E599" s="184">
        <v>6</v>
      </c>
      <c r="F599" s="184"/>
      <c r="G599" s="184">
        <v>0.1</v>
      </c>
      <c r="H599" s="341">
        <f>D599*E599*G599</f>
        <v>1.2000000000000002</v>
      </c>
      <c r="I599" s="184"/>
      <c r="J599" s="382">
        <f>H599</f>
        <v>1.2000000000000002</v>
      </c>
    </row>
    <row r="600" spans="1:10" s="332" customFormat="1" ht="10.5" customHeight="1" x14ac:dyDescent="0.2">
      <c r="A600" s="334"/>
      <c r="B600" s="337"/>
      <c r="C600" s="334"/>
      <c r="D600" s="341"/>
      <c r="E600" s="341"/>
      <c r="F600" s="341"/>
      <c r="G600" s="341"/>
      <c r="H600" s="341"/>
      <c r="I600" s="341"/>
      <c r="J600" s="342"/>
    </row>
    <row r="601" spans="1:10" x14ac:dyDescent="0.2">
      <c r="A601" s="19"/>
      <c r="B601" s="20"/>
      <c r="C601" s="177"/>
      <c r="D601" s="88"/>
      <c r="E601" s="38"/>
      <c r="F601" s="38"/>
      <c r="G601" s="38"/>
      <c r="H601" s="38"/>
      <c r="I601" s="183" t="s">
        <v>239</v>
      </c>
      <c r="J601" s="182">
        <f>SUM(J598:J600)</f>
        <v>2.95</v>
      </c>
    </row>
    <row r="602" spans="1:10" x14ac:dyDescent="0.2">
      <c r="A602" s="19"/>
      <c r="B602" s="20"/>
      <c r="C602" s="177"/>
      <c r="D602" s="88"/>
      <c r="E602" s="38"/>
      <c r="F602" s="38"/>
      <c r="G602" s="38"/>
      <c r="H602" s="38"/>
      <c r="I602" s="38"/>
      <c r="J602" s="38"/>
    </row>
    <row r="603" spans="1:10" x14ac:dyDescent="0.2">
      <c r="A603" s="11">
        <v>9</v>
      </c>
      <c r="B603" s="7" t="str">
        <f>'PLANILHA ORÇAMENTÁRIA'!D64</f>
        <v>APARELHOS HIDRO-SANITÁRIOS</v>
      </c>
      <c r="C603" s="5"/>
      <c r="D603" s="190"/>
      <c r="E603" s="73"/>
      <c r="F603" s="73"/>
      <c r="G603" s="73"/>
      <c r="H603" s="73"/>
      <c r="I603" s="73"/>
      <c r="J603" s="73"/>
    </row>
    <row r="604" spans="1:10" x14ac:dyDescent="0.2">
      <c r="A604" s="22" t="s">
        <v>618</v>
      </c>
      <c r="B604" s="333" t="s">
        <v>62</v>
      </c>
      <c r="C604" s="177"/>
      <c r="D604" s="88"/>
      <c r="E604" s="38"/>
      <c r="F604" s="38"/>
      <c r="G604" s="38"/>
      <c r="H604" s="38"/>
      <c r="I604" s="38"/>
      <c r="J604" s="38"/>
    </row>
    <row r="605" spans="1:10" ht="25.5" x14ac:dyDescent="0.2">
      <c r="A605" s="338" t="s">
        <v>619</v>
      </c>
      <c r="B605" s="20" t="str">
        <f>'PLANILHA ORÇAMENTÁRIA'!D66</f>
        <v xml:space="preserve">Torneira para tanque, marcas de referência Fabrimar, Deca ou Docol. </v>
      </c>
      <c r="C605" s="177" t="str">
        <f>'PLANILHA ORÇAMENTÁRIA'!E66</f>
        <v xml:space="preserve">und </v>
      </c>
      <c r="D605" s="184" t="s">
        <v>422</v>
      </c>
      <c r="E605" s="184" t="s">
        <v>80</v>
      </c>
      <c r="F605" s="184" t="s">
        <v>81</v>
      </c>
      <c r="G605" s="184" t="s">
        <v>82</v>
      </c>
      <c r="H605" s="184" t="s">
        <v>83</v>
      </c>
      <c r="I605" s="184" t="s">
        <v>84</v>
      </c>
      <c r="J605" s="185" t="s">
        <v>85</v>
      </c>
    </row>
    <row r="606" spans="1:10" x14ac:dyDescent="0.2">
      <c r="A606" s="19"/>
      <c r="B606" s="333" t="s">
        <v>556</v>
      </c>
      <c r="C606" s="275"/>
      <c r="D606" s="341"/>
      <c r="E606" s="341"/>
      <c r="F606" s="341"/>
      <c r="G606" s="341"/>
      <c r="H606" s="341"/>
      <c r="I606" s="147"/>
      <c r="J606" s="382"/>
    </row>
    <row r="607" spans="1:10" s="332" customFormat="1" x14ac:dyDescent="0.2">
      <c r="A607" s="334"/>
      <c r="B607" s="335" t="s">
        <v>566</v>
      </c>
      <c r="C607" s="275"/>
      <c r="D607" s="341">
        <v>4</v>
      </c>
      <c r="E607" s="341"/>
      <c r="F607" s="341"/>
      <c r="G607" s="341"/>
      <c r="H607" s="341"/>
      <c r="I607" s="147"/>
      <c r="J607" s="346">
        <v>4</v>
      </c>
    </row>
    <row r="608" spans="1:10" s="332" customFormat="1" x14ac:dyDescent="0.2">
      <c r="A608" s="334"/>
      <c r="B608" s="333" t="s">
        <v>558</v>
      </c>
      <c r="C608" s="275"/>
      <c r="D608" s="341"/>
      <c r="E608" s="341"/>
      <c r="F608" s="341"/>
      <c r="G608" s="341"/>
      <c r="H608" s="341"/>
      <c r="I608" s="147"/>
      <c r="J608" s="344"/>
    </row>
    <row r="609" spans="1:10" s="332" customFormat="1" x14ac:dyDescent="0.2">
      <c r="A609" s="334"/>
      <c r="B609" s="335" t="s">
        <v>566</v>
      </c>
      <c r="C609" s="275"/>
      <c r="D609" s="341">
        <v>4</v>
      </c>
      <c r="E609" s="341"/>
      <c r="F609" s="341"/>
      <c r="G609" s="341"/>
      <c r="H609" s="341"/>
      <c r="I609" s="147"/>
      <c r="J609" s="346">
        <v>4</v>
      </c>
    </row>
    <row r="610" spans="1:10" x14ac:dyDescent="0.2">
      <c r="A610" s="19"/>
      <c r="B610" s="20"/>
      <c r="C610" s="177"/>
      <c r="D610" s="88"/>
      <c r="E610" s="38"/>
      <c r="F610" s="38"/>
      <c r="G610" s="38"/>
      <c r="H610" s="38"/>
      <c r="I610" s="183" t="s">
        <v>239</v>
      </c>
      <c r="J610" s="182">
        <f>SUM(J606:J609)</f>
        <v>8</v>
      </c>
    </row>
    <row r="611" spans="1:10" x14ac:dyDescent="0.2">
      <c r="A611" s="19"/>
      <c r="B611" s="20"/>
      <c r="C611" s="177"/>
      <c r="D611" s="88"/>
      <c r="E611" s="38"/>
      <c r="F611" s="38"/>
      <c r="G611" s="38"/>
      <c r="H611" s="38"/>
      <c r="I611" s="91"/>
      <c r="J611" s="92"/>
    </row>
    <row r="612" spans="1:10" x14ac:dyDescent="0.2">
      <c r="A612" s="11">
        <v>19</v>
      </c>
      <c r="B612" s="7" t="str">
        <f>'PLANILHA ORÇAMENTÁRIA'!D68</f>
        <v>PINTURA</v>
      </c>
      <c r="C612" s="5"/>
      <c r="D612" s="190"/>
      <c r="E612" s="73"/>
      <c r="F612" s="73"/>
      <c r="G612" s="73"/>
      <c r="H612" s="73"/>
      <c r="I612" s="73"/>
      <c r="J612" s="73"/>
    </row>
    <row r="613" spans="1:10" x14ac:dyDescent="0.2">
      <c r="A613" s="22" t="s">
        <v>113</v>
      </c>
      <c r="B613" s="18" t="str">
        <f>'PLANILHA ORÇAMENTÁRIA'!D69</f>
        <v>SOBRE PAREDES E FORROS</v>
      </c>
      <c r="C613" s="177"/>
      <c r="D613" s="88"/>
      <c r="E613" s="38"/>
      <c r="F613" s="38"/>
      <c r="G613" s="38"/>
      <c r="H613" s="38"/>
      <c r="I613" s="38"/>
      <c r="J613" s="38"/>
    </row>
    <row r="614" spans="1:10" ht="25.5" x14ac:dyDescent="0.2">
      <c r="A614" s="19" t="s">
        <v>623</v>
      </c>
      <c r="B614" s="20" t="str">
        <f>'PLANILHA ORÇAMENTÁRIA'!D70</f>
        <v xml:space="preserve">Pintura com tinta acrílica, marcas de referência Suvinil, Coral ou Metalatex, inclusive selador acrílico, em paredes e forros, a três demãos </v>
      </c>
      <c r="C614" s="177" t="str">
        <f>'PLANILHA ORÇAMENTÁRIA'!E70</f>
        <v xml:space="preserve">m2 </v>
      </c>
      <c r="D614" s="184" t="s">
        <v>422</v>
      </c>
      <c r="E614" s="184" t="s">
        <v>80</v>
      </c>
      <c r="F614" s="184" t="s">
        <v>81</v>
      </c>
      <c r="G614" s="184" t="s">
        <v>82</v>
      </c>
      <c r="H614" s="184" t="s">
        <v>83</v>
      </c>
      <c r="I614" s="184" t="s">
        <v>84</v>
      </c>
      <c r="J614" s="185" t="s">
        <v>85</v>
      </c>
    </row>
    <row r="615" spans="1:10" s="176" customFormat="1" x14ac:dyDescent="0.2">
      <c r="A615" s="177"/>
      <c r="B615" s="89"/>
      <c r="C615" s="177"/>
      <c r="D615" s="184"/>
      <c r="E615" s="184"/>
      <c r="F615" s="184"/>
      <c r="G615" s="184"/>
      <c r="H615" s="184"/>
      <c r="I615" s="184"/>
      <c r="J615" s="185"/>
    </row>
    <row r="616" spans="1:10" s="332" customFormat="1" ht="15" x14ac:dyDescent="0.25">
      <c r="A616" s="334"/>
      <c r="B616" s="408" t="s">
        <v>639</v>
      </c>
      <c r="C616" s="409"/>
      <c r="D616" s="409"/>
      <c r="E616" s="409"/>
      <c r="F616" s="409"/>
      <c r="G616" s="409"/>
      <c r="H616" s="409"/>
      <c r="I616" s="147"/>
      <c r="J616" s="180"/>
    </row>
    <row r="617" spans="1:10" s="332" customFormat="1" ht="15" x14ac:dyDescent="0.25">
      <c r="A617" s="334"/>
      <c r="B617" s="409" t="s">
        <v>640</v>
      </c>
      <c r="C617" s="409"/>
      <c r="D617" s="409"/>
      <c r="E617" s="409"/>
      <c r="F617" s="409" t="s">
        <v>492</v>
      </c>
      <c r="G617" s="409" t="s">
        <v>641</v>
      </c>
      <c r="H617" s="409" t="s">
        <v>642</v>
      </c>
      <c r="I617" s="147"/>
      <c r="J617" s="180"/>
    </row>
    <row r="618" spans="1:10" s="332" customFormat="1" ht="15" x14ac:dyDescent="0.25">
      <c r="A618" s="334"/>
      <c r="B618" s="409"/>
      <c r="C618" s="409"/>
      <c r="D618" s="409"/>
      <c r="E618" s="409"/>
      <c r="F618" s="409">
        <v>6.83</v>
      </c>
      <c r="G618" s="409">
        <v>2.9</v>
      </c>
      <c r="H618" s="410">
        <f>F618*G618</f>
        <v>19.806999999999999</v>
      </c>
      <c r="I618" s="147"/>
      <c r="J618" s="180">
        <f>H618</f>
        <v>19.806999999999999</v>
      </c>
    </row>
    <row r="619" spans="1:10" s="332" customFormat="1" ht="15" x14ac:dyDescent="0.25">
      <c r="A619" s="334"/>
      <c r="B619" s="409"/>
      <c r="C619" s="409"/>
      <c r="D619" s="409"/>
      <c r="E619" s="409"/>
      <c r="F619" s="409">
        <v>6.83</v>
      </c>
      <c r="G619" s="409">
        <v>2.9</v>
      </c>
      <c r="H619" s="410">
        <f t="shared" ref="H619:H620" si="71">F619*G619</f>
        <v>19.806999999999999</v>
      </c>
      <c r="I619" s="147"/>
      <c r="J619" s="180">
        <f t="shared" ref="J619:J682" si="72">H619</f>
        <v>19.806999999999999</v>
      </c>
    </row>
    <row r="620" spans="1:10" s="332" customFormat="1" ht="15" x14ac:dyDescent="0.25">
      <c r="A620" s="334"/>
      <c r="B620" s="409"/>
      <c r="C620" s="409"/>
      <c r="D620" s="409"/>
      <c r="E620" s="409"/>
      <c r="F620" s="409">
        <v>7.34</v>
      </c>
      <c r="G620" s="409">
        <v>2.9</v>
      </c>
      <c r="H620" s="410">
        <f t="shared" si="71"/>
        <v>21.285999999999998</v>
      </c>
      <c r="I620" s="147"/>
      <c r="J620" s="180">
        <f t="shared" si="72"/>
        <v>21.285999999999998</v>
      </c>
    </row>
    <row r="621" spans="1:10" s="332" customFormat="1" ht="15" x14ac:dyDescent="0.25">
      <c r="A621" s="334"/>
      <c r="B621" s="409"/>
      <c r="C621" s="409"/>
      <c r="D621" s="409"/>
      <c r="E621" s="409"/>
      <c r="F621" s="409">
        <v>7.34</v>
      </c>
      <c r="G621" s="409">
        <v>2.9</v>
      </c>
      <c r="H621" s="410">
        <v>10.78</v>
      </c>
      <c r="I621" s="147"/>
      <c r="J621" s="180">
        <f t="shared" si="72"/>
        <v>10.78</v>
      </c>
    </row>
    <row r="622" spans="1:10" s="332" customFormat="1" ht="15" x14ac:dyDescent="0.25">
      <c r="A622" s="334"/>
      <c r="B622" s="409"/>
      <c r="C622" s="409"/>
      <c r="D622" s="409"/>
      <c r="E622" s="409"/>
      <c r="F622" s="409">
        <v>7.34</v>
      </c>
      <c r="G622" s="409">
        <v>6.83</v>
      </c>
      <c r="H622" s="410">
        <f t="shared" ref="H622:H625" si="73">F622*G622</f>
        <v>50.132199999999997</v>
      </c>
      <c r="I622" s="147"/>
      <c r="J622" s="180">
        <f t="shared" si="72"/>
        <v>50.132199999999997</v>
      </c>
    </row>
    <row r="623" spans="1:10" s="332" customFormat="1" ht="15" x14ac:dyDescent="0.25">
      <c r="A623" s="334"/>
      <c r="B623" s="409" t="s">
        <v>643</v>
      </c>
      <c r="C623" s="409"/>
      <c r="D623" s="409"/>
      <c r="E623" s="409"/>
      <c r="F623" s="409">
        <v>6.83</v>
      </c>
      <c r="G623" s="409">
        <v>2.9</v>
      </c>
      <c r="H623" s="410">
        <f t="shared" si="73"/>
        <v>19.806999999999999</v>
      </c>
      <c r="I623" s="147"/>
      <c r="J623" s="180">
        <f t="shared" si="72"/>
        <v>19.806999999999999</v>
      </c>
    </row>
    <row r="624" spans="1:10" s="332" customFormat="1" ht="15" x14ac:dyDescent="0.25">
      <c r="A624" s="334"/>
      <c r="B624" s="409"/>
      <c r="C624" s="409"/>
      <c r="D624" s="409"/>
      <c r="E624" s="409"/>
      <c r="F624" s="409">
        <v>6.83</v>
      </c>
      <c r="G624" s="409">
        <v>2.9</v>
      </c>
      <c r="H624" s="410">
        <f t="shared" si="73"/>
        <v>19.806999999999999</v>
      </c>
      <c r="I624" s="147"/>
      <c r="J624" s="180">
        <f t="shared" si="72"/>
        <v>19.806999999999999</v>
      </c>
    </row>
    <row r="625" spans="1:10" s="332" customFormat="1" ht="15" x14ac:dyDescent="0.25">
      <c r="A625" s="334"/>
      <c r="B625" s="409"/>
      <c r="C625" s="409"/>
      <c r="D625" s="409"/>
      <c r="E625" s="409"/>
      <c r="F625" s="409">
        <v>7.36</v>
      </c>
      <c r="G625" s="409">
        <v>2.9</v>
      </c>
      <c r="H625" s="410">
        <f t="shared" si="73"/>
        <v>21.344000000000001</v>
      </c>
      <c r="I625" s="147"/>
      <c r="J625" s="180">
        <f t="shared" si="72"/>
        <v>21.344000000000001</v>
      </c>
    </row>
    <row r="626" spans="1:10" s="332" customFormat="1" ht="15" x14ac:dyDescent="0.25">
      <c r="A626" s="334"/>
      <c r="B626" s="409"/>
      <c r="C626" s="409"/>
      <c r="D626" s="409"/>
      <c r="E626" s="409"/>
      <c r="F626" s="409">
        <v>7.36</v>
      </c>
      <c r="G626" s="409">
        <v>2.9</v>
      </c>
      <c r="H626" s="410">
        <v>10.47</v>
      </c>
      <c r="I626" s="147"/>
      <c r="J626" s="180">
        <f t="shared" si="72"/>
        <v>10.47</v>
      </c>
    </row>
    <row r="627" spans="1:10" s="332" customFormat="1" ht="15" x14ac:dyDescent="0.25">
      <c r="A627" s="334"/>
      <c r="B627" s="409"/>
      <c r="C627" s="409"/>
      <c r="D627" s="409"/>
      <c r="E627" s="409"/>
      <c r="F627" s="409">
        <v>7.36</v>
      </c>
      <c r="G627" s="409">
        <v>6.83</v>
      </c>
      <c r="H627" s="410">
        <f t="shared" ref="H627:H630" si="74">F627*G627</f>
        <v>50.268800000000006</v>
      </c>
      <c r="I627" s="147"/>
      <c r="J627" s="180">
        <f t="shared" si="72"/>
        <v>50.268800000000006</v>
      </c>
    </row>
    <row r="628" spans="1:10" s="332" customFormat="1" ht="15" x14ac:dyDescent="0.25">
      <c r="A628" s="334"/>
      <c r="B628" s="409" t="s">
        <v>644</v>
      </c>
      <c r="C628" s="409"/>
      <c r="D628" s="409"/>
      <c r="E628" s="409"/>
      <c r="F628" s="409">
        <v>6.83</v>
      </c>
      <c r="G628" s="409">
        <v>2.9</v>
      </c>
      <c r="H628" s="410">
        <f t="shared" si="74"/>
        <v>19.806999999999999</v>
      </c>
      <c r="I628" s="147"/>
      <c r="J628" s="180">
        <f t="shared" si="72"/>
        <v>19.806999999999999</v>
      </c>
    </row>
    <row r="629" spans="1:10" s="332" customFormat="1" ht="15" x14ac:dyDescent="0.25">
      <c r="A629" s="334"/>
      <c r="B629" s="409"/>
      <c r="C629" s="409"/>
      <c r="D629" s="409"/>
      <c r="E629" s="409"/>
      <c r="F629" s="409">
        <v>6.83</v>
      </c>
      <c r="G629" s="409">
        <v>2.9</v>
      </c>
      <c r="H629" s="410">
        <f t="shared" si="74"/>
        <v>19.806999999999999</v>
      </c>
      <c r="I629" s="147"/>
      <c r="J629" s="180">
        <f t="shared" si="72"/>
        <v>19.806999999999999</v>
      </c>
    </row>
    <row r="630" spans="1:10" s="332" customFormat="1" ht="15" x14ac:dyDescent="0.25">
      <c r="A630" s="334"/>
      <c r="B630" s="409"/>
      <c r="C630" s="409"/>
      <c r="D630" s="409"/>
      <c r="E630" s="409"/>
      <c r="F630" s="409">
        <v>7.21</v>
      </c>
      <c r="G630" s="409">
        <v>2.9</v>
      </c>
      <c r="H630" s="410">
        <f t="shared" si="74"/>
        <v>20.908999999999999</v>
      </c>
      <c r="I630" s="147"/>
      <c r="J630" s="180">
        <f t="shared" si="72"/>
        <v>20.908999999999999</v>
      </c>
    </row>
    <row r="631" spans="1:10" s="332" customFormat="1" ht="15" x14ac:dyDescent="0.25">
      <c r="A631" s="334"/>
      <c r="B631" s="409"/>
      <c r="C631" s="409"/>
      <c r="D631" s="409"/>
      <c r="E631" s="409"/>
      <c r="F631" s="409">
        <v>7.21</v>
      </c>
      <c r="G631" s="409">
        <v>2.9</v>
      </c>
      <c r="H631" s="410">
        <v>10.4</v>
      </c>
      <c r="I631" s="147"/>
      <c r="J631" s="180">
        <f t="shared" si="72"/>
        <v>10.4</v>
      </c>
    </row>
    <row r="632" spans="1:10" s="332" customFormat="1" ht="15" x14ac:dyDescent="0.25">
      <c r="A632" s="334"/>
      <c r="B632" s="409"/>
      <c r="C632" s="409"/>
      <c r="D632" s="409"/>
      <c r="E632" s="409"/>
      <c r="F632" s="409">
        <v>7.21</v>
      </c>
      <c r="G632" s="409">
        <v>6.83</v>
      </c>
      <c r="H632" s="410">
        <f t="shared" ref="H632:H635" si="75">F632*G632</f>
        <v>49.244300000000003</v>
      </c>
      <c r="I632" s="147"/>
      <c r="J632" s="180">
        <f t="shared" si="72"/>
        <v>49.244300000000003</v>
      </c>
    </row>
    <row r="633" spans="1:10" s="332" customFormat="1" ht="15" x14ac:dyDescent="0.25">
      <c r="A633" s="334"/>
      <c r="B633" s="409" t="s">
        <v>645</v>
      </c>
      <c r="C633" s="409"/>
      <c r="D633" s="409"/>
      <c r="E633" s="409"/>
      <c r="F633" s="409">
        <v>6.83</v>
      </c>
      <c r="G633" s="409">
        <v>2.9</v>
      </c>
      <c r="H633" s="410">
        <f t="shared" si="75"/>
        <v>19.806999999999999</v>
      </c>
      <c r="I633" s="147"/>
      <c r="J633" s="180">
        <f t="shared" si="72"/>
        <v>19.806999999999999</v>
      </c>
    </row>
    <row r="634" spans="1:10" s="332" customFormat="1" ht="15" x14ac:dyDescent="0.25">
      <c r="A634" s="334"/>
      <c r="B634" s="409"/>
      <c r="C634" s="409"/>
      <c r="D634" s="409"/>
      <c r="E634" s="409"/>
      <c r="F634" s="409">
        <v>6.83</v>
      </c>
      <c r="G634" s="409">
        <v>2.9</v>
      </c>
      <c r="H634" s="410">
        <f t="shared" si="75"/>
        <v>19.806999999999999</v>
      </c>
      <c r="I634" s="147"/>
      <c r="J634" s="180">
        <f t="shared" si="72"/>
        <v>19.806999999999999</v>
      </c>
    </row>
    <row r="635" spans="1:10" s="332" customFormat="1" ht="15" x14ac:dyDescent="0.25">
      <c r="A635" s="334"/>
      <c r="B635" s="409"/>
      <c r="C635" s="409"/>
      <c r="D635" s="409"/>
      <c r="E635" s="409"/>
      <c r="F635" s="409">
        <v>7.31</v>
      </c>
      <c r="G635" s="409">
        <v>2.9</v>
      </c>
      <c r="H635" s="410">
        <f t="shared" si="75"/>
        <v>21.198999999999998</v>
      </c>
      <c r="I635" s="147"/>
      <c r="J635" s="180">
        <f t="shared" si="72"/>
        <v>21.198999999999998</v>
      </c>
    </row>
    <row r="636" spans="1:10" s="332" customFormat="1" ht="15" x14ac:dyDescent="0.25">
      <c r="A636" s="334"/>
      <c r="B636" s="409"/>
      <c r="C636" s="409"/>
      <c r="D636" s="409"/>
      <c r="E636" s="409"/>
      <c r="F636" s="409">
        <v>7.31</v>
      </c>
      <c r="G636" s="409">
        <v>2.9</v>
      </c>
      <c r="H636" s="410">
        <v>10.69</v>
      </c>
      <c r="I636" s="147"/>
      <c r="J636" s="180">
        <f t="shared" si="72"/>
        <v>10.69</v>
      </c>
    </row>
    <row r="637" spans="1:10" s="332" customFormat="1" ht="15" x14ac:dyDescent="0.25">
      <c r="A637" s="334"/>
      <c r="B637" s="409"/>
      <c r="C637" s="409"/>
      <c r="D637" s="409"/>
      <c r="E637" s="409"/>
      <c r="F637" s="409">
        <v>7.31</v>
      </c>
      <c r="G637" s="409">
        <v>6.83</v>
      </c>
      <c r="H637" s="410">
        <f t="shared" ref="H637:H640" si="76">F637*G637</f>
        <v>49.927299999999995</v>
      </c>
      <c r="I637" s="147"/>
      <c r="J637" s="180">
        <f t="shared" si="72"/>
        <v>49.927299999999995</v>
      </c>
    </row>
    <row r="638" spans="1:10" s="332" customFormat="1" ht="15" x14ac:dyDescent="0.25">
      <c r="A638" s="334"/>
      <c r="B638" s="409" t="s">
        <v>646</v>
      </c>
      <c r="C638" s="409"/>
      <c r="D638" s="409"/>
      <c r="E638" s="409"/>
      <c r="F638" s="409">
        <v>6.83</v>
      </c>
      <c r="G638" s="409">
        <v>2.9</v>
      </c>
      <c r="H638" s="410">
        <f t="shared" si="76"/>
        <v>19.806999999999999</v>
      </c>
      <c r="I638" s="147"/>
      <c r="J638" s="180">
        <f t="shared" si="72"/>
        <v>19.806999999999999</v>
      </c>
    </row>
    <row r="639" spans="1:10" s="332" customFormat="1" ht="15" x14ac:dyDescent="0.25">
      <c r="A639" s="334"/>
      <c r="B639" s="409"/>
      <c r="C639" s="409"/>
      <c r="D639" s="409"/>
      <c r="E639" s="409"/>
      <c r="F639" s="409">
        <v>6.83</v>
      </c>
      <c r="G639" s="409">
        <v>2.9</v>
      </c>
      <c r="H639" s="410">
        <f t="shared" si="76"/>
        <v>19.806999999999999</v>
      </c>
      <c r="I639" s="147"/>
      <c r="J639" s="180">
        <f t="shared" si="72"/>
        <v>19.806999999999999</v>
      </c>
    </row>
    <row r="640" spans="1:10" s="332" customFormat="1" ht="15" x14ac:dyDescent="0.25">
      <c r="A640" s="334"/>
      <c r="B640" s="409"/>
      <c r="C640" s="409"/>
      <c r="D640" s="409"/>
      <c r="E640" s="409"/>
      <c r="F640" s="409">
        <v>7.31</v>
      </c>
      <c r="G640" s="409">
        <v>2.9</v>
      </c>
      <c r="H640" s="410">
        <f t="shared" si="76"/>
        <v>21.198999999999998</v>
      </c>
      <c r="I640" s="147"/>
      <c r="J640" s="180">
        <f t="shared" si="72"/>
        <v>21.198999999999998</v>
      </c>
    </row>
    <row r="641" spans="1:10" s="332" customFormat="1" ht="15" x14ac:dyDescent="0.25">
      <c r="A641" s="334"/>
      <c r="B641" s="409"/>
      <c r="C641" s="409"/>
      <c r="D641" s="409"/>
      <c r="E641" s="409"/>
      <c r="F641" s="409">
        <v>7.31</v>
      </c>
      <c r="G641" s="409">
        <v>2.9</v>
      </c>
      <c r="H641" s="410">
        <v>19.690000000000001</v>
      </c>
      <c r="I641" s="147"/>
      <c r="J641" s="180">
        <f t="shared" si="72"/>
        <v>19.690000000000001</v>
      </c>
    </row>
    <row r="642" spans="1:10" s="332" customFormat="1" ht="15" x14ac:dyDescent="0.25">
      <c r="A642" s="334"/>
      <c r="B642" s="409"/>
      <c r="C642" s="409"/>
      <c r="D642" s="409"/>
      <c r="E642" s="409"/>
      <c r="F642" s="409">
        <v>7.31</v>
      </c>
      <c r="G642" s="409">
        <v>6.83</v>
      </c>
      <c r="H642" s="410">
        <f t="shared" ref="H642" si="77">F642*G642</f>
        <v>49.927299999999995</v>
      </c>
      <c r="I642" s="147"/>
      <c r="J642" s="180">
        <f t="shared" si="72"/>
        <v>49.927299999999995</v>
      </c>
    </row>
    <row r="643" spans="1:10" s="332" customFormat="1" ht="15" x14ac:dyDescent="0.25">
      <c r="A643" s="334"/>
      <c r="B643" s="409" t="s">
        <v>647</v>
      </c>
      <c r="C643" s="409"/>
      <c r="D643" s="409"/>
      <c r="E643" s="409"/>
      <c r="F643" s="409" t="s">
        <v>492</v>
      </c>
      <c r="G643" s="409" t="s">
        <v>641</v>
      </c>
      <c r="H643" s="409" t="s">
        <v>642</v>
      </c>
      <c r="I643" s="147"/>
      <c r="J643" s="180"/>
    </row>
    <row r="644" spans="1:10" s="332" customFormat="1" ht="15" x14ac:dyDescent="0.25">
      <c r="A644" s="334"/>
      <c r="B644" s="409"/>
      <c r="C644" s="409"/>
      <c r="D644" s="409"/>
      <c r="E644" s="409"/>
      <c r="F644" s="409">
        <v>6.83</v>
      </c>
      <c r="G644" s="409">
        <v>2.9</v>
      </c>
      <c r="H644" s="410">
        <f>F644*G644</f>
        <v>19.806999999999999</v>
      </c>
      <c r="I644" s="147"/>
      <c r="J644" s="180">
        <f t="shared" si="72"/>
        <v>19.806999999999999</v>
      </c>
    </row>
    <row r="645" spans="1:10" s="332" customFormat="1" ht="15" x14ac:dyDescent="0.25">
      <c r="A645" s="334"/>
      <c r="B645" s="409"/>
      <c r="C645" s="409"/>
      <c r="D645" s="409"/>
      <c r="E645" s="409"/>
      <c r="F645" s="409">
        <v>6.83</v>
      </c>
      <c r="G645" s="409">
        <v>2.9</v>
      </c>
      <c r="H645" s="410">
        <f t="shared" ref="H645:H646" si="78">F645*G645</f>
        <v>19.806999999999999</v>
      </c>
      <c r="I645" s="147"/>
      <c r="J645" s="180">
        <f t="shared" si="72"/>
        <v>19.806999999999999</v>
      </c>
    </row>
    <row r="646" spans="1:10" s="332" customFormat="1" ht="15" x14ac:dyDescent="0.25">
      <c r="A646" s="334"/>
      <c r="B646" s="409"/>
      <c r="C646" s="409"/>
      <c r="D646" s="409"/>
      <c r="E646" s="409"/>
      <c r="F646" s="409">
        <v>7.21</v>
      </c>
      <c r="G646" s="409">
        <v>2.9</v>
      </c>
      <c r="H646" s="410">
        <f t="shared" si="78"/>
        <v>20.908999999999999</v>
      </c>
      <c r="I646" s="147"/>
      <c r="J646" s="180">
        <f t="shared" si="72"/>
        <v>20.908999999999999</v>
      </c>
    </row>
    <row r="647" spans="1:10" s="332" customFormat="1" ht="15" x14ac:dyDescent="0.25">
      <c r="A647" s="334"/>
      <c r="B647" s="409"/>
      <c r="C647" s="409"/>
      <c r="D647" s="409"/>
      <c r="E647" s="409"/>
      <c r="F647" s="409">
        <v>7.21</v>
      </c>
      <c r="G647" s="409">
        <v>2.9</v>
      </c>
      <c r="H647" s="410">
        <v>10.4</v>
      </c>
      <c r="I647" s="147"/>
      <c r="J647" s="180">
        <f t="shared" si="72"/>
        <v>10.4</v>
      </c>
    </row>
    <row r="648" spans="1:10" s="332" customFormat="1" ht="15" x14ac:dyDescent="0.25">
      <c r="A648" s="334"/>
      <c r="B648" s="409"/>
      <c r="C648" s="409"/>
      <c r="D648" s="409"/>
      <c r="E648" s="409"/>
      <c r="F648" s="409">
        <v>7.21</v>
      </c>
      <c r="G648" s="409">
        <v>6.83</v>
      </c>
      <c r="H648" s="410">
        <f t="shared" ref="H648:H651" si="79">F648*G648</f>
        <v>49.244300000000003</v>
      </c>
      <c r="I648" s="147"/>
      <c r="J648" s="180">
        <f t="shared" si="72"/>
        <v>49.244300000000003</v>
      </c>
    </row>
    <row r="649" spans="1:10" s="332" customFormat="1" ht="15" x14ac:dyDescent="0.25">
      <c r="A649" s="334"/>
      <c r="B649" s="409" t="s">
        <v>648</v>
      </c>
      <c r="C649" s="409"/>
      <c r="D649" s="409"/>
      <c r="E649" s="409"/>
      <c r="F649" s="409">
        <v>6.83</v>
      </c>
      <c r="G649" s="409">
        <v>2.9</v>
      </c>
      <c r="H649" s="410">
        <f t="shared" si="79"/>
        <v>19.806999999999999</v>
      </c>
      <c r="I649" s="147"/>
      <c r="J649" s="180">
        <f t="shared" si="72"/>
        <v>19.806999999999999</v>
      </c>
    </row>
    <row r="650" spans="1:10" s="332" customFormat="1" ht="15" x14ac:dyDescent="0.25">
      <c r="A650" s="334"/>
      <c r="B650" s="409"/>
      <c r="C650" s="409"/>
      <c r="D650" s="409"/>
      <c r="E650" s="409"/>
      <c r="F650" s="409">
        <v>6.83</v>
      </c>
      <c r="G650" s="409">
        <v>2.9</v>
      </c>
      <c r="H650" s="410">
        <f t="shared" si="79"/>
        <v>19.806999999999999</v>
      </c>
      <c r="I650" s="147"/>
      <c r="J650" s="180">
        <f t="shared" si="72"/>
        <v>19.806999999999999</v>
      </c>
    </row>
    <row r="651" spans="1:10" s="332" customFormat="1" ht="15" x14ac:dyDescent="0.25">
      <c r="A651" s="334"/>
      <c r="B651" s="409"/>
      <c r="C651" s="409"/>
      <c r="D651" s="409"/>
      <c r="E651" s="409"/>
      <c r="F651" s="409">
        <v>7.36</v>
      </c>
      <c r="G651" s="409">
        <v>2.9</v>
      </c>
      <c r="H651" s="410">
        <f t="shared" si="79"/>
        <v>21.344000000000001</v>
      </c>
      <c r="I651" s="147"/>
      <c r="J651" s="180">
        <f t="shared" si="72"/>
        <v>21.344000000000001</v>
      </c>
    </row>
    <row r="652" spans="1:10" s="332" customFormat="1" ht="15" x14ac:dyDescent="0.25">
      <c r="A652" s="334"/>
      <c r="B652" s="409"/>
      <c r="C652" s="409"/>
      <c r="D652" s="409"/>
      <c r="E652" s="409"/>
      <c r="F652" s="409">
        <v>7.36</v>
      </c>
      <c r="G652" s="409">
        <v>2.9</v>
      </c>
      <c r="H652" s="410">
        <v>10.84</v>
      </c>
      <c r="I652" s="147"/>
      <c r="J652" s="180">
        <f t="shared" si="72"/>
        <v>10.84</v>
      </c>
    </row>
    <row r="653" spans="1:10" s="332" customFormat="1" ht="15" x14ac:dyDescent="0.25">
      <c r="A653" s="334"/>
      <c r="B653" s="409"/>
      <c r="C653" s="409"/>
      <c r="D653" s="409"/>
      <c r="E653" s="409"/>
      <c r="F653" s="409">
        <v>7.36</v>
      </c>
      <c r="G653" s="409">
        <v>6.83</v>
      </c>
      <c r="H653" s="410">
        <f t="shared" ref="H653:H656" si="80">F653*G653</f>
        <v>50.268800000000006</v>
      </c>
      <c r="I653" s="147"/>
      <c r="J653" s="180">
        <f t="shared" si="72"/>
        <v>50.268800000000006</v>
      </c>
    </row>
    <row r="654" spans="1:10" s="332" customFormat="1" ht="15" x14ac:dyDescent="0.25">
      <c r="A654" s="334"/>
      <c r="B654" s="409" t="s">
        <v>649</v>
      </c>
      <c r="C654" s="409"/>
      <c r="D654" s="409"/>
      <c r="E654" s="409"/>
      <c r="F654" s="409">
        <v>6.83</v>
      </c>
      <c r="G654" s="409">
        <v>2.9</v>
      </c>
      <c r="H654" s="410">
        <f t="shared" si="80"/>
        <v>19.806999999999999</v>
      </c>
      <c r="I654" s="147"/>
      <c r="J654" s="180">
        <f t="shared" si="72"/>
        <v>19.806999999999999</v>
      </c>
    </row>
    <row r="655" spans="1:10" s="332" customFormat="1" ht="15" x14ac:dyDescent="0.25">
      <c r="A655" s="334"/>
      <c r="B655" s="409"/>
      <c r="C655" s="409"/>
      <c r="D655" s="409"/>
      <c r="E655" s="409"/>
      <c r="F655" s="409">
        <v>6.83</v>
      </c>
      <c r="G655" s="409">
        <v>2.9</v>
      </c>
      <c r="H655" s="410">
        <f t="shared" si="80"/>
        <v>19.806999999999999</v>
      </c>
      <c r="I655" s="147"/>
      <c r="J655" s="180">
        <f t="shared" si="72"/>
        <v>19.806999999999999</v>
      </c>
    </row>
    <row r="656" spans="1:10" s="332" customFormat="1" ht="15" x14ac:dyDescent="0.25">
      <c r="A656" s="334"/>
      <c r="B656" s="409"/>
      <c r="C656" s="409"/>
      <c r="D656" s="409"/>
      <c r="E656" s="409"/>
      <c r="F656" s="409">
        <v>7.34</v>
      </c>
      <c r="G656" s="409">
        <v>2.9</v>
      </c>
      <c r="H656" s="410">
        <f t="shared" si="80"/>
        <v>21.285999999999998</v>
      </c>
      <c r="I656" s="147"/>
      <c r="J656" s="180">
        <f t="shared" si="72"/>
        <v>21.285999999999998</v>
      </c>
    </row>
    <row r="657" spans="1:10" s="332" customFormat="1" ht="15" x14ac:dyDescent="0.25">
      <c r="A657" s="334"/>
      <c r="B657" s="409"/>
      <c r="C657" s="409"/>
      <c r="D657" s="409"/>
      <c r="E657" s="409"/>
      <c r="F657" s="409">
        <v>7.34</v>
      </c>
      <c r="G657" s="409">
        <v>2.9</v>
      </c>
      <c r="H657" s="410">
        <v>10.78</v>
      </c>
      <c r="I657" s="147"/>
      <c r="J657" s="180">
        <f t="shared" si="72"/>
        <v>10.78</v>
      </c>
    </row>
    <row r="658" spans="1:10" s="332" customFormat="1" ht="15" x14ac:dyDescent="0.25">
      <c r="A658" s="334"/>
      <c r="B658" s="409"/>
      <c r="C658" s="409"/>
      <c r="D658" s="409"/>
      <c r="E658" s="409"/>
      <c r="F658" s="409">
        <v>7.34</v>
      </c>
      <c r="G658" s="409">
        <v>6.83</v>
      </c>
      <c r="H658" s="410">
        <f t="shared" ref="H658:H661" si="81">F658*G658</f>
        <v>50.132199999999997</v>
      </c>
      <c r="I658" s="147"/>
      <c r="J658" s="180">
        <f t="shared" si="72"/>
        <v>50.132199999999997</v>
      </c>
    </row>
    <row r="659" spans="1:10" s="332" customFormat="1" ht="15" x14ac:dyDescent="0.25">
      <c r="A659" s="334"/>
      <c r="B659" s="409" t="s">
        <v>650</v>
      </c>
      <c r="C659" s="409"/>
      <c r="D659" s="409"/>
      <c r="E659" s="409"/>
      <c r="F659" s="409">
        <v>6.83</v>
      </c>
      <c r="G659" s="409">
        <v>2.9</v>
      </c>
      <c r="H659" s="410">
        <f t="shared" si="81"/>
        <v>19.806999999999999</v>
      </c>
      <c r="I659" s="147"/>
      <c r="J659" s="180">
        <f t="shared" si="72"/>
        <v>19.806999999999999</v>
      </c>
    </row>
    <row r="660" spans="1:10" s="332" customFormat="1" ht="15" x14ac:dyDescent="0.25">
      <c r="A660" s="334"/>
      <c r="B660" s="409"/>
      <c r="C660" s="409"/>
      <c r="D660" s="409"/>
      <c r="E660" s="409"/>
      <c r="F660" s="409">
        <v>6.83</v>
      </c>
      <c r="G660" s="409">
        <v>2.9</v>
      </c>
      <c r="H660" s="410">
        <f t="shared" si="81"/>
        <v>19.806999999999999</v>
      </c>
      <c r="I660" s="147"/>
      <c r="J660" s="180">
        <f t="shared" si="72"/>
        <v>19.806999999999999</v>
      </c>
    </row>
    <row r="661" spans="1:10" s="332" customFormat="1" ht="15" x14ac:dyDescent="0.25">
      <c r="A661" s="334"/>
      <c r="B661" s="409"/>
      <c r="C661" s="409"/>
      <c r="D661" s="409"/>
      <c r="E661" s="409"/>
      <c r="F661" s="409">
        <v>7.32</v>
      </c>
      <c r="G661" s="409">
        <v>2.9</v>
      </c>
      <c r="H661" s="410">
        <f t="shared" si="81"/>
        <v>21.228000000000002</v>
      </c>
      <c r="I661" s="147"/>
      <c r="J661" s="180">
        <f t="shared" si="72"/>
        <v>21.228000000000002</v>
      </c>
    </row>
    <row r="662" spans="1:10" s="332" customFormat="1" ht="15" x14ac:dyDescent="0.25">
      <c r="A662" s="334"/>
      <c r="B662" s="409"/>
      <c r="C662" s="409"/>
      <c r="D662" s="409"/>
      <c r="E662" s="409"/>
      <c r="F662" s="409">
        <v>7.32</v>
      </c>
      <c r="G662" s="409">
        <v>2.9</v>
      </c>
      <c r="H662" s="410">
        <v>10.78</v>
      </c>
      <c r="I662" s="147"/>
      <c r="J662" s="180">
        <f t="shared" si="72"/>
        <v>10.78</v>
      </c>
    </row>
    <row r="663" spans="1:10" s="332" customFormat="1" ht="15" x14ac:dyDescent="0.25">
      <c r="A663" s="334"/>
      <c r="B663" s="409"/>
      <c r="C663" s="409"/>
      <c r="D663" s="409"/>
      <c r="E663" s="409"/>
      <c r="F663" s="409">
        <v>7.32</v>
      </c>
      <c r="G663" s="409">
        <v>6.83</v>
      </c>
      <c r="H663" s="410">
        <f t="shared" ref="H663:H666" si="82">F663*G663</f>
        <v>49.995600000000003</v>
      </c>
      <c r="I663" s="147"/>
      <c r="J663" s="180">
        <f t="shared" si="72"/>
        <v>49.995600000000003</v>
      </c>
    </row>
    <row r="664" spans="1:10" s="332" customFormat="1" ht="15" x14ac:dyDescent="0.25">
      <c r="A664" s="334"/>
      <c r="B664" s="409" t="s">
        <v>651</v>
      </c>
      <c r="C664" s="409"/>
      <c r="D664" s="409"/>
      <c r="E664" s="409"/>
      <c r="F664" s="409">
        <v>6.83</v>
      </c>
      <c r="G664" s="409">
        <v>2.9</v>
      </c>
      <c r="H664" s="410">
        <f t="shared" si="82"/>
        <v>19.806999999999999</v>
      </c>
      <c r="I664" s="147"/>
      <c r="J664" s="180">
        <f t="shared" si="72"/>
        <v>19.806999999999999</v>
      </c>
    </row>
    <row r="665" spans="1:10" s="332" customFormat="1" ht="15" x14ac:dyDescent="0.25">
      <c r="A665" s="334"/>
      <c r="B665" s="409"/>
      <c r="C665" s="409"/>
      <c r="D665" s="409"/>
      <c r="E665" s="409"/>
      <c r="F665" s="409">
        <v>6.83</v>
      </c>
      <c r="G665" s="409">
        <v>2.9</v>
      </c>
      <c r="H665" s="410">
        <f t="shared" si="82"/>
        <v>19.806999999999999</v>
      </c>
      <c r="I665" s="147"/>
      <c r="J665" s="180">
        <f t="shared" si="72"/>
        <v>19.806999999999999</v>
      </c>
    </row>
    <row r="666" spans="1:10" s="332" customFormat="1" ht="15" x14ac:dyDescent="0.25">
      <c r="A666" s="334"/>
      <c r="B666" s="409"/>
      <c r="C666" s="409"/>
      <c r="D666" s="409"/>
      <c r="E666" s="409"/>
      <c r="F666" s="409">
        <v>7.52</v>
      </c>
      <c r="G666" s="409">
        <v>2.9</v>
      </c>
      <c r="H666" s="410">
        <f t="shared" si="82"/>
        <v>21.808</v>
      </c>
      <c r="I666" s="147"/>
      <c r="J666" s="180">
        <f t="shared" si="72"/>
        <v>21.808</v>
      </c>
    </row>
    <row r="667" spans="1:10" s="332" customFormat="1" ht="15" x14ac:dyDescent="0.25">
      <c r="A667" s="334"/>
      <c r="B667" s="409"/>
      <c r="C667" s="409"/>
      <c r="D667" s="409"/>
      <c r="E667" s="409"/>
      <c r="F667" s="409">
        <v>7.52</v>
      </c>
      <c r="G667" s="409">
        <v>2.9</v>
      </c>
      <c r="H667" s="410">
        <v>11.308</v>
      </c>
      <c r="I667" s="147"/>
      <c r="J667" s="180">
        <f t="shared" si="72"/>
        <v>11.308</v>
      </c>
    </row>
    <row r="668" spans="1:10" s="332" customFormat="1" ht="15" x14ac:dyDescent="0.25">
      <c r="A668" s="334"/>
      <c r="B668" s="409"/>
      <c r="C668" s="409"/>
      <c r="D668" s="409"/>
      <c r="E668" s="409"/>
      <c r="F668" s="409">
        <v>7.52</v>
      </c>
      <c r="G668" s="409">
        <v>6.83</v>
      </c>
      <c r="H668" s="410">
        <f t="shared" ref="H668" si="83">F668*G668</f>
        <v>51.361599999999996</v>
      </c>
      <c r="I668" s="147"/>
      <c r="J668" s="180">
        <f t="shared" si="72"/>
        <v>51.361599999999996</v>
      </c>
    </row>
    <row r="669" spans="1:10" s="332" customFormat="1" ht="15" x14ac:dyDescent="0.25">
      <c r="A669" s="334"/>
      <c r="B669" s="409" t="s">
        <v>652</v>
      </c>
      <c r="C669" s="409"/>
      <c r="D669" s="409"/>
      <c r="E669" s="409"/>
      <c r="F669" s="409" t="s">
        <v>653</v>
      </c>
      <c r="G669" s="409" t="s">
        <v>654</v>
      </c>
      <c r="H669" s="409" t="s">
        <v>655</v>
      </c>
      <c r="I669" s="147"/>
      <c r="J669" s="180"/>
    </row>
    <row r="670" spans="1:10" s="332" customFormat="1" ht="15" x14ac:dyDescent="0.25">
      <c r="A670" s="334"/>
      <c r="B670" s="409"/>
      <c r="C670" s="409"/>
      <c r="D670" s="409"/>
      <c r="E670" s="409"/>
      <c r="F670" s="409">
        <v>6.83</v>
      </c>
      <c r="G670" s="409">
        <v>2.9</v>
      </c>
      <c r="H670" s="410">
        <f>F670*G670</f>
        <v>19.806999999999999</v>
      </c>
      <c r="I670" s="147"/>
      <c r="J670" s="180">
        <f t="shared" si="72"/>
        <v>19.806999999999999</v>
      </c>
    </row>
    <row r="671" spans="1:10" s="332" customFormat="1" ht="15" x14ac:dyDescent="0.25">
      <c r="A671" s="334"/>
      <c r="B671" s="409"/>
      <c r="C671" s="409"/>
      <c r="D671" s="409"/>
      <c r="E671" s="409"/>
      <c r="F671" s="409">
        <v>6.83</v>
      </c>
      <c r="G671" s="409">
        <v>2.9</v>
      </c>
      <c r="H671" s="410">
        <f>F671*G671</f>
        <v>19.806999999999999</v>
      </c>
      <c r="I671" s="147"/>
      <c r="J671" s="180">
        <f t="shared" si="72"/>
        <v>19.806999999999999</v>
      </c>
    </row>
    <row r="672" spans="1:10" s="332" customFormat="1" ht="15" x14ac:dyDescent="0.25">
      <c r="A672" s="334"/>
      <c r="B672" s="409"/>
      <c r="C672" s="409"/>
      <c r="D672" s="409"/>
      <c r="E672" s="409"/>
      <c r="F672" s="409">
        <v>7.47</v>
      </c>
      <c r="G672" s="409">
        <v>2.9</v>
      </c>
      <c r="H672" s="410">
        <f t="shared" ref="H672" si="84">F672*G672</f>
        <v>21.663</v>
      </c>
      <c r="I672" s="147"/>
      <c r="J672" s="180">
        <f t="shared" si="72"/>
        <v>21.663</v>
      </c>
    </row>
    <row r="673" spans="1:10" s="332" customFormat="1" ht="15" x14ac:dyDescent="0.25">
      <c r="A673" s="334"/>
      <c r="B673" s="409"/>
      <c r="C673" s="409"/>
      <c r="D673" s="409"/>
      <c r="E673" s="409"/>
      <c r="F673" s="409">
        <v>7.47</v>
      </c>
      <c r="G673" s="409">
        <v>2.9</v>
      </c>
      <c r="H673" s="410">
        <v>11.16</v>
      </c>
      <c r="I673" s="147"/>
      <c r="J673" s="180">
        <f t="shared" si="72"/>
        <v>11.16</v>
      </c>
    </row>
    <row r="674" spans="1:10" s="332" customFormat="1" ht="15" x14ac:dyDescent="0.25">
      <c r="A674" s="334"/>
      <c r="B674" s="409"/>
      <c r="C674" s="409"/>
      <c r="D674" s="409"/>
      <c r="E674" s="409"/>
      <c r="F674" s="409">
        <v>7.47</v>
      </c>
      <c r="G674" s="409">
        <v>6.83</v>
      </c>
      <c r="H674" s="410">
        <f t="shared" ref="H674:H677" si="85">F674*G674</f>
        <v>51.020099999999999</v>
      </c>
      <c r="I674" s="147"/>
      <c r="J674" s="180">
        <f t="shared" si="72"/>
        <v>51.020099999999999</v>
      </c>
    </row>
    <row r="675" spans="1:10" s="332" customFormat="1" ht="15" x14ac:dyDescent="0.25">
      <c r="A675" s="334"/>
      <c r="B675" s="409" t="s">
        <v>656</v>
      </c>
      <c r="C675" s="409"/>
      <c r="D675" s="409"/>
      <c r="E675" s="409"/>
      <c r="F675" s="409">
        <v>6.83</v>
      </c>
      <c r="G675" s="409">
        <v>2.9</v>
      </c>
      <c r="H675" s="410">
        <f t="shared" si="85"/>
        <v>19.806999999999999</v>
      </c>
      <c r="I675" s="147"/>
      <c r="J675" s="180">
        <f t="shared" si="72"/>
        <v>19.806999999999999</v>
      </c>
    </row>
    <row r="676" spans="1:10" s="332" customFormat="1" ht="15" x14ac:dyDescent="0.25">
      <c r="A676" s="334"/>
      <c r="B676" s="409"/>
      <c r="C676" s="409"/>
      <c r="D676" s="409"/>
      <c r="E676" s="409"/>
      <c r="F676" s="409">
        <v>6.83</v>
      </c>
      <c r="G676" s="409">
        <v>2.9</v>
      </c>
      <c r="H676" s="410">
        <f t="shared" si="85"/>
        <v>19.806999999999999</v>
      </c>
      <c r="I676" s="147"/>
      <c r="J676" s="180">
        <f t="shared" si="72"/>
        <v>19.806999999999999</v>
      </c>
    </row>
    <row r="677" spans="1:10" s="332" customFormat="1" ht="15" x14ac:dyDescent="0.25">
      <c r="A677" s="334"/>
      <c r="B677" s="409"/>
      <c r="C677" s="409"/>
      <c r="D677" s="409"/>
      <c r="E677" s="409"/>
      <c r="F677" s="409">
        <v>7.45</v>
      </c>
      <c r="G677" s="409">
        <v>2.9</v>
      </c>
      <c r="H677" s="410">
        <f t="shared" si="85"/>
        <v>21.605</v>
      </c>
      <c r="I677" s="147"/>
      <c r="J677" s="180">
        <f t="shared" si="72"/>
        <v>21.605</v>
      </c>
    </row>
    <row r="678" spans="1:10" s="332" customFormat="1" ht="15" x14ac:dyDescent="0.25">
      <c r="A678" s="334"/>
      <c r="B678" s="409"/>
      <c r="C678" s="409"/>
      <c r="D678" s="409"/>
      <c r="E678" s="409"/>
      <c r="F678" s="409">
        <v>7.45</v>
      </c>
      <c r="G678" s="409">
        <v>2.9</v>
      </c>
      <c r="H678" s="410">
        <v>11.1</v>
      </c>
      <c r="I678" s="147"/>
      <c r="J678" s="180">
        <f t="shared" si="72"/>
        <v>11.1</v>
      </c>
    </row>
    <row r="679" spans="1:10" s="332" customFormat="1" ht="15" x14ac:dyDescent="0.25">
      <c r="A679" s="334"/>
      <c r="B679" s="409"/>
      <c r="C679" s="409"/>
      <c r="D679" s="409"/>
      <c r="E679" s="409"/>
      <c r="F679" s="409">
        <v>7.45</v>
      </c>
      <c r="G679" s="409">
        <v>6.83</v>
      </c>
      <c r="H679" s="410">
        <f t="shared" ref="H679" si="86">F679*G679</f>
        <v>50.883500000000005</v>
      </c>
      <c r="I679" s="147"/>
      <c r="J679" s="180">
        <f t="shared" si="72"/>
        <v>50.883500000000005</v>
      </c>
    </row>
    <row r="680" spans="1:10" s="332" customFormat="1" ht="15" x14ac:dyDescent="0.25">
      <c r="A680" s="334"/>
      <c r="B680" s="409" t="s">
        <v>657</v>
      </c>
      <c r="C680" s="409"/>
      <c r="D680" s="409"/>
      <c r="E680" s="409"/>
      <c r="F680" s="409">
        <v>6.83</v>
      </c>
      <c r="G680" s="409">
        <v>2.9</v>
      </c>
      <c r="H680" s="410">
        <f>F680*G680</f>
        <v>19.806999999999999</v>
      </c>
      <c r="I680" s="147"/>
      <c r="J680" s="180">
        <f t="shared" si="72"/>
        <v>19.806999999999999</v>
      </c>
    </row>
    <row r="681" spans="1:10" s="332" customFormat="1" ht="15" x14ac:dyDescent="0.25">
      <c r="A681" s="334"/>
      <c r="B681" s="409"/>
      <c r="C681" s="409"/>
      <c r="D681" s="409"/>
      <c r="E681" s="409"/>
      <c r="F681" s="409">
        <v>6.83</v>
      </c>
      <c r="G681" s="409">
        <v>2.9</v>
      </c>
      <c r="H681" s="410">
        <f>F681*G681</f>
        <v>19.806999999999999</v>
      </c>
      <c r="I681" s="147"/>
      <c r="J681" s="180">
        <f t="shared" si="72"/>
        <v>19.806999999999999</v>
      </c>
    </row>
    <row r="682" spans="1:10" s="332" customFormat="1" ht="15" x14ac:dyDescent="0.25">
      <c r="A682" s="334"/>
      <c r="B682" s="409"/>
      <c r="C682" s="409"/>
      <c r="D682" s="409"/>
      <c r="E682" s="409"/>
      <c r="F682" s="409">
        <v>7.48</v>
      </c>
      <c r="G682" s="409">
        <v>2.9</v>
      </c>
      <c r="H682" s="410">
        <f>F682*G682</f>
        <v>21.692</v>
      </c>
      <c r="I682" s="147"/>
      <c r="J682" s="180">
        <f t="shared" si="72"/>
        <v>21.692</v>
      </c>
    </row>
    <row r="683" spans="1:10" s="332" customFormat="1" ht="15" x14ac:dyDescent="0.25">
      <c r="A683" s="334"/>
      <c r="B683" s="409"/>
      <c r="C683" s="409"/>
      <c r="D683" s="409"/>
      <c r="E683" s="409"/>
      <c r="F683" s="409">
        <v>7.48</v>
      </c>
      <c r="G683" s="409">
        <v>2.9</v>
      </c>
      <c r="H683" s="410">
        <v>11.192</v>
      </c>
      <c r="I683" s="147"/>
      <c r="J683" s="180">
        <f t="shared" ref="J683:J746" si="87">H683</f>
        <v>11.192</v>
      </c>
    </row>
    <row r="684" spans="1:10" s="332" customFormat="1" ht="15" x14ac:dyDescent="0.25">
      <c r="A684" s="334"/>
      <c r="B684" s="409"/>
      <c r="C684" s="409"/>
      <c r="D684" s="409"/>
      <c r="E684" s="409"/>
      <c r="F684" s="409">
        <v>7.48</v>
      </c>
      <c r="G684" s="409">
        <v>6.83</v>
      </c>
      <c r="H684" s="410">
        <f t="shared" ref="H684:H687" si="88">F684*G684</f>
        <v>51.0884</v>
      </c>
      <c r="I684" s="147"/>
      <c r="J684" s="180">
        <f t="shared" si="87"/>
        <v>51.0884</v>
      </c>
    </row>
    <row r="685" spans="1:10" s="332" customFormat="1" ht="15" x14ac:dyDescent="0.25">
      <c r="A685" s="334"/>
      <c r="B685" s="409" t="s">
        <v>658</v>
      </c>
      <c r="C685" s="409"/>
      <c r="D685" s="409"/>
      <c r="E685" s="409"/>
      <c r="F685" s="409">
        <v>6.83</v>
      </c>
      <c r="G685" s="409">
        <v>2.9</v>
      </c>
      <c r="H685" s="410">
        <f t="shared" si="88"/>
        <v>19.806999999999999</v>
      </c>
      <c r="I685" s="147"/>
      <c r="J685" s="180">
        <f t="shared" si="87"/>
        <v>19.806999999999999</v>
      </c>
    </row>
    <row r="686" spans="1:10" s="332" customFormat="1" ht="15" x14ac:dyDescent="0.25">
      <c r="A686" s="334"/>
      <c r="B686" s="409"/>
      <c r="C686" s="409"/>
      <c r="D686" s="409"/>
      <c r="E686" s="409"/>
      <c r="F686" s="409">
        <v>6.83</v>
      </c>
      <c r="G686" s="409">
        <v>2.9</v>
      </c>
      <c r="H686" s="410">
        <f t="shared" si="88"/>
        <v>19.806999999999999</v>
      </c>
      <c r="I686" s="147"/>
      <c r="J686" s="180">
        <f t="shared" si="87"/>
        <v>19.806999999999999</v>
      </c>
    </row>
    <row r="687" spans="1:10" s="332" customFormat="1" ht="15" x14ac:dyDescent="0.25">
      <c r="A687" s="334"/>
      <c r="B687" s="409"/>
      <c r="C687" s="409"/>
      <c r="D687" s="409"/>
      <c r="E687" s="409"/>
      <c r="F687" s="409">
        <v>7.48</v>
      </c>
      <c r="G687" s="409">
        <v>2.9</v>
      </c>
      <c r="H687" s="410">
        <f t="shared" si="88"/>
        <v>21.692</v>
      </c>
      <c r="I687" s="147"/>
      <c r="J687" s="180">
        <f t="shared" si="87"/>
        <v>21.692</v>
      </c>
    </row>
    <row r="688" spans="1:10" s="332" customFormat="1" ht="15" x14ac:dyDescent="0.25">
      <c r="A688" s="334"/>
      <c r="B688" s="409"/>
      <c r="C688" s="409"/>
      <c r="D688" s="409"/>
      <c r="E688" s="409"/>
      <c r="F688" s="409">
        <v>7.48</v>
      </c>
      <c r="G688" s="409">
        <v>2.9</v>
      </c>
      <c r="H688" s="410">
        <v>11.192</v>
      </c>
      <c r="I688" s="147"/>
      <c r="J688" s="180">
        <f t="shared" si="87"/>
        <v>11.192</v>
      </c>
    </row>
    <row r="689" spans="1:10" s="332" customFormat="1" ht="15" x14ac:dyDescent="0.25">
      <c r="A689" s="334"/>
      <c r="B689" s="409"/>
      <c r="C689" s="409"/>
      <c r="D689" s="409"/>
      <c r="E689" s="409"/>
      <c r="F689" s="409">
        <v>7.48</v>
      </c>
      <c r="G689" s="409">
        <v>6.83</v>
      </c>
      <c r="H689" s="410">
        <f t="shared" ref="H689" si="89">F689*G689</f>
        <v>51.0884</v>
      </c>
      <c r="I689" s="147"/>
      <c r="J689" s="180">
        <f t="shared" si="87"/>
        <v>51.0884</v>
      </c>
    </row>
    <row r="690" spans="1:10" s="332" customFormat="1" ht="15" x14ac:dyDescent="0.25">
      <c r="A690" s="334"/>
      <c r="B690" s="409" t="s">
        <v>563</v>
      </c>
      <c r="C690" s="409"/>
      <c r="D690" s="409"/>
      <c r="E690" s="409"/>
      <c r="F690" s="409"/>
      <c r="G690" s="409"/>
      <c r="H690" s="410">
        <v>442.10700000000003</v>
      </c>
      <c r="I690" s="147"/>
      <c r="J690" s="180">
        <f t="shared" si="87"/>
        <v>442.10700000000003</v>
      </c>
    </row>
    <row r="691" spans="1:10" s="332" customFormat="1" ht="15" x14ac:dyDescent="0.25">
      <c r="A691" s="334"/>
      <c r="B691" s="409"/>
      <c r="C691" s="409"/>
      <c r="D691" s="409"/>
      <c r="E691" s="409"/>
      <c r="F691" s="409"/>
      <c r="G691" s="409"/>
      <c r="H691" s="410">
        <f>173.68+78.67+10.31</f>
        <v>262.66000000000003</v>
      </c>
      <c r="I691" s="147"/>
      <c r="J691" s="180">
        <f t="shared" si="87"/>
        <v>262.66000000000003</v>
      </c>
    </row>
    <row r="692" spans="1:10" s="332" customFormat="1" ht="15" x14ac:dyDescent="0.25">
      <c r="A692" s="334"/>
      <c r="B692" s="409" t="s">
        <v>659</v>
      </c>
      <c r="C692" s="409"/>
      <c r="D692" s="409"/>
      <c r="E692" s="409"/>
      <c r="F692" s="409" t="s">
        <v>492</v>
      </c>
      <c r="G692" s="409" t="s">
        <v>654</v>
      </c>
      <c r="H692" s="409" t="s">
        <v>642</v>
      </c>
      <c r="I692" s="147"/>
      <c r="J692" s="180"/>
    </row>
    <row r="693" spans="1:10" s="332" customFormat="1" ht="15" x14ac:dyDescent="0.25">
      <c r="A693" s="334"/>
      <c r="B693" s="409"/>
      <c r="C693" s="409"/>
      <c r="D693" s="409"/>
      <c r="E693" s="409"/>
      <c r="F693" s="409">
        <v>11.28</v>
      </c>
      <c r="G693" s="409">
        <v>2.9</v>
      </c>
      <c r="H693" s="410">
        <f>F693*G693</f>
        <v>32.711999999999996</v>
      </c>
      <c r="I693" s="147"/>
      <c r="J693" s="180">
        <f t="shared" si="87"/>
        <v>32.711999999999996</v>
      </c>
    </row>
    <row r="694" spans="1:10" s="332" customFormat="1" ht="15" x14ac:dyDescent="0.25">
      <c r="A694" s="334"/>
      <c r="B694" s="409"/>
      <c r="C694" s="409"/>
      <c r="D694" s="409"/>
      <c r="E694" s="409"/>
      <c r="F694" s="409">
        <v>11.28</v>
      </c>
      <c r="G694" s="409">
        <v>2.9</v>
      </c>
      <c r="H694" s="410">
        <v>27.783999999999999</v>
      </c>
      <c r="I694" s="147"/>
      <c r="J694" s="180">
        <f t="shared" si="87"/>
        <v>27.783999999999999</v>
      </c>
    </row>
    <row r="695" spans="1:10" s="332" customFormat="1" ht="15" x14ac:dyDescent="0.25">
      <c r="A695" s="334"/>
      <c r="B695" s="409"/>
      <c r="C695" s="409"/>
      <c r="D695" s="409"/>
      <c r="E695" s="409"/>
      <c r="F695" s="409">
        <v>6.95</v>
      </c>
      <c r="G695" s="409">
        <v>2.9</v>
      </c>
      <c r="H695" s="410">
        <f>F695*G695</f>
        <v>20.155000000000001</v>
      </c>
      <c r="I695" s="147"/>
      <c r="J695" s="180">
        <f t="shared" si="87"/>
        <v>20.155000000000001</v>
      </c>
    </row>
    <row r="696" spans="1:10" s="332" customFormat="1" ht="15" x14ac:dyDescent="0.25">
      <c r="A696" s="334"/>
      <c r="B696" s="409"/>
      <c r="C696" s="409"/>
      <c r="D696" s="409"/>
      <c r="E696" s="409"/>
      <c r="F696" s="409">
        <v>6.95</v>
      </c>
      <c r="G696" s="409">
        <v>2.9</v>
      </c>
      <c r="H696" s="410">
        <v>11.895</v>
      </c>
      <c r="I696" s="147"/>
      <c r="J696" s="180">
        <f t="shared" si="87"/>
        <v>11.895</v>
      </c>
    </row>
    <row r="697" spans="1:10" s="332" customFormat="1" ht="15" x14ac:dyDescent="0.25">
      <c r="A697" s="334"/>
      <c r="B697" s="409"/>
      <c r="C697" s="409"/>
      <c r="D697" s="409"/>
      <c r="E697" s="409"/>
      <c r="F697" s="409">
        <v>6.95</v>
      </c>
      <c r="G697" s="409">
        <v>11.28</v>
      </c>
      <c r="H697" s="410">
        <f t="shared" ref="H697" si="90">F697*G697</f>
        <v>78.396000000000001</v>
      </c>
      <c r="I697" s="147"/>
      <c r="J697" s="180">
        <f t="shared" si="87"/>
        <v>78.396000000000001</v>
      </c>
    </row>
    <row r="698" spans="1:10" s="332" customFormat="1" ht="15" x14ac:dyDescent="0.25">
      <c r="A698" s="334"/>
      <c r="B698" s="409" t="s">
        <v>660</v>
      </c>
      <c r="C698" s="409"/>
      <c r="D698" s="409"/>
      <c r="E698" s="409"/>
      <c r="F698" s="409">
        <v>3.59</v>
      </c>
      <c r="G698" s="409">
        <v>2.9</v>
      </c>
      <c r="H698" s="410">
        <f>F698*G698</f>
        <v>10.411</v>
      </c>
      <c r="I698" s="147"/>
      <c r="J698" s="180">
        <f t="shared" si="87"/>
        <v>10.411</v>
      </c>
    </row>
    <row r="699" spans="1:10" s="332" customFormat="1" ht="15" x14ac:dyDescent="0.25">
      <c r="A699" s="334"/>
      <c r="B699" s="409"/>
      <c r="C699" s="409"/>
      <c r="D699" s="409"/>
      <c r="E699" s="409"/>
      <c r="F699" s="409">
        <v>3.59</v>
      </c>
      <c r="G699" s="409">
        <v>2.9</v>
      </c>
      <c r="H699" s="410">
        <f>F699*G699</f>
        <v>10.411</v>
      </c>
      <c r="I699" s="147"/>
      <c r="J699" s="180">
        <f t="shared" si="87"/>
        <v>10.411</v>
      </c>
    </row>
    <row r="700" spans="1:10" s="332" customFormat="1" ht="15" x14ac:dyDescent="0.25">
      <c r="A700" s="334"/>
      <c r="B700" s="409"/>
      <c r="C700" s="409"/>
      <c r="D700" s="409"/>
      <c r="E700" s="409"/>
      <c r="F700" s="409">
        <v>3.53</v>
      </c>
      <c r="G700" s="409">
        <v>2.9</v>
      </c>
      <c r="H700" s="410">
        <f>F700*G700</f>
        <v>10.236999999999998</v>
      </c>
      <c r="I700" s="147"/>
      <c r="J700" s="180">
        <f t="shared" si="87"/>
        <v>10.236999999999998</v>
      </c>
    </row>
    <row r="701" spans="1:10" s="332" customFormat="1" ht="15" x14ac:dyDescent="0.25">
      <c r="A701" s="334"/>
      <c r="B701" s="409"/>
      <c r="C701" s="409"/>
      <c r="D701" s="409"/>
      <c r="E701" s="409"/>
      <c r="F701" s="409">
        <v>3.53</v>
      </c>
      <c r="G701" s="409">
        <v>2.9</v>
      </c>
      <c r="H701" s="410">
        <f>F701*G701-(1.5*1.53)</f>
        <v>7.9419999999999984</v>
      </c>
      <c r="I701" s="147"/>
      <c r="J701" s="180">
        <f t="shared" si="87"/>
        <v>7.9419999999999984</v>
      </c>
    </row>
    <row r="702" spans="1:10" s="332" customFormat="1" ht="15" x14ac:dyDescent="0.25">
      <c r="A702" s="334"/>
      <c r="B702" s="409"/>
      <c r="C702" s="409"/>
      <c r="D702" s="409"/>
      <c r="E702" s="409"/>
      <c r="F702" s="409">
        <v>3.53</v>
      </c>
      <c r="G702" s="409">
        <v>3.59</v>
      </c>
      <c r="H702" s="410">
        <f>F702*G702</f>
        <v>12.672699999999999</v>
      </c>
      <c r="I702" s="147"/>
      <c r="J702" s="180">
        <f t="shared" si="87"/>
        <v>12.672699999999999</v>
      </c>
    </row>
    <row r="703" spans="1:10" s="332" customFormat="1" ht="15" x14ac:dyDescent="0.25">
      <c r="A703" s="334"/>
      <c r="B703" s="409" t="s">
        <v>661</v>
      </c>
      <c r="C703" s="409"/>
      <c r="D703" s="409"/>
      <c r="E703" s="409"/>
      <c r="F703" s="409">
        <v>3.59</v>
      </c>
      <c r="G703" s="409">
        <v>2.9</v>
      </c>
      <c r="H703" s="410">
        <f>F703*G703</f>
        <v>10.411</v>
      </c>
      <c r="I703" s="147"/>
      <c r="J703" s="180">
        <f t="shared" si="87"/>
        <v>10.411</v>
      </c>
    </row>
    <row r="704" spans="1:10" s="332" customFormat="1" ht="15" x14ac:dyDescent="0.25">
      <c r="A704" s="334"/>
      <c r="B704" s="409"/>
      <c r="C704" s="409"/>
      <c r="D704" s="409"/>
      <c r="E704" s="409"/>
      <c r="F704" s="409">
        <v>3.59</v>
      </c>
      <c r="G704" s="409">
        <v>2.9</v>
      </c>
      <c r="H704" s="410">
        <f>F704*G704-(2.7+1.7)</f>
        <v>6.0109999999999992</v>
      </c>
      <c r="I704" s="147"/>
      <c r="J704" s="180">
        <f t="shared" si="87"/>
        <v>6.0109999999999992</v>
      </c>
    </row>
    <row r="705" spans="1:10" s="332" customFormat="1" ht="15" x14ac:dyDescent="0.25">
      <c r="A705" s="334"/>
      <c r="B705" s="409"/>
      <c r="C705" s="409"/>
      <c r="D705" s="409"/>
      <c r="E705" s="409"/>
      <c r="F705" s="409">
        <v>4.1500000000000004</v>
      </c>
      <c r="G705" s="409">
        <v>2.9</v>
      </c>
      <c r="H705" s="410">
        <f>F705*G705-(2.52*1.43)</f>
        <v>8.4314</v>
      </c>
      <c r="I705" s="147"/>
      <c r="J705" s="180">
        <f t="shared" si="87"/>
        <v>8.4314</v>
      </c>
    </row>
    <row r="706" spans="1:10" s="332" customFormat="1" ht="15" x14ac:dyDescent="0.25">
      <c r="A706" s="334"/>
      <c r="B706" s="409"/>
      <c r="C706" s="409"/>
      <c r="D706" s="409"/>
      <c r="E706" s="409"/>
      <c r="F706" s="409">
        <v>4.1500000000000004</v>
      </c>
      <c r="G706" s="409">
        <v>2.9</v>
      </c>
      <c r="H706" s="410">
        <f>F706*G706-(1.5*1.53)</f>
        <v>9.74</v>
      </c>
      <c r="I706" s="147"/>
      <c r="J706" s="180">
        <f t="shared" si="87"/>
        <v>9.74</v>
      </c>
    </row>
    <row r="707" spans="1:10" s="332" customFormat="1" ht="15" x14ac:dyDescent="0.25">
      <c r="A707" s="334"/>
      <c r="B707" s="409"/>
      <c r="C707" s="409"/>
      <c r="D707" s="409"/>
      <c r="E707" s="409"/>
      <c r="F707" s="409">
        <v>3.59</v>
      </c>
      <c r="G707" s="409">
        <v>4.1500000000000004</v>
      </c>
      <c r="H707" s="410">
        <f>F707*G707</f>
        <v>14.8985</v>
      </c>
      <c r="I707" s="147"/>
      <c r="J707" s="180">
        <f t="shared" si="87"/>
        <v>14.8985</v>
      </c>
    </row>
    <row r="708" spans="1:10" s="332" customFormat="1" ht="15" x14ac:dyDescent="0.25">
      <c r="A708" s="334"/>
      <c r="B708" s="409" t="s">
        <v>662</v>
      </c>
      <c r="C708" s="409"/>
      <c r="D708" s="409"/>
      <c r="E708" s="409"/>
      <c r="F708" s="409">
        <v>3.68</v>
      </c>
      <c r="G708" s="410">
        <v>1</v>
      </c>
      <c r="H708" s="410">
        <f>F708*G708</f>
        <v>3.68</v>
      </c>
      <c r="I708" s="147"/>
      <c r="J708" s="180">
        <f t="shared" si="87"/>
        <v>3.68</v>
      </c>
    </row>
    <row r="709" spans="1:10" s="332" customFormat="1" ht="15" x14ac:dyDescent="0.25">
      <c r="A709" s="334"/>
      <c r="B709" s="409"/>
      <c r="C709" s="409"/>
      <c r="D709" s="409"/>
      <c r="E709" s="409"/>
      <c r="F709" s="409">
        <v>3.68</v>
      </c>
      <c r="G709" s="410">
        <v>1</v>
      </c>
      <c r="H709" s="410">
        <f>F709*G709-(3.5*0.8)</f>
        <v>0.87999999999999989</v>
      </c>
      <c r="I709" s="147"/>
      <c r="J709" s="180">
        <f t="shared" si="87"/>
        <v>0.87999999999999989</v>
      </c>
    </row>
    <row r="710" spans="1:10" s="332" customFormat="1" ht="15" x14ac:dyDescent="0.25">
      <c r="A710" s="334"/>
      <c r="B710" s="409"/>
      <c r="C710" s="409"/>
      <c r="D710" s="409"/>
      <c r="E710" s="409"/>
      <c r="F710" s="409">
        <v>6.83</v>
      </c>
      <c r="G710" s="410">
        <v>1</v>
      </c>
      <c r="H710" s="410">
        <f t="shared" ref="H710:H711" si="91">F710*G710</f>
        <v>6.83</v>
      </c>
      <c r="I710" s="147"/>
      <c r="J710" s="180">
        <f t="shared" si="87"/>
        <v>6.83</v>
      </c>
    </row>
    <row r="711" spans="1:10" s="332" customFormat="1" ht="15" x14ac:dyDescent="0.25">
      <c r="A711" s="334"/>
      <c r="B711" s="409"/>
      <c r="C711" s="409"/>
      <c r="D711" s="409"/>
      <c r="E711" s="409"/>
      <c r="F711" s="409">
        <v>6.83</v>
      </c>
      <c r="G711" s="410">
        <v>1</v>
      </c>
      <c r="H711" s="410">
        <f t="shared" si="91"/>
        <v>6.83</v>
      </c>
      <c r="I711" s="147"/>
      <c r="J711" s="180">
        <f t="shared" si="87"/>
        <v>6.83</v>
      </c>
    </row>
    <row r="712" spans="1:10" s="332" customFormat="1" ht="15" x14ac:dyDescent="0.25">
      <c r="A712" s="334"/>
      <c r="B712" s="409"/>
      <c r="C712" s="409"/>
      <c r="D712" s="409"/>
      <c r="E712" s="409"/>
      <c r="F712" s="409">
        <v>3.68</v>
      </c>
      <c r="G712" s="409">
        <v>6.83</v>
      </c>
      <c r="H712" s="410">
        <f>F712*G712</f>
        <v>25.134400000000003</v>
      </c>
      <c r="I712" s="147"/>
      <c r="J712" s="180">
        <f t="shared" si="87"/>
        <v>25.134400000000003</v>
      </c>
    </row>
    <row r="713" spans="1:10" s="332" customFormat="1" ht="15" x14ac:dyDescent="0.25">
      <c r="A713" s="334"/>
      <c r="B713" s="409" t="s">
        <v>663</v>
      </c>
      <c r="C713" s="409"/>
      <c r="D713" s="409"/>
      <c r="E713" s="409"/>
      <c r="F713" s="409">
        <v>3.63</v>
      </c>
      <c r="G713" s="410">
        <v>1</v>
      </c>
      <c r="H713" s="410">
        <f>F713*G713</f>
        <v>3.63</v>
      </c>
      <c r="I713" s="147"/>
      <c r="J713" s="180">
        <f t="shared" si="87"/>
        <v>3.63</v>
      </c>
    </row>
    <row r="714" spans="1:10" s="332" customFormat="1" ht="15" x14ac:dyDescent="0.25">
      <c r="A714" s="334"/>
      <c r="B714" s="409"/>
      <c r="C714" s="409"/>
      <c r="D714" s="409"/>
      <c r="E714" s="409"/>
      <c r="F714" s="409">
        <v>3.63</v>
      </c>
      <c r="G714" s="410">
        <v>1</v>
      </c>
      <c r="H714" s="410">
        <f>F714*G714-(3.5*0.8)</f>
        <v>0.82999999999999963</v>
      </c>
      <c r="I714" s="147"/>
      <c r="J714" s="180">
        <f t="shared" si="87"/>
        <v>0.82999999999999963</v>
      </c>
    </row>
    <row r="715" spans="1:10" s="332" customFormat="1" ht="15" x14ac:dyDescent="0.25">
      <c r="A715" s="334"/>
      <c r="B715" s="409"/>
      <c r="C715" s="409"/>
      <c r="D715" s="409"/>
      <c r="E715" s="409"/>
      <c r="F715" s="409">
        <v>6.83</v>
      </c>
      <c r="G715" s="410">
        <v>1</v>
      </c>
      <c r="H715" s="410">
        <f t="shared" ref="H715:H716" si="92">F715*G715</f>
        <v>6.83</v>
      </c>
      <c r="I715" s="147"/>
      <c r="J715" s="180">
        <f t="shared" si="87"/>
        <v>6.83</v>
      </c>
    </row>
    <row r="716" spans="1:10" s="332" customFormat="1" ht="15" x14ac:dyDescent="0.25">
      <c r="A716" s="334"/>
      <c r="B716" s="409"/>
      <c r="C716" s="409"/>
      <c r="D716" s="409"/>
      <c r="E716" s="409"/>
      <c r="F716" s="409">
        <v>6.83</v>
      </c>
      <c r="G716" s="410">
        <v>1</v>
      </c>
      <c r="H716" s="410">
        <f t="shared" si="92"/>
        <v>6.83</v>
      </c>
      <c r="I716" s="147"/>
      <c r="J716" s="180">
        <f t="shared" si="87"/>
        <v>6.83</v>
      </c>
    </row>
    <row r="717" spans="1:10" s="332" customFormat="1" ht="15" x14ac:dyDescent="0.25">
      <c r="A717" s="334"/>
      <c r="B717" s="409"/>
      <c r="C717" s="409"/>
      <c r="D717" s="409"/>
      <c r="E717" s="409"/>
      <c r="F717" s="409">
        <v>3.63</v>
      </c>
      <c r="G717" s="409">
        <v>6.83</v>
      </c>
      <c r="H717" s="410">
        <f>F717*G717</f>
        <v>24.792899999999999</v>
      </c>
      <c r="I717" s="147"/>
      <c r="J717" s="180">
        <f t="shared" si="87"/>
        <v>24.792899999999999</v>
      </c>
    </row>
    <row r="718" spans="1:10" s="332" customFormat="1" ht="15" x14ac:dyDescent="0.25">
      <c r="A718" s="334"/>
      <c r="B718" s="409" t="s">
        <v>664</v>
      </c>
      <c r="C718" s="409"/>
      <c r="D718" s="409"/>
      <c r="E718" s="409"/>
      <c r="F718" s="409">
        <v>4.1100000000000003</v>
      </c>
      <c r="G718" s="410">
        <v>1.45</v>
      </c>
      <c r="H718" s="410">
        <f>F718*G718</f>
        <v>5.9595000000000002</v>
      </c>
      <c r="I718" s="147"/>
      <c r="J718" s="180">
        <f t="shared" si="87"/>
        <v>5.9595000000000002</v>
      </c>
    </row>
    <row r="719" spans="1:10" s="332" customFormat="1" ht="15" x14ac:dyDescent="0.25">
      <c r="A719" s="334"/>
      <c r="B719" s="408" t="s">
        <v>665</v>
      </c>
      <c r="C719" s="409"/>
      <c r="D719" s="409"/>
      <c r="E719" s="409"/>
      <c r="F719" s="409"/>
      <c r="G719" s="409"/>
      <c r="H719" s="409"/>
      <c r="I719" s="147"/>
      <c r="J719" s="180">
        <f t="shared" si="87"/>
        <v>0</v>
      </c>
    </row>
    <row r="720" spans="1:10" s="332" customFormat="1" ht="15" x14ac:dyDescent="0.25">
      <c r="A720" s="334"/>
      <c r="B720" s="409" t="s">
        <v>666</v>
      </c>
      <c r="C720" s="409"/>
      <c r="D720" s="409"/>
      <c r="E720" s="409"/>
      <c r="F720" s="409" t="s">
        <v>492</v>
      </c>
      <c r="G720" s="409" t="s">
        <v>641</v>
      </c>
      <c r="H720" s="409" t="s">
        <v>642</v>
      </c>
      <c r="I720" s="147"/>
      <c r="J720" s="180"/>
    </row>
    <row r="721" spans="1:10" s="332" customFormat="1" ht="15" x14ac:dyDescent="0.25">
      <c r="A721" s="334"/>
      <c r="B721" s="409"/>
      <c r="C721" s="409"/>
      <c r="D721" s="409"/>
      <c r="E721" s="409"/>
      <c r="F721" s="409">
        <v>3.55</v>
      </c>
      <c r="G721" s="409">
        <v>2.9</v>
      </c>
      <c r="H721" s="410">
        <f>F721*G721</f>
        <v>10.295</v>
      </c>
      <c r="I721" s="147"/>
      <c r="J721" s="180">
        <f t="shared" si="87"/>
        <v>10.295</v>
      </c>
    </row>
    <row r="722" spans="1:10" s="332" customFormat="1" ht="15" x14ac:dyDescent="0.25">
      <c r="A722" s="334"/>
      <c r="B722" s="409"/>
      <c r="C722" s="409"/>
      <c r="D722" s="409"/>
      <c r="E722" s="409"/>
      <c r="F722" s="409">
        <v>3.55</v>
      </c>
      <c r="G722" s="409">
        <v>2.9</v>
      </c>
      <c r="H722" s="410">
        <f>F722*G722-(3.5*0.6)</f>
        <v>8.1950000000000003</v>
      </c>
      <c r="I722" s="147"/>
      <c r="J722" s="180">
        <f t="shared" si="87"/>
        <v>8.1950000000000003</v>
      </c>
    </row>
    <row r="723" spans="1:10" s="332" customFormat="1" ht="15" x14ac:dyDescent="0.25">
      <c r="A723" s="334"/>
      <c r="B723" s="409"/>
      <c r="C723" s="409"/>
      <c r="D723" s="409"/>
      <c r="E723" s="409"/>
      <c r="F723" s="409">
        <v>3.64</v>
      </c>
      <c r="G723" s="409">
        <v>2.9</v>
      </c>
      <c r="H723" s="410">
        <f t="shared" ref="H723" si="93">F723*G723</f>
        <v>10.555999999999999</v>
      </c>
      <c r="I723" s="147"/>
      <c r="J723" s="180">
        <f t="shared" si="87"/>
        <v>10.555999999999999</v>
      </c>
    </row>
    <row r="724" spans="1:10" s="332" customFormat="1" ht="15" x14ac:dyDescent="0.25">
      <c r="A724" s="334"/>
      <c r="B724" s="409"/>
      <c r="C724" s="409"/>
      <c r="D724" s="409"/>
      <c r="E724" s="409"/>
      <c r="F724" s="409">
        <v>3.64</v>
      </c>
      <c r="G724" s="409">
        <v>2.9</v>
      </c>
      <c r="H724" s="410">
        <f>F724*G724-(2.47*1.4)</f>
        <v>7.097999999999999</v>
      </c>
      <c r="I724" s="147"/>
      <c r="J724" s="180">
        <f t="shared" si="87"/>
        <v>7.097999999999999</v>
      </c>
    </row>
    <row r="725" spans="1:10" s="332" customFormat="1" ht="15" x14ac:dyDescent="0.25">
      <c r="A725" s="334"/>
      <c r="B725" s="409"/>
      <c r="C725" s="409"/>
      <c r="D725" s="409"/>
      <c r="E725" s="409"/>
      <c r="F725" s="411">
        <v>3.55</v>
      </c>
      <c r="G725" s="411">
        <v>3.64</v>
      </c>
      <c r="H725" s="412">
        <f>F725*G725</f>
        <v>12.922000000000001</v>
      </c>
      <c r="I725" s="147"/>
      <c r="J725" s="180">
        <f t="shared" si="87"/>
        <v>12.922000000000001</v>
      </c>
    </row>
    <row r="726" spans="1:10" s="332" customFormat="1" ht="15" x14ac:dyDescent="0.25">
      <c r="A726" s="334"/>
      <c r="B726" s="409" t="s">
        <v>667</v>
      </c>
      <c r="C726" s="409"/>
      <c r="D726" s="409"/>
      <c r="E726" s="409"/>
      <c r="F726" s="409">
        <v>2.2400000000000002</v>
      </c>
      <c r="G726" s="409">
        <v>2.9</v>
      </c>
      <c r="H726" s="410">
        <f t="shared" ref="H726:H727" si="94">F726*G726</f>
        <v>6.4960000000000004</v>
      </c>
      <c r="I726" s="147"/>
      <c r="J726" s="180">
        <f t="shared" si="87"/>
        <v>6.4960000000000004</v>
      </c>
    </row>
    <row r="727" spans="1:10" s="332" customFormat="1" ht="15" x14ac:dyDescent="0.25">
      <c r="A727" s="334"/>
      <c r="B727" s="409"/>
      <c r="C727" s="409"/>
      <c r="D727" s="409"/>
      <c r="E727" s="409"/>
      <c r="F727" s="409">
        <v>2.2400000000000002</v>
      </c>
      <c r="G727" s="409">
        <v>2.9</v>
      </c>
      <c r="H727" s="410">
        <f t="shared" si="94"/>
        <v>6.4960000000000004</v>
      </c>
      <c r="I727" s="147"/>
      <c r="J727" s="180">
        <f t="shared" si="87"/>
        <v>6.4960000000000004</v>
      </c>
    </row>
    <row r="728" spans="1:10" s="332" customFormat="1" ht="15" x14ac:dyDescent="0.25">
      <c r="A728" s="334"/>
      <c r="B728" s="409"/>
      <c r="C728" s="409"/>
      <c r="D728" s="409"/>
      <c r="E728" s="409"/>
      <c r="F728" s="409">
        <v>3.12</v>
      </c>
      <c r="G728" s="409">
        <v>2.9</v>
      </c>
      <c r="H728" s="410">
        <f>F728*G728-(2.3*1.4)</f>
        <v>5.8280000000000003</v>
      </c>
      <c r="I728" s="147"/>
      <c r="J728" s="180">
        <f t="shared" si="87"/>
        <v>5.8280000000000003</v>
      </c>
    </row>
    <row r="729" spans="1:10" s="332" customFormat="1" ht="15" x14ac:dyDescent="0.25">
      <c r="A729" s="334"/>
      <c r="B729" s="409"/>
      <c r="C729" s="409"/>
      <c r="D729" s="409"/>
      <c r="E729" s="409"/>
      <c r="F729" s="409">
        <v>3.12</v>
      </c>
      <c r="G729" s="409">
        <v>2.9</v>
      </c>
      <c r="H729" s="410">
        <f t="shared" ref="H729:H732" si="95">F729*G729</f>
        <v>9.048</v>
      </c>
      <c r="I729" s="147"/>
      <c r="J729" s="180">
        <f t="shared" si="87"/>
        <v>9.048</v>
      </c>
    </row>
    <row r="730" spans="1:10" s="332" customFormat="1" ht="15" x14ac:dyDescent="0.25">
      <c r="A730" s="334"/>
      <c r="B730" s="409"/>
      <c r="C730" s="409"/>
      <c r="D730" s="409"/>
      <c r="E730" s="409"/>
      <c r="F730" s="409">
        <v>3.12</v>
      </c>
      <c r="G730" s="409">
        <v>2.2400000000000002</v>
      </c>
      <c r="H730" s="410">
        <f t="shared" si="95"/>
        <v>6.9888000000000012</v>
      </c>
      <c r="I730" s="147"/>
      <c r="J730" s="180">
        <f t="shared" si="87"/>
        <v>6.9888000000000012</v>
      </c>
    </row>
    <row r="731" spans="1:10" s="332" customFormat="1" ht="15" x14ac:dyDescent="0.25">
      <c r="A731" s="334"/>
      <c r="B731" s="409" t="s">
        <v>668</v>
      </c>
      <c r="C731" s="409"/>
      <c r="D731" s="409"/>
      <c r="E731" s="409"/>
      <c r="F731" s="409">
        <v>1.1599999999999999</v>
      </c>
      <c r="G731" s="409">
        <v>2.9</v>
      </c>
      <c r="H731" s="410">
        <f t="shared" si="95"/>
        <v>3.3639999999999999</v>
      </c>
      <c r="I731" s="147"/>
      <c r="J731" s="180">
        <f t="shared" si="87"/>
        <v>3.3639999999999999</v>
      </c>
    </row>
    <row r="732" spans="1:10" s="332" customFormat="1" ht="15" x14ac:dyDescent="0.25">
      <c r="A732" s="334"/>
      <c r="B732" s="409"/>
      <c r="C732" s="409"/>
      <c r="D732" s="409"/>
      <c r="E732" s="409"/>
      <c r="F732" s="409">
        <v>1.1599999999999999</v>
      </c>
      <c r="G732" s="409">
        <v>2.9</v>
      </c>
      <c r="H732" s="410">
        <f t="shared" si="95"/>
        <v>3.3639999999999999</v>
      </c>
      <c r="I732" s="147"/>
      <c r="J732" s="180">
        <f t="shared" si="87"/>
        <v>3.3639999999999999</v>
      </c>
    </row>
    <row r="733" spans="1:10" s="332" customFormat="1" ht="15" x14ac:dyDescent="0.25">
      <c r="A733" s="334"/>
      <c r="B733" s="409"/>
      <c r="C733" s="409"/>
      <c r="D733" s="409"/>
      <c r="E733" s="409"/>
      <c r="F733" s="409">
        <v>3.12</v>
      </c>
      <c r="G733" s="409">
        <v>2.9</v>
      </c>
      <c r="H733" s="410">
        <f>F733*G733</f>
        <v>9.048</v>
      </c>
      <c r="I733" s="147"/>
      <c r="J733" s="180">
        <f t="shared" si="87"/>
        <v>9.048</v>
      </c>
    </row>
    <row r="734" spans="1:10" s="332" customFormat="1" ht="15" x14ac:dyDescent="0.25">
      <c r="A734" s="334"/>
      <c r="B734" s="409"/>
      <c r="C734" s="409"/>
      <c r="D734" s="409"/>
      <c r="E734" s="409"/>
      <c r="F734" s="409">
        <v>3.12</v>
      </c>
      <c r="G734" s="409">
        <v>2.9</v>
      </c>
      <c r="H734" s="410">
        <f>F734*G734</f>
        <v>9.048</v>
      </c>
      <c r="I734" s="147"/>
      <c r="J734" s="180">
        <f t="shared" si="87"/>
        <v>9.048</v>
      </c>
    </row>
    <row r="735" spans="1:10" s="332" customFormat="1" ht="15" x14ac:dyDescent="0.25">
      <c r="A735" s="334"/>
      <c r="B735" s="409"/>
      <c r="C735" s="409"/>
      <c r="D735" s="409"/>
      <c r="E735" s="409"/>
      <c r="F735" s="409">
        <v>1.1599999999999999</v>
      </c>
      <c r="G735" s="409">
        <v>3.12</v>
      </c>
      <c r="H735" s="410">
        <f>F735*G735</f>
        <v>3.6191999999999998</v>
      </c>
      <c r="I735" s="147"/>
      <c r="J735" s="180">
        <f t="shared" si="87"/>
        <v>3.6191999999999998</v>
      </c>
    </row>
    <row r="736" spans="1:10" s="332" customFormat="1" ht="15" x14ac:dyDescent="0.25">
      <c r="A736" s="334"/>
      <c r="B736" s="409" t="s">
        <v>669</v>
      </c>
      <c r="C736" s="409"/>
      <c r="D736" s="409"/>
      <c r="E736" s="409"/>
      <c r="F736" s="409">
        <v>3.6</v>
      </c>
      <c r="G736" s="409">
        <v>2.9</v>
      </c>
      <c r="H736" s="410">
        <f t="shared" ref="H736:H739" si="96">F736*G736</f>
        <v>10.44</v>
      </c>
      <c r="I736" s="147"/>
      <c r="J736" s="180">
        <f t="shared" si="87"/>
        <v>10.44</v>
      </c>
    </row>
    <row r="737" spans="1:10" s="332" customFormat="1" ht="15" x14ac:dyDescent="0.25">
      <c r="A737" s="334"/>
      <c r="B737" s="409"/>
      <c r="C737" s="409"/>
      <c r="D737" s="409"/>
      <c r="E737" s="409"/>
      <c r="F737" s="409">
        <v>3.61</v>
      </c>
      <c r="G737" s="409">
        <v>2.9</v>
      </c>
      <c r="H737" s="410">
        <f t="shared" si="96"/>
        <v>10.468999999999999</v>
      </c>
      <c r="I737" s="147"/>
      <c r="J737" s="180">
        <f t="shared" si="87"/>
        <v>10.468999999999999</v>
      </c>
    </row>
    <row r="738" spans="1:10" s="332" customFormat="1" ht="15" x14ac:dyDescent="0.25">
      <c r="A738" s="334"/>
      <c r="B738" s="409"/>
      <c r="C738" s="409"/>
      <c r="D738" s="409"/>
      <c r="E738" s="409"/>
      <c r="F738" s="409">
        <v>6.82</v>
      </c>
      <c r="G738" s="409">
        <v>2.9</v>
      </c>
      <c r="H738" s="410">
        <f t="shared" si="96"/>
        <v>19.777999999999999</v>
      </c>
      <c r="I738" s="147"/>
      <c r="J738" s="180">
        <f t="shared" si="87"/>
        <v>19.777999999999999</v>
      </c>
    </row>
    <row r="739" spans="1:10" s="332" customFormat="1" ht="15" x14ac:dyDescent="0.25">
      <c r="A739" s="334"/>
      <c r="B739" s="409"/>
      <c r="C739" s="409"/>
      <c r="D739" s="409"/>
      <c r="E739" s="409"/>
      <c r="F739" s="409">
        <v>4.74</v>
      </c>
      <c r="G739" s="409">
        <v>2.9</v>
      </c>
      <c r="H739" s="410">
        <f t="shared" si="96"/>
        <v>13.746</v>
      </c>
      <c r="I739" s="147"/>
      <c r="J739" s="180">
        <f t="shared" si="87"/>
        <v>13.746</v>
      </c>
    </row>
    <row r="740" spans="1:10" s="332" customFormat="1" ht="15" x14ac:dyDescent="0.25">
      <c r="A740" s="334"/>
      <c r="B740" s="409"/>
      <c r="C740" s="409"/>
      <c r="D740" s="409"/>
      <c r="E740" s="409"/>
      <c r="F740" s="409">
        <v>2.0699999999999998</v>
      </c>
      <c r="G740" s="409">
        <v>2.9</v>
      </c>
      <c r="H740" s="410">
        <f>F740*G740-(2.02*1.5)</f>
        <v>2.972999999999999</v>
      </c>
      <c r="I740" s="147"/>
      <c r="J740" s="180">
        <f t="shared" si="87"/>
        <v>2.972999999999999</v>
      </c>
    </row>
    <row r="741" spans="1:10" s="332" customFormat="1" ht="15" x14ac:dyDescent="0.25">
      <c r="A741" s="334"/>
      <c r="B741" s="409"/>
      <c r="C741" s="409"/>
      <c r="D741" s="409"/>
      <c r="E741" s="409"/>
      <c r="F741" s="409"/>
      <c r="G741" s="409"/>
      <c r="H741" s="410">
        <v>21.39</v>
      </c>
      <c r="I741" s="147"/>
      <c r="J741" s="180">
        <f t="shared" si="87"/>
        <v>21.39</v>
      </c>
    </row>
    <row r="742" spans="1:10" s="332" customFormat="1" ht="15" x14ac:dyDescent="0.25">
      <c r="A742" s="334"/>
      <c r="B742" s="409"/>
      <c r="C742" s="409"/>
      <c r="D742" s="409"/>
      <c r="E742" s="409"/>
      <c r="F742" s="409"/>
      <c r="G742" s="409"/>
      <c r="H742" s="410"/>
      <c r="I742" s="147"/>
      <c r="J742" s="180">
        <f t="shared" si="87"/>
        <v>0</v>
      </c>
    </row>
    <row r="743" spans="1:10" s="332" customFormat="1" ht="15" x14ac:dyDescent="0.25">
      <c r="A743" s="334"/>
      <c r="B743" s="409"/>
      <c r="C743" s="409"/>
      <c r="D743" s="409"/>
      <c r="E743" s="409"/>
      <c r="F743" s="409"/>
      <c r="G743" s="409"/>
      <c r="H743" s="410"/>
      <c r="I743" s="147"/>
      <c r="J743" s="180">
        <f t="shared" si="87"/>
        <v>0</v>
      </c>
    </row>
    <row r="744" spans="1:10" s="332" customFormat="1" ht="15" x14ac:dyDescent="0.25">
      <c r="A744" s="334"/>
      <c r="B744" s="409" t="s">
        <v>670</v>
      </c>
      <c r="C744" s="409"/>
      <c r="D744" s="409"/>
      <c r="E744" s="409"/>
      <c r="F744" s="409">
        <v>3.6</v>
      </c>
      <c r="G744" s="409">
        <v>2.9</v>
      </c>
      <c r="H744" s="410">
        <f t="shared" ref="H744:H747" si="97">F744*G744</f>
        <v>10.44</v>
      </c>
      <c r="I744" s="147"/>
      <c r="J744" s="180">
        <f t="shared" si="87"/>
        <v>10.44</v>
      </c>
    </row>
    <row r="745" spans="1:10" s="332" customFormat="1" ht="15" x14ac:dyDescent="0.25">
      <c r="A745" s="334"/>
      <c r="B745" s="409"/>
      <c r="C745" s="409"/>
      <c r="D745" s="409"/>
      <c r="E745" s="409"/>
      <c r="F745" s="409">
        <v>3.61</v>
      </c>
      <c r="G745" s="409">
        <v>2.9</v>
      </c>
      <c r="H745" s="410">
        <f t="shared" si="97"/>
        <v>10.468999999999999</v>
      </c>
      <c r="I745" s="147"/>
      <c r="J745" s="180">
        <f t="shared" si="87"/>
        <v>10.468999999999999</v>
      </c>
    </row>
    <row r="746" spans="1:10" s="332" customFormat="1" ht="15" x14ac:dyDescent="0.25">
      <c r="A746" s="334"/>
      <c r="B746" s="409"/>
      <c r="C746" s="409"/>
      <c r="D746" s="409"/>
      <c r="E746" s="409"/>
      <c r="F746" s="409">
        <v>6.82</v>
      </c>
      <c r="G746" s="409">
        <v>2.9</v>
      </c>
      <c r="H746" s="410">
        <f t="shared" si="97"/>
        <v>19.777999999999999</v>
      </c>
      <c r="I746" s="147"/>
      <c r="J746" s="180">
        <f t="shared" si="87"/>
        <v>19.777999999999999</v>
      </c>
    </row>
    <row r="747" spans="1:10" s="332" customFormat="1" ht="15" x14ac:dyDescent="0.25">
      <c r="A747" s="334"/>
      <c r="B747" s="409"/>
      <c r="C747" s="409"/>
      <c r="D747" s="409"/>
      <c r="E747" s="409"/>
      <c r="F747" s="409">
        <v>4.74</v>
      </c>
      <c r="G747" s="409">
        <v>2.9</v>
      </c>
      <c r="H747" s="410">
        <f t="shared" si="97"/>
        <v>13.746</v>
      </c>
      <c r="I747" s="147"/>
      <c r="J747" s="180">
        <f t="shared" ref="J747:J810" si="98">H747</f>
        <v>13.746</v>
      </c>
    </row>
    <row r="748" spans="1:10" s="332" customFormat="1" ht="15" x14ac:dyDescent="0.25">
      <c r="A748" s="334"/>
      <c r="B748" s="409"/>
      <c r="C748" s="409"/>
      <c r="D748" s="409"/>
      <c r="E748" s="409"/>
      <c r="F748" s="409">
        <v>2.0699999999999998</v>
      </c>
      <c r="G748" s="409">
        <v>2.9</v>
      </c>
      <c r="H748" s="410">
        <f>F748*G748-(2.02*1.5)</f>
        <v>2.972999999999999</v>
      </c>
      <c r="I748" s="147"/>
      <c r="J748" s="180">
        <f t="shared" si="98"/>
        <v>2.972999999999999</v>
      </c>
    </row>
    <row r="749" spans="1:10" s="332" customFormat="1" ht="15" x14ac:dyDescent="0.25">
      <c r="A749" s="334"/>
      <c r="B749" s="409"/>
      <c r="C749" s="409"/>
      <c r="D749" s="409"/>
      <c r="E749" s="409"/>
      <c r="F749" s="409"/>
      <c r="G749" s="409"/>
      <c r="H749" s="410">
        <v>21.39</v>
      </c>
      <c r="I749" s="147"/>
      <c r="J749" s="180">
        <f t="shared" si="98"/>
        <v>21.39</v>
      </c>
    </row>
    <row r="750" spans="1:10" s="332" customFormat="1" ht="15" x14ac:dyDescent="0.25">
      <c r="A750" s="334"/>
      <c r="B750" s="409" t="s">
        <v>671</v>
      </c>
      <c r="C750" s="409"/>
      <c r="D750" s="409"/>
      <c r="E750" s="409"/>
      <c r="F750" s="409"/>
      <c r="G750" s="409"/>
      <c r="H750" s="410"/>
      <c r="I750" s="147"/>
      <c r="J750" s="180">
        <f t="shared" si="98"/>
        <v>0</v>
      </c>
    </row>
    <row r="751" spans="1:10" s="332" customFormat="1" ht="15" x14ac:dyDescent="0.25">
      <c r="A751" s="334"/>
      <c r="B751" s="409"/>
      <c r="C751" s="409"/>
      <c r="D751" s="409"/>
      <c r="E751" s="409"/>
      <c r="F751" s="409"/>
      <c r="G751" s="409"/>
      <c r="H751" s="410"/>
      <c r="I751" s="147"/>
      <c r="J751" s="180">
        <f t="shared" si="98"/>
        <v>0</v>
      </c>
    </row>
    <row r="752" spans="1:10" s="332" customFormat="1" ht="15" x14ac:dyDescent="0.25">
      <c r="A752" s="334"/>
      <c r="B752" s="409" t="s">
        <v>672</v>
      </c>
      <c r="C752" s="409"/>
      <c r="D752" s="409"/>
      <c r="E752" s="409"/>
      <c r="F752" s="409">
        <v>11.1</v>
      </c>
      <c r="G752" s="409">
        <v>2.9</v>
      </c>
      <c r="H752" s="410">
        <f t="shared" ref="H752" si="99">F752*G752</f>
        <v>32.19</v>
      </c>
      <c r="I752" s="147"/>
      <c r="J752" s="180">
        <f t="shared" si="98"/>
        <v>32.19</v>
      </c>
    </row>
    <row r="753" spans="1:10" s="332" customFormat="1" ht="15" x14ac:dyDescent="0.25">
      <c r="A753" s="334"/>
      <c r="B753" s="409"/>
      <c r="C753" s="409"/>
      <c r="D753" s="409"/>
      <c r="E753" s="409"/>
      <c r="F753" s="409">
        <v>11.1</v>
      </c>
      <c r="G753" s="409">
        <v>2.9</v>
      </c>
      <c r="H753" s="410">
        <f>F753*G753-(3.5*1.5*3)</f>
        <v>16.439999999999998</v>
      </c>
      <c r="I753" s="147"/>
      <c r="J753" s="180">
        <f t="shared" si="98"/>
        <v>16.439999999999998</v>
      </c>
    </row>
    <row r="754" spans="1:10" s="332" customFormat="1" ht="15" x14ac:dyDescent="0.25">
      <c r="A754" s="334"/>
      <c r="B754" s="409"/>
      <c r="C754" s="409"/>
      <c r="D754" s="409"/>
      <c r="E754" s="409"/>
      <c r="F754" s="409">
        <v>6.82</v>
      </c>
      <c r="G754" s="409">
        <v>2.9</v>
      </c>
      <c r="H754" s="410">
        <f t="shared" ref="H754:H756" si="100">F754*G754</f>
        <v>19.777999999999999</v>
      </c>
      <c r="I754" s="147"/>
      <c r="J754" s="180">
        <f t="shared" si="98"/>
        <v>19.777999999999999</v>
      </c>
    </row>
    <row r="755" spans="1:10" s="332" customFormat="1" ht="15" x14ac:dyDescent="0.25">
      <c r="A755" s="334"/>
      <c r="B755" s="409"/>
      <c r="C755" s="409"/>
      <c r="D755" s="409"/>
      <c r="E755" s="409"/>
      <c r="F755" s="409">
        <v>6.82</v>
      </c>
      <c r="G755" s="409">
        <v>2.9</v>
      </c>
      <c r="H755" s="410">
        <f t="shared" si="100"/>
        <v>19.777999999999999</v>
      </c>
      <c r="I755" s="147"/>
      <c r="J755" s="180">
        <f t="shared" si="98"/>
        <v>19.777999999999999</v>
      </c>
    </row>
    <row r="756" spans="1:10" s="332" customFormat="1" ht="15" x14ac:dyDescent="0.25">
      <c r="A756" s="334"/>
      <c r="B756" s="409"/>
      <c r="C756" s="409"/>
      <c r="D756" s="409"/>
      <c r="E756" s="409"/>
      <c r="F756" s="409">
        <v>6.82</v>
      </c>
      <c r="G756" s="409">
        <v>11.1</v>
      </c>
      <c r="H756" s="410">
        <f t="shared" si="100"/>
        <v>75.701999999999998</v>
      </c>
      <c r="I756" s="147"/>
      <c r="J756" s="180">
        <f t="shared" si="98"/>
        <v>75.701999999999998</v>
      </c>
    </row>
    <row r="757" spans="1:10" s="332" customFormat="1" ht="15" x14ac:dyDescent="0.25">
      <c r="A757" s="334"/>
      <c r="B757" s="409"/>
      <c r="C757" s="409"/>
      <c r="D757" s="409"/>
      <c r="E757" s="409"/>
      <c r="F757" s="409"/>
      <c r="G757" s="409"/>
      <c r="H757" s="410"/>
      <c r="I757" s="147"/>
      <c r="J757" s="180">
        <f t="shared" si="98"/>
        <v>0</v>
      </c>
    </row>
    <row r="758" spans="1:10" s="332" customFormat="1" ht="15" x14ac:dyDescent="0.25">
      <c r="A758" s="334"/>
      <c r="B758" s="409" t="s">
        <v>673</v>
      </c>
      <c r="C758" s="409"/>
      <c r="D758" s="409"/>
      <c r="E758" s="409"/>
      <c r="F758" s="409">
        <v>4.8</v>
      </c>
      <c r="G758" s="409">
        <v>2.9</v>
      </c>
      <c r="H758" s="410">
        <f t="shared" ref="H758:H760" si="101">F758*G758</f>
        <v>13.92</v>
      </c>
      <c r="I758" s="147"/>
      <c r="J758" s="180">
        <f t="shared" si="98"/>
        <v>13.92</v>
      </c>
    </row>
    <row r="759" spans="1:10" s="332" customFormat="1" ht="15" x14ac:dyDescent="0.25">
      <c r="A759" s="334"/>
      <c r="B759" s="409"/>
      <c r="C759" s="409"/>
      <c r="D759" s="409"/>
      <c r="E759" s="409"/>
      <c r="F759" s="409">
        <v>4.8</v>
      </c>
      <c r="G759" s="409">
        <v>2.9</v>
      </c>
      <c r="H759" s="410">
        <f t="shared" si="101"/>
        <v>13.92</v>
      </c>
      <c r="I759" s="147"/>
      <c r="J759" s="180">
        <f t="shared" si="98"/>
        <v>13.92</v>
      </c>
    </row>
    <row r="760" spans="1:10" s="332" customFormat="1" ht="15" x14ac:dyDescent="0.25">
      <c r="A760" s="334"/>
      <c r="B760" s="409"/>
      <c r="C760" s="409"/>
      <c r="D760" s="409"/>
      <c r="E760" s="409"/>
      <c r="F760" s="409">
        <v>3.46</v>
      </c>
      <c r="G760" s="409">
        <v>2.9</v>
      </c>
      <c r="H760" s="410">
        <f t="shared" si="101"/>
        <v>10.033999999999999</v>
      </c>
      <c r="I760" s="147"/>
      <c r="J760" s="180">
        <f t="shared" si="98"/>
        <v>10.033999999999999</v>
      </c>
    </row>
    <row r="761" spans="1:10" s="332" customFormat="1" ht="15" x14ac:dyDescent="0.25">
      <c r="A761" s="334"/>
      <c r="B761" s="409"/>
      <c r="C761" s="409"/>
      <c r="D761" s="409"/>
      <c r="E761" s="409"/>
      <c r="F761" s="409">
        <v>3.46</v>
      </c>
      <c r="G761" s="409">
        <v>2.9</v>
      </c>
      <c r="H761" s="410">
        <f>F761*G761-(3.5*1.5)</f>
        <v>4.7839999999999989</v>
      </c>
      <c r="I761" s="147"/>
      <c r="J761" s="180">
        <f t="shared" si="98"/>
        <v>4.7839999999999989</v>
      </c>
    </row>
    <row r="762" spans="1:10" s="332" customFormat="1" ht="15" x14ac:dyDescent="0.25">
      <c r="A762" s="334"/>
      <c r="B762" s="409"/>
      <c r="C762" s="409"/>
      <c r="D762" s="409"/>
      <c r="E762" s="409"/>
      <c r="F762" s="409">
        <v>3.46</v>
      </c>
      <c r="G762" s="409">
        <v>4.8</v>
      </c>
      <c r="H762" s="410">
        <f t="shared" ref="H762" si="102">F762*G762</f>
        <v>16.608000000000001</v>
      </c>
      <c r="I762" s="147"/>
      <c r="J762" s="180">
        <f t="shared" si="98"/>
        <v>16.608000000000001</v>
      </c>
    </row>
    <row r="763" spans="1:10" s="332" customFormat="1" ht="15" x14ac:dyDescent="0.25">
      <c r="A763" s="334"/>
      <c r="B763" s="409"/>
      <c r="C763" s="409"/>
      <c r="D763" s="409"/>
      <c r="E763" s="409"/>
      <c r="F763" s="409"/>
      <c r="G763" s="409"/>
      <c r="H763" s="410"/>
      <c r="I763" s="147"/>
      <c r="J763" s="180">
        <f t="shared" si="98"/>
        <v>0</v>
      </c>
    </row>
    <row r="764" spans="1:10" s="332" customFormat="1" ht="15" x14ac:dyDescent="0.25">
      <c r="A764" s="334"/>
      <c r="B764" s="409" t="s">
        <v>674</v>
      </c>
      <c r="C764" s="409"/>
      <c r="D764" s="409"/>
      <c r="E764" s="409"/>
      <c r="F764" s="409">
        <v>6.83</v>
      </c>
      <c r="G764" s="409">
        <v>2.9</v>
      </c>
      <c r="H764" s="410">
        <f t="shared" ref="H764:H766" si="103">F764*G764</f>
        <v>19.806999999999999</v>
      </c>
      <c r="I764" s="147"/>
      <c r="J764" s="180">
        <f t="shared" si="98"/>
        <v>19.806999999999999</v>
      </c>
    </row>
    <row r="765" spans="1:10" s="332" customFormat="1" ht="15" x14ac:dyDescent="0.25">
      <c r="A765" s="334"/>
      <c r="B765" s="409"/>
      <c r="C765" s="409"/>
      <c r="D765" s="409"/>
      <c r="E765" s="409"/>
      <c r="F765" s="409">
        <v>6.83</v>
      </c>
      <c r="G765" s="409">
        <v>2.9</v>
      </c>
      <c r="H765" s="410">
        <f t="shared" si="103"/>
        <v>19.806999999999999</v>
      </c>
      <c r="I765" s="147"/>
      <c r="J765" s="180">
        <f t="shared" si="98"/>
        <v>19.806999999999999</v>
      </c>
    </row>
    <row r="766" spans="1:10" s="332" customFormat="1" ht="15" x14ac:dyDescent="0.25">
      <c r="A766" s="334"/>
      <c r="B766" s="409"/>
      <c r="C766" s="409"/>
      <c r="D766" s="409"/>
      <c r="E766" s="409"/>
      <c r="F766" s="409">
        <v>11.06</v>
      </c>
      <c r="G766" s="409">
        <v>2.9</v>
      </c>
      <c r="H766" s="410">
        <f t="shared" si="103"/>
        <v>32.073999999999998</v>
      </c>
      <c r="I766" s="147"/>
      <c r="J766" s="180">
        <f t="shared" si="98"/>
        <v>32.073999999999998</v>
      </c>
    </row>
    <row r="767" spans="1:10" s="332" customFormat="1" ht="15" x14ac:dyDescent="0.25">
      <c r="A767" s="334"/>
      <c r="B767" s="409"/>
      <c r="C767" s="409"/>
      <c r="D767" s="409"/>
      <c r="E767" s="409"/>
      <c r="F767" s="409">
        <v>11.06</v>
      </c>
      <c r="G767" s="409">
        <v>2.9</v>
      </c>
      <c r="H767" s="410">
        <f>F767*G767-(3.5*1.5*3)</f>
        <v>16.323999999999998</v>
      </c>
      <c r="I767" s="147"/>
      <c r="J767" s="180">
        <f t="shared" si="98"/>
        <v>16.323999999999998</v>
      </c>
    </row>
    <row r="768" spans="1:10" s="332" customFormat="1" ht="15" x14ac:dyDescent="0.25">
      <c r="A768" s="334"/>
      <c r="B768" s="409"/>
      <c r="C768" s="409"/>
      <c r="D768" s="409"/>
      <c r="E768" s="409"/>
      <c r="F768" s="411">
        <v>6.83</v>
      </c>
      <c r="G768" s="411">
        <v>11.06</v>
      </c>
      <c r="H768" s="412">
        <f t="shared" ref="H768" si="104">F768*G768</f>
        <v>75.5398</v>
      </c>
      <c r="I768" s="147"/>
      <c r="J768" s="180">
        <f t="shared" si="98"/>
        <v>75.5398</v>
      </c>
    </row>
    <row r="769" spans="1:10" s="332" customFormat="1" ht="15" x14ac:dyDescent="0.25">
      <c r="A769" s="334"/>
      <c r="B769" s="409"/>
      <c r="C769" s="409"/>
      <c r="D769" s="409"/>
      <c r="E769" s="409"/>
      <c r="F769" s="409"/>
      <c r="G769" s="409"/>
      <c r="H769" s="409"/>
      <c r="I769" s="147"/>
      <c r="J769" s="180">
        <f t="shared" si="98"/>
        <v>0</v>
      </c>
    </row>
    <row r="770" spans="1:10" s="332" customFormat="1" ht="15" x14ac:dyDescent="0.25">
      <c r="A770" s="334"/>
      <c r="B770" s="409" t="s">
        <v>675</v>
      </c>
      <c r="C770" s="409"/>
      <c r="D770" s="409"/>
      <c r="E770" s="409"/>
      <c r="F770" s="409">
        <v>2.76</v>
      </c>
      <c r="G770" s="409">
        <v>1</v>
      </c>
      <c r="H770" s="410">
        <f t="shared" ref="H770:H774" si="105">F770*G770</f>
        <v>2.76</v>
      </c>
      <c r="I770" s="147"/>
      <c r="J770" s="180">
        <f t="shared" si="98"/>
        <v>2.76</v>
      </c>
    </row>
    <row r="771" spans="1:10" s="332" customFormat="1" ht="15" x14ac:dyDescent="0.25">
      <c r="A771" s="334"/>
      <c r="B771" s="409"/>
      <c r="C771" s="409"/>
      <c r="D771" s="409"/>
      <c r="E771" s="409"/>
      <c r="F771" s="409">
        <v>1.25</v>
      </c>
      <c r="G771" s="409">
        <v>1</v>
      </c>
      <c r="H771" s="410">
        <f t="shared" si="105"/>
        <v>1.25</v>
      </c>
      <c r="I771" s="147"/>
      <c r="J771" s="180">
        <f t="shared" si="98"/>
        <v>1.25</v>
      </c>
    </row>
    <row r="772" spans="1:10" s="332" customFormat="1" ht="15" x14ac:dyDescent="0.25">
      <c r="A772" s="334"/>
      <c r="B772" s="409"/>
      <c r="C772" s="409"/>
      <c r="D772" s="409"/>
      <c r="E772" s="409"/>
      <c r="F772" s="409">
        <v>2.76</v>
      </c>
      <c r="G772" s="409">
        <v>1</v>
      </c>
      <c r="H772" s="410">
        <f t="shared" si="105"/>
        <v>2.76</v>
      </c>
      <c r="I772" s="147"/>
      <c r="J772" s="180">
        <f t="shared" si="98"/>
        <v>2.76</v>
      </c>
    </row>
    <row r="773" spans="1:10" s="332" customFormat="1" ht="15" x14ac:dyDescent="0.25">
      <c r="A773" s="334"/>
      <c r="B773" s="409"/>
      <c r="C773" s="409"/>
      <c r="D773" s="409"/>
      <c r="E773" s="409"/>
      <c r="F773" s="409">
        <v>1.25</v>
      </c>
      <c r="G773" s="409">
        <v>1</v>
      </c>
      <c r="H773" s="410">
        <f t="shared" si="105"/>
        <v>1.25</v>
      </c>
      <c r="I773" s="147"/>
      <c r="J773" s="180">
        <f t="shared" si="98"/>
        <v>1.25</v>
      </c>
    </row>
    <row r="774" spans="1:10" s="332" customFormat="1" ht="15" x14ac:dyDescent="0.25">
      <c r="A774" s="334"/>
      <c r="B774" s="409"/>
      <c r="C774" s="409"/>
      <c r="D774" s="409"/>
      <c r="E774" s="409"/>
      <c r="F774" s="411">
        <v>2.76</v>
      </c>
      <c r="G774" s="411">
        <v>1.25</v>
      </c>
      <c r="H774" s="412">
        <f t="shared" si="105"/>
        <v>3.4499999999999997</v>
      </c>
      <c r="I774" s="147"/>
      <c r="J774" s="180">
        <f t="shared" si="98"/>
        <v>3.4499999999999997</v>
      </c>
    </row>
    <row r="775" spans="1:10" s="332" customFormat="1" ht="15" x14ac:dyDescent="0.25">
      <c r="A775" s="334"/>
      <c r="B775" s="409"/>
      <c r="C775" s="409"/>
      <c r="D775" s="409"/>
      <c r="E775" s="409"/>
      <c r="F775" s="409"/>
      <c r="G775" s="409"/>
      <c r="H775" s="409"/>
      <c r="I775" s="147"/>
      <c r="J775" s="180">
        <f t="shared" si="98"/>
        <v>0</v>
      </c>
    </row>
    <row r="776" spans="1:10" s="332" customFormat="1" ht="15" x14ac:dyDescent="0.25">
      <c r="A776" s="334"/>
      <c r="B776" s="409" t="s">
        <v>676</v>
      </c>
      <c r="C776" s="409"/>
      <c r="D776" s="409"/>
      <c r="E776" s="409"/>
      <c r="F776" s="409">
        <v>3.35</v>
      </c>
      <c r="G776" s="409">
        <v>2.9</v>
      </c>
      <c r="H776" s="410">
        <f t="shared" ref="H776:H780" si="106">F776*G776</f>
        <v>9.7149999999999999</v>
      </c>
      <c r="I776" s="147"/>
      <c r="J776" s="180">
        <f t="shared" si="98"/>
        <v>9.7149999999999999</v>
      </c>
    </row>
    <row r="777" spans="1:10" s="332" customFormat="1" ht="15" x14ac:dyDescent="0.25">
      <c r="A777" s="334"/>
      <c r="B777" s="409"/>
      <c r="C777" s="409"/>
      <c r="D777" s="409"/>
      <c r="E777" s="409"/>
      <c r="F777" s="409">
        <v>3.6</v>
      </c>
      <c r="G777" s="409">
        <v>2.9</v>
      </c>
      <c r="H777" s="410">
        <f t="shared" si="106"/>
        <v>10.44</v>
      </c>
      <c r="I777" s="147"/>
      <c r="J777" s="180">
        <f t="shared" si="98"/>
        <v>10.44</v>
      </c>
    </row>
    <row r="778" spans="1:10" s="332" customFormat="1" ht="15" x14ac:dyDescent="0.25">
      <c r="A778" s="334"/>
      <c r="B778" s="409"/>
      <c r="C778" s="409"/>
      <c r="D778" s="409"/>
      <c r="E778" s="409"/>
      <c r="F778" s="409">
        <v>3.35</v>
      </c>
      <c r="G778" s="409">
        <v>2.9</v>
      </c>
      <c r="H778" s="410">
        <f t="shared" si="106"/>
        <v>9.7149999999999999</v>
      </c>
      <c r="I778" s="147"/>
      <c r="J778" s="180">
        <f t="shared" si="98"/>
        <v>9.7149999999999999</v>
      </c>
    </row>
    <row r="779" spans="1:10" s="332" customFormat="1" ht="15" x14ac:dyDescent="0.25">
      <c r="A779" s="334"/>
      <c r="B779" s="409"/>
      <c r="C779" s="409"/>
      <c r="D779" s="409"/>
      <c r="E779" s="409"/>
      <c r="F779" s="409">
        <v>3.6</v>
      </c>
      <c r="G779" s="409">
        <v>2.9</v>
      </c>
      <c r="H779" s="410">
        <f t="shared" si="106"/>
        <v>10.44</v>
      </c>
      <c r="I779" s="147"/>
      <c r="J779" s="180">
        <f t="shared" si="98"/>
        <v>10.44</v>
      </c>
    </row>
    <row r="780" spans="1:10" s="332" customFormat="1" ht="15" x14ac:dyDescent="0.25">
      <c r="A780" s="334"/>
      <c r="B780" s="409"/>
      <c r="C780" s="409"/>
      <c r="D780" s="409"/>
      <c r="E780" s="409"/>
      <c r="F780" s="411">
        <v>3.35</v>
      </c>
      <c r="G780" s="411">
        <v>3.6</v>
      </c>
      <c r="H780" s="412">
        <f t="shared" si="106"/>
        <v>12.06</v>
      </c>
      <c r="I780" s="147"/>
      <c r="J780" s="180">
        <f t="shared" si="98"/>
        <v>12.06</v>
      </c>
    </row>
    <row r="781" spans="1:10" s="332" customFormat="1" ht="15" x14ac:dyDescent="0.25">
      <c r="A781" s="334"/>
      <c r="B781" s="409"/>
      <c r="C781" s="409"/>
      <c r="D781" s="409"/>
      <c r="E781" s="409"/>
      <c r="F781" s="409"/>
      <c r="G781" s="409"/>
      <c r="H781" s="409"/>
      <c r="I781" s="147"/>
      <c r="J781" s="180">
        <f t="shared" si="98"/>
        <v>0</v>
      </c>
    </row>
    <row r="782" spans="1:10" s="332" customFormat="1" ht="15" x14ac:dyDescent="0.25">
      <c r="A782" s="334"/>
      <c r="B782" s="409" t="s">
        <v>677</v>
      </c>
      <c r="C782" s="409"/>
      <c r="D782" s="409"/>
      <c r="E782" s="409"/>
      <c r="F782" s="409">
        <v>3.35</v>
      </c>
      <c r="G782" s="409">
        <v>2.9</v>
      </c>
      <c r="H782" s="410">
        <f t="shared" ref="H782:H786" si="107">F782*G782</f>
        <v>9.7149999999999999</v>
      </c>
      <c r="I782" s="147"/>
      <c r="J782" s="180">
        <f t="shared" si="98"/>
        <v>9.7149999999999999</v>
      </c>
    </row>
    <row r="783" spans="1:10" s="332" customFormat="1" ht="15" x14ac:dyDescent="0.25">
      <c r="A783" s="334"/>
      <c r="B783" s="409"/>
      <c r="C783" s="409"/>
      <c r="D783" s="409"/>
      <c r="E783" s="409"/>
      <c r="F783" s="409">
        <v>3.6</v>
      </c>
      <c r="G783" s="409">
        <v>2.9</v>
      </c>
      <c r="H783" s="410">
        <f t="shared" si="107"/>
        <v>10.44</v>
      </c>
      <c r="I783" s="147"/>
      <c r="J783" s="180">
        <f t="shared" si="98"/>
        <v>10.44</v>
      </c>
    </row>
    <row r="784" spans="1:10" s="332" customFormat="1" ht="15" x14ac:dyDescent="0.25">
      <c r="A784" s="334"/>
      <c r="B784" s="409"/>
      <c r="C784" s="409"/>
      <c r="D784" s="409"/>
      <c r="E784" s="409"/>
      <c r="F784" s="409">
        <v>3.35</v>
      </c>
      <c r="G784" s="409">
        <v>2.9</v>
      </c>
      <c r="H784" s="410">
        <f t="shared" si="107"/>
        <v>9.7149999999999999</v>
      </c>
      <c r="I784" s="147"/>
      <c r="J784" s="180">
        <f t="shared" si="98"/>
        <v>9.7149999999999999</v>
      </c>
    </row>
    <row r="785" spans="1:10" s="332" customFormat="1" ht="15" x14ac:dyDescent="0.25">
      <c r="A785" s="334"/>
      <c r="B785" s="409"/>
      <c r="C785" s="409"/>
      <c r="D785" s="409"/>
      <c r="E785" s="409"/>
      <c r="F785" s="409">
        <v>3.6</v>
      </c>
      <c r="G785" s="409">
        <v>2.9</v>
      </c>
      <c r="H785" s="410">
        <f t="shared" si="107"/>
        <v>10.44</v>
      </c>
      <c r="I785" s="147"/>
      <c r="J785" s="180">
        <f t="shared" si="98"/>
        <v>10.44</v>
      </c>
    </row>
    <row r="786" spans="1:10" s="332" customFormat="1" ht="15" x14ac:dyDescent="0.25">
      <c r="A786" s="334"/>
      <c r="B786" s="409"/>
      <c r="C786" s="409"/>
      <c r="D786" s="409"/>
      <c r="E786" s="409"/>
      <c r="F786" s="411">
        <v>3.35</v>
      </c>
      <c r="G786" s="411">
        <v>3.6</v>
      </c>
      <c r="H786" s="412">
        <f t="shared" si="107"/>
        <v>12.06</v>
      </c>
      <c r="I786" s="147"/>
      <c r="J786" s="180">
        <f t="shared" si="98"/>
        <v>12.06</v>
      </c>
    </row>
    <row r="787" spans="1:10" s="332" customFormat="1" ht="15" x14ac:dyDescent="0.25">
      <c r="A787" s="334"/>
      <c r="B787" s="409"/>
      <c r="C787" s="409"/>
      <c r="D787" s="409"/>
      <c r="E787" s="409"/>
      <c r="F787" s="409"/>
      <c r="G787" s="409"/>
      <c r="H787" s="409"/>
      <c r="I787" s="147"/>
      <c r="J787" s="180">
        <f t="shared" si="98"/>
        <v>0</v>
      </c>
    </row>
    <row r="788" spans="1:10" s="332" customFormat="1" ht="15" x14ac:dyDescent="0.25">
      <c r="A788" s="334"/>
      <c r="B788" s="409" t="s">
        <v>678</v>
      </c>
      <c r="C788" s="409"/>
      <c r="D788" s="409"/>
      <c r="E788" s="409"/>
      <c r="F788" s="409" t="s">
        <v>679</v>
      </c>
      <c r="G788" s="409"/>
      <c r="H788" s="410"/>
      <c r="I788" s="147"/>
      <c r="J788" s="180">
        <f t="shared" si="98"/>
        <v>0</v>
      </c>
    </row>
    <row r="789" spans="1:10" s="332" customFormat="1" ht="15" x14ac:dyDescent="0.25">
      <c r="A789" s="334"/>
      <c r="B789" s="409"/>
      <c r="C789" s="409"/>
      <c r="D789" s="409"/>
      <c r="E789" s="409"/>
      <c r="F789" s="409">
        <v>20.6</v>
      </c>
      <c r="G789" s="409">
        <v>2.9</v>
      </c>
      <c r="H789" s="410">
        <f t="shared" ref="H789:H791" si="108">F789*G789</f>
        <v>59.74</v>
      </c>
      <c r="I789" s="147"/>
      <c r="J789" s="180">
        <f t="shared" si="98"/>
        <v>59.74</v>
      </c>
    </row>
    <row r="790" spans="1:10" s="332" customFormat="1" ht="15" x14ac:dyDescent="0.25">
      <c r="A790" s="334"/>
      <c r="B790" s="409"/>
      <c r="C790" s="409"/>
      <c r="D790" s="409"/>
      <c r="E790" s="409"/>
      <c r="F790" s="409"/>
      <c r="G790" s="409"/>
      <c r="H790" s="410">
        <f t="shared" si="108"/>
        <v>0</v>
      </c>
      <c r="I790" s="147"/>
      <c r="J790" s="180">
        <f t="shared" si="98"/>
        <v>0</v>
      </c>
    </row>
    <row r="791" spans="1:10" s="332" customFormat="1" ht="15" x14ac:dyDescent="0.25">
      <c r="A791" s="334"/>
      <c r="B791" s="409"/>
      <c r="C791" s="409"/>
      <c r="D791" s="409"/>
      <c r="E791" s="409"/>
      <c r="F791" s="409"/>
      <c r="G791" s="409"/>
      <c r="H791" s="410">
        <f t="shared" si="108"/>
        <v>0</v>
      </c>
      <c r="I791" s="147"/>
      <c r="J791" s="180">
        <f t="shared" si="98"/>
        <v>0</v>
      </c>
    </row>
    <row r="792" spans="1:10" s="332" customFormat="1" ht="15" x14ac:dyDescent="0.25">
      <c r="A792" s="334"/>
      <c r="B792" s="409"/>
      <c r="C792" s="409"/>
      <c r="D792" s="409"/>
      <c r="E792" s="409"/>
      <c r="F792" s="411"/>
      <c r="G792" s="411"/>
      <c r="H792" s="412">
        <v>20.87</v>
      </c>
      <c r="I792" s="147"/>
      <c r="J792" s="180">
        <f t="shared" si="98"/>
        <v>20.87</v>
      </c>
    </row>
    <row r="793" spans="1:10" s="332" customFormat="1" ht="15" x14ac:dyDescent="0.25">
      <c r="A793" s="334"/>
      <c r="B793" s="409"/>
      <c r="C793" s="409"/>
      <c r="D793" s="409"/>
      <c r="E793" s="409"/>
      <c r="F793" s="409"/>
      <c r="G793" s="409"/>
      <c r="H793" s="409"/>
      <c r="I793" s="147"/>
      <c r="J793" s="180">
        <f t="shared" si="98"/>
        <v>0</v>
      </c>
    </row>
    <row r="794" spans="1:10" s="332" customFormat="1" ht="15" x14ac:dyDescent="0.25">
      <c r="A794" s="334"/>
      <c r="B794" s="409" t="s">
        <v>680</v>
      </c>
      <c r="C794" s="409"/>
      <c r="D794" s="409"/>
      <c r="E794" s="409"/>
      <c r="F794" s="409">
        <v>1.83</v>
      </c>
      <c r="G794" s="409">
        <v>1</v>
      </c>
      <c r="H794" s="410">
        <f t="shared" ref="H794:H798" si="109">F794*G794</f>
        <v>1.83</v>
      </c>
      <c r="I794" s="147"/>
      <c r="J794" s="180">
        <f t="shared" si="98"/>
        <v>1.83</v>
      </c>
    </row>
    <row r="795" spans="1:10" s="332" customFormat="1" ht="15" x14ac:dyDescent="0.25">
      <c r="A795" s="334"/>
      <c r="B795" s="409"/>
      <c r="C795" s="409"/>
      <c r="D795" s="409"/>
      <c r="E795" s="409"/>
      <c r="F795" s="409">
        <v>1.38</v>
      </c>
      <c r="G795" s="409">
        <v>1</v>
      </c>
      <c r="H795" s="410">
        <f t="shared" si="109"/>
        <v>1.38</v>
      </c>
      <c r="I795" s="147"/>
      <c r="J795" s="180">
        <f t="shared" si="98"/>
        <v>1.38</v>
      </c>
    </row>
    <row r="796" spans="1:10" s="332" customFormat="1" ht="15" x14ac:dyDescent="0.25">
      <c r="A796" s="334"/>
      <c r="B796" s="409"/>
      <c r="C796" s="409"/>
      <c r="D796" s="409"/>
      <c r="E796" s="409"/>
      <c r="F796" s="409">
        <v>1.83</v>
      </c>
      <c r="G796" s="409">
        <v>1</v>
      </c>
      <c r="H796" s="410">
        <f t="shared" si="109"/>
        <v>1.83</v>
      </c>
      <c r="I796" s="147"/>
      <c r="J796" s="180">
        <f t="shared" si="98"/>
        <v>1.83</v>
      </c>
    </row>
    <row r="797" spans="1:10" s="332" customFormat="1" ht="15" x14ac:dyDescent="0.25">
      <c r="A797" s="334"/>
      <c r="B797" s="409"/>
      <c r="C797" s="409"/>
      <c r="D797" s="409"/>
      <c r="E797" s="409"/>
      <c r="F797" s="409">
        <v>1.38</v>
      </c>
      <c r="G797" s="409">
        <v>1</v>
      </c>
      <c r="H797" s="410">
        <f t="shared" si="109"/>
        <v>1.38</v>
      </c>
      <c r="I797" s="147"/>
      <c r="J797" s="180">
        <f t="shared" si="98"/>
        <v>1.38</v>
      </c>
    </row>
    <row r="798" spans="1:10" s="332" customFormat="1" ht="15" x14ac:dyDescent="0.25">
      <c r="A798" s="334"/>
      <c r="B798" s="409"/>
      <c r="C798" s="409"/>
      <c r="D798" s="409"/>
      <c r="E798" s="409"/>
      <c r="F798" s="411">
        <v>1.83</v>
      </c>
      <c r="G798" s="411">
        <v>1.38</v>
      </c>
      <c r="H798" s="412">
        <f t="shared" si="109"/>
        <v>2.5253999999999999</v>
      </c>
      <c r="I798" s="147"/>
      <c r="J798" s="180">
        <f t="shared" si="98"/>
        <v>2.5253999999999999</v>
      </c>
    </row>
    <row r="799" spans="1:10" s="332" customFormat="1" ht="15" x14ac:dyDescent="0.25">
      <c r="A799" s="334"/>
      <c r="B799" s="409"/>
      <c r="C799" s="409"/>
      <c r="D799" s="409"/>
      <c r="E799" s="409"/>
      <c r="F799" s="409"/>
      <c r="G799" s="409"/>
      <c r="H799" s="409"/>
      <c r="I799" s="147"/>
      <c r="J799" s="180">
        <f t="shared" si="98"/>
        <v>0</v>
      </c>
    </row>
    <row r="800" spans="1:10" s="332" customFormat="1" ht="15" x14ac:dyDescent="0.25">
      <c r="A800" s="334"/>
      <c r="B800" s="409" t="s">
        <v>681</v>
      </c>
      <c r="C800" s="409"/>
      <c r="D800" s="409"/>
      <c r="E800" s="409"/>
      <c r="F800" s="409">
        <v>1.53</v>
      </c>
      <c r="G800" s="409">
        <v>1</v>
      </c>
      <c r="H800" s="410">
        <f t="shared" ref="H800:H804" si="110">F800*G800</f>
        <v>1.53</v>
      </c>
      <c r="I800" s="147"/>
      <c r="J800" s="180">
        <f t="shared" si="98"/>
        <v>1.53</v>
      </c>
    </row>
    <row r="801" spans="1:10" s="332" customFormat="1" ht="15" x14ac:dyDescent="0.25">
      <c r="A801" s="334"/>
      <c r="B801" s="409"/>
      <c r="C801" s="409"/>
      <c r="D801" s="409"/>
      <c r="E801" s="409"/>
      <c r="F801" s="409">
        <v>1.93</v>
      </c>
      <c r="G801" s="409">
        <v>1</v>
      </c>
      <c r="H801" s="410">
        <f t="shared" si="110"/>
        <v>1.93</v>
      </c>
      <c r="I801" s="147"/>
      <c r="J801" s="180">
        <f t="shared" si="98"/>
        <v>1.93</v>
      </c>
    </row>
    <row r="802" spans="1:10" s="332" customFormat="1" ht="15" x14ac:dyDescent="0.25">
      <c r="A802" s="334"/>
      <c r="B802" s="409"/>
      <c r="C802" s="409"/>
      <c r="D802" s="409"/>
      <c r="E802" s="409"/>
      <c r="F802" s="409">
        <v>1.53</v>
      </c>
      <c r="G802" s="409">
        <v>1</v>
      </c>
      <c r="H802" s="410">
        <f t="shared" si="110"/>
        <v>1.53</v>
      </c>
      <c r="I802" s="147"/>
      <c r="J802" s="180">
        <f t="shared" si="98"/>
        <v>1.53</v>
      </c>
    </row>
    <row r="803" spans="1:10" s="332" customFormat="1" ht="15" x14ac:dyDescent="0.25">
      <c r="A803" s="334"/>
      <c r="B803" s="409"/>
      <c r="C803" s="409"/>
      <c r="D803" s="409"/>
      <c r="E803" s="409"/>
      <c r="F803" s="409">
        <v>1.93</v>
      </c>
      <c r="G803" s="409">
        <v>1</v>
      </c>
      <c r="H803" s="410">
        <f t="shared" si="110"/>
        <v>1.93</v>
      </c>
      <c r="I803" s="147"/>
      <c r="J803" s="180">
        <f t="shared" si="98"/>
        <v>1.93</v>
      </c>
    </row>
    <row r="804" spans="1:10" s="332" customFormat="1" ht="15" x14ac:dyDescent="0.25">
      <c r="A804" s="334"/>
      <c r="B804" s="409"/>
      <c r="C804" s="409"/>
      <c r="D804" s="409"/>
      <c r="E804" s="409"/>
      <c r="F804" s="411">
        <f>F800</f>
        <v>1.53</v>
      </c>
      <c r="G804" s="411">
        <f>F801</f>
        <v>1.93</v>
      </c>
      <c r="H804" s="412">
        <f t="shared" si="110"/>
        <v>2.9529000000000001</v>
      </c>
      <c r="I804" s="147"/>
      <c r="J804" s="180">
        <f t="shared" si="98"/>
        <v>2.9529000000000001</v>
      </c>
    </row>
    <row r="805" spans="1:10" s="332" customFormat="1" ht="15" x14ac:dyDescent="0.25">
      <c r="A805" s="334"/>
      <c r="B805" s="409"/>
      <c r="C805" s="409"/>
      <c r="D805" s="409"/>
      <c r="E805" s="409"/>
      <c r="F805" s="409"/>
      <c r="G805" s="409"/>
      <c r="H805" s="409"/>
      <c r="I805" s="147"/>
      <c r="J805" s="180">
        <f t="shared" si="98"/>
        <v>0</v>
      </c>
    </row>
    <row r="806" spans="1:10" s="332" customFormat="1" ht="15" x14ac:dyDescent="0.25">
      <c r="A806" s="334"/>
      <c r="B806" s="409" t="s">
        <v>573</v>
      </c>
      <c r="C806" s="409"/>
      <c r="D806" s="409"/>
      <c r="E806" s="409"/>
      <c r="F806" s="409">
        <v>3.59</v>
      </c>
      <c r="G806" s="409">
        <v>1</v>
      </c>
      <c r="H806" s="410">
        <f t="shared" ref="H806:H810" si="111">F806*G806</f>
        <v>3.59</v>
      </c>
      <c r="I806" s="147"/>
      <c r="J806" s="180">
        <f t="shared" si="98"/>
        <v>3.59</v>
      </c>
    </row>
    <row r="807" spans="1:10" s="332" customFormat="1" ht="15" x14ac:dyDescent="0.25">
      <c r="A807" s="334"/>
      <c r="B807" s="409"/>
      <c r="C807" s="409"/>
      <c r="D807" s="409"/>
      <c r="E807" s="409"/>
      <c r="F807" s="409">
        <v>6.78</v>
      </c>
      <c r="G807" s="409">
        <v>1</v>
      </c>
      <c r="H807" s="410">
        <f t="shared" si="111"/>
        <v>6.78</v>
      </c>
      <c r="I807" s="147"/>
      <c r="J807" s="180">
        <f t="shared" si="98"/>
        <v>6.78</v>
      </c>
    </row>
    <row r="808" spans="1:10" s="332" customFormat="1" ht="15" x14ac:dyDescent="0.25">
      <c r="A808" s="334"/>
      <c r="B808" s="409"/>
      <c r="C808" s="409"/>
      <c r="D808" s="409"/>
      <c r="E808" s="409"/>
      <c r="F808" s="409">
        <v>3.59</v>
      </c>
      <c r="G808" s="409">
        <v>0.9</v>
      </c>
      <c r="H808" s="410">
        <f t="shared" si="111"/>
        <v>3.2309999999999999</v>
      </c>
      <c r="I808" s="147"/>
      <c r="J808" s="180">
        <f t="shared" si="98"/>
        <v>3.2309999999999999</v>
      </c>
    </row>
    <row r="809" spans="1:10" s="332" customFormat="1" ht="15" x14ac:dyDescent="0.25">
      <c r="A809" s="334"/>
      <c r="B809" s="409"/>
      <c r="C809" s="409"/>
      <c r="D809" s="409"/>
      <c r="E809" s="409"/>
      <c r="F809" s="409">
        <v>6.78</v>
      </c>
      <c r="G809" s="409">
        <v>1</v>
      </c>
      <c r="H809" s="410">
        <f t="shared" si="111"/>
        <v>6.78</v>
      </c>
      <c r="I809" s="147"/>
      <c r="J809" s="180">
        <f t="shared" si="98"/>
        <v>6.78</v>
      </c>
    </row>
    <row r="810" spans="1:10" s="332" customFormat="1" ht="15" x14ac:dyDescent="0.25">
      <c r="A810" s="334"/>
      <c r="B810" s="409"/>
      <c r="C810" s="409"/>
      <c r="D810" s="409"/>
      <c r="E810" s="409"/>
      <c r="F810" s="411">
        <f>F806</f>
        <v>3.59</v>
      </c>
      <c r="G810" s="411">
        <f>F807</f>
        <v>6.78</v>
      </c>
      <c r="H810" s="412">
        <f t="shared" si="111"/>
        <v>24.340199999999999</v>
      </c>
      <c r="I810" s="147"/>
      <c r="J810" s="180">
        <f t="shared" si="98"/>
        <v>24.340199999999999</v>
      </c>
    </row>
    <row r="811" spans="1:10" s="332" customFormat="1" ht="15" x14ac:dyDescent="0.25">
      <c r="A811" s="334"/>
      <c r="B811" s="409"/>
      <c r="C811" s="409"/>
      <c r="D811" s="409"/>
      <c r="E811" s="409"/>
      <c r="F811" s="409"/>
      <c r="G811" s="409"/>
      <c r="H811" s="409"/>
      <c r="I811" s="147"/>
      <c r="J811" s="180">
        <f t="shared" ref="J811:J874" si="112">H811</f>
        <v>0</v>
      </c>
    </row>
    <row r="812" spans="1:10" s="332" customFormat="1" ht="15" x14ac:dyDescent="0.25">
      <c r="A812" s="334"/>
      <c r="B812" s="409"/>
      <c r="C812" s="409"/>
      <c r="D812" s="409"/>
      <c r="E812" s="409"/>
      <c r="F812" s="409"/>
      <c r="G812" s="409"/>
      <c r="H812" s="409"/>
      <c r="I812" s="147"/>
      <c r="J812" s="180">
        <f t="shared" si="112"/>
        <v>0</v>
      </c>
    </row>
    <row r="813" spans="1:10" s="332" customFormat="1" ht="15" x14ac:dyDescent="0.25">
      <c r="A813" s="334"/>
      <c r="B813" s="409" t="s">
        <v>592</v>
      </c>
      <c r="C813" s="409"/>
      <c r="D813" s="409"/>
      <c r="E813" s="409"/>
      <c r="F813" s="409">
        <v>60.32</v>
      </c>
      <c r="G813" s="409">
        <v>7.5</v>
      </c>
      <c r="H813" s="410">
        <f t="shared" ref="H813:H816" si="113">F813*G813</f>
        <v>452.4</v>
      </c>
      <c r="I813" s="147"/>
      <c r="J813" s="180">
        <f t="shared" si="112"/>
        <v>452.4</v>
      </c>
    </row>
    <row r="814" spans="1:10" s="332" customFormat="1" ht="15" x14ac:dyDescent="0.25">
      <c r="A814" s="334"/>
      <c r="B814" s="409"/>
      <c r="C814" s="409"/>
      <c r="D814" s="409"/>
      <c r="E814" s="409"/>
      <c r="F814" s="409">
        <v>18.43</v>
      </c>
      <c r="G814" s="409">
        <v>7.5</v>
      </c>
      <c r="H814" s="410">
        <f t="shared" si="113"/>
        <v>138.22499999999999</v>
      </c>
      <c r="I814" s="147"/>
      <c r="J814" s="180">
        <f t="shared" si="112"/>
        <v>138.22499999999999</v>
      </c>
    </row>
    <row r="815" spans="1:10" s="332" customFormat="1" ht="15" x14ac:dyDescent="0.25">
      <c r="A815" s="334"/>
      <c r="B815" s="409"/>
      <c r="C815" s="409"/>
      <c r="D815" s="409"/>
      <c r="E815" s="409"/>
      <c r="F815" s="409">
        <v>29</v>
      </c>
      <c r="G815" s="409">
        <v>7.5</v>
      </c>
      <c r="H815" s="410">
        <f t="shared" si="113"/>
        <v>217.5</v>
      </c>
      <c r="I815" s="147"/>
      <c r="J815" s="180">
        <f t="shared" si="112"/>
        <v>217.5</v>
      </c>
    </row>
    <row r="816" spans="1:10" s="332" customFormat="1" ht="15" x14ac:dyDescent="0.25">
      <c r="A816" s="334"/>
      <c r="B816" s="409"/>
      <c r="C816" s="409"/>
      <c r="D816" s="409"/>
      <c r="E816" s="409"/>
      <c r="F816" s="409">
        <v>30</v>
      </c>
      <c r="G816" s="409">
        <v>7.5</v>
      </c>
      <c r="H816" s="410">
        <f t="shared" si="113"/>
        <v>225</v>
      </c>
      <c r="I816" s="147"/>
      <c r="J816" s="180">
        <f t="shared" si="112"/>
        <v>225</v>
      </c>
    </row>
    <row r="817" spans="1:10" s="332" customFormat="1" ht="15" x14ac:dyDescent="0.25">
      <c r="A817" s="334"/>
      <c r="B817" s="409"/>
      <c r="C817" s="409"/>
      <c r="D817" s="409"/>
      <c r="E817" s="409"/>
      <c r="F817" s="409">
        <v>28.5</v>
      </c>
      <c r="G817" s="409">
        <v>7.5</v>
      </c>
      <c r="H817" s="410">
        <f>F817*G817</f>
        <v>213.75</v>
      </c>
      <c r="I817" s="147"/>
      <c r="J817" s="180">
        <f t="shared" si="112"/>
        <v>213.75</v>
      </c>
    </row>
    <row r="818" spans="1:10" s="332" customFormat="1" ht="15" x14ac:dyDescent="0.25">
      <c r="A818" s="334"/>
      <c r="B818" s="409"/>
      <c r="C818" s="409"/>
      <c r="D818" s="409"/>
      <c r="E818" s="409"/>
      <c r="F818" s="409" t="s">
        <v>682</v>
      </c>
      <c r="G818" s="409"/>
      <c r="H818" s="410">
        <f>-45*1.5*3.5</f>
        <v>-236.25</v>
      </c>
      <c r="I818" s="147"/>
      <c r="J818" s="180">
        <f t="shared" si="112"/>
        <v>-236.25</v>
      </c>
    </row>
    <row r="819" spans="1:10" s="332" customFormat="1" ht="15" x14ac:dyDescent="0.25">
      <c r="A819" s="334"/>
      <c r="B819" s="409" t="s">
        <v>683</v>
      </c>
      <c r="C819" s="409"/>
      <c r="D819" s="409"/>
      <c r="E819" s="409"/>
      <c r="F819" s="409" t="s">
        <v>492</v>
      </c>
      <c r="G819" s="409" t="s">
        <v>641</v>
      </c>
      <c r="H819" s="409" t="s">
        <v>642</v>
      </c>
      <c r="I819" s="147"/>
      <c r="J819" s="180" t="str">
        <f t="shared" si="112"/>
        <v>A</v>
      </c>
    </row>
    <row r="820" spans="1:10" s="332" customFormat="1" ht="15" x14ac:dyDescent="0.25">
      <c r="A820" s="334"/>
      <c r="B820" s="409"/>
      <c r="C820" s="409"/>
      <c r="D820" s="409"/>
      <c r="E820" s="409"/>
      <c r="F820" s="409">
        <v>10.82</v>
      </c>
      <c r="G820" s="409">
        <v>2.9</v>
      </c>
      <c r="H820" s="409">
        <f>F820*G820</f>
        <v>31.378</v>
      </c>
      <c r="I820" s="147"/>
      <c r="J820" s="180">
        <f t="shared" si="112"/>
        <v>31.378</v>
      </c>
    </row>
    <row r="821" spans="1:10" s="332" customFormat="1" ht="15" x14ac:dyDescent="0.25">
      <c r="A821" s="334"/>
      <c r="B821" s="409"/>
      <c r="C821" s="409"/>
      <c r="D821" s="409"/>
      <c r="E821" s="409"/>
      <c r="F821" s="409">
        <v>10.82</v>
      </c>
      <c r="G821" s="409">
        <v>2.9</v>
      </c>
      <c r="H821" s="409">
        <f t="shared" ref="H821:H832" si="114">F821*G821</f>
        <v>31.378</v>
      </c>
      <c r="I821" s="147"/>
      <c r="J821" s="180">
        <f t="shared" si="112"/>
        <v>31.378</v>
      </c>
    </row>
    <row r="822" spans="1:10" s="332" customFormat="1" ht="15" x14ac:dyDescent="0.25">
      <c r="A822" s="334"/>
      <c r="B822" s="409"/>
      <c r="C822" s="409"/>
      <c r="D822" s="409"/>
      <c r="E822" s="409"/>
      <c r="F822" s="409">
        <v>2.9</v>
      </c>
      <c r="G822" s="409">
        <v>2.9</v>
      </c>
      <c r="H822" s="409">
        <f t="shared" si="114"/>
        <v>8.41</v>
      </c>
      <c r="I822" s="147"/>
      <c r="J822" s="180">
        <f t="shared" si="112"/>
        <v>8.41</v>
      </c>
    </row>
    <row r="823" spans="1:10" s="332" customFormat="1" ht="15" x14ac:dyDescent="0.25">
      <c r="A823" s="334"/>
      <c r="B823" s="409"/>
      <c r="C823" s="409"/>
      <c r="D823" s="409"/>
      <c r="E823" s="409"/>
      <c r="F823" s="409">
        <v>2.9</v>
      </c>
      <c r="G823" s="409">
        <v>2.9</v>
      </c>
      <c r="H823" s="409">
        <f t="shared" si="114"/>
        <v>8.41</v>
      </c>
      <c r="I823" s="147"/>
      <c r="J823" s="180">
        <f t="shared" si="112"/>
        <v>8.41</v>
      </c>
    </row>
    <row r="824" spans="1:10" s="332" customFormat="1" ht="15" x14ac:dyDescent="0.25">
      <c r="A824" s="334"/>
      <c r="B824" s="409"/>
      <c r="C824" s="409"/>
      <c r="D824" s="409"/>
      <c r="E824" s="409"/>
      <c r="F824" s="409">
        <v>2.9</v>
      </c>
      <c r="G824" s="409">
        <v>10.82</v>
      </c>
      <c r="H824" s="409">
        <f t="shared" si="114"/>
        <v>31.378</v>
      </c>
      <c r="I824" s="147"/>
      <c r="J824" s="180">
        <f t="shared" si="112"/>
        <v>31.378</v>
      </c>
    </row>
    <row r="825" spans="1:10" s="332" customFormat="1" ht="15" x14ac:dyDescent="0.25">
      <c r="A825" s="334"/>
      <c r="B825" s="409" t="s">
        <v>684</v>
      </c>
      <c r="C825" s="409"/>
      <c r="D825" s="409"/>
      <c r="E825" s="409"/>
      <c r="F825" s="409">
        <v>1.77</v>
      </c>
      <c r="G825" s="409">
        <v>2.9</v>
      </c>
      <c r="H825" s="409">
        <f t="shared" si="114"/>
        <v>5.133</v>
      </c>
      <c r="I825" s="147"/>
      <c r="J825" s="180">
        <f t="shared" si="112"/>
        <v>5.133</v>
      </c>
    </row>
    <row r="826" spans="1:10" s="332" customFormat="1" ht="15" x14ac:dyDescent="0.25">
      <c r="A826" s="334"/>
      <c r="B826" s="409"/>
      <c r="C826" s="409"/>
      <c r="D826" s="409"/>
      <c r="E826" s="409"/>
      <c r="F826" s="409">
        <v>1.77</v>
      </c>
      <c r="G826" s="409">
        <v>2.9</v>
      </c>
      <c r="H826" s="409">
        <f t="shared" si="114"/>
        <v>5.133</v>
      </c>
      <c r="I826" s="147"/>
      <c r="J826" s="180">
        <f t="shared" si="112"/>
        <v>5.133</v>
      </c>
    </row>
    <row r="827" spans="1:10" s="332" customFormat="1" ht="15" x14ac:dyDescent="0.25">
      <c r="A827" s="334"/>
      <c r="B827" s="409"/>
      <c r="C827" s="409"/>
      <c r="D827" s="409"/>
      <c r="E827" s="409"/>
      <c r="F827" s="409">
        <v>2.9</v>
      </c>
      <c r="G827" s="409">
        <v>2.9</v>
      </c>
      <c r="H827" s="409">
        <f t="shared" si="114"/>
        <v>8.41</v>
      </c>
      <c r="I827" s="147"/>
      <c r="J827" s="180">
        <f t="shared" si="112"/>
        <v>8.41</v>
      </c>
    </row>
    <row r="828" spans="1:10" s="332" customFormat="1" ht="15" x14ac:dyDescent="0.25">
      <c r="A828" s="334"/>
      <c r="B828" s="409"/>
      <c r="C828" s="409"/>
      <c r="D828" s="409"/>
      <c r="E828" s="409"/>
      <c r="F828" s="409">
        <v>2.9</v>
      </c>
      <c r="G828" s="409">
        <v>2.9</v>
      </c>
      <c r="H828" s="409">
        <f t="shared" si="114"/>
        <v>8.41</v>
      </c>
      <c r="I828" s="147"/>
      <c r="J828" s="180">
        <f t="shared" si="112"/>
        <v>8.41</v>
      </c>
    </row>
    <row r="829" spans="1:10" s="332" customFormat="1" ht="15" x14ac:dyDescent="0.25">
      <c r="A829" s="334"/>
      <c r="B829" s="409"/>
      <c r="C829" s="409"/>
      <c r="D829" s="409"/>
      <c r="E829" s="409"/>
      <c r="F829" s="409">
        <v>2.9</v>
      </c>
      <c r="G829" s="409">
        <v>1.77</v>
      </c>
      <c r="H829" s="409">
        <f t="shared" si="114"/>
        <v>5.133</v>
      </c>
      <c r="I829" s="147"/>
      <c r="J829" s="180">
        <f t="shared" si="112"/>
        <v>5.133</v>
      </c>
    </row>
    <row r="830" spans="1:10" s="332" customFormat="1" ht="15" x14ac:dyDescent="0.25">
      <c r="A830" s="334"/>
      <c r="B830" s="409" t="s">
        <v>685</v>
      </c>
      <c r="C830" s="409"/>
      <c r="D830" s="409"/>
      <c r="E830" s="409"/>
      <c r="F830" s="409">
        <v>6.83</v>
      </c>
      <c r="G830" s="409">
        <v>2.9</v>
      </c>
      <c r="H830" s="409">
        <f t="shared" si="114"/>
        <v>19.806999999999999</v>
      </c>
      <c r="I830" s="147"/>
      <c r="J830" s="180">
        <f t="shared" si="112"/>
        <v>19.806999999999999</v>
      </c>
    </row>
    <row r="831" spans="1:10" s="332" customFormat="1" ht="15" x14ac:dyDescent="0.25">
      <c r="A831" s="334"/>
      <c r="B831" s="409"/>
      <c r="C831" s="409"/>
      <c r="D831" s="409"/>
      <c r="E831" s="409"/>
      <c r="F831" s="409">
        <v>6.83</v>
      </c>
      <c r="G831" s="409">
        <v>2.9</v>
      </c>
      <c r="H831" s="409">
        <f t="shared" si="114"/>
        <v>19.806999999999999</v>
      </c>
      <c r="I831" s="147"/>
      <c r="J831" s="180">
        <f t="shared" si="112"/>
        <v>19.806999999999999</v>
      </c>
    </row>
    <row r="832" spans="1:10" s="332" customFormat="1" ht="15" x14ac:dyDescent="0.25">
      <c r="A832" s="334"/>
      <c r="B832" s="409"/>
      <c r="C832" s="409"/>
      <c r="D832" s="409"/>
      <c r="E832" s="409"/>
      <c r="F832" s="409">
        <v>14.65</v>
      </c>
      <c r="G832" s="409">
        <v>2.9</v>
      </c>
      <c r="H832" s="409">
        <f t="shared" si="114"/>
        <v>42.484999999999999</v>
      </c>
      <c r="I832" s="147"/>
      <c r="J832" s="180">
        <f t="shared" si="112"/>
        <v>42.484999999999999</v>
      </c>
    </row>
    <row r="833" spans="1:10" s="332" customFormat="1" ht="15" x14ac:dyDescent="0.25">
      <c r="A833" s="334"/>
      <c r="B833" s="409"/>
      <c r="C833" s="409"/>
      <c r="D833" s="409"/>
      <c r="E833" s="409"/>
      <c r="F833" s="409">
        <v>14.65</v>
      </c>
      <c r="G833" s="409">
        <v>2.9</v>
      </c>
      <c r="H833" s="409">
        <f>F833*G833-(3.5*1.5*3)</f>
        <v>26.734999999999999</v>
      </c>
      <c r="I833" s="147"/>
      <c r="J833" s="180">
        <f t="shared" si="112"/>
        <v>26.734999999999999</v>
      </c>
    </row>
    <row r="834" spans="1:10" s="332" customFormat="1" ht="15" x14ac:dyDescent="0.25">
      <c r="A834" s="334"/>
      <c r="B834" s="409"/>
      <c r="C834" s="409"/>
      <c r="D834" s="409"/>
      <c r="E834" s="409"/>
      <c r="F834" s="411">
        <v>6.83</v>
      </c>
      <c r="G834" s="411">
        <v>14.65</v>
      </c>
      <c r="H834" s="411">
        <f t="shared" ref="H834:H836" si="115">F834*G834</f>
        <v>100.0595</v>
      </c>
      <c r="I834" s="147"/>
      <c r="J834" s="180">
        <f t="shared" si="112"/>
        <v>100.0595</v>
      </c>
    </row>
    <row r="835" spans="1:10" s="332" customFormat="1" ht="15" x14ac:dyDescent="0.25">
      <c r="A835" s="334"/>
      <c r="B835" s="409" t="s">
        <v>686</v>
      </c>
      <c r="C835" s="409"/>
      <c r="D835" s="409"/>
      <c r="E835" s="409"/>
      <c r="F835" s="409">
        <v>7.36</v>
      </c>
      <c r="G835" s="409">
        <v>2.9</v>
      </c>
      <c r="H835" s="409">
        <f t="shared" si="115"/>
        <v>21.344000000000001</v>
      </c>
      <c r="I835" s="147"/>
      <c r="J835" s="180">
        <f t="shared" si="112"/>
        <v>21.344000000000001</v>
      </c>
    </row>
    <row r="836" spans="1:10" s="332" customFormat="1" ht="15" x14ac:dyDescent="0.25">
      <c r="A836" s="334"/>
      <c r="B836" s="409"/>
      <c r="C836" s="409"/>
      <c r="D836" s="409"/>
      <c r="E836" s="409"/>
      <c r="F836" s="409">
        <v>6.01</v>
      </c>
      <c r="G836" s="409">
        <v>2.9</v>
      </c>
      <c r="H836" s="409">
        <f t="shared" si="115"/>
        <v>17.428999999999998</v>
      </c>
      <c r="I836" s="147"/>
      <c r="J836" s="180">
        <f t="shared" si="112"/>
        <v>17.428999999999998</v>
      </c>
    </row>
    <row r="837" spans="1:10" s="332" customFormat="1" ht="15" x14ac:dyDescent="0.25">
      <c r="A837" s="334"/>
      <c r="B837" s="409"/>
      <c r="C837" s="409"/>
      <c r="D837" s="409"/>
      <c r="E837" s="409"/>
      <c r="F837" s="409">
        <v>3.65</v>
      </c>
      <c r="G837" s="409">
        <v>2.9</v>
      </c>
      <c r="H837" s="409">
        <f>F837*G837-(3.5*1.5)</f>
        <v>5.3349999999999991</v>
      </c>
      <c r="I837" s="147"/>
      <c r="J837" s="180">
        <f t="shared" si="112"/>
        <v>5.3349999999999991</v>
      </c>
    </row>
    <row r="838" spans="1:10" s="332" customFormat="1" ht="15" x14ac:dyDescent="0.25">
      <c r="A838" s="334"/>
      <c r="B838" s="409"/>
      <c r="C838" s="409"/>
      <c r="D838" s="409"/>
      <c r="E838" s="409"/>
      <c r="F838" s="409">
        <v>6.72</v>
      </c>
      <c r="G838" s="409">
        <v>2.9</v>
      </c>
      <c r="H838" s="409">
        <f t="shared" ref="H838:H839" si="116">F838*G838</f>
        <v>19.488</v>
      </c>
      <c r="I838" s="147"/>
      <c r="J838" s="180">
        <f t="shared" si="112"/>
        <v>19.488</v>
      </c>
    </row>
    <row r="839" spans="1:10" s="332" customFormat="1" ht="15" x14ac:dyDescent="0.25">
      <c r="A839" s="334"/>
      <c r="B839" s="409"/>
      <c r="C839" s="409"/>
      <c r="D839" s="409"/>
      <c r="E839" s="409"/>
      <c r="F839" s="409">
        <v>4.51</v>
      </c>
      <c r="G839" s="409">
        <v>2.9</v>
      </c>
      <c r="H839" s="409">
        <f t="shared" si="116"/>
        <v>13.078999999999999</v>
      </c>
      <c r="I839" s="147"/>
      <c r="J839" s="180">
        <f t="shared" si="112"/>
        <v>13.078999999999999</v>
      </c>
    </row>
    <row r="840" spans="1:10" s="332" customFormat="1" ht="15" x14ac:dyDescent="0.25">
      <c r="A840" s="334"/>
      <c r="B840" s="409"/>
      <c r="C840" s="409"/>
      <c r="D840" s="409"/>
      <c r="E840" s="409"/>
      <c r="F840" s="409"/>
      <c r="G840" s="409"/>
      <c r="H840" s="409">
        <v>41.66</v>
      </c>
      <c r="I840" s="147"/>
      <c r="J840" s="180">
        <f t="shared" si="112"/>
        <v>41.66</v>
      </c>
    </row>
    <row r="841" spans="1:10" s="332" customFormat="1" ht="15" x14ac:dyDescent="0.25">
      <c r="A841" s="334"/>
      <c r="B841" s="409" t="s">
        <v>687</v>
      </c>
      <c r="C841" s="409"/>
      <c r="D841" s="409"/>
      <c r="E841" s="409"/>
      <c r="F841" s="409">
        <v>193</v>
      </c>
      <c r="G841" s="409">
        <f>2.9-1.9</f>
        <v>1</v>
      </c>
      <c r="H841" s="409">
        <f>F841*G841</f>
        <v>193</v>
      </c>
      <c r="I841" s="147"/>
      <c r="J841" s="180">
        <f t="shared" si="112"/>
        <v>193</v>
      </c>
    </row>
    <row r="842" spans="1:10" s="332" customFormat="1" ht="15" x14ac:dyDescent="0.25">
      <c r="A842" s="334"/>
      <c r="B842" s="409"/>
      <c r="C842" s="409"/>
      <c r="D842" s="409"/>
      <c r="E842" s="409"/>
      <c r="F842" s="409">
        <v>138</v>
      </c>
      <c r="G842" s="409">
        <v>1</v>
      </c>
      <c r="H842" s="409">
        <f>F842*G842</f>
        <v>138</v>
      </c>
      <c r="I842" s="147"/>
      <c r="J842" s="180">
        <f t="shared" si="112"/>
        <v>138</v>
      </c>
    </row>
    <row r="843" spans="1:10" s="332" customFormat="1" ht="15" x14ac:dyDescent="0.25">
      <c r="A843" s="334"/>
      <c r="B843" s="409"/>
      <c r="C843" s="409"/>
      <c r="D843" s="409"/>
      <c r="E843" s="409"/>
      <c r="F843" s="409">
        <v>193</v>
      </c>
      <c r="G843" s="409">
        <f>2.9-1.9</f>
        <v>1</v>
      </c>
      <c r="H843" s="409">
        <f>F843*G843</f>
        <v>193</v>
      </c>
      <c r="I843" s="147"/>
      <c r="J843" s="180">
        <f t="shared" si="112"/>
        <v>193</v>
      </c>
    </row>
    <row r="844" spans="1:10" s="332" customFormat="1" ht="15" x14ac:dyDescent="0.25">
      <c r="A844" s="334"/>
      <c r="B844" s="409"/>
      <c r="C844" s="409"/>
      <c r="D844" s="409"/>
      <c r="E844" s="409"/>
      <c r="F844" s="409">
        <v>138</v>
      </c>
      <c r="G844" s="409">
        <v>1</v>
      </c>
      <c r="H844" s="409">
        <f>F844*G844</f>
        <v>138</v>
      </c>
      <c r="I844" s="147"/>
      <c r="J844" s="180">
        <f t="shared" si="112"/>
        <v>138</v>
      </c>
    </row>
    <row r="845" spans="1:10" s="332" customFormat="1" ht="15" x14ac:dyDescent="0.25">
      <c r="A845" s="334"/>
      <c r="B845" s="409"/>
      <c r="C845" s="409"/>
      <c r="D845" s="409"/>
      <c r="E845" s="409"/>
      <c r="F845" s="411">
        <v>1.93</v>
      </c>
      <c r="G845" s="411">
        <v>1.38</v>
      </c>
      <c r="H845" s="411">
        <f t="shared" ref="H845:H849" si="117">F845*G845</f>
        <v>2.6633999999999998</v>
      </c>
      <c r="I845" s="147"/>
      <c r="J845" s="180">
        <f t="shared" si="112"/>
        <v>2.6633999999999998</v>
      </c>
    </row>
    <row r="846" spans="1:10" s="332" customFormat="1" ht="15" x14ac:dyDescent="0.25">
      <c r="A846" s="334"/>
      <c r="B846" s="409" t="s">
        <v>688</v>
      </c>
      <c r="C846" s="409"/>
      <c r="D846" s="409"/>
      <c r="E846" s="409"/>
      <c r="F846" s="409">
        <v>11.14</v>
      </c>
      <c r="G846" s="409">
        <v>0.75</v>
      </c>
      <c r="H846" s="409">
        <f t="shared" si="117"/>
        <v>8.3550000000000004</v>
      </c>
      <c r="I846" s="147"/>
      <c r="J846" s="180">
        <f t="shared" si="112"/>
        <v>8.3550000000000004</v>
      </c>
    </row>
    <row r="847" spans="1:10" s="332" customFormat="1" ht="15" x14ac:dyDescent="0.25">
      <c r="A847" s="334"/>
      <c r="B847" s="409"/>
      <c r="C847" s="409"/>
      <c r="D847" s="409"/>
      <c r="E847" s="409"/>
      <c r="F847" s="409">
        <v>11.65</v>
      </c>
      <c r="G847" s="409">
        <v>2.9</v>
      </c>
      <c r="H847" s="409">
        <f t="shared" si="117"/>
        <v>33.784999999999997</v>
      </c>
      <c r="I847" s="147"/>
      <c r="J847" s="180">
        <f t="shared" si="112"/>
        <v>33.784999999999997</v>
      </c>
    </row>
    <row r="848" spans="1:10" s="332" customFormat="1" ht="15" x14ac:dyDescent="0.25">
      <c r="A848" s="334"/>
      <c r="B848" s="409"/>
      <c r="C848" s="409"/>
      <c r="D848" s="409"/>
      <c r="E848" s="409"/>
      <c r="F848" s="409">
        <v>11.14</v>
      </c>
      <c r="G848" s="409">
        <v>0.75</v>
      </c>
      <c r="H848" s="409">
        <f t="shared" si="117"/>
        <v>8.3550000000000004</v>
      </c>
      <c r="I848" s="147"/>
      <c r="J848" s="180">
        <f t="shared" si="112"/>
        <v>8.3550000000000004</v>
      </c>
    </row>
    <row r="849" spans="1:10" s="332" customFormat="1" ht="15" x14ac:dyDescent="0.25">
      <c r="A849" s="334"/>
      <c r="B849" s="409"/>
      <c r="C849" s="409"/>
      <c r="D849" s="409"/>
      <c r="E849" s="409"/>
      <c r="F849" s="409">
        <v>11.65</v>
      </c>
      <c r="G849" s="409">
        <v>2.9</v>
      </c>
      <c r="H849" s="409">
        <f t="shared" si="117"/>
        <v>33.784999999999997</v>
      </c>
      <c r="I849" s="147"/>
      <c r="J849" s="180">
        <f t="shared" si="112"/>
        <v>33.784999999999997</v>
      </c>
    </row>
    <row r="850" spans="1:10" s="332" customFormat="1" ht="15" x14ac:dyDescent="0.25">
      <c r="A850" s="334"/>
      <c r="B850" s="409"/>
      <c r="C850" s="409"/>
      <c r="D850" s="409"/>
      <c r="E850" s="409"/>
      <c r="F850" s="411"/>
      <c r="G850" s="411"/>
      <c r="H850" s="411">
        <v>160.84</v>
      </c>
      <c r="I850" s="147"/>
      <c r="J850" s="180">
        <f t="shared" si="112"/>
        <v>160.84</v>
      </c>
    </row>
    <row r="851" spans="1:10" s="332" customFormat="1" ht="15" x14ac:dyDescent="0.25">
      <c r="A851" s="334"/>
      <c r="B851" s="409" t="s">
        <v>689</v>
      </c>
      <c r="C851" s="409"/>
      <c r="D851" s="409"/>
      <c r="E851" s="409"/>
      <c r="F851" s="409">
        <v>7.46</v>
      </c>
      <c r="G851" s="409">
        <v>2.9</v>
      </c>
      <c r="H851" s="409">
        <f>F851*G851</f>
        <v>21.634</v>
      </c>
      <c r="I851" s="147"/>
      <c r="J851" s="180">
        <f t="shared" si="112"/>
        <v>21.634</v>
      </c>
    </row>
    <row r="852" spans="1:10" s="332" customFormat="1" ht="15" x14ac:dyDescent="0.25">
      <c r="A852" s="334"/>
      <c r="B852" s="409"/>
      <c r="C852" s="409"/>
      <c r="D852" s="409"/>
      <c r="E852" s="409"/>
      <c r="F852" s="409">
        <v>3.28</v>
      </c>
      <c r="G852" s="409">
        <f>2.9-1.43</f>
        <v>1.47</v>
      </c>
      <c r="H852" s="409">
        <f t="shared" ref="H852:H854" si="118">F852*G852</f>
        <v>4.8215999999999992</v>
      </c>
      <c r="I852" s="147"/>
      <c r="J852" s="180">
        <f t="shared" si="112"/>
        <v>4.8215999999999992</v>
      </c>
    </row>
    <row r="853" spans="1:10" s="332" customFormat="1" ht="15" x14ac:dyDescent="0.25">
      <c r="A853" s="334"/>
      <c r="B853" s="409"/>
      <c r="C853" s="409"/>
      <c r="D853" s="409"/>
      <c r="E853" s="409"/>
      <c r="F853" s="409">
        <v>7.46</v>
      </c>
      <c r="G853" s="409">
        <v>2.9</v>
      </c>
      <c r="H853" s="409">
        <f t="shared" si="118"/>
        <v>21.634</v>
      </c>
      <c r="I853" s="147"/>
      <c r="J853" s="180">
        <f t="shared" si="112"/>
        <v>21.634</v>
      </c>
    </row>
    <row r="854" spans="1:10" s="332" customFormat="1" ht="15" x14ac:dyDescent="0.25">
      <c r="A854" s="334"/>
      <c r="B854" s="409"/>
      <c r="C854" s="409"/>
      <c r="D854" s="409"/>
      <c r="E854" s="409"/>
      <c r="F854" s="409">
        <v>3.28</v>
      </c>
      <c r="G854" s="409">
        <f>2.9-1.43</f>
        <v>1.47</v>
      </c>
      <c r="H854" s="409">
        <f t="shared" si="118"/>
        <v>4.8215999999999992</v>
      </c>
      <c r="I854" s="147"/>
      <c r="J854" s="180">
        <f t="shared" si="112"/>
        <v>4.8215999999999992</v>
      </c>
    </row>
    <row r="855" spans="1:10" s="332" customFormat="1" ht="15" x14ac:dyDescent="0.25">
      <c r="A855" s="334"/>
      <c r="B855" s="409"/>
      <c r="C855" s="409"/>
      <c r="D855" s="409"/>
      <c r="E855" s="409"/>
      <c r="F855" s="411">
        <v>7.46</v>
      </c>
      <c r="G855" s="411">
        <v>3.28</v>
      </c>
      <c r="H855" s="412">
        <f>F855*G855</f>
        <v>24.468799999999998</v>
      </c>
      <c r="I855" s="147"/>
      <c r="J855" s="180">
        <f t="shared" si="112"/>
        <v>24.468799999999998</v>
      </c>
    </row>
    <row r="856" spans="1:10" s="332" customFormat="1" ht="15" x14ac:dyDescent="0.25">
      <c r="A856" s="334"/>
      <c r="B856" s="409" t="s">
        <v>690</v>
      </c>
      <c r="C856" s="409"/>
      <c r="D856" s="409"/>
      <c r="E856" s="409"/>
      <c r="F856" s="409">
        <v>3.52</v>
      </c>
      <c r="G856" s="409">
        <f>2.9-1</f>
        <v>1.9</v>
      </c>
      <c r="H856" s="409">
        <f>F856*G856</f>
        <v>6.6879999999999997</v>
      </c>
      <c r="I856" s="147"/>
      <c r="J856" s="180">
        <f t="shared" si="112"/>
        <v>6.6879999999999997</v>
      </c>
    </row>
    <row r="857" spans="1:10" s="332" customFormat="1" ht="15" x14ac:dyDescent="0.25">
      <c r="A857" s="334"/>
      <c r="B857" s="409"/>
      <c r="C857" s="409"/>
      <c r="D857" s="409"/>
      <c r="E857" s="409"/>
      <c r="F857" s="409">
        <v>3.65</v>
      </c>
      <c r="G857" s="409">
        <v>2.9</v>
      </c>
      <c r="H857" s="409">
        <f t="shared" ref="H857:H859" si="119">F857*G857</f>
        <v>10.584999999999999</v>
      </c>
      <c r="I857" s="147"/>
      <c r="J857" s="180">
        <f t="shared" si="112"/>
        <v>10.584999999999999</v>
      </c>
    </row>
    <row r="858" spans="1:10" s="332" customFormat="1" ht="15" x14ac:dyDescent="0.25">
      <c r="A858" s="334"/>
      <c r="B858" s="409"/>
      <c r="C858" s="409"/>
      <c r="D858" s="409"/>
      <c r="E858" s="409"/>
      <c r="F858" s="409">
        <v>3.52</v>
      </c>
      <c r="G858" s="409">
        <v>2.9</v>
      </c>
      <c r="H858" s="409">
        <f t="shared" si="119"/>
        <v>10.208</v>
      </c>
      <c r="I858" s="147"/>
      <c r="J858" s="180">
        <f t="shared" si="112"/>
        <v>10.208</v>
      </c>
    </row>
    <row r="859" spans="1:10" s="332" customFormat="1" ht="15" x14ac:dyDescent="0.25">
      <c r="A859" s="334"/>
      <c r="B859" s="409"/>
      <c r="C859" s="409"/>
      <c r="D859" s="409"/>
      <c r="E859" s="409"/>
      <c r="F859" s="409">
        <v>3.65</v>
      </c>
      <c r="G859" s="409">
        <v>1</v>
      </c>
      <c r="H859" s="409">
        <f t="shared" si="119"/>
        <v>3.65</v>
      </c>
      <c r="I859" s="147"/>
      <c r="J859" s="180">
        <f t="shared" si="112"/>
        <v>3.65</v>
      </c>
    </row>
    <row r="860" spans="1:10" s="332" customFormat="1" ht="15" x14ac:dyDescent="0.25">
      <c r="A860" s="334"/>
      <c r="B860" s="409"/>
      <c r="C860" s="409"/>
      <c r="D860" s="409"/>
      <c r="E860" s="409"/>
      <c r="F860" s="411">
        <v>3.52</v>
      </c>
      <c r="G860" s="411">
        <v>3.65</v>
      </c>
      <c r="H860" s="412">
        <f>F860*G860</f>
        <v>12.847999999999999</v>
      </c>
      <c r="I860" s="147"/>
      <c r="J860" s="180">
        <f t="shared" si="112"/>
        <v>12.847999999999999</v>
      </c>
    </row>
    <row r="861" spans="1:10" s="332" customFormat="1" ht="15" x14ac:dyDescent="0.25">
      <c r="A861" s="334"/>
      <c r="B861" s="409" t="s">
        <v>668</v>
      </c>
      <c r="C861" s="409"/>
      <c r="D861" s="409"/>
      <c r="E861" s="409"/>
      <c r="F861" s="409">
        <v>2.13</v>
      </c>
      <c r="G861" s="409">
        <v>2.9</v>
      </c>
      <c r="H861" s="409">
        <f>F861*G861</f>
        <v>6.1769999999999996</v>
      </c>
      <c r="I861" s="147"/>
      <c r="J861" s="180">
        <f t="shared" si="112"/>
        <v>6.1769999999999996</v>
      </c>
    </row>
    <row r="862" spans="1:10" s="332" customFormat="1" ht="15" x14ac:dyDescent="0.25">
      <c r="A862" s="334"/>
      <c r="B862" s="409"/>
      <c r="C862" s="409"/>
      <c r="D862" s="409"/>
      <c r="E862" s="409"/>
      <c r="F862" s="409">
        <v>2.76</v>
      </c>
      <c r="G862" s="409">
        <v>2.9</v>
      </c>
      <c r="H862" s="409">
        <f t="shared" ref="H862:H864" si="120">F862*G862</f>
        <v>8.0039999999999996</v>
      </c>
      <c r="I862" s="147"/>
      <c r="J862" s="180">
        <f t="shared" si="112"/>
        <v>8.0039999999999996</v>
      </c>
    </row>
    <row r="863" spans="1:10" s="332" customFormat="1" ht="15" x14ac:dyDescent="0.25">
      <c r="A863" s="334"/>
      <c r="B863" s="409"/>
      <c r="C863" s="409"/>
      <c r="D863" s="409"/>
      <c r="E863" s="409"/>
      <c r="F863" s="409">
        <v>2.13</v>
      </c>
      <c r="G863" s="409">
        <v>2.9</v>
      </c>
      <c r="H863" s="409">
        <f t="shared" si="120"/>
        <v>6.1769999999999996</v>
      </c>
      <c r="I863" s="147"/>
      <c r="J863" s="180">
        <f t="shared" si="112"/>
        <v>6.1769999999999996</v>
      </c>
    </row>
    <row r="864" spans="1:10" s="332" customFormat="1" ht="15" x14ac:dyDescent="0.25">
      <c r="A864" s="334"/>
      <c r="B864" s="409"/>
      <c r="C864" s="409"/>
      <c r="D864" s="409"/>
      <c r="E864" s="409"/>
      <c r="F864" s="409">
        <v>2.76</v>
      </c>
      <c r="G864" s="409">
        <v>2.9</v>
      </c>
      <c r="H864" s="409">
        <f t="shared" si="120"/>
        <v>8.0039999999999996</v>
      </c>
      <c r="I864" s="147"/>
      <c r="J864" s="180">
        <f t="shared" si="112"/>
        <v>8.0039999999999996</v>
      </c>
    </row>
    <row r="865" spans="1:10" s="332" customFormat="1" ht="15" x14ac:dyDescent="0.25">
      <c r="A865" s="334"/>
      <c r="B865" s="409"/>
      <c r="C865" s="409"/>
      <c r="D865" s="409"/>
      <c r="E865" s="409"/>
      <c r="F865" s="411">
        <v>2.13</v>
      </c>
      <c r="G865" s="411">
        <v>2.76</v>
      </c>
      <c r="H865" s="412">
        <f>F865*G865</f>
        <v>5.8787999999999991</v>
      </c>
      <c r="I865" s="147"/>
      <c r="J865" s="180">
        <f t="shared" si="112"/>
        <v>5.8787999999999991</v>
      </c>
    </row>
    <row r="866" spans="1:10" s="332" customFormat="1" ht="15" x14ac:dyDescent="0.25">
      <c r="A866" s="334"/>
      <c r="B866" s="409"/>
      <c r="C866" s="409"/>
      <c r="D866" s="409"/>
      <c r="E866" s="409"/>
      <c r="F866" s="409"/>
      <c r="G866" s="409"/>
      <c r="H866" s="409"/>
      <c r="I866" s="147"/>
      <c r="J866" s="180">
        <f t="shared" si="112"/>
        <v>0</v>
      </c>
    </row>
    <row r="867" spans="1:10" s="332" customFormat="1" ht="15" x14ac:dyDescent="0.25">
      <c r="A867" s="334"/>
      <c r="B867" s="409"/>
      <c r="C867" s="409"/>
      <c r="D867" s="409"/>
      <c r="E867" s="409"/>
      <c r="F867" s="409"/>
      <c r="G867" s="409"/>
      <c r="H867" s="409"/>
      <c r="I867" s="147"/>
      <c r="J867" s="180">
        <f t="shared" si="112"/>
        <v>0</v>
      </c>
    </row>
    <row r="868" spans="1:10" s="332" customFormat="1" ht="15" x14ac:dyDescent="0.25">
      <c r="A868" s="334"/>
      <c r="B868" s="409"/>
      <c r="C868" s="409"/>
      <c r="D868" s="409"/>
      <c r="E868" s="409"/>
      <c r="F868" s="409"/>
      <c r="G868" s="409"/>
      <c r="H868" s="409"/>
      <c r="I868" s="147"/>
      <c r="J868" s="180">
        <f t="shared" si="112"/>
        <v>0</v>
      </c>
    </row>
    <row r="869" spans="1:10" s="332" customFormat="1" ht="15" x14ac:dyDescent="0.25">
      <c r="A869" s="334"/>
      <c r="B869" s="409" t="s">
        <v>563</v>
      </c>
      <c r="C869" s="409"/>
      <c r="D869" s="409"/>
      <c r="E869" s="409"/>
      <c r="F869" s="409" t="s">
        <v>679</v>
      </c>
      <c r="G869" s="409"/>
      <c r="H869" s="410"/>
      <c r="I869" s="147"/>
      <c r="J869" s="180">
        <f t="shared" si="112"/>
        <v>0</v>
      </c>
    </row>
    <row r="870" spans="1:10" s="332" customFormat="1" ht="15" x14ac:dyDescent="0.25">
      <c r="A870" s="334"/>
      <c r="B870" s="409"/>
      <c r="C870" s="409"/>
      <c r="D870" s="409"/>
      <c r="E870" s="409"/>
      <c r="F870" s="409">
        <v>62</v>
      </c>
      <c r="G870" s="409">
        <v>2.9</v>
      </c>
      <c r="H870" s="410">
        <f t="shared" ref="H870:H872" si="121">F870*G870</f>
        <v>179.79999999999998</v>
      </c>
      <c r="I870" s="147"/>
      <c r="J870" s="180">
        <f t="shared" si="112"/>
        <v>179.79999999999998</v>
      </c>
    </row>
    <row r="871" spans="1:10" s="332" customFormat="1" ht="15" x14ac:dyDescent="0.25">
      <c r="A871" s="334"/>
      <c r="B871" s="409"/>
      <c r="C871" s="409"/>
      <c r="D871" s="409"/>
      <c r="E871" s="409"/>
      <c r="F871" s="409"/>
      <c r="G871" s="409"/>
      <c r="H871" s="410">
        <f t="shared" si="121"/>
        <v>0</v>
      </c>
      <c r="I871" s="147"/>
      <c r="J871" s="180">
        <f t="shared" si="112"/>
        <v>0</v>
      </c>
    </row>
    <row r="872" spans="1:10" s="332" customFormat="1" ht="15" x14ac:dyDescent="0.25">
      <c r="A872" s="334"/>
      <c r="B872" s="409"/>
      <c r="C872" s="409"/>
      <c r="D872" s="409"/>
      <c r="E872" s="409"/>
      <c r="F872" s="409"/>
      <c r="G872" s="409"/>
      <c r="H872" s="410">
        <f t="shared" si="121"/>
        <v>0</v>
      </c>
      <c r="I872" s="147"/>
      <c r="J872" s="180">
        <f t="shared" si="112"/>
        <v>0</v>
      </c>
    </row>
    <row r="873" spans="1:10" s="332" customFormat="1" ht="15" x14ac:dyDescent="0.25">
      <c r="A873" s="334"/>
      <c r="B873" s="409"/>
      <c r="C873" s="409"/>
      <c r="D873" s="409"/>
      <c r="E873" s="409"/>
      <c r="F873" s="411"/>
      <c r="G873" s="411"/>
      <c r="H873" s="412">
        <v>83.82</v>
      </c>
      <c r="I873" s="147"/>
      <c r="J873" s="180">
        <f t="shared" si="112"/>
        <v>83.82</v>
      </c>
    </row>
    <row r="874" spans="1:10" s="332" customFormat="1" ht="15" x14ac:dyDescent="0.25">
      <c r="A874" s="334"/>
      <c r="B874" s="409"/>
      <c r="C874" s="409"/>
      <c r="D874" s="409"/>
      <c r="E874" s="409"/>
      <c r="F874" s="409"/>
      <c r="G874" s="409"/>
      <c r="H874" s="409"/>
      <c r="I874" s="147"/>
      <c r="J874" s="180">
        <f t="shared" si="112"/>
        <v>0</v>
      </c>
    </row>
    <row r="875" spans="1:10" s="332" customFormat="1" ht="15" x14ac:dyDescent="0.25">
      <c r="A875" s="334"/>
      <c r="B875" s="409" t="s">
        <v>691</v>
      </c>
      <c r="C875" s="409"/>
      <c r="D875" s="409"/>
      <c r="E875" s="409"/>
      <c r="F875" s="409">
        <v>3.6</v>
      </c>
      <c r="G875" s="409">
        <v>2.9</v>
      </c>
      <c r="H875" s="410">
        <f t="shared" ref="H875:H879" si="122">F875*G875</f>
        <v>10.44</v>
      </c>
      <c r="I875" s="147"/>
      <c r="J875" s="180">
        <f t="shared" ref="J875:J916" si="123">H875</f>
        <v>10.44</v>
      </c>
    </row>
    <row r="876" spans="1:10" s="332" customFormat="1" ht="15" x14ac:dyDescent="0.25">
      <c r="A876" s="334"/>
      <c r="B876" s="409"/>
      <c r="C876" s="409"/>
      <c r="D876" s="409"/>
      <c r="E876" s="409"/>
      <c r="F876" s="409">
        <v>2.15</v>
      </c>
      <c r="G876" s="409">
        <v>2.9</v>
      </c>
      <c r="H876" s="410">
        <f t="shared" si="122"/>
        <v>6.2349999999999994</v>
      </c>
      <c r="I876" s="147"/>
      <c r="J876" s="180">
        <f t="shared" si="123"/>
        <v>6.2349999999999994</v>
      </c>
    </row>
    <row r="877" spans="1:10" s="332" customFormat="1" ht="15" x14ac:dyDescent="0.25">
      <c r="A877" s="334"/>
      <c r="B877" s="409"/>
      <c r="C877" s="409"/>
      <c r="D877" s="409"/>
      <c r="E877" s="409"/>
      <c r="F877" s="409">
        <v>3.6</v>
      </c>
      <c r="G877" s="409">
        <v>1</v>
      </c>
      <c r="H877" s="410">
        <f t="shared" si="122"/>
        <v>3.6</v>
      </c>
      <c r="I877" s="147"/>
      <c r="J877" s="180">
        <f t="shared" si="123"/>
        <v>3.6</v>
      </c>
    </row>
    <row r="878" spans="1:10" s="332" customFormat="1" ht="15" x14ac:dyDescent="0.25">
      <c r="A878" s="334"/>
      <c r="B878" s="409"/>
      <c r="C878" s="409"/>
      <c r="D878" s="409"/>
      <c r="E878" s="409"/>
      <c r="F878" s="409">
        <v>2.15</v>
      </c>
      <c r="G878" s="409">
        <v>2.9</v>
      </c>
      <c r="H878" s="410">
        <f t="shared" si="122"/>
        <v>6.2349999999999994</v>
      </c>
      <c r="I878" s="147"/>
      <c r="J878" s="180">
        <f t="shared" si="123"/>
        <v>6.2349999999999994</v>
      </c>
    </row>
    <row r="879" spans="1:10" s="332" customFormat="1" ht="15" x14ac:dyDescent="0.25">
      <c r="A879" s="334"/>
      <c r="B879" s="409"/>
      <c r="C879" s="409"/>
      <c r="D879" s="409"/>
      <c r="E879" s="409"/>
      <c r="F879" s="411">
        <f>F875</f>
        <v>3.6</v>
      </c>
      <c r="G879" s="411">
        <f>F876</f>
        <v>2.15</v>
      </c>
      <c r="H879" s="412">
        <f t="shared" si="122"/>
        <v>7.74</v>
      </c>
      <c r="I879" s="147"/>
      <c r="J879" s="180">
        <f t="shared" si="123"/>
        <v>7.74</v>
      </c>
    </row>
    <row r="880" spans="1:10" s="332" customFormat="1" ht="15" x14ac:dyDescent="0.25">
      <c r="A880" s="334"/>
      <c r="B880" s="409"/>
      <c r="C880" s="409"/>
      <c r="D880" s="409"/>
      <c r="E880" s="409"/>
      <c r="F880" s="409"/>
      <c r="G880" s="409"/>
      <c r="H880" s="409"/>
      <c r="I880" s="147"/>
      <c r="J880" s="180">
        <f t="shared" si="123"/>
        <v>0</v>
      </c>
    </row>
    <row r="881" spans="1:10" s="332" customFormat="1" ht="15" x14ac:dyDescent="0.25">
      <c r="A881" s="334"/>
      <c r="B881" s="409" t="s">
        <v>692</v>
      </c>
      <c r="C881" s="409"/>
      <c r="D881" s="409"/>
      <c r="E881" s="409"/>
      <c r="F881" s="409">
        <v>1.74</v>
      </c>
      <c r="G881" s="409">
        <v>2.2999999999999998</v>
      </c>
      <c r="H881" s="410">
        <f t="shared" ref="H881:H885" si="124">F881*G881</f>
        <v>4.0019999999999998</v>
      </c>
      <c r="I881" s="147"/>
      <c r="J881" s="180">
        <f t="shared" si="123"/>
        <v>4.0019999999999998</v>
      </c>
    </row>
    <row r="882" spans="1:10" s="332" customFormat="1" ht="15" x14ac:dyDescent="0.25">
      <c r="A882" s="334"/>
      <c r="B882" s="409"/>
      <c r="C882" s="409"/>
      <c r="D882" s="409"/>
      <c r="E882" s="409"/>
      <c r="F882" s="409">
        <v>4.28</v>
      </c>
      <c r="G882" s="409">
        <v>2.2999999999999998</v>
      </c>
      <c r="H882" s="410">
        <f t="shared" si="124"/>
        <v>9.8439999999999994</v>
      </c>
      <c r="I882" s="147"/>
      <c r="J882" s="180">
        <f t="shared" si="123"/>
        <v>9.8439999999999994</v>
      </c>
    </row>
    <row r="883" spans="1:10" s="332" customFormat="1" ht="15" x14ac:dyDescent="0.25">
      <c r="A883" s="334"/>
      <c r="B883" s="409"/>
      <c r="C883" s="409"/>
      <c r="D883" s="409"/>
      <c r="E883" s="409"/>
      <c r="F883" s="409">
        <v>1.74</v>
      </c>
      <c r="G883" s="409">
        <v>2.2999999999999998</v>
      </c>
      <c r="H883" s="410">
        <f t="shared" si="124"/>
        <v>4.0019999999999998</v>
      </c>
      <c r="I883" s="147"/>
      <c r="J883" s="180">
        <f t="shared" si="123"/>
        <v>4.0019999999999998</v>
      </c>
    </row>
    <row r="884" spans="1:10" s="332" customFormat="1" ht="15" x14ac:dyDescent="0.25">
      <c r="A884" s="334"/>
      <c r="B884" s="409"/>
      <c r="C884" s="409"/>
      <c r="D884" s="409"/>
      <c r="E884" s="409"/>
      <c r="F884" s="409">
        <v>4.28</v>
      </c>
      <c r="G884" s="409">
        <v>2.2999999999999998</v>
      </c>
      <c r="H884" s="410">
        <f t="shared" si="124"/>
        <v>9.8439999999999994</v>
      </c>
      <c r="I884" s="147"/>
      <c r="J884" s="180">
        <f t="shared" si="123"/>
        <v>9.8439999999999994</v>
      </c>
    </row>
    <row r="885" spans="1:10" s="332" customFormat="1" ht="15" x14ac:dyDescent="0.25">
      <c r="A885" s="334"/>
      <c r="B885" s="409"/>
      <c r="C885" s="409"/>
      <c r="D885" s="409"/>
      <c r="E885" s="409"/>
      <c r="F885" s="411">
        <f>F881</f>
        <v>1.74</v>
      </c>
      <c r="G885" s="411">
        <f>F882</f>
        <v>4.28</v>
      </c>
      <c r="H885" s="412">
        <f t="shared" si="124"/>
        <v>7.4472000000000005</v>
      </c>
      <c r="I885" s="147"/>
      <c r="J885" s="180">
        <f t="shared" si="123"/>
        <v>7.4472000000000005</v>
      </c>
    </row>
    <row r="886" spans="1:10" s="332" customFormat="1" ht="15" x14ac:dyDescent="0.25">
      <c r="A886" s="334"/>
      <c r="B886" s="409"/>
      <c r="C886" s="409"/>
      <c r="D886" s="409"/>
      <c r="E886" s="409"/>
      <c r="F886" s="409"/>
      <c r="G886" s="409"/>
      <c r="H886" s="409"/>
      <c r="I886" s="147"/>
      <c r="J886" s="180">
        <f t="shared" si="123"/>
        <v>0</v>
      </c>
    </row>
    <row r="887" spans="1:10" s="332" customFormat="1" ht="15" x14ac:dyDescent="0.25">
      <c r="A887" s="334"/>
      <c r="B887" s="409" t="s">
        <v>693</v>
      </c>
      <c r="C887" s="409"/>
      <c r="D887" s="409"/>
      <c r="E887" s="409"/>
      <c r="F887" s="409">
        <v>4.28</v>
      </c>
      <c r="G887" s="409">
        <v>2.9</v>
      </c>
      <c r="H887" s="410">
        <f t="shared" ref="H887:H891" si="125">F887*G887</f>
        <v>12.412000000000001</v>
      </c>
      <c r="I887" s="147"/>
      <c r="J887" s="180">
        <f t="shared" si="123"/>
        <v>12.412000000000001</v>
      </c>
    </row>
    <row r="888" spans="1:10" s="332" customFormat="1" ht="15" x14ac:dyDescent="0.25">
      <c r="A888" s="334"/>
      <c r="B888" s="409"/>
      <c r="C888" s="409"/>
      <c r="D888" s="409"/>
      <c r="E888" s="409"/>
      <c r="F888" s="409">
        <v>3.6</v>
      </c>
      <c r="G888" s="409">
        <f>2.9-1.5</f>
        <v>1.4</v>
      </c>
      <c r="H888" s="410">
        <f t="shared" si="125"/>
        <v>5.04</v>
      </c>
      <c r="I888" s="147"/>
      <c r="J888" s="180">
        <f t="shared" si="123"/>
        <v>5.04</v>
      </c>
    </row>
    <row r="889" spans="1:10" s="332" customFormat="1" ht="15" x14ac:dyDescent="0.25">
      <c r="A889" s="334"/>
      <c r="B889" s="409"/>
      <c r="C889" s="409"/>
      <c r="D889" s="409"/>
      <c r="E889" s="409"/>
      <c r="F889" s="409">
        <v>4.28</v>
      </c>
      <c r="G889" s="409">
        <v>2.9</v>
      </c>
      <c r="H889" s="410">
        <f t="shared" si="125"/>
        <v>12.412000000000001</v>
      </c>
      <c r="I889" s="147"/>
      <c r="J889" s="180">
        <f t="shared" si="123"/>
        <v>12.412000000000001</v>
      </c>
    </row>
    <row r="890" spans="1:10" s="332" customFormat="1" ht="15" x14ac:dyDescent="0.25">
      <c r="A890" s="334"/>
      <c r="B890" s="409"/>
      <c r="C890" s="409"/>
      <c r="D890" s="409"/>
      <c r="E890" s="409"/>
      <c r="F890" s="409">
        <v>3.6</v>
      </c>
      <c r="G890" s="409">
        <v>2.9</v>
      </c>
      <c r="H890" s="410">
        <f t="shared" si="125"/>
        <v>10.44</v>
      </c>
      <c r="I890" s="147"/>
      <c r="J890" s="180">
        <f t="shared" si="123"/>
        <v>10.44</v>
      </c>
    </row>
    <row r="891" spans="1:10" s="332" customFormat="1" ht="15" x14ac:dyDescent="0.25">
      <c r="A891" s="334"/>
      <c r="B891" s="409"/>
      <c r="C891" s="409"/>
      <c r="D891" s="409"/>
      <c r="E891" s="409"/>
      <c r="F891" s="411">
        <f>F887</f>
        <v>4.28</v>
      </c>
      <c r="G891" s="411">
        <f>F888</f>
        <v>3.6</v>
      </c>
      <c r="H891" s="412">
        <f t="shared" si="125"/>
        <v>15.408000000000001</v>
      </c>
      <c r="I891" s="147"/>
      <c r="J891" s="180">
        <f t="shared" si="123"/>
        <v>15.408000000000001</v>
      </c>
    </row>
    <row r="892" spans="1:10" s="332" customFormat="1" ht="15" x14ac:dyDescent="0.25">
      <c r="A892" s="334"/>
      <c r="B892" s="409"/>
      <c r="C892" s="409"/>
      <c r="D892" s="409"/>
      <c r="E892" s="409"/>
      <c r="F892" s="409"/>
      <c r="G892" s="409"/>
      <c r="H892" s="409"/>
      <c r="I892" s="147"/>
      <c r="J892" s="180">
        <f t="shared" si="123"/>
        <v>0</v>
      </c>
    </row>
    <row r="893" spans="1:10" s="332" customFormat="1" ht="15" x14ac:dyDescent="0.25">
      <c r="A893" s="334"/>
      <c r="B893" s="409" t="s">
        <v>694</v>
      </c>
      <c r="C893" s="409"/>
      <c r="D893" s="409"/>
      <c r="E893" s="409"/>
      <c r="F893" s="409" t="s">
        <v>695</v>
      </c>
      <c r="G893" s="409"/>
      <c r="H893" s="410"/>
      <c r="I893" s="147"/>
      <c r="J893" s="180">
        <f t="shared" si="123"/>
        <v>0</v>
      </c>
    </row>
    <row r="894" spans="1:10" s="332" customFormat="1" ht="15" x14ac:dyDescent="0.25">
      <c r="A894" s="334"/>
      <c r="B894" s="409"/>
      <c r="C894" s="409"/>
      <c r="D894" s="409"/>
      <c r="E894" s="409"/>
      <c r="F894" s="409">
        <v>71.900000000000006</v>
      </c>
      <c r="G894" s="409">
        <v>2.9</v>
      </c>
      <c r="H894" s="410">
        <f t="shared" ref="H894:H896" si="126">F894*G894</f>
        <v>208.51000000000002</v>
      </c>
      <c r="I894" s="147"/>
      <c r="J894" s="180">
        <f t="shared" si="123"/>
        <v>208.51000000000002</v>
      </c>
    </row>
    <row r="895" spans="1:10" s="332" customFormat="1" ht="15" x14ac:dyDescent="0.25">
      <c r="A895" s="334"/>
      <c r="B895" s="409"/>
      <c r="C895" s="409"/>
      <c r="D895" s="409"/>
      <c r="E895" s="409"/>
      <c r="F895" s="409"/>
      <c r="G895" s="409"/>
      <c r="H895" s="410">
        <f t="shared" si="126"/>
        <v>0</v>
      </c>
      <c r="I895" s="147"/>
      <c r="J895" s="180">
        <f t="shared" si="123"/>
        <v>0</v>
      </c>
    </row>
    <row r="896" spans="1:10" s="332" customFormat="1" ht="15" x14ac:dyDescent="0.25">
      <c r="A896" s="334"/>
      <c r="B896" s="409"/>
      <c r="C896" s="409"/>
      <c r="D896" s="409"/>
      <c r="E896" s="409"/>
      <c r="F896" s="409"/>
      <c r="G896" s="409"/>
      <c r="H896" s="410">
        <f t="shared" si="126"/>
        <v>0</v>
      </c>
      <c r="I896" s="147"/>
      <c r="J896" s="180">
        <f t="shared" si="123"/>
        <v>0</v>
      </c>
    </row>
    <row r="897" spans="1:10" s="332" customFormat="1" ht="15" x14ac:dyDescent="0.25">
      <c r="A897" s="334"/>
      <c r="B897" s="409"/>
      <c r="C897" s="409"/>
      <c r="D897" s="409"/>
      <c r="E897" s="409"/>
      <c r="F897" s="409" t="s">
        <v>682</v>
      </c>
      <c r="G897" s="409"/>
      <c r="H897" s="410">
        <f>-5*1.2*1.8</f>
        <v>-10.8</v>
      </c>
      <c r="I897" s="147"/>
      <c r="J897" s="180">
        <f t="shared" si="123"/>
        <v>-10.8</v>
      </c>
    </row>
    <row r="898" spans="1:10" s="332" customFormat="1" ht="15" x14ac:dyDescent="0.25">
      <c r="A898" s="334"/>
      <c r="B898" s="409"/>
      <c r="C898" s="409"/>
      <c r="D898" s="409"/>
      <c r="E898" s="409"/>
      <c r="F898" s="411"/>
      <c r="G898" s="411"/>
      <c r="H898" s="412">
        <v>322.02999999999997</v>
      </c>
      <c r="I898" s="147"/>
      <c r="J898" s="180">
        <f t="shared" si="123"/>
        <v>322.02999999999997</v>
      </c>
    </row>
    <row r="899" spans="1:10" s="332" customFormat="1" ht="15" x14ac:dyDescent="0.25">
      <c r="A899" s="334"/>
      <c r="B899" s="409"/>
      <c r="C899" s="409"/>
      <c r="D899" s="409"/>
      <c r="E899" s="409"/>
      <c r="F899" s="409"/>
      <c r="G899" s="409"/>
      <c r="H899" s="409"/>
      <c r="I899" s="147"/>
      <c r="J899" s="180">
        <f t="shared" si="123"/>
        <v>0</v>
      </c>
    </row>
    <row r="900" spans="1:10" s="332" customFormat="1" ht="15" x14ac:dyDescent="0.25">
      <c r="A900" s="334"/>
      <c r="B900" s="409"/>
      <c r="C900" s="409"/>
      <c r="D900" s="409"/>
      <c r="E900" s="409"/>
      <c r="F900" s="409"/>
      <c r="G900" s="409"/>
      <c r="H900" s="409"/>
      <c r="I900" s="147"/>
      <c r="J900" s="180">
        <f t="shared" si="123"/>
        <v>0</v>
      </c>
    </row>
    <row r="901" spans="1:10" s="332" customFormat="1" ht="15" x14ac:dyDescent="0.25">
      <c r="A901" s="334"/>
      <c r="B901" s="409" t="s">
        <v>696</v>
      </c>
      <c r="C901" s="409"/>
      <c r="D901" s="409"/>
      <c r="E901" s="409"/>
      <c r="F901" s="409">
        <v>3.59</v>
      </c>
      <c r="G901" s="409">
        <v>1</v>
      </c>
      <c r="H901" s="410">
        <f t="shared" ref="H901:H905" si="127">F901*G901</f>
        <v>3.59</v>
      </c>
      <c r="I901" s="147"/>
      <c r="J901" s="180">
        <f t="shared" si="123"/>
        <v>3.59</v>
      </c>
    </row>
    <row r="902" spans="1:10" s="332" customFormat="1" ht="15" x14ac:dyDescent="0.25">
      <c r="A902" s="334"/>
      <c r="B902" s="409"/>
      <c r="C902" s="409"/>
      <c r="D902" s="409"/>
      <c r="E902" s="409"/>
      <c r="F902" s="409">
        <v>6.78</v>
      </c>
      <c r="G902" s="409">
        <v>1</v>
      </c>
      <c r="H902" s="410">
        <f t="shared" si="127"/>
        <v>6.78</v>
      </c>
      <c r="I902" s="147"/>
      <c r="J902" s="180">
        <f t="shared" si="123"/>
        <v>6.78</v>
      </c>
    </row>
    <row r="903" spans="1:10" s="332" customFormat="1" ht="15" x14ac:dyDescent="0.25">
      <c r="A903" s="334"/>
      <c r="B903" s="409"/>
      <c r="C903" s="409"/>
      <c r="D903" s="409"/>
      <c r="E903" s="409"/>
      <c r="F903" s="409">
        <v>3.59</v>
      </c>
      <c r="G903" s="409">
        <v>0.9</v>
      </c>
      <c r="H903" s="410">
        <f t="shared" si="127"/>
        <v>3.2309999999999999</v>
      </c>
      <c r="I903" s="147"/>
      <c r="J903" s="180">
        <f t="shared" si="123"/>
        <v>3.2309999999999999</v>
      </c>
    </row>
    <row r="904" spans="1:10" s="332" customFormat="1" ht="15" x14ac:dyDescent="0.25">
      <c r="A904" s="334"/>
      <c r="B904" s="409"/>
      <c r="C904" s="409"/>
      <c r="D904" s="409"/>
      <c r="E904" s="409"/>
      <c r="F904" s="409">
        <v>6.78</v>
      </c>
      <c r="G904" s="409">
        <v>1</v>
      </c>
      <c r="H904" s="410">
        <f t="shared" si="127"/>
        <v>6.78</v>
      </c>
      <c r="I904" s="147"/>
      <c r="J904" s="180">
        <f t="shared" si="123"/>
        <v>6.78</v>
      </c>
    </row>
    <row r="905" spans="1:10" s="332" customFormat="1" ht="15" x14ac:dyDescent="0.25">
      <c r="A905" s="334"/>
      <c r="B905" s="409"/>
      <c r="C905" s="409"/>
      <c r="D905" s="409"/>
      <c r="E905" s="409"/>
      <c r="F905" s="411">
        <f>F901</f>
        <v>3.59</v>
      </c>
      <c r="G905" s="411">
        <f>F902</f>
        <v>6.78</v>
      </c>
      <c r="H905" s="412">
        <f t="shared" si="127"/>
        <v>24.340199999999999</v>
      </c>
      <c r="I905" s="147"/>
      <c r="J905" s="180">
        <f t="shared" si="123"/>
        <v>24.340199999999999</v>
      </c>
    </row>
    <row r="906" spans="1:10" s="332" customFormat="1" ht="15" x14ac:dyDescent="0.25">
      <c r="A906" s="334"/>
      <c r="B906" s="409"/>
      <c r="C906" s="409"/>
      <c r="D906" s="409"/>
      <c r="E906" s="409"/>
      <c r="F906" s="409"/>
      <c r="G906" s="409"/>
      <c r="H906" s="409"/>
      <c r="I906" s="147"/>
      <c r="J906" s="180">
        <f t="shared" si="123"/>
        <v>0</v>
      </c>
    </row>
    <row r="907" spans="1:10" s="332" customFormat="1" ht="15" x14ac:dyDescent="0.25">
      <c r="A907" s="334"/>
      <c r="B907" s="409" t="s">
        <v>697</v>
      </c>
      <c r="C907" s="409"/>
      <c r="D907" s="409"/>
      <c r="E907" s="409"/>
      <c r="F907" s="409">
        <v>2.9</v>
      </c>
      <c r="G907" s="409">
        <v>1</v>
      </c>
      <c r="H907" s="410">
        <f t="shared" ref="H907:H911" si="128">F907*G907</f>
        <v>2.9</v>
      </c>
      <c r="I907" s="147"/>
      <c r="J907" s="180">
        <f t="shared" si="123"/>
        <v>2.9</v>
      </c>
    </row>
    <row r="908" spans="1:10" s="332" customFormat="1" ht="15" x14ac:dyDescent="0.25">
      <c r="A908" s="334"/>
      <c r="B908" s="409"/>
      <c r="C908" s="409"/>
      <c r="D908" s="409"/>
      <c r="E908" s="409"/>
      <c r="F908" s="409">
        <v>3.59</v>
      </c>
      <c r="G908" s="409">
        <v>1</v>
      </c>
      <c r="H908" s="410">
        <f t="shared" si="128"/>
        <v>3.59</v>
      </c>
      <c r="I908" s="147"/>
      <c r="J908" s="180">
        <f t="shared" si="123"/>
        <v>3.59</v>
      </c>
    </row>
    <row r="909" spans="1:10" s="332" customFormat="1" ht="15" x14ac:dyDescent="0.25">
      <c r="A909" s="334"/>
      <c r="B909" s="409"/>
      <c r="C909" s="409"/>
      <c r="D909" s="409"/>
      <c r="E909" s="409"/>
      <c r="F909" s="409">
        <v>2.9</v>
      </c>
      <c r="G909" s="409">
        <v>1</v>
      </c>
      <c r="H909" s="410">
        <f t="shared" si="128"/>
        <v>2.9</v>
      </c>
      <c r="I909" s="147"/>
      <c r="J909" s="180">
        <f t="shared" si="123"/>
        <v>2.9</v>
      </c>
    </row>
    <row r="910" spans="1:10" s="332" customFormat="1" ht="15" x14ac:dyDescent="0.25">
      <c r="A910" s="334"/>
      <c r="B910" s="409"/>
      <c r="C910" s="409"/>
      <c r="D910" s="409"/>
      <c r="E910" s="409"/>
      <c r="F910" s="409">
        <v>3.59</v>
      </c>
      <c r="G910" s="409">
        <v>0.9</v>
      </c>
      <c r="H910" s="410">
        <f t="shared" si="128"/>
        <v>3.2309999999999999</v>
      </c>
      <c r="I910" s="147"/>
      <c r="J910" s="180">
        <f t="shared" si="123"/>
        <v>3.2309999999999999</v>
      </c>
    </row>
    <row r="911" spans="1:10" s="332" customFormat="1" ht="15" x14ac:dyDescent="0.25">
      <c r="A911" s="334"/>
      <c r="B911" s="409"/>
      <c r="C911" s="409"/>
      <c r="D911" s="409"/>
      <c r="E911" s="409"/>
      <c r="F911" s="411">
        <f>F907</f>
        <v>2.9</v>
      </c>
      <c r="G911" s="411">
        <f>F908</f>
        <v>3.59</v>
      </c>
      <c r="H911" s="412">
        <f t="shared" si="128"/>
        <v>10.411</v>
      </c>
      <c r="I911" s="147"/>
      <c r="J911" s="180">
        <f t="shared" si="123"/>
        <v>10.411</v>
      </c>
    </row>
    <row r="912" spans="1:10" s="332" customFormat="1" ht="15" x14ac:dyDescent="0.25">
      <c r="A912" s="334"/>
      <c r="B912" s="409"/>
      <c r="C912" s="409"/>
      <c r="D912" s="409"/>
      <c r="E912" s="409"/>
      <c r="F912" s="409"/>
      <c r="G912" s="409"/>
      <c r="H912" s="409"/>
      <c r="I912" s="147"/>
      <c r="J912" s="180">
        <f t="shared" si="123"/>
        <v>0</v>
      </c>
    </row>
    <row r="913" spans="1:10" s="332" customFormat="1" ht="15" x14ac:dyDescent="0.25">
      <c r="A913" s="334"/>
      <c r="B913" s="409" t="s">
        <v>698</v>
      </c>
      <c r="C913" s="409"/>
      <c r="D913" s="409">
        <v>2</v>
      </c>
      <c r="E913" s="409"/>
      <c r="F913" s="409">
        <v>80</v>
      </c>
      <c r="G913" s="409">
        <v>1</v>
      </c>
      <c r="H913" s="410">
        <f>F913*G913*D913</f>
        <v>160</v>
      </c>
      <c r="I913" s="147"/>
      <c r="J913" s="180">
        <f t="shared" si="123"/>
        <v>160</v>
      </c>
    </row>
    <row r="914" spans="1:10" s="332" customFormat="1" ht="15" x14ac:dyDescent="0.25">
      <c r="A914" s="334"/>
      <c r="B914" s="409"/>
      <c r="C914" s="409"/>
      <c r="D914" s="409">
        <v>2</v>
      </c>
      <c r="E914" s="409"/>
      <c r="F914" s="409">
        <f>40-4.8</f>
        <v>35.200000000000003</v>
      </c>
      <c r="G914" s="409">
        <v>2.5</v>
      </c>
      <c r="H914" s="410">
        <f t="shared" ref="H914:H916" si="129">F914*G914*D914</f>
        <v>176</v>
      </c>
      <c r="I914" s="147"/>
      <c r="J914" s="180">
        <f t="shared" si="123"/>
        <v>176</v>
      </c>
    </row>
    <row r="915" spans="1:10" s="332" customFormat="1" ht="15" x14ac:dyDescent="0.25">
      <c r="A915" s="334"/>
      <c r="B915" s="409"/>
      <c r="C915" s="409"/>
      <c r="D915" s="409">
        <v>2</v>
      </c>
      <c r="E915" s="409"/>
      <c r="F915" s="409">
        <f>69-29</f>
        <v>40</v>
      </c>
      <c r="G915" s="409">
        <v>2.5</v>
      </c>
      <c r="H915" s="410">
        <f t="shared" si="129"/>
        <v>200</v>
      </c>
      <c r="I915" s="147"/>
      <c r="J915" s="180">
        <f t="shared" si="123"/>
        <v>200</v>
      </c>
    </row>
    <row r="916" spans="1:10" s="332" customFormat="1" ht="15" x14ac:dyDescent="0.25">
      <c r="A916" s="334"/>
      <c r="B916" s="409"/>
      <c r="C916" s="409"/>
      <c r="D916" s="409">
        <v>2</v>
      </c>
      <c r="E916" s="409"/>
      <c r="F916" s="409">
        <v>36</v>
      </c>
      <c r="G916" s="409">
        <v>2.5</v>
      </c>
      <c r="H916" s="410">
        <f t="shared" si="129"/>
        <v>180</v>
      </c>
      <c r="I916" s="147"/>
      <c r="J916" s="180">
        <f t="shared" si="123"/>
        <v>180</v>
      </c>
    </row>
    <row r="917" spans="1:10" s="332" customFormat="1" x14ac:dyDescent="0.2">
      <c r="A917" s="334"/>
      <c r="B917" s="343"/>
      <c r="C917" s="334"/>
      <c r="D917" s="341"/>
      <c r="E917" s="341"/>
      <c r="F917" s="341"/>
      <c r="G917" s="341"/>
      <c r="H917" s="341"/>
      <c r="I917" s="341"/>
      <c r="J917" s="342"/>
    </row>
    <row r="918" spans="1:10" s="176" customFormat="1" x14ac:dyDescent="0.2">
      <c r="A918" s="177"/>
      <c r="B918" s="295"/>
      <c r="C918" s="177"/>
      <c r="D918" s="184"/>
      <c r="E918" s="184"/>
      <c r="F918" s="184"/>
      <c r="G918" s="184"/>
      <c r="H918" s="184"/>
      <c r="I918" s="184"/>
      <c r="J918" s="185"/>
    </row>
    <row r="919" spans="1:10" s="176" customFormat="1" x14ac:dyDescent="0.2">
      <c r="A919" s="177"/>
      <c r="B919" s="178"/>
      <c r="C919" s="177"/>
      <c r="D919" s="184"/>
      <c r="E919" s="184"/>
      <c r="F919" s="184"/>
      <c r="G919" s="184"/>
      <c r="H919" s="184"/>
      <c r="I919" s="183" t="s">
        <v>239</v>
      </c>
      <c r="J919" s="182">
        <f>SUM(J618:J918)</f>
        <v>7943.8735999999953</v>
      </c>
    </row>
    <row r="920" spans="1:10" s="176" customFormat="1" x14ac:dyDescent="0.2">
      <c r="A920" s="177"/>
      <c r="B920" s="178"/>
      <c r="C920" s="177"/>
      <c r="D920" s="184"/>
      <c r="E920" s="184"/>
      <c r="F920" s="184"/>
      <c r="G920" s="184"/>
      <c r="H920" s="184"/>
      <c r="I920" s="184"/>
      <c r="J920" s="185"/>
    </row>
    <row r="921" spans="1:10" x14ac:dyDescent="0.2">
      <c r="A921" s="22" t="s">
        <v>624</v>
      </c>
      <c r="B921" s="18" t="str">
        <f>'PLANILHA ORÇAMENTÁRIA'!D71</f>
        <v xml:space="preserve"> SOBRE MADEIRA</v>
      </c>
      <c r="C921" s="177"/>
      <c r="D921" s="88"/>
      <c r="E921" s="38"/>
      <c r="F921" s="38"/>
      <c r="G921" s="38"/>
      <c r="H921" s="38"/>
      <c r="I921" s="38"/>
      <c r="J921" s="38"/>
    </row>
    <row r="922" spans="1:10" s="176" customFormat="1" ht="25.5" x14ac:dyDescent="0.2">
      <c r="A922" s="338" t="s">
        <v>625</v>
      </c>
      <c r="B922" s="178" t="str">
        <f>'PLANILHA ORÇAMENTÁRIA'!D72</f>
        <v>Pintura com tinta esmalte sintético, marcas de referência Suvinil, Coral ou Metalatex, inclusive fundo branco nivelador, em madeira, a duas demãos</v>
      </c>
      <c r="C922" s="177" t="e">
        <f>'PLANILHA ORÇAMENTÁRIA'!#REF!</f>
        <v>#REF!</v>
      </c>
      <c r="D922" s="184" t="s">
        <v>422</v>
      </c>
      <c r="E922" s="184" t="s">
        <v>604</v>
      </c>
      <c r="F922" s="184" t="s">
        <v>81</v>
      </c>
      <c r="G922" s="184" t="s">
        <v>82</v>
      </c>
      <c r="H922" s="184" t="s">
        <v>83</v>
      </c>
      <c r="I922" s="184" t="s">
        <v>84</v>
      </c>
      <c r="J922" s="185" t="s">
        <v>702</v>
      </c>
    </row>
    <row r="923" spans="1:10" s="176" customFormat="1" x14ac:dyDescent="0.2">
      <c r="A923" s="177"/>
      <c r="B923" s="401" t="s">
        <v>556</v>
      </c>
      <c r="C923" s="275"/>
      <c r="D923" s="341"/>
      <c r="E923" s="341"/>
      <c r="F923" s="341"/>
      <c r="G923" s="341"/>
      <c r="H923" s="341"/>
      <c r="I923" s="342"/>
      <c r="J923" s="342"/>
    </row>
    <row r="924" spans="1:10" x14ac:dyDescent="0.2">
      <c r="A924" s="19"/>
      <c r="B924" s="400" t="s">
        <v>557</v>
      </c>
      <c r="C924" s="275"/>
      <c r="D924" s="341">
        <v>11</v>
      </c>
      <c r="E924" s="341">
        <v>2</v>
      </c>
      <c r="F924" s="341">
        <v>0.8</v>
      </c>
      <c r="G924" s="341">
        <v>2.1</v>
      </c>
      <c r="H924" s="341">
        <f>D924*F924*G924*E924</f>
        <v>36.960000000000008</v>
      </c>
      <c r="I924" s="342"/>
      <c r="J924" s="342">
        <f>H924</f>
        <v>36.960000000000008</v>
      </c>
    </row>
    <row r="925" spans="1:10" x14ac:dyDescent="0.2">
      <c r="A925" s="19"/>
      <c r="B925" s="401" t="s">
        <v>602</v>
      </c>
      <c r="C925" s="13"/>
      <c r="D925" s="341"/>
      <c r="E925" s="341"/>
      <c r="F925" s="341"/>
      <c r="G925" s="341"/>
      <c r="H925" s="341"/>
      <c r="I925" s="341"/>
      <c r="J925" s="342"/>
    </row>
    <row r="926" spans="1:10" x14ac:dyDescent="0.2">
      <c r="A926" s="19"/>
      <c r="B926" s="400" t="s">
        <v>557</v>
      </c>
      <c r="C926" s="13"/>
      <c r="D926" s="341">
        <v>14</v>
      </c>
      <c r="E926" s="341">
        <v>2</v>
      </c>
      <c r="F926" s="341">
        <v>0.8</v>
      </c>
      <c r="G926" s="341">
        <v>2.1</v>
      </c>
      <c r="H926" s="341">
        <f t="shared" ref="H926:H928" si="130">D926*F926*G926*E926</f>
        <v>47.040000000000006</v>
      </c>
      <c r="I926" s="342"/>
      <c r="J926" s="342">
        <f>H926</f>
        <v>47.040000000000006</v>
      </c>
    </row>
    <row r="927" spans="1:10" x14ac:dyDescent="0.2">
      <c r="A927" s="19"/>
      <c r="B927" s="400" t="s">
        <v>603</v>
      </c>
      <c r="C927" s="13"/>
      <c r="D927" s="341">
        <v>3</v>
      </c>
      <c r="E927" s="341">
        <v>2</v>
      </c>
      <c r="F927" s="341">
        <v>0.7</v>
      </c>
      <c r="G927" s="341">
        <v>2.1</v>
      </c>
      <c r="H927" s="341">
        <f t="shared" si="130"/>
        <v>8.8199999999999985</v>
      </c>
      <c r="I927" s="342"/>
      <c r="J927" s="342">
        <f>H927</f>
        <v>8.8199999999999985</v>
      </c>
    </row>
    <row r="928" spans="1:10" s="332" customFormat="1" x14ac:dyDescent="0.2">
      <c r="A928" s="334"/>
      <c r="B928" s="400" t="s">
        <v>605</v>
      </c>
      <c r="C928" s="13"/>
      <c r="D928" s="341">
        <v>3</v>
      </c>
      <c r="E928" s="341">
        <v>2</v>
      </c>
      <c r="F928" s="341">
        <v>0.6</v>
      </c>
      <c r="G928" s="341">
        <v>2.1</v>
      </c>
      <c r="H928" s="341">
        <f t="shared" si="130"/>
        <v>7.56</v>
      </c>
      <c r="I928" s="342"/>
      <c r="J928" s="342">
        <f>H928</f>
        <v>7.56</v>
      </c>
    </row>
    <row r="929" spans="1:10" s="332" customFormat="1" x14ac:dyDescent="0.2">
      <c r="A929" s="334"/>
      <c r="B929" s="401" t="s">
        <v>701</v>
      </c>
      <c r="C929" s="275"/>
      <c r="D929" s="341"/>
      <c r="E929" s="341"/>
      <c r="F929" s="341"/>
      <c r="G929" s="341"/>
      <c r="H929" s="341"/>
      <c r="I929" s="342"/>
      <c r="J929" s="342"/>
    </row>
    <row r="930" spans="1:10" s="332" customFormat="1" x14ac:dyDescent="0.2">
      <c r="A930" s="334"/>
      <c r="B930" s="335" t="s">
        <v>700</v>
      </c>
      <c r="C930" s="275"/>
      <c r="D930" s="341">
        <v>6</v>
      </c>
      <c r="E930" s="341"/>
      <c r="F930" s="341">
        <v>0.9</v>
      </c>
      <c r="G930" s="341">
        <v>1.5</v>
      </c>
      <c r="H930" s="341">
        <f>D930*F930*G930</f>
        <v>8.1000000000000014</v>
      </c>
      <c r="I930" s="342"/>
      <c r="J930" s="342">
        <f t="shared" ref="J930:J931" si="131">H930</f>
        <v>8.1000000000000014</v>
      </c>
    </row>
    <row r="931" spans="1:10" s="332" customFormat="1" x14ac:dyDescent="0.2">
      <c r="A931" s="334"/>
      <c r="B931" s="335" t="s">
        <v>699</v>
      </c>
      <c r="C931" s="275"/>
      <c r="D931" s="341">
        <v>8</v>
      </c>
      <c r="E931" s="341"/>
      <c r="F931" s="341">
        <v>0.6</v>
      </c>
      <c r="G931" s="341">
        <v>1.5</v>
      </c>
      <c r="H931" s="341">
        <f>D931*F931*G931</f>
        <v>7.1999999999999993</v>
      </c>
      <c r="I931" s="342"/>
      <c r="J931" s="342">
        <f t="shared" si="131"/>
        <v>7.1999999999999993</v>
      </c>
    </row>
    <row r="932" spans="1:10" s="332" customFormat="1" x14ac:dyDescent="0.2">
      <c r="A932" s="334"/>
      <c r="B932" s="400"/>
      <c r="C932" s="13"/>
      <c r="D932" s="341"/>
      <c r="E932" s="341"/>
      <c r="F932" s="341"/>
      <c r="G932" s="341"/>
      <c r="H932" s="341"/>
      <c r="I932" s="342"/>
      <c r="J932" s="342"/>
    </row>
    <row r="933" spans="1:10" x14ac:dyDescent="0.2">
      <c r="A933" s="19"/>
      <c r="B933" s="75"/>
      <c r="C933" s="177"/>
      <c r="D933" s="184"/>
      <c r="E933" s="84"/>
      <c r="F933" s="284"/>
      <c r="G933" s="84"/>
      <c r="H933" s="84"/>
      <c r="I933" s="81" t="s">
        <v>239</v>
      </c>
      <c r="J933" s="182">
        <f>SUM(J923:J932)*2</f>
        <v>231.36000000000004</v>
      </c>
    </row>
    <row r="934" spans="1:10" x14ac:dyDescent="0.2">
      <c r="A934" s="19"/>
      <c r="B934" s="20"/>
      <c r="C934" s="177"/>
      <c r="D934" s="88"/>
      <c r="E934" s="38"/>
      <c r="F934" s="38"/>
      <c r="G934" s="38"/>
      <c r="H934" s="38"/>
      <c r="I934" s="38"/>
      <c r="J934" s="38"/>
    </row>
    <row r="935" spans="1:10" x14ac:dyDescent="0.2">
      <c r="A935" s="22" t="s">
        <v>626</v>
      </c>
      <c r="B935" s="18" t="str">
        <f>'PLANILHA ORÇAMENTÁRIA'!D73</f>
        <v>SOBRE METAL</v>
      </c>
      <c r="C935" s="177"/>
      <c r="D935" s="88"/>
      <c r="E935" s="38"/>
      <c r="F935" s="38"/>
      <c r="G935" s="38"/>
      <c r="H935" s="38"/>
      <c r="I935" s="38"/>
      <c r="J935" s="38"/>
    </row>
    <row r="936" spans="1:10" ht="38.25" x14ac:dyDescent="0.2">
      <c r="A936" s="338" t="s">
        <v>627</v>
      </c>
      <c r="B936" s="189" t="str">
        <f>'PLANILHA ORÇAMENTÁRIA'!D74</f>
        <v>Pintura com tinta esmalte sintético, marcas de referência Suvinil, Coral ou Metalatex, a duas demãos, inclusive fundo anticorrosivo a uma demão, em metal</v>
      </c>
      <c r="C936" s="177" t="str">
        <f>'PLANILHA ORÇAMENTÁRIA'!E74</f>
        <v xml:space="preserve">m2 </v>
      </c>
      <c r="D936" s="184" t="s">
        <v>422</v>
      </c>
      <c r="E936" s="184" t="s">
        <v>80</v>
      </c>
      <c r="F936" s="184" t="s">
        <v>81</v>
      </c>
      <c r="G936" s="184" t="s">
        <v>82</v>
      </c>
      <c r="H936" s="184" t="s">
        <v>83</v>
      </c>
      <c r="I936" s="184" t="s">
        <v>84</v>
      </c>
      <c r="J936" s="185" t="s">
        <v>85</v>
      </c>
    </row>
    <row r="937" spans="1:10" s="332" customFormat="1" x14ac:dyDescent="0.2">
      <c r="A937" s="338"/>
      <c r="B937" s="314" t="s">
        <v>559</v>
      </c>
      <c r="C937" s="334"/>
      <c r="D937" s="341"/>
      <c r="E937" s="341"/>
      <c r="F937" s="341"/>
      <c r="G937" s="341"/>
      <c r="H937" s="341"/>
      <c r="I937" s="341"/>
      <c r="J937" s="342"/>
    </row>
    <row r="938" spans="1:10" s="176" customFormat="1" x14ac:dyDescent="0.2">
      <c r="A938" s="177"/>
      <c r="B938" s="335" t="s">
        <v>542</v>
      </c>
      <c r="C938" s="275"/>
      <c r="D938" s="341">
        <v>1</v>
      </c>
      <c r="E938" s="341"/>
      <c r="F938" s="341">
        <v>1.45</v>
      </c>
      <c r="G938" s="341">
        <v>2.5499999999999998</v>
      </c>
      <c r="H938" s="341">
        <f>D938*F938*G938</f>
        <v>3.6974999999999998</v>
      </c>
      <c r="I938" s="341"/>
      <c r="J938" s="342">
        <f>H938</f>
        <v>3.6974999999999998</v>
      </c>
    </row>
    <row r="939" spans="1:10" s="176" customFormat="1" x14ac:dyDescent="0.2">
      <c r="A939" s="177"/>
      <c r="B939" s="394" t="s">
        <v>575</v>
      </c>
      <c r="C939" s="334"/>
      <c r="D939" s="341">
        <v>1</v>
      </c>
      <c r="E939" s="341"/>
      <c r="F939" s="341">
        <v>2.5499999999999998</v>
      </c>
      <c r="G939" s="341">
        <v>1.85</v>
      </c>
      <c r="H939" s="341">
        <f>D939*F939*G939</f>
        <v>4.7175000000000002</v>
      </c>
      <c r="I939" s="341"/>
      <c r="J939" s="342">
        <f>H939</f>
        <v>4.7175000000000002</v>
      </c>
    </row>
    <row r="940" spans="1:10" s="176" customFormat="1" x14ac:dyDescent="0.2">
      <c r="A940" s="177"/>
      <c r="B940" s="333" t="s">
        <v>588</v>
      </c>
      <c r="C940" s="334"/>
      <c r="D940" s="341"/>
      <c r="E940" s="341"/>
      <c r="F940" s="341"/>
      <c r="G940" s="341"/>
      <c r="H940" s="341"/>
      <c r="I940" s="341"/>
      <c r="J940" s="342"/>
    </row>
    <row r="941" spans="1:10" s="176" customFormat="1" x14ac:dyDescent="0.2">
      <c r="A941" s="177"/>
      <c r="B941" s="335" t="s">
        <v>542</v>
      </c>
      <c r="C941" s="334"/>
      <c r="D941" s="341">
        <v>1</v>
      </c>
      <c r="E941" s="341"/>
      <c r="F941" s="341">
        <v>1.42</v>
      </c>
      <c r="G941" s="341">
        <v>2.4</v>
      </c>
      <c r="H941" s="341">
        <f>D941*F941*G941</f>
        <v>3.4079999999999999</v>
      </c>
      <c r="I941" s="341"/>
      <c r="J941" s="342">
        <f>H941</f>
        <v>3.4079999999999999</v>
      </c>
    </row>
    <row r="942" spans="1:10" s="176" customFormat="1" x14ac:dyDescent="0.2">
      <c r="A942" s="177"/>
      <c r="B942" s="296"/>
      <c r="C942" s="177"/>
      <c r="D942" s="184"/>
      <c r="E942" s="184"/>
      <c r="F942" s="184"/>
      <c r="G942" s="184"/>
      <c r="H942" s="184"/>
      <c r="I942" s="284"/>
      <c r="J942" s="185"/>
    </row>
    <row r="943" spans="1:10" s="176" customFormat="1" x14ac:dyDescent="0.2">
      <c r="A943" s="177"/>
      <c r="B943" s="304"/>
      <c r="C943" s="177"/>
      <c r="D943" s="184"/>
      <c r="E943" s="184"/>
      <c r="F943" s="184"/>
      <c r="G943" s="184"/>
      <c r="H943" s="184"/>
      <c r="I943" s="284"/>
      <c r="J943" s="185"/>
    </row>
    <row r="944" spans="1:10" s="176" customFormat="1" x14ac:dyDescent="0.2">
      <c r="A944" s="177"/>
      <c r="B944" s="295"/>
      <c r="C944" s="177"/>
      <c r="D944" s="184"/>
      <c r="E944" s="184"/>
      <c r="F944" s="184"/>
      <c r="G944" s="184"/>
      <c r="H944" s="184"/>
      <c r="I944" s="284"/>
      <c r="J944" s="185"/>
    </row>
    <row r="945" spans="1:10" x14ac:dyDescent="0.2">
      <c r="A945" s="19"/>
      <c r="B945" s="166"/>
      <c r="C945" s="177"/>
      <c r="D945" s="88"/>
      <c r="E945" s="38"/>
      <c r="F945" s="38"/>
      <c r="G945" s="38"/>
      <c r="H945" s="38"/>
      <c r="I945" s="83" t="s">
        <v>239</v>
      </c>
      <c r="J945" s="82">
        <f>SUM(J938:J944)</f>
        <v>11.822999999999999</v>
      </c>
    </row>
    <row r="946" spans="1:10" x14ac:dyDescent="0.2">
      <c r="A946" s="19"/>
      <c r="B946" s="20"/>
      <c r="C946" s="177"/>
      <c r="D946" s="184"/>
      <c r="E946" s="84"/>
      <c r="F946" s="84"/>
      <c r="G946" s="84"/>
      <c r="H946" s="84"/>
      <c r="I946" s="84"/>
      <c r="J946" s="85"/>
    </row>
    <row r="947" spans="1:10" x14ac:dyDescent="0.2">
      <c r="A947" s="11">
        <v>11</v>
      </c>
      <c r="B947" s="7" t="str">
        <f>'PLANILHA ORÇAMENTÁRIA'!D76</f>
        <v>SERVIÇOS COMPLEMENTARES EXTERNOS</v>
      </c>
      <c r="C947" s="5"/>
      <c r="D947" s="190"/>
      <c r="E947" s="73"/>
      <c r="F947" s="73"/>
      <c r="G947" s="73"/>
      <c r="H947" s="73"/>
      <c r="I947" s="73"/>
      <c r="J947" s="73"/>
    </row>
    <row r="948" spans="1:10" x14ac:dyDescent="0.2">
      <c r="A948" s="22" t="s">
        <v>628</v>
      </c>
      <c r="B948" s="18" t="str">
        <f>'PLANILHA ORÇAMENTÁRIA'!D77</f>
        <v>TRATAMENTO, CONSERVAÇÃO E LIMPEZA</v>
      </c>
      <c r="C948" s="177"/>
      <c r="D948" s="88"/>
      <c r="E948" s="38"/>
      <c r="F948" s="38"/>
      <c r="G948" s="38"/>
      <c r="H948" s="38"/>
      <c r="I948" s="38"/>
      <c r="J948" s="38"/>
    </row>
    <row r="949" spans="1:10" ht="25.5" x14ac:dyDescent="0.2">
      <c r="A949" s="338" t="s">
        <v>629</v>
      </c>
      <c r="B949" s="20" t="str">
        <f>'PLANILHA ORÇAMENTÁRIA'!D78</f>
        <v xml:space="preserve">Limpeza geral da obra (edificação) </v>
      </c>
      <c r="C949" s="177" t="str">
        <f>'PLANILHA ORÇAMENTÁRIA'!E78</f>
        <v xml:space="preserve">m2 </v>
      </c>
      <c r="D949" s="184" t="s">
        <v>422</v>
      </c>
      <c r="E949" s="184" t="s">
        <v>80</v>
      </c>
      <c r="F949" s="184" t="s">
        <v>81</v>
      </c>
      <c r="G949" s="184" t="s">
        <v>82</v>
      </c>
      <c r="H949" s="184" t="s">
        <v>83</v>
      </c>
      <c r="I949" s="184" t="s">
        <v>84</v>
      </c>
      <c r="J949" s="185" t="s">
        <v>85</v>
      </c>
    </row>
    <row r="950" spans="1:10" s="176" customFormat="1" x14ac:dyDescent="0.2">
      <c r="A950" s="177"/>
      <c r="B950" s="291" t="s">
        <v>601</v>
      </c>
      <c r="C950" s="177"/>
      <c r="D950" s="88"/>
      <c r="E950" s="179"/>
      <c r="F950" s="179"/>
      <c r="G950" s="179"/>
      <c r="H950" s="184">
        <v>2775.8</v>
      </c>
      <c r="I950" s="184"/>
      <c r="J950" s="185">
        <f>H950</f>
        <v>2775.8</v>
      </c>
    </row>
    <row r="951" spans="1:10" s="176" customFormat="1" x14ac:dyDescent="0.2">
      <c r="A951" s="177"/>
      <c r="B951" s="285"/>
      <c r="C951" s="177"/>
      <c r="D951" s="88"/>
      <c r="E951" s="179"/>
      <c r="F951" s="179"/>
      <c r="G951" s="179"/>
      <c r="H951" s="184"/>
      <c r="I951" s="184"/>
      <c r="J951" s="185"/>
    </row>
    <row r="952" spans="1:10" s="176" customFormat="1" x14ac:dyDescent="0.2">
      <c r="A952" s="177"/>
      <c r="B952" s="285"/>
      <c r="C952" s="177"/>
      <c r="D952" s="88"/>
      <c r="E952" s="179"/>
      <c r="F952" s="179"/>
      <c r="G952" s="179"/>
      <c r="H952" s="179"/>
      <c r="I952" s="183" t="s">
        <v>239</v>
      </c>
      <c r="J952" s="182">
        <f>SUM(J950:J951)</f>
        <v>2775.8</v>
      </c>
    </row>
    <row r="953" spans="1:10" x14ac:dyDescent="0.2">
      <c r="A953" s="19"/>
      <c r="B953" s="146"/>
      <c r="C953" s="177"/>
      <c r="D953" s="88"/>
      <c r="E953" s="38"/>
      <c r="F953" s="38"/>
      <c r="G953" s="38"/>
      <c r="H953" s="84"/>
      <c r="I953" s="84"/>
      <c r="J953" s="85"/>
    </row>
    <row r="954" spans="1:10" x14ac:dyDescent="0.2">
      <c r="A954" s="22" t="s">
        <v>630</v>
      </c>
      <c r="B954" s="18" t="str">
        <f>'PLANILHA ORÇAMENTÁRIA'!D79</f>
        <v>DIVERSOS EXTERNOS</v>
      </c>
      <c r="C954" s="177"/>
      <c r="D954" s="88"/>
      <c r="E954" s="38"/>
      <c r="F954" s="38"/>
      <c r="G954" s="38"/>
      <c r="H954" s="38"/>
      <c r="I954" s="38"/>
      <c r="J954" s="38"/>
    </row>
    <row r="955" spans="1:10" ht="25.5" x14ac:dyDescent="0.2">
      <c r="A955" s="338" t="s">
        <v>631</v>
      </c>
      <c r="B955" s="20" t="str">
        <f>'PLANILHA ORÇAMENTÁRIA'!D80</f>
        <v>Placa para inauguração de obra em alumínio polido e=4mm, dimensões 40 x 50 cm, gravação em baixo relevo, inclusive pintura e fixação</v>
      </c>
      <c r="C955" s="177" t="str">
        <f>'PLANILHA ORÇAMENTÁRIA'!E80</f>
        <v xml:space="preserve">und </v>
      </c>
      <c r="D955" s="184" t="s">
        <v>422</v>
      </c>
      <c r="E955" s="184" t="s">
        <v>80</v>
      </c>
      <c r="F955" s="184" t="s">
        <v>81</v>
      </c>
      <c r="G955" s="184" t="s">
        <v>82</v>
      </c>
      <c r="H955" s="184" t="s">
        <v>83</v>
      </c>
      <c r="I955" s="184" t="s">
        <v>84</v>
      </c>
      <c r="J955" s="185" t="s">
        <v>85</v>
      </c>
    </row>
    <row r="956" spans="1:10" x14ac:dyDescent="0.2">
      <c r="A956" s="38"/>
      <c r="B956" s="38" t="s">
        <v>593</v>
      </c>
      <c r="C956" s="88"/>
      <c r="D956" s="186">
        <v>1</v>
      </c>
      <c r="E956" s="90"/>
      <c r="F956" s="90"/>
      <c r="G956" s="90"/>
      <c r="H956" s="90"/>
      <c r="I956" s="90"/>
      <c r="J956" s="90">
        <f>D956</f>
        <v>1</v>
      </c>
    </row>
    <row r="957" spans="1:10" x14ac:dyDescent="0.2">
      <c r="A957" s="38"/>
      <c r="B957" s="38"/>
      <c r="C957" s="88"/>
      <c r="D957" s="186"/>
      <c r="E957" s="90"/>
      <c r="F957" s="90"/>
      <c r="G957" s="90"/>
      <c r="H957" s="90"/>
      <c r="I957" s="183" t="s">
        <v>239</v>
      </c>
      <c r="J957" s="182">
        <f>SUM(J956)</f>
        <v>1</v>
      </c>
    </row>
    <row r="958" spans="1:10" s="176" customFormat="1" x14ac:dyDescent="0.2">
      <c r="A958" s="179"/>
      <c r="B958" s="179"/>
      <c r="C958" s="88"/>
      <c r="D958" s="186"/>
      <c r="E958" s="186"/>
      <c r="F958" s="186"/>
      <c r="G958" s="186"/>
      <c r="H958" s="186"/>
      <c r="I958" s="187"/>
      <c r="J958" s="188"/>
    </row>
    <row r="959" spans="1:10" x14ac:dyDescent="0.2">
      <c r="A959" s="11">
        <v>12</v>
      </c>
      <c r="B959" s="7" t="str">
        <f>'PLANILHA ORÇAMENTÁRIA'!D82</f>
        <v>SERVIÇOS COMPLEMENTARES INTERNOS</v>
      </c>
      <c r="C959" s="5"/>
      <c r="D959" s="190"/>
      <c r="E959" s="73"/>
      <c r="F959" s="73"/>
      <c r="G959" s="73"/>
      <c r="H959" s="73"/>
      <c r="I959" s="73"/>
      <c r="J959" s="73"/>
    </row>
    <row r="960" spans="1:10" x14ac:dyDescent="0.2">
      <c r="A960" s="22" t="s">
        <v>633</v>
      </c>
      <c r="B960" s="18" t="str">
        <f>'PLANILHA ORÇAMENTÁRIA'!D83</f>
        <v>DIVERSOS INTERNOS</v>
      </c>
      <c r="C960" s="177"/>
      <c r="D960" s="88"/>
      <c r="E960" s="38"/>
      <c r="F960" s="38"/>
      <c r="G960" s="38"/>
      <c r="H960" s="38"/>
      <c r="I960" s="38"/>
      <c r="J960" s="38"/>
    </row>
    <row r="961" spans="1:10" ht="25.5" x14ac:dyDescent="0.2">
      <c r="A961" s="334" t="s">
        <v>634</v>
      </c>
      <c r="B961" s="335" t="s">
        <v>569</v>
      </c>
      <c r="C961" s="334" t="s">
        <v>255</v>
      </c>
      <c r="D961" s="341" t="s">
        <v>422</v>
      </c>
      <c r="E961" s="341" t="s">
        <v>80</v>
      </c>
      <c r="F961" s="341" t="s">
        <v>81</v>
      </c>
      <c r="G961" s="341" t="s">
        <v>82</v>
      </c>
      <c r="H961" s="341" t="s">
        <v>83</v>
      </c>
      <c r="I961" s="341" t="s">
        <v>84</v>
      </c>
      <c r="J961" s="342" t="s">
        <v>85</v>
      </c>
    </row>
    <row r="962" spans="1:10" x14ac:dyDescent="0.2">
      <c r="A962" s="334"/>
      <c r="B962" s="404" t="s">
        <v>556</v>
      </c>
      <c r="C962" s="334"/>
      <c r="D962" s="136"/>
      <c r="E962" s="341"/>
      <c r="F962" s="341"/>
      <c r="G962" s="341"/>
      <c r="H962" s="341"/>
      <c r="I962" s="341"/>
      <c r="J962" s="342"/>
    </row>
    <row r="963" spans="1:10" s="332" customFormat="1" x14ac:dyDescent="0.2">
      <c r="A963" s="334"/>
      <c r="B963" s="394" t="s">
        <v>571</v>
      </c>
      <c r="C963" s="334"/>
      <c r="D963" s="136">
        <v>4</v>
      </c>
      <c r="E963" s="341"/>
      <c r="F963" s="341"/>
      <c r="G963" s="341"/>
      <c r="H963" s="341"/>
      <c r="I963" s="341"/>
      <c r="J963" s="342">
        <f>D963</f>
        <v>4</v>
      </c>
    </row>
    <row r="964" spans="1:10" s="332" customFormat="1" x14ac:dyDescent="0.2">
      <c r="A964" s="334"/>
      <c r="B964" s="404" t="s">
        <v>558</v>
      </c>
      <c r="C964" s="334"/>
      <c r="D964" s="136"/>
      <c r="E964" s="341"/>
      <c r="F964" s="341"/>
      <c r="G964" s="341"/>
      <c r="H964" s="341"/>
      <c r="I964" s="341"/>
      <c r="J964" s="342"/>
    </row>
    <row r="965" spans="1:10" s="332" customFormat="1" x14ac:dyDescent="0.2">
      <c r="A965" s="334"/>
      <c r="B965" s="394" t="s">
        <v>571</v>
      </c>
      <c r="C965" s="334"/>
      <c r="D965" s="136">
        <v>4</v>
      </c>
      <c r="E965" s="341"/>
      <c r="F965" s="341"/>
      <c r="G965" s="341"/>
      <c r="H965" s="341"/>
      <c r="I965" s="341"/>
      <c r="J965" s="342">
        <f t="shared" ref="J965" si="132">D965</f>
        <v>4</v>
      </c>
    </row>
    <row r="966" spans="1:10" x14ac:dyDescent="0.2">
      <c r="A966" s="336"/>
      <c r="B966" s="336"/>
      <c r="C966" s="319"/>
      <c r="D966" s="336"/>
      <c r="E966" s="336"/>
      <c r="F966" s="336"/>
      <c r="G966" s="336"/>
      <c r="H966" s="336"/>
      <c r="I966" s="340" t="s">
        <v>239</v>
      </c>
      <c r="J966" s="339">
        <f>SUM(J962:J965)</f>
        <v>8</v>
      </c>
    </row>
    <row r="967" spans="1:10" x14ac:dyDescent="0.2">
      <c r="A967" s="336"/>
      <c r="B967" s="336"/>
      <c r="C967" s="319"/>
      <c r="D967" s="336"/>
      <c r="E967" s="336"/>
      <c r="F967" s="336"/>
      <c r="G967" s="336"/>
      <c r="H967" s="336"/>
      <c r="I967" s="345"/>
      <c r="J967" s="346"/>
    </row>
    <row r="968" spans="1:10" ht="25.5" x14ac:dyDescent="0.2">
      <c r="A968" s="334" t="s">
        <v>635</v>
      </c>
      <c r="B968" s="335" t="s">
        <v>572</v>
      </c>
      <c r="C968" s="334" t="s">
        <v>255</v>
      </c>
      <c r="D968" s="341" t="s">
        <v>422</v>
      </c>
      <c r="E968" s="341" t="s">
        <v>80</v>
      </c>
      <c r="F968" s="341" t="s">
        <v>81</v>
      </c>
      <c r="G968" s="341" t="s">
        <v>82</v>
      </c>
      <c r="H968" s="341" t="s">
        <v>83</v>
      </c>
      <c r="I968" s="341" t="s">
        <v>84</v>
      </c>
      <c r="J968" s="342" t="s">
        <v>85</v>
      </c>
    </row>
    <row r="969" spans="1:10" x14ac:dyDescent="0.2">
      <c r="A969" s="334"/>
      <c r="B969" s="404" t="s">
        <v>556</v>
      </c>
      <c r="C969" s="334"/>
      <c r="D969" s="136"/>
      <c r="E969" s="341"/>
      <c r="F969" s="341"/>
      <c r="G969" s="341"/>
      <c r="H969" s="341"/>
      <c r="I969" s="341"/>
      <c r="J969" s="342"/>
    </row>
    <row r="970" spans="1:10" x14ac:dyDescent="0.2">
      <c r="A970" s="334"/>
      <c r="B970" s="394" t="s">
        <v>571</v>
      </c>
      <c r="C970" s="334"/>
      <c r="D970" s="136">
        <v>2</v>
      </c>
      <c r="E970" s="341"/>
      <c r="F970" s="341"/>
      <c r="G970" s="341"/>
      <c r="H970" s="341"/>
      <c r="I970" s="341"/>
      <c r="J970" s="342">
        <f>D970</f>
        <v>2</v>
      </c>
    </row>
    <row r="971" spans="1:10" x14ac:dyDescent="0.2">
      <c r="A971" s="336"/>
      <c r="B971" s="336"/>
      <c r="C971" s="319"/>
      <c r="D971" s="336"/>
      <c r="E971" s="336"/>
      <c r="F971" s="336"/>
      <c r="G971" s="336"/>
      <c r="H971" s="336"/>
      <c r="I971" s="340" t="s">
        <v>239</v>
      </c>
      <c r="J971" s="339">
        <f>SUM(J969:J970)</f>
        <v>2</v>
      </c>
    </row>
  </sheetData>
  <mergeCells count="5">
    <mergeCell ref="B1:J1"/>
    <mergeCell ref="B2:D2"/>
    <mergeCell ref="I2:J3"/>
    <mergeCell ref="B3:F3"/>
    <mergeCell ref="B4:D4"/>
  </mergeCells>
  <pageMargins left="0.51181102362204722" right="0.51181102362204722" top="0.78740157480314965" bottom="0.78740157480314965" header="0.31496062992125984" footer="0.31496062992125984"/>
  <pageSetup paperSize="9" scale="65" fitToHeight="0" orientation="landscape" r:id="rId1"/>
  <rowBreaks count="1" manualBreakCount="1">
    <brk id="977"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5"/>
  <sheetViews>
    <sheetView view="pageBreakPreview" topLeftCell="A13" zoomScale="85" zoomScaleNormal="85" zoomScaleSheetLayoutView="85" workbookViewId="0">
      <selection activeCell="F9" sqref="F9"/>
    </sheetView>
  </sheetViews>
  <sheetFormatPr defaultColWidth="10.7109375" defaultRowHeight="15" customHeight="1" x14ac:dyDescent="0.25"/>
  <cols>
    <col min="1" max="1" width="10.7109375" style="164" customWidth="1"/>
    <col min="2" max="2" width="40.7109375" style="164" customWidth="1"/>
    <col min="3" max="3" width="14.7109375" style="164" bestFit="1" customWidth="1"/>
    <col min="4" max="4" width="20.140625" style="164" customWidth="1"/>
    <col min="5" max="5" width="17.140625" style="164" bestFit="1" customWidth="1"/>
    <col min="6" max="6" width="17.42578125" style="164" bestFit="1" customWidth="1"/>
    <col min="7" max="7" width="17.85546875" style="164" bestFit="1" customWidth="1"/>
    <col min="8" max="9" width="18.28515625" style="164" bestFit="1" customWidth="1"/>
    <col min="10" max="16384" width="10.7109375" style="165"/>
  </cols>
  <sheetData>
    <row r="1" spans="1:10" ht="15" customHeight="1" x14ac:dyDescent="0.25">
      <c r="A1" s="249"/>
      <c r="B1" s="427" t="s">
        <v>0</v>
      </c>
      <c r="C1" s="428"/>
      <c r="D1" s="428"/>
      <c r="E1" s="428"/>
      <c r="F1" s="428"/>
      <c r="G1" s="428"/>
      <c r="H1" s="428"/>
      <c r="I1" s="428"/>
    </row>
    <row r="2" spans="1:10" ht="15" customHeight="1" x14ac:dyDescent="0.25">
      <c r="A2" s="250"/>
      <c r="B2" s="429" t="s">
        <v>1</v>
      </c>
      <c r="C2" s="430"/>
      <c r="D2" s="430"/>
      <c r="E2" s="217"/>
      <c r="F2" s="218"/>
      <c r="G2" s="217"/>
      <c r="H2" s="217"/>
      <c r="I2" s="217"/>
    </row>
    <row r="3" spans="1:10" ht="46.5" customHeight="1" x14ac:dyDescent="0.25">
      <c r="A3" s="250"/>
      <c r="B3" s="429" t="str">
        <f>'PLANILHA ORÇAMENTÁRIA'!B3:D3</f>
        <v>OBRA: REFORMA DA ESCOLA MARIA OLIRIA SARCINELLI CAMPAGNARO NO MUNICÍPIO DE JOÃO NEIVA - ES</v>
      </c>
      <c r="C3" s="430"/>
      <c r="D3" s="430"/>
      <c r="E3" s="219" t="s">
        <v>3</v>
      </c>
      <c r="F3" s="220">
        <v>1.5727</v>
      </c>
      <c r="G3" s="431" t="s">
        <v>86</v>
      </c>
      <c r="H3" s="431"/>
      <c r="I3" s="431"/>
    </row>
    <row r="4" spans="1:10" ht="15" customHeight="1" x14ac:dyDescent="0.2">
      <c r="A4" s="250"/>
      <c r="B4" s="429" t="s">
        <v>2</v>
      </c>
      <c r="C4" s="430"/>
      <c r="D4" s="430"/>
      <c r="E4" s="221" t="s">
        <v>5</v>
      </c>
      <c r="F4" s="220">
        <v>0.3196</v>
      </c>
      <c r="G4" s="222"/>
      <c r="H4" s="223" t="s">
        <v>6</v>
      </c>
      <c r="I4" s="224" t="s">
        <v>708</v>
      </c>
    </row>
    <row r="5" spans="1:10" ht="33" customHeight="1" x14ac:dyDescent="0.25">
      <c r="A5" s="250"/>
      <c r="B5" s="432" t="str">
        <f>'PLANILHA ORÇAMENTÁRIA'!B5:E5</f>
        <v>ORÇAMENTISTAS: JEFTER DOS SANTOS LADISLAU CREA-ES 43139/D</v>
      </c>
      <c r="C5" s="433"/>
      <c r="D5" s="433"/>
      <c r="E5" s="433"/>
      <c r="F5" s="433"/>
      <c r="G5" s="433"/>
      <c r="H5" s="223"/>
      <c r="I5" s="224"/>
    </row>
    <row r="6" spans="1:10" ht="24.95" customHeight="1" x14ac:dyDescent="0.25">
      <c r="A6" s="434" t="s">
        <v>7</v>
      </c>
      <c r="B6" s="435" t="s">
        <v>333</v>
      </c>
      <c r="C6" s="441" t="s">
        <v>363</v>
      </c>
      <c r="D6" s="442"/>
      <c r="E6" s="434" t="s">
        <v>334</v>
      </c>
      <c r="F6" s="434"/>
      <c r="G6" s="434"/>
      <c r="H6" s="434"/>
      <c r="I6" s="434"/>
    </row>
    <row r="7" spans="1:10" ht="24.95" customHeight="1" thickBot="1" x14ac:dyDescent="0.3">
      <c r="A7" s="435"/>
      <c r="B7" s="436"/>
      <c r="C7" s="443"/>
      <c r="D7" s="444"/>
      <c r="E7" s="251">
        <v>1</v>
      </c>
      <c r="F7" s="251">
        <v>2</v>
      </c>
      <c r="G7" s="251">
        <v>3</v>
      </c>
      <c r="H7" s="251">
        <v>4</v>
      </c>
      <c r="I7" s="251">
        <v>5</v>
      </c>
    </row>
    <row r="8" spans="1:10" ht="24.95" customHeight="1" x14ac:dyDescent="0.25">
      <c r="A8" s="439" t="s">
        <v>17</v>
      </c>
      <c r="B8" s="437" t="str">
        <f>'PLANILHA ORÇAMENTÁRIA'!D8</f>
        <v>SERVIÇOS PRELIMINARES</v>
      </c>
      <c r="C8" s="252" t="s">
        <v>335</v>
      </c>
      <c r="D8" s="253">
        <f>D9/$D$32</f>
        <v>8.6761537120324014E-2</v>
      </c>
      <c r="E8" s="254">
        <v>0.5</v>
      </c>
      <c r="F8" s="254">
        <v>0.5</v>
      </c>
      <c r="G8" s="254"/>
      <c r="H8" s="254"/>
      <c r="I8" s="254"/>
      <c r="J8" s="165">
        <f t="shared" ref="J8:J31" si="0">SUM(E8:I8)</f>
        <v>1</v>
      </c>
    </row>
    <row r="9" spans="1:10" ht="24.95" customHeight="1" thickBot="1" x14ac:dyDescent="0.3">
      <c r="A9" s="440"/>
      <c r="B9" s="438"/>
      <c r="C9" s="255" t="s">
        <v>336</v>
      </c>
      <c r="D9" s="256">
        <f>'PLANILHA ORÇAMENTÁRIA'!I21</f>
        <v>38211.169999999991</v>
      </c>
      <c r="E9" s="257">
        <f>D9*E8</f>
        <v>19105.584999999995</v>
      </c>
      <c r="F9" s="257">
        <f>D9*F8</f>
        <v>19105.584999999995</v>
      </c>
      <c r="G9" s="257"/>
      <c r="H9" s="257"/>
      <c r="I9" s="257"/>
      <c r="J9" s="165">
        <f t="shared" si="0"/>
        <v>38211.169999999991</v>
      </c>
    </row>
    <row r="10" spans="1:10" ht="24.95" customHeight="1" x14ac:dyDescent="0.25">
      <c r="A10" s="439" t="s">
        <v>19</v>
      </c>
      <c r="B10" s="437" t="str">
        <f>'PLANILHA ORÇAMENTÁRIA'!D22</f>
        <v>INSTALAÇÃO DO CANTEIRO DE OBRAS</v>
      </c>
      <c r="C10" s="252" t="s">
        <v>335</v>
      </c>
      <c r="D10" s="253">
        <f>D11/$D$32</f>
        <v>7.7921576919967095E-2</v>
      </c>
      <c r="E10" s="254">
        <v>1</v>
      </c>
      <c r="F10" s="254"/>
      <c r="G10" s="254"/>
      <c r="H10" s="254"/>
      <c r="I10" s="254"/>
      <c r="J10" s="165">
        <f t="shared" si="0"/>
        <v>1</v>
      </c>
    </row>
    <row r="11" spans="1:10" ht="24.95" customHeight="1" thickBot="1" x14ac:dyDescent="0.3">
      <c r="A11" s="440"/>
      <c r="B11" s="438"/>
      <c r="C11" s="255" t="s">
        <v>336</v>
      </c>
      <c r="D11" s="256">
        <f>'PLANILHA ORÇAMENTÁRIA'!I30</f>
        <v>34317.909999999996</v>
      </c>
      <c r="E11" s="257">
        <f>D11</f>
        <v>34317.909999999996</v>
      </c>
      <c r="F11" s="257"/>
      <c r="G11" s="257"/>
      <c r="H11" s="257"/>
      <c r="I11" s="257"/>
      <c r="J11" s="165">
        <f t="shared" si="0"/>
        <v>34317.909999999996</v>
      </c>
    </row>
    <row r="12" spans="1:10" ht="24.95" customHeight="1" x14ac:dyDescent="0.25">
      <c r="A12" s="439" t="s">
        <v>35</v>
      </c>
      <c r="B12" s="437" t="str">
        <f>'PLANILHA ORÇAMENTÁRIA'!D31</f>
        <v>TRANSPORTES</v>
      </c>
      <c r="C12" s="252" t="s">
        <v>335</v>
      </c>
      <c r="D12" s="253">
        <f>D13/$D$32</f>
        <v>3.3785556524159963E-3</v>
      </c>
      <c r="E12" s="254"/>
      <c r="F12" s="254">
        <f>F13/$D$13</f>
        <v>0.79999999999999993</v>
      </c>
      <c r="G12" s="254">
        <f>G13/$D$13</f>
        <v>0.20000000000000004</v>
      </c>
      <c r="H12" s="258"/>
      <c r="I12" s="258"/>
      <c r="J12" s="165">
        <f t="shared" si="0"/>
        <v>1</v>
      </c>
    </row>
    <row r="13" spans="1:10" ht="24.95" customHeight="1" thickBot="1" x14ac:dyDescent="0.3">
      <c r="A13" s="440"/>
      <c r="B13" s="438"/>
      <c r="C13" s="255" t="s">
        <v>336</v>
      </c>
      <c r="D13" s="256">
        <f>'PLANILHA ORÇAMENTÁRIA'!I33</f>
        <v>1487.97</v>
      </c>
      <c r="E13" s="257"/>
      <c r="F13" s="257">
        <f>D13*0.8</f>
        <v>1190.376</v>
      </c>
      <c r="G13" s="257">
        <f>D13-F13</f>
        <v>297.59400000000005</v>
      </c>
      <c r="H13" s="257"/>
      <c r="I13" s="257"/>
      <c r="J13" s="165">
        <f t="shared" si="0"/>
        <v>1487.97</v>
      </c>
    </row>
    <row r="14" spans="1:10" ht="24.95" customHeight="1" x14ac:dyDescent="0.25">
      <c r="A14" s="439" t="s">
        <v>38</v>
      </c>
      <c r="B14" s="437" t="str">
        <f>'PLANILHA ORÇAMENTÁRIA'!D34</f>
        <v>ESQUADRIAS DE MADEIRA</v>
      </c>
      <c r="C14" s="252" t="s">
        <v>335</v>
      </c>
      <c r="D14" s="253">
        <f>D15/$D$32</f>
        <v>7.8958732676407475E-2</v>
      </c>
      <c r="E14" s="259"/>
      <c r="F14" s="254">
        <v>1</v>
      </c>
      <c r="G14" s="254"/>
      <c r="H14" s="254"/>
      <c r="I14" s="254"/>
      <c r="J14" s="165">
        <f t="shared" si="0"/>
        <v>1</v>
      </c>
    </row>
    <row r="15" spans="1:10" ht="24.95" customHeight="1" thickBot="1" x14ac:dyDescent="0.3">
      <c r="A15" s="440"/>
      <c r="B15" s="438"/>
      <c r="C15" s="255" t="s">
        <v>336</v>
      </c>
      <c r="D15" s="256">
        <f>'PLANILHA ORÇAMENTÁRIA'!I42</f>
        <v>34774.69</v>
      </c>
      <c r="E15" s="257">
        <v>0</v>
      </c>
      <c r="F15" s="257">
        <f>D15</f>
        <v>34774.69</v>
      </c>
      <c r="G15" s="257"/>
      <c r="H15" s="257"/>
      <c r="I15" s="257"/>
      <c r="J15" s="165">
        <f t="shared" si="0"/>
        <v>34774.69</v>
      </c>
    </row>
    <row r="16" spans="1:10" ht="24.95" customHeight="1" x14ac:dyDescent="0.25">
      <c r="A16" s="439" t="s">
        <v>39</v>
      </c>
      <c r="B16" s="445" t="str">
        <f>'PLANILHA ORÇAMENTÁRIA'!D43</f>
        <v>ESQUADRIAS METÁLICAS</v>
      </c>
      <c r="C16" s="252" t="s">
        <v>335</v>
      </c>
      <c r="D16" s="253">
        <f>D17/$D$32</f>
        <v>2.6380625899589796E-2</v>
      </c>
      <c r="E16" s="259"/>
      <c r="F16" s="259"/>
      <c r="G16" s="259">
        <v>1</v>
      </c>
      <c r="H16" s="259"/>
      <c r="I16" s="259"/>
      <c r="J16" s="165">
        <f t="shared" si="0"/>
        <v>1</v>
      </c>
    </row>
    <row r="17" spans="1:10" ht="24.95" customHeight="1" thickBot="1" x14ac:dyDescent="0.3">
      <c r="A17" s="440"/>
      <c r="B17" s="446"/>
      <c r="C17" s="255" t="s">
        <v>336</v>
      </c>
      <c r="D17" s="256">
        <f>'PLANILHA ORÇAMENTÁRIA'!I49</f>
        <v>11618.449999999999</v>
      </c>
      <c r="E17" s="257">
        <v>0</v>
      </c>
      <c r="F17" s="257"/>
      <c r="G17" s="257">
        <f>D17</f>
        <v>11618.449999999999</v>
      </c>
      <c r="H17" s="257"/>
      <c r="I17" s="257"/>
      <c r="J17" s="165">
        <f t="shared" si="0"/>
        <v>11618.449999999999</v>
      </c>
    </row>
    <row r="18" spans="1:10" ht="24.95" customHeight="1" x14ac:dyDescent="0.25">
      <c r="A18" s="439" t="s">
        <v>41</v>
      </c>
      <c r="B18" s="437" t="str">
        <f>'PLANILHA ORÇAMENTÁRIA'!D50</f>
        <v>VIDROS E ESPELHOS</v>
      </c>
      <c r="C18" s="252" t="s">
        <v>335</v>
      </c>
      <c r="D18" s="253">
        <f>D19/$D$32</f>
        <v>2.1374790621258292E-2</v>
      </c>
      <c r="E18" s="259"/>
      <c r="F18" s="259">
        <v>0.25</v>
      </c>
      <c r="G18" s="259">
        <v>0.25</v>
      </c>
      <c r="H18" s="259">
        <v>0.5</v>
      </c>
      <c r="I18" s="259"/>
      <c r="J18" s="165">
        <f t="shared" si="0"/>
        <v>1</v>
      </c>
    </row>
    <row r="19" spans="1:10" ht="24.95" customHeight="1" thickBot="1" x14ac:dyDescent="0.3">
      <c r="A19" s="440"/>
      <c r="B19" s="438"/>
      <c r="C19" s="255" t="s">
        <v>336</v>
      </c>
      <c r="D19" s="256">
        <f>'PLANILHA ORÇAMENTÁRIA'!I53</f>
        <v>9413.7999999999993</v>
      </c>
      <c r="E19" s="257">
        <v>0</v>
      </c>
      <c r="F19" s="257">
        <f>F18*D19</f>
        <v>2353.4499999999998</v>
      </c>
      <c r="G19" s="257">
        <f>G18*D19</f>
        <v>2353.4499999999998</v>
      </c>
      <c r="H19" s="257">
        <f>H18*D19</f>
        <v>4706.8999999999996</v>
      </c>
      <c r="I19" s="257"/>
      <c r="J19" s="165">
        <f t="shared" si="0"/>
        <v>9413.7999999999993</v>
      </c>
    </row>
    <row r="20" spans="1:10" ht="24.95" customHeight="1" x14ac:dyDescent="0.25">
      <c r="A20" s="439" t="s">
        <v>44</v>
      </c>
      <c r="B20" s="437" t="str">
        <f>'PLANILHA ORÇAMENTÁRIA'!D54</f>
        <v>REVESTIMENTO DE PAREDES</v>
      </c>
      <c r="C20" s="252" t="s">
        <v>335</v>
      </c>
      <c r="D20" s="253">
        <f>D21/$D$32</f>
        <v>2.9176959302637522E-2</v>
      </c>
      <c r="E20" s="259"/>
      <c r="F20" s="259"/>
      <c r="G20" s="259">
        <v>0.7</v>
      </c>
      <c r="H20" s="259">
        <v>0.3</v>
      </c>
      <c r="I20" s="259"/>
      <c r="J20" s="165">
        <f t="shared" si="0"/>
        <v>1</v>
      </c>
    </row>
    <row r="21" spans="1:10" ht="24.95" customHeight="1" thickBot="1" x14ac:dyDescent="0.3">
      <c r="A21" s="440"/>
      <c r="B21" s="438"/>
      <c r="C21" s="255" t="s">
        <v>336</v>
      </c>
      <c r="D21" s="256">
        <f>'PLANILHA ORÇAMENTÁRIA'!I59</f>
        <v>12850</v>
      </c>
      <c r="E21" s="257"/>
      <c r="F21" s="257"/>
      <c r="G21" s="257">
        <f>G20*D21</f>
        <v>8995</v>
      </c>
      <c r="H21" s="257">
        <f>H20*D21</f>
        <v>3855</v>
      </c>
      <c r="I21" s="257"/>
      <c r="J21" s="165">
        <f t="shared" si="0"/>
        <v>12850</v>
      </c>
    </row>
    <row r="22" spans="1:10" ht="24.95" customHeight="1" x14ac:dyDescent="0.25">
      <c r="A22" s="439" t="s">
        <v>337</v>
      </c>
      <c r="B22" s="437" t="str">
        <f>'PLANILHA ORÇAMENTÁRIA'!D60</f>
        <v>PISOS INTERNOS E EXTERNOS</v>
      </c>
      <c r="C22" s="252" t="s">
        <v>335</v>
      </c>
      <c r="D22" s="253">
        <f>D23/$D$32</f>
        <v>9.1449899834476951E-4</v>
      </c>
      <c r="E22" s="259"/>
      <c r="F22" s="259"/>
      <c r="G22" s="259">
        <v>1</v>
      </c>
      <c r="H22" s="259"/>
      <c r="I22" s="259"/>
      <c r="J22" s="165">
        <f t="shared" si="0"/>
        <v>1</v>
      </c>
    </row>
    <row r="23" spans="1:10" ht="24.95" customHeight="1" thickBot="1" x14ac:dyDescent="0.3">
      <c r="A23" s="440"/>
      <c r="B23" s="438"/>
      <c r="C23" s="255" t="s">
        <v>336</v>
      </c>
      <c r="D23" s="256">
        <f>'PLANILHA ORÇAMENTÁRIA'!I63</f>
        <v>402.76</v>
      </c>
      <c r="E23" s="257">
        <v>0</v>
      </c>
      <c r="F23" s="257"/>
      <c r="G23" s="257">
        <f>G22*D23</f>
        <v>402.76</v>
      </c>
      <c r="H23" s="257"/>
      <c r="I23" s="257"/>
      <c r="J23" s="165">
        <f t="shared" si="0"/>
        <v>402.76</v>
      </c>
    </row>
    <row r="24" spans="1:10" ht="24.95" customHeight="1" x14ac:dyDescent="0.25">
      <c r="A24" s="439" t="s">
        <v>55</v>
      </c>
      <c r="B24" s="437" t="str">
        <f>'PLANILHA ORÇAMENTÁRIA'!D64</f>
        <v>APARELHOS HIDRO-SANITÁRIOS</v>
      </c>
      <c r="C24" s="252" t="s">
        <v>335</v>
      </c>
      <c r="D24" s="253">
        <f>D25/$D$32</f>
        <v>2.7617524621777485E-3</v>
      </c>
      <c r="E24" s="259"/>
      <c r="F24" s="259"/>
      <c r="G24" s="259">
        <v>1</v>
      </c>
      <c r="H24" s="259"/>
      <c r="I24" s="259"/>
      <c r="J24" s="165">
        <f t="shared" si="0"/>
        <v>1</v>
      </c>
    </row>
    <row r="25" spans="1:10" ht="24.95" customHeight="1" thickBot="1" x14ac:dyDescent="0.3">
      <c r="A25" s="440"/>
      <c r="B25" s="438"/>
      <c r="C25" s="255" t="s">
        <v>336</v>
      </c>
      <c r="D25" s="256">
        <f>'PLANILHA ORÇAMENTÁRIA'!I67</f>
        <v>1216.32</v>
      </c>
      <c r="E25" s="257">
        <v>0</v>
      </c>
      <c r="F25" s="257"/>
      <c r="G25" s="257">
        <f>G24*D25</f>
        <v>1216.32</v>
      </c>
      <c r="H25" s="257"/>
      <c r="I25" s="257"/>
      <c r="J25" s="165">
        <f t="shared" si="0"/>
        <v>1216.32</v>
      </c>
    </row>
    <row r="26" spans="1:10" ht="24.95" customHeight="1" x14ac:dyDescent="0.25">
      <c r="A26" s="447">
        <v>10</v>
      </c>
      <c r="B26" s="437" t="str">
        <f>'PLANILHA ORÇAMENTÁRIA'!D68</f>
        <v>PINTURA</v>
      </c>
      <c r="C26" s="252" t="s">
        <v>335</v>
      </c>
      <c r="D26" s="253">
        <f>D27/$D$32</f>
        <v>0.58216639308820761</v>
      </c>
      <c r="E26" s="259"/>
      <c r="F26" s="259"/>
      <c r="G26" s="259">
        <v>0.2</v>
      </c>
      <c r="H26" s="259">
        <v>0.8</v>
      </c>
      <c r="I26" s="259"/>
      <c r="J26" s="165">
        <f t="shared" si="0"/>
        <v>1</v>
      </c>
    </row>
    <row r="27" spans="1:10" ht="24.95" customHeight="1" thickBot="1" x14ac:dyDescent="0.3">
      <c r="A27" s="448"/>
      <c r="B27" s="438"/>
      <c r="C27" s="255" t="s">
        <v>336</v>
      </c>
      <c r="D27" s="256">
        <f>'PLANILHA ORÇAMENTÁRIA'!I75</f>
        <v>256395.39999999997</v>
      </c>
      <c r="E27" s="257">
        <v>0</v>
      </c>
      <c r="F27" s="257"/>
      <c r="G27" s="257">
        <f>G26*D27</f>
        <v>51279.079999999994</v>
      </c>
      <c r="H27" s="257">
        <f>H26*D27</f>
        <v>205116.31999999998</v>
      </c>
      <c r="I27" s="257"/>
      <c r="J27" s="165">
        <f t="shared" si="0"/>
        <v>256395.39999999997</v>
      </c>
    </row>
    <row r="28" spans="1:10" ht="24.95" customHeight="1" x14ac:dyDescent="0.25">
      <c r="A28" s="439" t="s">
        <v>361</v>
      </c>
      <c r="B28" s="437" t="str">
        <f>'PLANILHA ORÇAMENTÁRIA'!D76</f>
        <v>SERVIÇOS COMPLEMENTARES EXTERNOS</v>
      </c>
      <c r="C28" s="252" t="s">
        <v>335</v>
      </c>
      <c r="D28" s="253">
        <f>D29/$D$32</f>
        <v>8.5116388025948467E-2</v>
      </c>
      <c r="E28" s="259"/>
      <c r="F28" s="259"/>
      <c r="G28" s="259"/>
      <c r="H28" s="259">
        <v>0.8</v>
      </c>
      <c r="I28" s="259">
        <v>0.2</v>
      </c>
      <c r="J28" s="165">
        <f t="shared" si="0"/>
        <v>1</v>
      </c>
    </row>
    <row r="29" spans="1:10" ht="24.95" customHeight="1" thickBot="1" x14ac:dyDescent="0.3">
      <c r="A29" s="440"/>
      <c r="B29" s="438"/>
      <c r="C29" s="255" t="s">
        <v>336</v>
      </c>
      <c r="D29" s="256">
        <f>'PLANILHA ORÇAMENTÁRIA'!I81</f>
        <v>37486.620000000003</v>
      </c>
      <c r="E29" s="257">
        <v>0</v>
      </c>
      <c r="F29" s="257"/>
      <c r="G29" s="257"/>
      <c r="H29" s="257">
        <f>H28*D29</f>
        <v>29989.296000000002</v>
      </c>
      <c r="I29" s="257">
        <f>I28*D29</f>
        <v>7497.3240000000005</v>
      </c>
      <c r="J29" s="165">
        <f t="shared" si="0"/>
        <v>37486.620000000003</v>
      </c>
    </row>
    <row r="30" spans="1:10" ht="24.95" customHeight="1" x14ac:dyDescent="0.25">
      <c r="A30" s="439" t="s">
        <v>362</v>
      </c>
      <c r="B30" s="437" t="str">
        <f>'PLANILHA ORÇAMENTÁRIA'!D82</f>
        <v>SERVIÇOS COMPLEMENTARES INTERNOS</v>
      </c>
      <c r="C30" s="252" t="s">
        <v>335</v>
      </c>
      <c r="D30" s="253">
        <f>D31/$D$32</f>
        <v>5.088189232721127E-3</v>
      </c>
      <c r="E30" s="254">
        <v>1</v>
      </c>
      <c r="F30" s="259"/>
      <c r="G30" s="259"/>
      <c r="H30" s="259"/>
      <c r="I30" s="259"/>
      <c r="J30" s="165">
        <f t="shared" si="0"/>
        <v>1</v>
      </c>
    </row>
    <row r="31" spans="1:10" ht="24.95" customHeight="1" thickBot="1" x14ac:dyDescent="0.3">
      <c r="A31" s="440"/>
      <c r="B31" s="438"/>
      <c r="C31" s="255" t="s">
        <v>336</v>
      </c>
      <c r="D31" s="256">
        <f>'PLANILHA ORÇAMENTÁRIA'!I86</f>
        <v>2240.92</v>
      </c>
      <c r="E31" s="257">
        <f>D31</f>
        <v>2240.92</v>
      </c>
      <c r="F31" s="257"/>
      <c r="G31" s="257"/>
      <c r="H31" s="257"/>
      <c r="I31" s="257"/>
      <c r="J31" s="165">
        <f t="shared" si="0"/>
        <v>2240.92</v>
      </c>
    </row>
    <row r="32" spans="1:10" ht="24.95" customHeight="1" x14ac:dyDescent="0.25">
      <c r="A32" s="453" t="s">
        <v>338</v>
      </c>
      <c r="B32" s="454"/>
      <c r="C32" s="454"/>
      <c r="D32" s="449">
        <f>'PLANILHA ORÇAMENTÁRIA'!I87</f>
        <v>440416.01</v>
      </c>
      <c r="E32" s="260">
        <f>E35/D32</f>
        <v>0.12639053471285022</v>
      </c>
      <c r="F32" s="260">
        <f>F34/$D$32</f>
        <v>0.13038604341381685</v>
      </c>
      <c r="G32" s="260">
        <f>G34/$D$32</f>
        <v>0.17293343627539787</v>
      </c>
      <c r="H32" s="260">
        <f>H34/$D$32</f>
        <v>0.55326670799274524</v>
      </c>
      <c r="I32" s="260">
        <f>I34/$D$32</f>
        <v>1.7023277605189693E-2</v>
      </c>
    </row>
    <row r="33" spans="1:9" ht="24.95" customHeight="1" x14ac:dyDescent="0.25">
      <c r="A33" s="451" t="s">
        <v>339</v>
      </c>
      <c r="B33" s="452"/>
      <c r="C33" s="452"/>
      <c r="D33" s="449"/>
      <c r="E33" s="261">
        <f>E32</f>
        <v>0.12639053471285022</v>
      </c>
      <c r="F33" s="261">
        <f>E33+F32</f>
        <v>0.2567765781266671</v>
      </c>
      <c r="G33" s="261">
        <f>F33+G32</f>
        <v>0.42971001440206497</v>
      </c>
      <c r="H33" s="261">
        <f t="shared" ref="H33:I33" si="1">G33+H32</f>
        <v>0.98297672239481027</v>
      </c>
      <c r="I33" s="261">
        <f t="shared" si="1"/>
        <v>1</v>
      </c>
    </row>
    <row r="34" spans="1:9" ht="24.95" customHeight="1" x14ac:dyDescent="0.25">
      <c r="A34" s="451" t="s">
        <v>340</v>
      </c>
      <c r="B34" s="452"/>
      <c r="C34" s="452"/>
      <c r="D34" s="449"/>
      <c r="E34" s="262">
        <f>E9+E11+E13+E15+E17+E19+E21+E23+E25+E27+E29+E31</f>
        <v>55664.414999999994</v>
      </c>
      <c r="F34" s="262">
        <f t="shared" ref="F34:I34" si="2">F9+F11+F13+F15+F17+F19+F21+F23+F25+F27+F29+F31</f>
        <v>57424.100999999995</v>
      </c>
      <c r="G34" s="262">
        <f t="shared" si="2"/>
        <v>76162.653999999995</v>
      </c>
      <c r="H34" s="262">
        <f t="shared" si="2"/>
        <v>243667.51599999997</v>
      </c>
      <c r="I34" s="262">
        <f t="shared" si="2"/>
        <v>7497.3240000000005</v>
      </c>
    </row>
    <row r="35" spans="1:9" ht="24.95" customHeight="1" x14ac:dyDescent="0.25">
      <c r="A35" s="451" t="s">
        <v>341</v>
      </c>
      <c r="B35" s="452"/>
      <c r="C35" s="452"/>
      <c r="D35" s="450"/>
      <c r="E35" s="262">
        <f>E34</f>
        <v>55664.414999999994</v>
      </c>
      <c r="F35" s="262">
        <f>E35+F34</f>
        <v>113088.51599999999</v>
      </c>
      <c r="G35" s="262">
        <f t="shared" ref="G35:I35" si="3">F35+G34</f>
        <v>189251.16999999998</v>
      </c>
      <c r="H35" s="262">
        <f t="shared" si="3"/>
        <v>432918.68599999999</v>
      </c>
      <c r="I35" s="262">
        <f t="shared" si="3"/>
        <v>440416.01</v>
      </c>
    </row>
  </sheetData>
  <mergeCells count="39">
    <mergeCell ref="A30:A31"/>
    <mergeCell ref="B30:B31"/>
    <mergeCell ref="D32:D35"/>
    <mergeCell ref="A33:C33"/>
    <mergeCell ref="A34:C34"/>
    <mergeCell ref="A35:C35"/>
    <mergeCell ref="A32:C32"/>
    <mergeCell ref="A28:A29"/>
    <mergeCell ref="A18:A19"/>
    <mergeCell ref="B18:B19"/>
    <mergeCell ref="A20:A21"/>
    <mergeCell ref="B20:B21"/>
    <mergeCell ref="A22:A23"/>
    <mergeCell ref="B22:B23"/>
    <mergeCell ref="A26:A27"/>
    <mergeCell ref="B26:B27"/>
    <mergeCell ref="A24:A25"/>
    <mergeCell ref="B24:B25"/>
    <mergeCell ref="B28:B29"/>
    <mergeCell ref="A14:A15"/>
    <mergeCell ref="B14:B15"/>
    <mergeCell ref="A16:A17"/>
    <mergeCell ref="B16:B17"/>
    <mergeCell ref="A10:A11"/>
    <mergeCell ref="B10:B11"/>
    <mergeCell ref="A12:A13"/>
    <mergeCell ref="B12:B13"/>
    <mergeCell ref="B5:G5"/>
    <mergeCell ref="A6:A7"/>
    <mergeCell ref="B6:B7"/>
    <mergeCell ref="B8:B9"/>
    <mergeCell ref="A8:A9"/>
    <mergeCell ref="C6:D7"/>
    <mergeCell ref="E6:I6"/>
    <mergeCell ref="B1:I1"/>
    <mergeCell ref="B2:D2"/>
    <mergeCell ref="B3:D3"/>
    <mergeCell ref="G3:I3"/>
    <mergeCell ref="B4:D4"/>
  </mergeCells>
  <conditionalFormatting sqref="E16:F16 E12:I12 E18:I18 E8:I10 H16:I16 E32:I35">
    <cfRule type="cellIs" dxfId="33" priority="360" operator="equal">
      <formula>0</formula>
    </cfRule>
  </conditionalFormatting>
  <conditionalFormatting sqref="E13:I13">
    <cfRule type="cellIs" dxfId="32" priority="108" operator="equal">
      <formula>0</formula>
    </cfRule>
  </conditionalFormatting>
  <conditionalFormatting sqref="E14">
    <cfRule type="cellIs" dxfId="31" priority="347" operator="equal">
      <formula>0</formula>
    </cfRule>
  </conditionalFormatting>
  <conditionalFormatting sqref="E20:F20 I20">
    <cfRule type="cellIs" dxfId="30" priority="310" operator="equal">
      <formula>0</formula>
    </cfRule>
  </conditionalFormatting>
  <conditionalFormatting sqref="E22:I22">
    <cfRule type="cellIs" dxfId="29" priority="308" operator="equal">
      <formula>0</formula>
    </cfRule>
  </conditionalFormatting>
  <conditionalFormatting sqref="E24:I24">
    <cfRule type="cellIs" dxfId="28" priority="306" operator="equal">
      <formula>0</formula>
    </cfRule>
  </conditionalFormatting>
  <conditionalFormatting sqref="E26:I26">
    <cfRule type="cellIs" dxfId="27" priority="304" operator="equal">
      <formula>0</formula>
    </cfRule>
  </conditionalFormatting>
  <conditionalFormatting sqref="E28:I28">
    <cfRule type="cellIs" dxfId="26" priority="302" operator="equal">
      <formula>0</formula>
    </cfRule>
  </conditionalFormatting>
  <conditionalFormatting sqref="F30:G30">
    <cfRule type="cellIs" dxfId="25" priority="300" operator="equal">
      <formula>0</formula>
    </cfRule>
  </conditionalFormatting>
  <conditionalFormatting sqref="F14:H14">
    <cfRule type="cellIs" dxfId="24" priority="279" operator="equal">
      <formula>0</formula>
    </cfRule>
  </conditionalFormatting>
  <conditionalFormatting sqref="I14">
    <cfRule type="cellIs" dxfId="23" priority="135" operator="equal">
      <formula>0</formula>
    </cfRule>
  </conditionalFormatting>
  <conditionalFormatting sqref="E21:F21 I21">
    <cfRule type="cellIs" dxfId="22" priority="88" operator="equal">
      <formula>0</formula>
    </cfRule>
  </conditionalFormatting>
  <conditionalFormatting sqref="E15:I15">
    <cfRule type="cellIs" dxfId="21" priority="103" operator="equal">
      <formula>0</formula>
    </cfRule>
  </conditionalFormatting>
  <conditionalFormatting sqref="E11:I11">
    <cfRule type="cellIs" dxfId="20" priority="113" operator="equal">
      <formula>0</formula>
    </cfRule>
  </conditionalFormatting>
  <conditionalFormatting sqref="E17:F17 H17:I17">
    <cfRule type="cellIs" dxfId="19" priority="98" operator="equal">
      <formula>0</formula>
    </cfRule>
  </conditionalFormatting>
  <conditionalFormatting sqref="E19:I19">
    <cfRule type="cellIs" dxfId="18" priority="93" operator="equal">
      <formula>0</formula>
    </cfRule>
  </conditionalFormatting>
  <conditionalFormatting sqref="E23:F23 H23:I23">
    <cfRule type="cellIs" dxfId="17" priority="83" operator="equal">
      <formula>0</formula>
    </cfRule>
  </conditionalFormatting>
  <conditionalFormatting sqref="E25:I25">
    <cfRule type="cellIs" dxfId="16" priority="78" operator="equal">
      <formula>0</formula>
    </cfRule>
  </conditionalFormatting>
  <conditionalFormatting sqref="E27:F27 I27">
    <cfRule type="cellIs" dxfId="15" priority="73" operator="equal">
      <formula>0</formula>
    </cfRule>
  </conditionalFormatting>
  <conditionalFormatting sqref="E29:I29">
    <cfRule type="cellIs" dxfId="14" priority="68" operator="equal">
      <formula>0</formula>
    </cfRule>
  </conditionalFormatting>
  <conditionalFormatting sqref="F31:G31">
    <cfRule type="cellIs" dxfId="13" priority="63" operator="equal">
      <formula>0</formula>
    </cfRule>
  </conditionalFormatting>
  <conditionalFormatting sqref="G16">
    <cfRule type="cellIs" dxfId="12" priority="13" operator="equal">
      <formula>0</formula>
    </cfRule>
  </conditionalFormatting>
  <conditionalFormatting sqref="G17">
    <cfRule type="cellIs" dxfId="11" priority="12" operator="equal">
      <formula>0</formula>
    </cfRule>
  </conditionalFormatting>
  <conditionalFormatting sqref="H20">
    <cfRule type="cellIs" dxfId="10" priority="11" operator="equal">
      <formula>0</formula>
    </cfRule>
  </conditionalFormatting>
  <conditionalFormatting sqref="H21">
    <cfRule type="cellIs" dxfId="9" priority="10" operator="equal">
      <formula>0</formula>
    </cfRule>
  </conditionalFormatting>
  <conditionalFormatting sqref="G23">
    <cfRule type="cellIs" dxfId="8" priority="9" operator="equal">
      <formula>0</formula>
    </cfRule>
  </conditionalFormatting>
  <conditionalFormatting sqref="G27">
    <cfRule type="cellIs" dxfId="7" priority="8" operator="equal">
      <formula>0</formula>
    </cfRule>
  </conditionalFormatting>
  <conditionalFormatting sqref="H27">
    <cfRule type="cellIs" dxfId="6" priority="7" operator="equal">
      <formula>0</formula>
    </cfRule>
  </conditionalFormatting>
  <conditionalFormatting sqref="G20">
    <cfRule type="cellIs" dxfId="5" priority="6" operator="equal">
      <formula>0</formula>
    </cfRule>
  </conditionalFormatting>
  <conditionalFormatting sqref="G21">
    <cfRule type="cellIs" dxfId="4" priority="5" operator="equal">
      <formula>0</formula>
    </cfRule>
  </conditionalFormatting>
  <conditionalFormatting sqref="H30:I30">
    <cfRule type="cellIs" dxfId="3" priority="4" operator="equal">
      <formula>0</formula>
    </cfRule>
  </conditionalFormatting>
  <conditionalFormatting sqref="H31:I31">
    <cfRule type="cellIs" dxfId="2" priority="3" operator="equal">
      <formula>0</formula>
    </cfRule>
  </conditionalFormatting>
  <conditionalFormatting sqref="E30">
    <cfRule type="cellIs" dxfId="1" priority="2" operator="equal">
      <formula>0</formula>
    </cfRule>
  </conditionalFormatting>
  <conditionalFormatting sqref="E31">
    <cfRule type="cellIs" dxfId="0" priority="1" operator="equal">
      <formula>0</formula>
    </cfRule>
  </conditionalFormatting>
  <printOptions horizontalCentered="1" gridLines="1"/>
  <pageMargins left="0.39370078740157483" right="0.39370078740157483" top="0.39370078740157483" bottom="0.39370078740157483" header="0" footer="0"/>
  <pageSetup paperSize="9" scale="50" fitToHeight="0" orientation="portrait" r:id="rId1"/>
  <headerFooter alignWithMargins="0"/>
  <colBreaks count="1" manualBreakCount="1">
    <brk id="9" max="52"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69"/>
  <sheetViews>
    <sheetView view="pageBreakPreview" zoomScale="80" zoomScaleNormal="80" zoomScaleSheetLayoutView="80" workbookViewId="0">
      <selection activeCell="J9" sqref="J9"/>
    </sheetView>
  </sheetViews>
  <sheetFormatPr defaultRowHeight="12.75" x14ac:dyDescent="0.2"/>
  <cols>
    <col min="1" max="1" width="9.140625" style="40"/>
    <col min="2" max="2" width="18.7109375" style="40" customWidth="1"/>
    <col min="3" max="3" width="9.140625" style="40"/>
    <col min="4" max="4" width="18.5703125" style="40" customWidth="1"/>
    <col min="5" max="5" width="16.42578125" style="40" customWidth="1"/>
    <col min="6" max="6" width="19.42578125" style="40" customWidth="1"/>
    <col min="7" max="7" width="12.42578125" style="40" customWidth="1"/>
    <col min="8" max="9" width="9.140625" style="40"/>
    <col min="10" max="10" width="11.42578125" style="40" customWidth="1"/>
    <col min="11" max="11" width="9.140625" style="40"/>
    <col min="12" max="12" width="14.5703125" style="40" customWidth="1"/>
    <col min="13" max="14" width="9.140625" style="40"/>
    <col min="15" max="15" width="13.85546875" style="40" bestFit="1" customWidth="1"/>
    <col min="16" max="256" width="9.140625" style="40"/>
    <col min="257" max="257" width="18.7109375" style="40" customWidth="1"/>
    <col min="258" max="258" width="9.140625" style="40"/>
    <col min="259" max="259" width="18.5703125" style="40" customWidth="1"/>
    <col min="260" max="260" width="13.42578125" style="40" customWidth="1"/>
    <col min="261" max="261" width="19" style="40" customWidth="1"/>
    <col min="262" max="262" width="12.42578125" style="40" customWidth="1"/>
    <col min="263" max="512" width="9.140625" style="40"/>
    <col min="513" max="513" width="18.7109375" style="40" customWidth="1"/>
    <col min="514" max="514" width="9.140625" style="40"/>
    <col min="515" max="515" width="18.5703125" style="40" customWidth="1"/>
    <col min="516" max="516" width="13.42578125" style="40" customWidth="1"/>
    <col min="517" max="517" width="19" style="40" customWidth="1"/>
    <col min="518" max="518" width="12.42578125" style="40" customWidth="1"/>
    <col min="519" max="768" width="9.140625" style="40"/>
    <col min="769" max="769" width="18.7109375" style="40" customWidth="1"/>
    <col min="770" max="770" width="9.140625" style="40"/>
    <col min="771" max="771" width="18.5703125" style="40" customWidth="1"/>
    <col min="772" max="772" width="13.42578125" style="40" customWidth="1"/>
    <col min="773" max="773" width="19" style="40" customWidth="1"/>
    <col min="774" max="774" width="12.42578125" style="40" customWidth="1"/>
    <col min="775" max="1024" width="9.140625" style="40"/>
    <col min="1025" max="1025" width="18.7109375" style="40" customWidth="1"/>
    <col min="1026" max="1026" width="9.140625" style="40"/>
    <col min="1027" max="1027" width="18.5703125" style="40" customWidth="1"/>
    <col min="1028" max="1028" width="13.42578125" style="40" customWidth="1"/>
    <col min="1029" max="1029" width="19" style="40" customWidth="1"/>
    <col min="1030" max="1030" width="12.42578125" style="40" customWidth="1"/>
    <col min="1031" max="1280" width="9.140625" style="40"/>
    <col min="1281" max="1281" width="18.7109375" style="40" customWidth="1"/>
    <col min="1282" max="1282" width="9.140625" style="40"/>
    <col min="1283" max="1283" width="18.5703125" style="40" customWidth="1"/>
    <col min="1284" max="1284" width="13.42578125" style="40" customWidth="1"/>
    <col min="1285" max="1285" width="19" style="40" customWidth="1"/>
    <col min="1286" max="1286" width="12.42578125" style="40" customWidth="1"/>
    <col min="1287" max="1536" width="9.140625" style="40"/>
    <col min="1537" max="1537" width="18.7109375" style="40" customWidth="1"/>
    <col min="1538" max="1538" width="9.140625" style="40"/>
    <col min="1539" max="1539" width="18.5703125" style="40" customWidth="1"/>
    <col min="1540" max="1540" width="13.42578125" style="40" customWidth="1"/>
    <col min="1541" max="1541" width="19" style="40" customWidth="1"/>
    <col min="1542" max="1542" width="12.42578125" style="40" customWidth="1"/>
    <col min="1543" max="1792" width="9.140625" style="40"/>
    <col min="1793" max="1793" width="18.7109375" style="40" customWidth="1"/>
    <col min="1794" max="1794" width="9.140625" style="40"/>
    <col min="1795" max="1795" width="18.5703125" style="40" customWidth="1"/>
    <col min="1796" max="1796" width="13.42578125" style="40" customWidth="1"/>
    <col min="1797" max="1797" width="19" style="40" customWidth="1"/>
    <col min="1798" max="1798" width="12.42578125" style="40" customWidth="1"/>
    <col min="1799" max="2048" width="9.140625" style="40"/>
    <col min="2049" max="2049" width="18.7109375" style="40" customWidth="1"/>
    <col min="2050" max="2050" width="9.140625" style="40"/>
    <col min="2051" max="2051" width="18.5703125" style="40" customWidth="1"/>
    <col min="2052" max="2052" width="13.42578125" style="40" customWidth="1"/>
    <col min="2053" max="2053" width="19" style="40" customWidth="1"/>
    <col min="2054" max="2054" width="12.42578125" style="40" customWidth="1"/>
    <col min="2055" max="2304" width="9.140625" style="40"/>
    <col min="2305" max="2305" width="18.7109375" style="40" customWidth="1"/>
    <col min="2306" max="2306" width="9.140625" style="40"/>
    <col min="2307" max="2307" width="18.5703125" style="40" customWidth="1"/>
    <col min="2308" max="2308" width="13.42578125" style="40" customWidth="1"/>
    <col min="2309" max="2309" width="19" style="40" customWidth="1"/>
    <col min="2310" max="2310" width="12.42578125" style="40" customWidth="1"/>
    <col min="2311" max="2560" width="9.140625" style="40"/>
    <col min="2561" max="2561" width="18.7109375" style="40" customWidth="1"/>
    <col min="2562" max="2562" width="9.140625" style="40"/>
    <col min="2563" max="2563" width="18.5703125" style="40" customWidth="1"/>
    <col min="2564" max="2564" width="13.42578125" style="40" customWidth="1"/>
    <col min="2565" max="2565" width="19" style="40" customWidth="1"/>
    <col min="2566" max="2566" width="12.42578125" style="40" customWidth="1"/>
    <col min="2567" max="2816" width="9.140625" style="40"/>
    <col min="2817" max="2817" width="18.7109375" style="40" customWidth="1"/>
    <col min="2818" max="2818" width="9.140625" style="40"/>
    <col min="2819" max="2819" width="18.5703125" style="40" customWidth="1"/>
    <col min="2820" max="2820" width="13.42578125" style="40" customWidth="1"/>
    <col min="2821" max="2821" width="19" style="40" customWidth="1"/>
    <col min="2822" max="2822" width="12.42578125" style="40" customWidth="1"/>
    <col min="2823" max="3072" width="9.140625" style="40"/>
    <col min="3073" max="3073" width="18.7109375" style="40" customWidth="1"/>
    <col min="3074" max="3074" width="9.140625" style="40"/>
    <col min="3075" max="3075" width="18.5703125" style="40" customWidth="1"/>
    <col min="3076" max="3076" width="13.42578125" style="40" customWidth="1"/>
    <col min="3077" max="3077" width="19" style="40" customWidth="1"/>
    <col min="3078" max="3078" width="12.42578125" style="40" customWidth="1"/>
    <col min="3079" max="3328" width="9.140625" style="40"/>
    <col min="3329" max="3329" width="18.7109375" style="40" customWidth="1"/>
    <col min="3330" max="3330" width="9.140625" style="40"/>
    <col min="3331" max="3331" width="18.5703125" style="40" customWidth="1"/>
    <col min="3332" max="3332" width="13.42578125" style="40" customWidth="1"/>
    <col min="3333" max="3333" width="19" style="40" customWidth="1"/>
    <col min="3334" max="3334" width="12.42578125" style="40" customWidth="1"/>
    <col min="3335" max="3584" width="9.140625" style="40"/>
    <col min="3585" max="3585" width="18.7109375" style="40" customWidth="1"/>
    <col min="3586" max="3586" width="9.140625" style="40"/>
    <col min="3587" max="3587" width="18.5703125" style="40" customWidth="1"/>
    <col min="3588" max="3588" width="13.42578125" style="40" customWidth="1"/>
    <col min="3589" max="3589" width="19" style="40" customWidth="1"/>
    <col min="3590" max="3590" width="12.42578125" style="40" customWidth="1"/>
    <col min="3591" max="3840" width="9.140625" style="40"/>
    <col min="3841" max="3841" width="18.7109375" style="40" customWidth="1"/>
    <col min="3842" max="3842" width="9.140625" style="40"/>
    <col min="3843" max="3843" width="18.5703125" style="40" customWidth="1"/>
    <col min="3844" max="3844" width="13.42578125" style="40" customWidth="1"/>
    <col min="3845" max="3845" width="19" style="40" customWidth="1"/>
    <col min="3846" max="3846" width="12.42578125" style="40" customWidth="1"/>
    <col min="3847" max="4096" width="9.140625" style="40"/>
    <col min="4097" max="4097" width="18.7109375" style="40" customWidth="1"/>
    <col min="4098" max="4098" width="9.140625" style="40"/>
    <col min="4099" max="4099" width="18.5703125" style="40" customWidth="1"/>
    <col min="4100" max="4100" width="13.42578125" style="40" customWidth="1"/>
    <col min="4101" max="4101" width="19" style="40" customWidth="1"/>
    <col min="4102" max="4102" width="12.42578125" style="40" customWidth="1"/>
    <col min="4103" max="4352" width="9.140625" style="40"/>
    <col min="4353" max="4353" width="18.7109375" style="40" customWidth="1"/>
    <col min="4354" max="4354" width="9.140625" style="40"/>
    <col min="4355" max="4355" width="18.5703125" style="40" customWidth="1"/>
    <col min="4356" max="4356" width="13.42578125" style="40" customWidth="1"/>
    <col min="4357" max="4357" width="19" style="40" customWidth="1"/>
    <col min="4358" max="4358" width="12.42578125" style="40" customWidth="1"/>
    <col min="4359" max="4608" width="9.140625" style="40"/>
    <col min="4609" max="4609" width="18.7109375" style="40" customWidth="1"/>
    <col min="4610" max="4610" width="9.140625" style="40"/>
    <col min="4611" max="4611" width="18.5703125" style="40" customWidth="1"/>
    <col min="4612" max="4612" width="13.42578125" style="40" customWidth="1"/>
    <col min="4613" max="4613" width="19" style="40" customWidth="1"/>
    <col min="4614" max="4614" width="12.42578125" style="40" customWidth="1"/>
    <col min="4615" max="4864" width="9.140625" style="40"/>
    <col min="4865" max="4865" width="18.7109375" style="40" customWidth="1"/>
    <col min="4866" max="4866" width="9.140625" style="40"/>
    <col min="4867" max="4867" width="18.5703125" style="40" customWidth="1"/>
    <col min="4868" max="4868" width="13.42578125" style="40" customWidth="1"/>
    <col min="4869" max="4869" width="19" style="40" customWidth="1"/>
    <col min="4870" max="4870" width="12.42578125" style="40" customWidth="1"/>
    <col min="4871" max="5120" width="9.140625" style="40"/>
    <col min="5121" max="5121" width="18.7109375" style="40" customWidth="1"/>
    <col min="5122" max="5122" width="9.140625" style="40"/>
    <col min="5123" max="5123" width="18.5703125" style="40" customWidth="1"/>
    <col min="5124" max="5124" width="13.42578125" style="40" customWidth="1"/>
    <col min="5125" max="5125" width="19" style="40" customWidth="1"/>
    <col min="5126" max="5126" width="12.42578125" style="40" customWidth="1"/>
    <col min="5127" max="5376" width="9.140625" style="40"/>
    <col min="5377" max="5377" width="18.7109375" style="40" customWidth="1"/>
    <col min="5378" max="5378" width="9.140625" style="40"/>
    <col min="5379" max="5379" width="18.5703125" style="40" customWidth="1"/>
    <col min="5380" max="5380" width="13.42578125" style="40" customWidth="1"/>
    <col min="5381" max="5381" width="19" style="40" customWidth="1"/>
    <col min="5382" max="5382" width="12.42578125" style="40" customWidth="1"/>
    <col min="5383" max="5632" width="9.140625" style="40"/>
    <col min="5633" max="5633" width="18.7109375" style="40" customWidth="1"/>
    <col min="5634" max="5634" width="9.140625" style="40"/>
    <col min="5635" max="5635" width="18.5703125" style="40" customWidth="1"/>
    <col min="5636" max="5636" width="13.42578125" style="40" customWidth="1"/>
    <col min="5637" max="5637" width="19" style="40" customWidth="1"/>
    <col min="5638" max="5638" width="12.42578125" style="40" customWidth="1"/>
    <col min="5639" max="5888" width="9.140625" style="40"/>
    <col min="5889" max="5889" width="18.7109375" style="40" customWidth="1"/>
    <col min="5890" max="5890" width="9.140625" style="40"/>
    <col min="5891" max="5891" width="18.5703125" style="40" customWidth="1"/>
    <col min="5892" max="5892" width="13.42578125" style="40" customWidth="1"/>
    <col min="5893" max="5893" width="19" style="40" customWidth="1"/>
    <col min="5894" max="5894" width="12.42578125" style="40" customWidth="1"/>
    <col min="5895" max="6144" width="9.140625" style="40"/>
    <col min="6145" max="6145" width="18.7109375" style="40" customWidth="1"/>
    <col min="6146" max="6146" width="9.140625" style="40"/>
    <col min="6147" max="6147" width="18.5703125" style="40" customWidth="1"/>
    <col min="6148" max="6148" width="13.42578125" style="40" customWidth="1"/>
    <col min="6149" max="6149" width="19" style="40" customWidth="1"/>
    <col min="6150" max="6150" width="12.42578125" style="40" customWidth="1"/>
    <col min="6151" max="6400" width="9.140625" style="40"/>
    <col min="6401" max="6401" width="18.7109375" style="40" customWidth="1"/>
    <col min="6402" max="6402" width="9.140625" style="40"/>
    <col min="6403" max="6403" width="18.5703125" style="40" customWidth="1"/>
    <col min="6404" max="6404" width="13.42578125" style="40" customWidth="1"/>
    <col min="6405" max="6405" width="19" style="40" customWidth="1"/>
    <col min="6406" max="6406" width="12.42578125" style="40" customWidth="1"/>
    <col min="6407" max="6656" width="9.140625" style="40"/>
    <col min="6657" max="6657" width="18.7109375" style="40" customWidth="1"/>
    <col min="6658" max="6658" width="9.140625" style="40"/>
    <col min="6659" max="6659" width="18.5703125" style="40" customWidth="1"/>
    <col min="6660" max="6660" width="13.42578125" style="40" customWidth="1"/>
    <col min="6661" max="6661" width="19" style="40" customWidth="1"/>
    <col min="6662" max="6662" width="12.42578125" style="40" customWidth="1"/>
    <col min="6663" max="6912" width="9.140625" style="40"/>
    <col min="6913" max="6913" width="18.7109375" style="40" customWidth="1"/>
    <col min="6914" max="6914" width="9.140625" style="40"/>
    <col min="6915" max="6915" width="18.5703125" style="40" customWidth="1"/>
    <col min="6916" max="6916" width="13.42578125" style="40" customWidth="1"/>
    <col min="6917" max="6917" width="19" style="40" customWidth="1"/>
    <col min="6918" max="6918" width="12.42578125" style="40" customWidth="1"/>
    <col min="6919" max="7168" width="9.140625" style="40"/>
    <col min="7169" max="7169" width="18.7109375" style="40" customWidth="1"/>
    <col min="7170" max="7170" width="9.140625" style="40"/>
    <col min="7171" max="7171" width="18.5703125" style="40" customWidth="1"/>
    <col min="7172" max="7172" width="13.42578125" style="40" customWidth="1"/>
    <col min="7173" max="7173" width="19" style="40" customWidth="1"/>
    <col min="7174" max="7174" width="12.42578125" style="40" customWidth="1"/>
    <col min="7175" max="7424" width="9.140625" style="40"/>
    <col min="7425" max="7425" width="18.7109375" style="40" customWidth="1"/>
    <col min="7426" max="7426" width="9.140625" style="40"/>
    <col min="7427" max="7427" width="18.5703125" style="40" customWidth="1"/>
    <col min="7428" max="7428" width="13.42578125" style="40" customWidth="1"/>
    <col min="7429" max="7429" width="19" style="40" customWidth="1"/>
    <col min="7430" max="7430" width="12.42578125" style="40" customWidth="1"/>
    <col min="7431" max="7680" width="9.140625" style="40"/>
    <col min="7681" max="7681" width="18.7109375" style="40" customWidth="1"/>
    <col min="7682" max="7682" width="9.140625" style="40"/>
    <col min="7683" max="7683" width="18.5703125" style="40" customWidth="1"/>
    <col min="7684" max="7684" width="13.42578125" style="40" customWidth="1"/>
    <col min="7685" max="7685" width="19" style="40" customWidth="1"/>
    <col min="7686" max="7686" width="12.42578125" style="40" customWidth="1"/>
    <col min="7687" max="7936" width="9.140625" style="40"/>
    <col min="7937" max="7937" width="18.7109375" style="40" customWidth="1"/>
    <col min="7938" max="7938" width="9.140625" style="40"/>
    <col min="7939" max="7939" width="18.5703125" style="40" customWidth="1"/>
    <col min="7940" max="7940" width="13.42578125" style="40" customWidth="1"/>
    <col min="7941" max="7941" width="19" style="40" customWidth="1"/>
    <col min="7942" max="7942" width="12.42578125" style="40" customWidth="1"/>
    <col min="7943" max="8192" width="9.140625" style="40"/>
    <col min="8193" max="8193" width="18.7109375" style="40" customWidth="1"/>
    <col min="8194" max="8194" width="9.140625" style="40"/>
    <col min="8195" max="8195" width="18.5703125" style="40" customWidth="1"/>
    <col min="8196" max="8196" width="13.42578125" style="40" customWidth="1"/>
    <col min="8197" max="8197" width="19" style="40" customWidth="1"/>
    <col min="8198" max="8198" width="12.42578125" style="40" customWidth="1"/>
    <col min="8199" max="8448" width="9.140625" style="40"/>
    <col min="8449" max="8449" width="18.7109375" style="40" customWidth="1"/>
    <col min="8450" max="8450" width="9.140625" style="40"/>
    <col min="8451" max="8451" width="18.5703125" style="40" customWidth="1"/>
    <col min="8452" max="8452" width="13.42578125" style="40" customWidth="1"/>
    <col min="8453" max="8453" width="19" style="40" customWidth="1"/>
    <col min="8454" max="8454" width="12.42578125" style="40" customWidth="1"/>
    <col min="8455" max="8704" width="9.140625" style="40"/>
    <col min="8705" max="8705" width="18.7109375" style="40" customWidth="1"/>
    <col min="8706" max="8706" width="9.140625" style="40"/>
    <col min="8707" max="8707" width="18.5703125" style="40" customWidth="1"/>
    <col min="8708" max="8708" width="13.42578125" style="40" customWidth="1"/>
    <col min="8709" max="8709" width="19" style="40" customWidth="1"/>
    <col min="8710" max="8710" width="12.42578125" style="40" customWidth="1"/>
    <col min="8711" max="8960" width="9.140625" style="40"/>
    <col min="8961" max="8961" width="18.7109375" style="40" customWidth="1"/>
    <col min="8962" max="8962" width="9.140625" style="40"/>
    <col min="8963" max="8963" width="18.5703125" style="40" customWidth="1"/>
    <col min="8964" max="8964" width="13.42578125" style="40" customWidth="1"/>
    <col min="8965" max="8965" width="19" style="40" customWidth="1"/>
    <col min="8966" max="8966" width="12.42578125" style="40" customWidth="1"/>
    <col min="8967" max="9216" width="9.140625" style="40"/>
    <col min="9217" max="9217" width="18.7109375" style="40" customWidth="1"/>
    <col min="9218" max="9218" width="9.140625" style="40"/>
    <col min="9219" max="9219" width="18.5703125" style="40" customWidth="1"/>
    <col min="9220" max="9220" width="13.42578125" style="40" customWidth="1"/>
    <col min="9221" max="9221" width="19" style="40" customWidth="1"/>
    <col min="9222" max="9222" width="12.42578125" style="40" customWidth="1"/>
    <col min="9223" max="9472" width="9.140625" style="40"/>
    <col min="9473" max="9473" width="18.7109375" style="40" customWidth="1"/>
    <col min="9474" max="9474" width="9.140625" style="40"/>
    <col min="9475" max="9475" width="18.5703125" style="40" customWidth="1"/>
    <col min="9476" max="9476" width="13.42578125" style="40" customWidth="1"/>
    <col min="9477" max="9477" width="19" style="40" customWidth="1"/>
    <col min="9478" max="9478" width="12.42578125" style="40" customWidth="1"/>
    <col min="9479" max="9728" width="9.140625" style="40"/>
    <col min="9729" max="9729" width="18.7109375" style="40" customWidth="1"/>
    <col min="9730" max="9730" width="9.140625" style="40"/>
    <col min="9731" max="9731" width="18.5703125" style="40" customWidth="1"/>
    <col min="9732" max="9732" width="13.42578125" style="40" customWidth="1"/>
    <col min="9733" max="9733" width="19" style="40" customWidth="1"/>
    <col min="9734" max="9734" width="12.42578125" style="40" customWidth="1"/>
    <col min="9735" max="9984" width="9.140625" style="40"/>
    <col min="9985" max="9985" width="18.7109375" style="40" customWidth="1"/>
    <col min="9986" max="9986" width="9.140625" style="40"/>
    <col min="9987" max="9987" width="18.5703125" style="40" customWidth="1"/>
    <col min="9988" max="9988" width="13.42578125" style="40" customWidth="1"/>
    <col min="9989" max="9989" width="19" style="40" customWidth="1"/>
    <col min="9990" max="9990" width="12.42578125" style="40" customWidth="1"/>
    <col min="9991" max="10240" width="9.140625" style="40"/>
    <col min="10241" max="10241" width="18.7109375" style="40" customWidth="1"/>
    <col min="10242" max="10242" width="9.140625" style="40"/>
    <col min="10243" max="10243" width="18.5703125" style="40" customWidth="1"/>
    <col min="10244" max="10244" width="13.42578125" style="40" customWidth="1"/>
    <col min="10245" max="10245" width="19" style="40" customWidth="1"/>
    <col min="10246" max="10246" width="12.42578125" style="40" customWidth="1"/>
    <col min="10247" max="10496" width="9.140625" style="40"/>
    <col min="10497" max="10497" width="18.7109375" style="40" customWidth="1"/>
    <col min="10498" max="10498" width="9.140625" style="40"/>
    <col min="10499" max="10499" width="18.5703125" style="40" customWidth="1"/>
    <col min="10500" max="10500" width="13.42578125" style="40" customWidth="1"/>
    <col min="10501" max="10501" width="19" style="40" customWidth="1"/>
    <col min="10502" max="10502" width="12.42578125" style="40" customWidth="1"/>
    <col min="10503" max="10752" width="9.140625" style="40"/>
    <col min="10753" max="10753" width="18.7109375" style="40" customWidth="1"/>
    <col min="10754" max="10754" width="9.140625" style="40"/>
    <col min="10755" max="10755" width="18.5703125" style="40" customWidth="1"/>
    <col min="10756" max="10756" width="13.42578125" style="40" customWidth="1"/>
    <col min="10757" max="10757" width="19" style="40" customWidth="1"/>
    <col min="10758" max="10758" width="12.42578125" style="40" customWidth="1"/>
    <col min="10759" max="11008" width="9.140625" style="40"/>
    <col min="11009" max="11009" width="18.7109375" style="40" customWidth="1"/>
    <col min="11010" max="11010" width="9.140625" style="40"/>
    <col min="11011" max="11011" width="18.5703125" style="40" customWidth="1"/>
    <col min="11012" max="11012" width="13.42578125" style="40" customWidth="1"/>
    <col min="11013" max="11013" width="19" style="40" customWidth="1"/>
    <col min="11014" max="11014" width="12.42578125" style="40" customWidth="1"/>
    <col min="11015" max="11264" width="9.140625" style="40"/>
    <col min="11265" max="11265" width="18.7109375" style="40" customWidth="1"/>
    <col min="11266" max="11266" width="9.140625" style="40"/>
    <col min="11267" max="11267" width="18.5703125" style="40" customWidth="1"/>
    <col min="11268" max="11268" width="13.42578125" style="40" customWidth="1"/>
    <col min="11269" max="11269" width="19" style="40" customWidth="1"/>
    <col min="11270" max="11270" width="12.42578125" style="40" customWidth="1"/>
    <col min="11271" max="11520" width="9.140625" style="40"/>
    <col min="11521" max="11521" width="18.7109375" style="40" customWidth="1"/>
    <col min="11522" max="11522" width="9.140625" style="40"/>
    <col min="11523" max="11523" width="18.5703125" style="40" customWidth="1"/>
    <col min="11524" max="11524" width="13.42578125" style="40" customWidth="1"/>
    <col min="11525" max="11525" width="19" style="40" customWidth="1"/>
    <col min="11526" max="11526" width="12.42578125" style="40" customWidth="1"/>
    <col min="11527" max="11776" width="9.140625" style="40"/>
    <col min="11777" max="11777" width="18.7109375" style="40" customWidth="1"/>
    <col min="11778" max="11778" width="9.140625" style="40"/>
    <col min="11779" max="11779" width="18.5703125" style="40" customWidth="1"/>
    <col min="11780" max="11780" width="13.42578125" style="40" customWidth="1"/>
    <col min="11781" max="11781" width="19" style="40" customWidth="1"/>
    <col min="11782" max="11782" width="12.42578125" style="40" customWidth="1"/>
    <col min="11783" max="12032" width="9.140625" style="40"/>
    <col min="12033" max="12033" width="18.7109375" style="40" customWidth="1"/>
    <col min="12034" max="12034" width="9.140625" style="40"/>
    <col min="12035" max="12035" width="18.5703125" style="40" customWidth="1"/>
    <col min="12036" max="12036" width="13.42578125" style="40" customWidth="1"/>
    <col min="12037" max="12037" width="19" style="40" customWidth="1"/>
    <col min="12038" max="12038" width="12.42578125" style="40" customWidth="1"/>
    <col min="12039" max="12288" width="9.140625" style="40"/>
    <col min="12289" max="12289" width="18.7109375" style="40" customWidth="1"/>
    <col min="12290" max="12290" width="9.140625" style="40"/>
    <col min="12291" max="12291" width="18.5703125" style="40" customWidth="1"/>
    <col min="12292" max="12292" width="13.42578125" style="40" customWidth="1"/>
    <col min="12293" max="12293" width="19" style="40" customWidth="1"/>
    <col min="12294" max="12294" width="12.42578125" style="40" customWidth="1"/>
    <col min="12295" max="12544" width="9.140625" style="40"/>
    <col min="12545" max="12545" width="18.7109375" style="40" customWidth="1"/>
    <col min="12546" max="12546" width="9.140625" style="40"/>
    <col min="12547" max="12547" width="18.5703125" style="40" customWidth="1"/>
    <col min="12548" max="12548" width="13.42578125" style="40" customWidth="1"/>
    <col min="12549" max="12549" width="19" style="40" customWidth="1"/>
    <col min="12550" max="12550" width="12.42578125" style="40" customWidth="1"/>
    <col min="12551" max="12800" width="9.140625" style="40"/>
    <col min="12801" max="12801" width="18.7109375" style="40" customWidth="1"/>
    <col min="12802" max="12802" width="9.140625" style="40"/>
    <col min="12803" max="12803" width="18.5703125" style="40" customWidth="1"/>
    <col min="12804" max="12804" width="13.42578125" style="40" customWidth="1"/>
    <col min="12805" max="12805" width="19" style="40" customWidth="1"/>
    <col min="12806" max="12806" width="12.42578125" style="40" customWidth="1"/>
    <col min="12807" max="13056" width="9.140625" style="40"/>
    <col min="13057" max="13057" width="18.7109375" style="40" customWidth="1"/>
    <col min="13058" max="13058" width="9.140625" style="40"/>
    <col min="13059" max="13059" width="18.5703125" style="40" customWidth="1"/>
    <col min="13060" max="13060" width="13.42578125" style="40" customWidth="1"/>
    <col min="13061" max="13061" width="19" style="40" customWidth="1"/>
    <col min="13062" max="13062" width="12.42578125" style="40" customWidth="1"/>
    <col min="13063" max="13312" width="9.140625" style="40"/>
    <col min="13313" max="13313" width="18.7109375" style="40" customWidth="1"/>
    <col min="13314" max="13314" width="9.140625" style="40"/>
    <col min="13315" max="13315" width="18.5703125" style="40" customWidth="1"/>
    <col min="13316" max="13316" width="13.42578125" style="40" customWidth="1"/>
    <col min="13317" max="13317" width="19" style="40" customWidth="1"/>
    <col min="13318" max="13318" width="12.42578125" style="40" customWidth="1"/>
    <col min="13319" max="13568" width="9.140625" style="40"/>
    <col min="13569" max="13569" width="18.7109375" style="40" customWidth="1"/>
    <col min="13570" max="13570" width="9.140625" style="40"/>
    <col min="13571" max="13571" width="18.5703125" style="40" customWidth="1"/>
    <col min="13572" max="13572" width="13.42578125" style="40" customWidth="1"/>
    <col min="13573" max="13573" width="19" style="40" customWidth="1"/>
    <col min="13574" max="13574" width="12.42578125" style="40" customWidth="1"/>
    <col min="13575" max="13824" width="9.140625" style="40"/>
    <col min="13825" max="13825" width="18.7109375" style="40" customWidth="1"/>
    <col min="13826" max="13826" width="9.140625" style="40"/>
    <col min="13827" max="13827" width="18.5703125" style="40" customWidth="1"/>
    <col min="13828" max="13828" width="13.42578125" style="40" customWidth="1"/>
    <col min="13829" max="13829" width="19" style="40" customWidth="1"/>
    <col min="13830" max="13830" width="12.42578125" style="40" customWidth="1"/>
    <col min="13831" max="14080" width="9.140625" style="40"/>
    <col min="14081" max="14081" width="18.7109375" style="40" customWidth="1"/>
    <col min="14082" max="14082" width="9.140625" style="40"/>
    <col min="14083" max="14083" width="18.5703125" style="40" customWidth="1"/>
    <col min="14084" max="14084" width="13.42578125" style="40" customWidth="1"/>
    <col min="14085" max="14085" width="19" style="40" customWidth="1"/>
    <col min="14086" max="14086" width="12.42578125" style="40" customWidth="1"/>
    <col min="14087" max="14336" width="9.140625" style="40"/>
    <col min="14337" max="14337" width="18.7109375" style="40" customWidth="1"/>
    <col min="14338" max="14338" width="9.140625" style="40"/>
    <col min="14339" max="14339" width="18.5703125" style="40" customWidth="1"/>
    <col min="14340" max="14340" width="13.42578125" style="40" customWidth="1"/>
    <col min="14341" max="14341" width="19" style="40" customWidth="1"/>
    <col min="14342" max="14342" width="12.42578125" style="40" customWidth="1"/>
    <col min="14343" max="14592" width="9.140625" style="40"/>
    <col min="14593" max="14593" width="18.7109375" style="40" customWidth="1"/>
    <col min="14594" max="14594" width="9.140625" style="40"/>
    <col min="14595" max="14595" width="18.5703125" style="40" customWidth="1"/>
    <col min="14596" max="14596" width="13.42578125" style="40" customWidth="1"/>
    <col min="14597" max="14597" width="19" style="40" customWidth="1"/>
    <col min="14598" max="14598" width="12.42578125" style="40" customWidth="1"/>
    <col min="14599" max="14848" width="9.140625" style="40"/>
    <col min="14849" max="14849" width="18.7109375" style="40" customWidth="1"/>
    <col min="14850" max="14850" width="9.140625" style="40"/>
    <col min="14851" max="14851" width="18.5703125" style="40" customWidth="1"/>
    <col min="14852" max="14852" width="13.42578125" style="40" customWidth="1"/>
    <col min="14853" max="14853" width="19" style="40" customWidth="1"/>
    <col min="14854" max="14854" width="12.42578125" style="40" customWidth="1"/>
    <col min="14855" max="15104" width="9.140625" style="40"/>
    <col min="15105" max="15105" width="18.7109375" style="40" customWidth="1"/>
    <col min="15106" max="15106" width="9.140625" style="40"/>
    <col min="15107" max="15107" width="18.5703125" style="40" customWidth="1"/>
    <col min="15108" max="15108" width="13.42578125" style="40" customWidth="1"/>
    <col min="15109" max="15109" width="19" style="40" customWidth="1"/>
    <col min="15110" max="15110" width="12.42578125" style="40" customWidth="1"/>
    <col min="15111" max="15360" width="9.140625" style="40"/>
    <col min="15361" max="15361" width="18.7109375" style="40" customWidth="1"/>
    <col min="15362" max="15362" width="9.140625" style="40"/>
    <col min="15363" max="15363" width="18.5703125" style="40" customWidth="1"/>
    <col min="15364" max="15364" width="13.42578125" style="40" customWidth="1"/>
    <col min="15365" max="15365" width="19" style="40" customWidth="1"/>
    <col min="15366" max="15366" width="12.42578125" style="40" customWidth="1"/>
    <col min="15367" max="15616" width="9.140625" style="40"/>
    <col min="15617" max="15617" width="18.7109375" style="40" customWidth="1"/>
    <col min="15618" max="15618" width="9.140625" style="40"/>
    <col min="15619" max="15619" width="18.5703125" style="40" customWidth="1"/>
    <col min="15620" max="15620" width="13.42578125" style="40" customWidth="1"/>
    <col min="15621" max="15621" width="19" style="40" customWidth="1"/>
    <col min="15622" max="15622" width="12.42578125" style="40" customWidth="1"/>
    <col min="15623" max="15872" width="9.140625" style="40"/>
    <col min="15873" max="15873" width="18.7109375" style="40" customWidth="1"/>
    <col min="15874" max="15874" width="9.140625" style="40"/>
    <col min="15875" max="15875" width="18.5703125" style="40" customWidth="1"/>
    <col min="15876" max="15876" width="13.42578125" style="40" customWidth="1"/>
    <col min="15877" max="15877" width="19" style="40" customWidth="1"/>
    <col min="15878" max="15878" width="12.42578125" style="40" customWidth="1"/>
    <col min="15879" max="16128" width="9.140625" style="40"/>
    <col min="16129" max="16129" width="18.7109375" style="40" customWidth="1"/>
    <col min="16130" max="16130" width="9.140625" style="40"/>
    <col min="16131" max="16131" width="18.5703125" style="40" customWidth="1"/>
    <col min="16132" max="16132" width="13.42578125" style="40" customWidth="1"/>
    <col min="16133" max="16133" width="19" style="40" customWidth="1"/>
    <col min="16134" max="16134" width="12.42578125" style="40" customWidth="1"/>
    <col min="16135" max="16384" width="9.140625" style="40"/>
  </cols>
  <sheetData>
    <row r="2" spans="2:18" ht="21" customHeight="1" x14ac:dyDescent="0.2">
      <c r="B2" s="1"/>
      <c r="C2" s="415" t="s">
        <v>0</v>
      </c>
      <c r="D2" s="416"/>
      <c r="E2" s="416"/>
      <c r="F2" s="416"/>
      <c r="G2" s="416"/>
      <c r="H2" s="416"/>
      <c r="I2" s="416"/>
      <c r="J2" s="417"/>
    </row>
    <row r="3" spans="2:18" ht="30.75" customHeight="1" x14ac:dyDescent="0.2">
      <c r="B3" s="2"/>
      <c r="C3" s="423" t="s">
        <v>409</v>
      </c>
      <c r="D3" s="424"/>
      <c r="E3" s="424"/>
      <c r="F3" s="4"/>
      <c r="G3" s="3"/>
      <c r="H3" s="4"/>
      <c r="I3" s="4"/>
      <c r="J3" s="31"/>
    </row>
    <row r="4" spans="2:18" ht="63.75" customHeight="1" x14ac:dyDescent="0.2">
      <c r="B4" s="2"/>
      <c r="C4" s="423" t="s">
        <v>703</v>
      </c>
      <c r="D4" s="424"/>
      <c r="E4" s="424"/>
      <c r="F4" s="215" t="s">
        <v>3</v>
      </c>
      <c r="G4" s="230">
        <v>1.5727</v>
      </c>
      <c r="H4" s="413" t="s">
        <v>86</v>
      </c>
      <c r="I4" s="413"/>
      <c r="J4" s="414"/>
    </row>
    <row r="5" spans="2:18" ht="21.75" customHeight="1" x14ac:dyDescent="0.2">
      <c r="B5" s="2"/>
      <c r="C5" s="423" t="s">
        <v>2</v>
      </c>
      <c r="D5" s="424"/>
      <c r="E5" s="424"/>
      <c r="F5" s="231" t="s">
        <v>5</v>
      </c>
      <c r="G5" s="230">
        <v>0.3196</v>
      </c>
      <c r="H5" s="478" t="s">
        <v>6</v>
      </c>
      <c r="I5" s="478"/>
      <c r="J5" s="216" t="s">
        <v>708</v>
      </c>
    </row>
    <row r="6" spans="2:18" ht="27.75" customHeight="1" x14ac:dyDescent="0.2">
      <c r="B6" s="229"/>
      <c r="C6" s="425" t="s">
        <v>704</v>
      </c>
      <c r="D6" s="426"/>
      <c r="E6" s="426"/>
      <c r="F6" s="426"/>
      <c r="G6" s="426"/>
      <c r="H6" s="426"/>
      <c r="I6" s="32"/>
      <c r="J6" s="16"/>
    </row>
    <row r="7" spans="2:18" ht="11.25" customHeight="1" x14ac:dyDescent="0.2">
      <c r="B7" s="2"/>
      <c r="C7" s="194"/>
      <c r="D7" s="194"/>
      <c r="E7" s="194"/>
      <c r="F7" s="214"/>
      <c r="G7" s="24"/>
      <c r="H7" s="215"/>
      <c r="I7" s="215"/>
      <c r="J7" s="232"/>
    </row>
    <row r="8" spans="2:18" ht="25.5" customHeight="1" x14ac:dyDescent="0.2">
      <c r="B8" s="233"/>
      <c r="C8" s="226"/>
      <c r="D8" s="226"/>
      <c r="E8" s="43" t="s">
        <v>120</v>
      </c>
      <c r="F8" s="226"/>
      <c r="G8" s="226"/>
      <c r="H8" s="226"/>
      <c r="I8" s="226"/>
      <c r="J8" s="234"/>
    </row>
    <row r="9" spans="2:18" x14ac:dyDescent="0.2">
      <c r="B9" s="233"/>
      <c r="C9" s="57" t="s">
        <v>121</v>
      </c>
      <c r="D9" s="42"/>
      <c r="E9" s="43"/>
      <c r="F9" s="226"/>
      <c r="G9" s="226"/>
      <c r="H9" s="226"/>
      <c r="I9" s="226"/>
      <c r="J9" s="234"/>
    </row>
    <row r="10" spans="2:18" x14ac:dyDescent="0.2">
      <c r="B10" s="233"/>
      <c r="C10" s="42" t="s">
        <v>124</v>
      </c>
      <c r="D10" s="58"/>
      <c r="E10" s="59">
        <v>4.0599999999999997E-2</v>
      </c>
      <c r="F10" s="226"/>
      <c r="G10" s="226"/>
      <c r="H10" s="226"/>
      <c r="I10" s="226"/>
      <c r="J10" s="234"/>
      <c r="R10" s="44"/>
    </row>
    <row r="11" spans="2:18" x14ac:dyDescent="0.2">
      <c r="B11" s="233"/>
      <c r="C11" s="462" t="s">
        <v>122</v>
      </c>
      <c r="D11" s="463"/>
      <c r="E11" s="60">
        <f>E10</f>
        <v>4.0599999999999997E-2</v>
      </c>
      <c r="F11" s="235"/>
      <c r="G11" s="226"/>
      <c r="H11" s="226"/>
      <c r="I11" s="226"/>
      <c r="J11" s="234"/>
    </row>
    <row r="12" spans="2:18" x14ac:dyDescent="0.2">
      <c r="B12" s="233"/>
      <c r="C12" s="57" t="s">
        <v>123</v>
      </c>
      <c r="D12" s="42"/>
      <c r="E12" s="43"/>
      <c r="F12" s="235"/>
      <c r="G12" s="226"/>
      <c r="H12" s="226"/>
      <c r="I12" s="226"/>
      <c r="J12" s="234"/>
    </row>
    <row r="13" spans="2:18" x14ac:dyDescent="0.2">
      <c r="B13" s="233"/>
      <c r="C13" s="42" t="s">
        <v>394</v>
      </c>
      <c r="D13" s="58"/>
      <c r="E13" s="59">
        <v>5.8799999999999998E-2</v>
      </c>
      <c r="F13" s="235"/>
      <c r="G13" s="226"/>
      <c r="H13" s="226"/>
      <c r="I13" s="226"/>
      <c r="J13" s="234"/>
    </row>
    <row r="14" spans="2:18" x14ac:dyDescent="0.2">
      <c r="B14" s="233"/>
      <c r="C14" s="462" t="s">
        <v>125</v>
      </c>
      <c r="D14" s="463"/>
      <c r="E14" s="60">
        <f>E13</f>
        <v>5.8799999999999998E-2</v>
      </c>
      <c r="F14" s="235"/>
      <c r="G14" s="226"/>
      <c r="H14" s="226"/>
      <c r="I14" s="226"/>
      <c r="J14" s="234"/>
    </row>
    <row r="15" spans="2:18" x14ac:dyDescent="0.2">
      <c r="B15" s="233"/>
      <c r="C15" s="57" t="s">
        <v>126</v>
      </c>
      <c r="D15" s="191"/>
      <c r="E15" s="61"/>
      <c r="F15" s="235"/>
      <c r="G15" s="226"/>
      <c r="H15" s="226"/>
      <c r="I15" s="226"/>
      <c r="J15" s="234"/>
    </row>
    <row r="16" spans="2:18" x14ac:dyDescent="0.2">
      <c r="B16" s="233"/>
      <c r="C16" s="480" t="s">
        <v>364</v>
      </c>
      <c r="D16" s="481"/>
      <c r="E16" s="61"/>
      <c r="F16" s="235"/>
      <c r="G16" s="226"/>
      <c r="H16" s="226"/>
      <c r="I16" s="226"/>
      <c r="J16" s="234"/>
    </row>
    <row r="17" spans="2:10" x14ac:dyDescent="0.2">
      <c r="B17" s="233"/>
      <c r="C17" s="480" t="s">
        <v>133</v>
      </c>
      <c r="D17" s="481"/>
      <c r="E17" s="59">
        <v>0.05</v>
      </c>
      <c r="F17" s="235"/>
      <c r="G17" s="226"/>
      <c r="H17" s="226"/>
      <c r="I17" s="226"/>
      <c r="J17" s="234"/>
    </row>
    <row r="18" spans="2:10" x14ac:dyDescent="0.2">
      <c r="B18" s="233"/>
      <c r="C18" s="480" t="s">
        <v>134</v>
      </c>
      <c r="D18" s="481"/>
      <c r="E18" s="59">
        <v>6.4999999999999997E-3</v>
      </c>
      <c r="F18" s="235"/>
      <c r="G18" s="226"/>
      <c r="H18" s="226"/>
      <c r="I18" s="226"/>
      <c r="J18" s="234"/>
    </row>
    <row r="19" spans="2:10" x14ac:dyDescent="0.2">
      <c r="B19" s="233"/>
      <c r="C19" s="480" t="s">
        <v>135</v>
      </c>
      <c r="D19" s="481"/>
      <c r="E19" s="59">
        <v>0.03</v>
      </c>
      <c r="F19" s="235"/>
      <c r="G19" s="226"/>
      <c r="H19" s="226"/>
      <c r="I19" s="226"/>
      <c r="J19" s="234"/>
    </row>
    <row r="20" spans="2:10" x14ac:dyDescent="0.2">
      <c r="B20" s="233"/>
      <c r="C20" s="480" t="s">
        <v>136</v>
      </c>
      <c r="D20" s="481"/>
      <c r="E20" s="59">
        <v>0</v>
      </c>
      <c r="F20" s="235"/>
      <c r="G20" s="226"/>
      <c r="H20" s="226"/>
      <c r="I20" s="226"/>
      <c r="J20" s="234"/>
    </row>
    <row r="21" spans="2:10" x14ac:dyDescent="0.2">
      <c r="B21" s="233"/>
      <c r="C21" s="462" t="s">
        <v>127</v>
      </c>
      <c r="D21" s="463"/>
      <c r="E21" s="60">
        <f>SUM(E17:E20)</f>
        <v>8.6499999999999994E-2</v>
      </c>
      <c r="F21" s="235"/>
      <c r="G21" s="226"/>
      <c r="H21" s="226"/>
      <c r="I21" s="226"/>
      <c r="J21" s="234"/>
    </row>
    <row r="22" spans="2:10" x14ac:dyDescent="0.2">
      <c r="B22" s="233"/>
      <c r="C22" s="57" t="s">
        <v>128</v>
      </c>
      <c r="D22" s="42"/>
      <c r="E22" s="61"/>
      <c r="F22" s="235"/>
      <c r="G22" s="226"/>
      <c r="H22" s="226"/>
      <c r="I22" s="226"/>
      <c r="J22" s="234"/>
    </row>
    <row r="23" spans="2:10" x14ac:dyDescent="0.2">
      <c r="B23" s="233"/>
      <c r="C23" s="42" t="s">
        <v>365</v>
      </c>
      <c r="D23" s="42"/>
      <c r="E23" s="61">
        <v>6.1000000000000004E-3</v>
      </c>
      <c r="F23" s="235"/>
      <c r="G23" s="226"/>
      <c r="H23" s="226"/>
      <c r="I23" s="226"/>
      <c r="J23" s="234"/>
    </row>
    <row r="24" spans="2:10" x14ac:dyDescent="0.2">
      <c r="B24" s="233"/>
      <c r="C24" s="462" t="s">
        <v>131</v>
      </c>
      <c r="D24" s="463"/>
      <c r="E24" s="62">
        <f>E23</f>
        <v>6.1000000000000004E-3</v>
      </c>
      <c r="F24" s="235"/>
      <c r="G24" s="226"/>
      <c r="H24" s="226"/>
      <c r="I24" s="226"/>
      <c r="J24" s="234"/>
    </row>
    <row r="25" spans="2:10" x14ac:dyDescent="0.2">
      <c r="B25" s="233"/>
      <c r="C25" s="57" t="s">
        <v>132</v>
      </c>
      <c r="D25" s="42"/>
      <c r="E25" s="61"/>
      <c r="F25" s="235"/>
      <c r="G25" s="226"/>
      <c r="H25" s="226"/>
      <c r="I25" s="226"/>
      <c r="J25" s="234"/>
    </row>
    <row r="26" spans="2:10" x14ac:dyDescent="0.2">
      <c r="B26" s="233"/>
      <c r="C26" s="42" t="s">
        <v>129</v>
      </c>
      <c r="D26" s="42"/>
      <c r="E26" s="61">
        <v>5.0000000000000001E-3</v>
      </c>
      <c r="F26" s="235"/>
      <c r="G26" s="226"/>
      <c r="H26" s="226"/>
      <c r="I26" s="226"/>
      <c r="J26" s="234"/>
    </row>
    <row r="27" spans="2:10" x14ac:dyDescent="0.2">
      <c r="B27" s="233"/>
      <c r="C27" s="480" t="s">
        <v>130</v>
      </c>
      <c r="D27" s="481"/>
      <c r="E27" s="61">
        <v>5.0000000000000001E-3</v>
      </c>
      <c r="F27" s="235"/>
      <c r="G27" s="226"/>
      <c r="H27" s="226"/>
      <c r="I27" s="226"/>
      <c r="J27" s="234"/>
    </row>
    <row r="28" spans="2:10" x14ac:dyDescent="0.2">
      <c r="B28" s="233"/>
      <c r="C28" s="462" t="s">
        <v>137</v>
      </c>
      <c r="D28" s="463"/>
      <c r="E28" s="62">
        <f>SUM(E26:E27)</f>
        <v>0.01</v>
      </c>
      <c r="F28" s="235"/>
      <c r="G28" s="226"/>
      <c r="H28" s="226"/>
      <c r="I28" s="226"/>
      <c r="J28" s="234"/>
    </row>
    <row r="29" spans="2:10" x14ac:dyDescent="0.2">
      <c r="B29" s="233"/>
      <c r="C29" s="57" t="s">
        <v>395</v>
      </c>
      <c r="D29" s="42"/>
      <c r="E29" s="61"/>
      <c r="F29" s="235"/>
      <c r="G29" s="226"/>
      <c r="H29" s="226"/>
      <c r="I29" s="226"/>
      <c r="J29" s="234"/>
    </row>
    <row r="30" spans="2:10" x14ac:dyDescent="0.2">
      <c r="B30" s="233"/>
      <c r="C30" s="480" t="s">
        <v>366</v>
      </c>
      <c r="D30" s="481"/>
      <c r="E30" s="59">
        <v>0.08</v>
      </c>
      <c r="F30" s="235"/>
      <c r="G30" s="226"/>
      <c r="H30" s="226"/>
      <c r="I30" s="226"/>
      <c r="J30" s="234"/>
    </row>
    <row r="31" spans="2:10" x14ac:dyDescent="0.2">
      <c r="B31" s="233"/>
      <c r="C31" s="462" t="s">
        <v>404</v>
      </c>
      <c r="D31" s="463"/>
      <c r="E31" s="62">
        <f>E30</f>
        <v>0.08</v>
      </c>
      <c r="F31" s="235"/>
      <c r="G31" s="226"/>
      <c r="H31" s="226"/>
      <c r="I31" s="226"/>
      <c r="J31" s="234"/>
    </row>
    <row r="32" spans="2:10" x14ac:dyDescent="0.2">
      <c r="B32" s="233"/>
      <c r="C32" s="236"/>
      <c r="D32" s="236"/>
      <c r="E32" s="237"/>
      <c r="F32" s="226"/>
      <c r="G32" s="226"/>
      <c r="H32" s="226"/>
      <c r="I32" s="226"/>
      <c r="J32" s="234"/>
    </row>
    <row r="33" spans="2:15" ht="18.75" customHeight="1" x14ac:dyDescent="0.2">
      <c r="B33" s="233"/>
      <c r="C33" s="464" t="s">
        <v>138</v>
      </c>
      <c r="D33" s="465"/>
      <c r="E33" s="62">
        <f>(((1+E24)*(1+E11+E14+E28)*(1+E31)/(1-E21))-1)</f>
        <v>0.31960670738916264</v>
      </c>
      <c r="F33" s="238"/>
      <c r="G33" s="238"/>
      <c r="H33" s="226"/>
      <c r="I33" s="226"/>
      <c r="J33" s="234"/>
    </row>
    <row r="34" spans="2:15" ht="17.25" customHeight="1" x14ac:dyDescent="0.2">
      <c r="B34" s="233"/>
      <c r="C34" s="226"/>
      <c r="D34" s="226"/>
      <c r="E34" s="226"/>
      <c r="F34" s="226"/>
      <c r="G34" s="226"/>
      <c r="H34" s="226"/>
      <c r="I34" s="226"/>
      <c r="J34" s="234"/>
    </row>
    <row r="35" spans="2:15" x14ac:dyDescent="0.2">
      <c r="B35" s="239" t="s">
        <v>139</v>
      </c>
      <c r="C35" s="213"/>
      <c r="D35" s="213"/>
      <c r="E35" s="213"/>
      <c r="F35" s="240"/>
      <c r="G35" s="241"/>
      <c r="H35" s="241"/>
      <c r="I35" s="227"/>
      <c r="J35" s="242"/>
    </row>
    <row r="36" spans="2:15" x14ac:dyDescent="0.2">
      <c r="B36" s="243"/>
      <c r="C36" s="213"/>
      <c r="D36" s="213"/>
      <c r="E36" s="213"/>
      <c r="F36" s="240"/>
      <c r="G36" s="241"/>
      <c r="H36" s="241"/>
      <c r="I36" s="227"/>
      <c r="J36" s="242"/>
    </row>
    <row r="37" spans="2:15" x14ac:dyDescent="0.2">
      <c r="B37" s="244" t="s">
        <v>140</v>
      </c>
      <c r="C37" s="245" t="s">
        <v>141</v>
      </c>
      <c r="D37" s="213"/>
      <c r="E37" s="213"/>
      <c r="F37" s="240"/>
      <c r="G37" s="241"/>
      <c r="H37" s="241"/>
      <c r="I37" s="227"/>
      <c r="J37" s="242"/>
    </row>
    <row r="38" spans="2:15" x14ac:dyDescent="0.2">
      <c r="B38" s="243"/>
      <c r="C38" s="245" t="s">
        <v>142</v>
      </c>
      <c r="D38" s="213"/>
      <c r="E38" s="213"/>
      <c r="F38" s="240"/>
      <c r="G38" s="241"/>
      <c r="H38" s="241"/>
      <c r="I38" s="227"/>
      <c r="J38" s="242"/>
    </row>
    <row r="39" spans="2:15" x14ac:dyDescent="0.2">
      <c r="B39" s="243"/>
      <c r="C39" s="466" t="s">
        <v>405</v>
      </c>
      <c r="D39" s="466"/>
      <c r="E39" s="466"/>
      <c r="F39" s="466"/>
      <c r="G39" s="241"/>
      <c r="H39" s="241"/>
      <c r="I39" s="227"/>
      <c r="J39" s="242"/>
    </row>
    <row r="40" spans="2:15" x14ac:dyDescent="0.2">
      <c r="B40" s="243"/>
      <c r="C40" s="466" t="s">
        <v>397</v>
      </c>
      <c r="D40" s="466"/>
      <c r="E40" s="466"/>
      <c r="F40" s="466"/>
      <c r="G40" s="241"/>
      <c r="H40" s="241"/>
      <c r="I40" s="227"/>
      <c r="J40" s="242"/>
      <c r="L40" s="48"/>
      <c r="M40" s="45"/>
      <c r="N40" s="45"/>
      <c r="O40" s="63"/>
    </row>
    <row r="41" spans="2:15" ht="21" customHeight="1" x14ac:dyDescent="0.2">
      <c r="B41" s="243"/>
      <c r="C41" s="246" t="s">
        <v>398</v>
      </c>
      <c r="D41" s="213"/>
      <c r="E41" s="213"/>
      <c r="F41" s="240"/>
      <c r="G41" s="241"/>
      <c r="H41" s="241"/>
      <c r="I41" s="227"/>
      <c r="J41" s="242"/>
      <c r="L41" s="479"/>
      <c r="M41" s="479"/>
      <c r="N41" s="479"/>
      <c r="O41" s="479"/>
    </row>
    <row r="42" spans="2:15" x14ac:dyDescent="0.2">
      <c r="B42" s="243"/>
      <c r="C42" s="245" t="s">
        <v>399</v>
      </c>
      <c r="D42" s="213"/>
      <c r="E42" s="213"/>
      <c r="F42" s="240"/>
      <c r="G42" s="241"/>
      <c r="H42" s="241"/>
      <c r="I42" s="227"/>
      <c r="J42" s="242"/>
      <c r="L42" s="479"/>
      <c r="M42" s="479"/>
      <c r="N42" s="479"/>
      <c r="O42" s="479"/>
    </row>
    <row r="43" spans="2:15" x14ac:dyDescent="0.2">
      <c r="B43" s="243"/>
      <c r="C43" s="245" t="s">
        <v>400</v>
      </c>
      <c r="D43" s="213"/>
      <c r="E43" s="213"/>
      <c r="F43" s="240"/>
      <c r="G43" s="241"/>
      <c r="H43" s="241"/>
      <c r="I43" s="227"/>
      <c r="J43" s="242"/>
      <c r="L43" s="48"/>
      <c r="M43" s="45"/>
      <c r="N43" s="45"/>
      <c r="O43" s="63"/>
    </row>
    <row r="44" spans="2:15" x14ac:dyDescent="0.2">
      <c r="B44" s="243"/>
      <c r="C44" s="245" t="s">
        <v>402</v>
      </c>
      <c r="D44" s="213"/>
      <c r="E44" s="213"/>
      <c r="F44" s="240"/>
      <c r="G44" s="241"/>
      <c r="H44" s="241"/>
      <c r="I44" s="227"/>
      <c r="J44" s="242"/>
      <c r="L44" s="48"/>
      <c r="M44" s="45"/>
      <c r="N44" s="45"/>
      <c r="O44" s="63"/>
    </row>
    <row r="45" spans="2:15" x14ac:dyDescent="0.2">
      <c r="B45" s="243"/>
      <c r="C45" s="245" t="s">
        <v>401</v>
      </c>
      <c r="D45" s="213"/>
      <c r="E45" s="213"/>
      <c r="F45" s="240"/>
      <c r="G45" s="241"/>
      <c r="H45" s="241"/>
      <c r="I45" s="227"/>
      <c r="J45" s="242"/>
      <c r="L45" s="48"/>
      <c r="M45" s="45"/>
      <c r="N45" s="45"/>
      <c r="O45" s="63"/>
    </row>
    <row r="46" spans="2:15" ht="56.25" customHeight="1" x14ac:dyDescent="0.2">
      <c r="B46" s="243"/>
      <c r="C46" s="245" t="s">
        <v>403</v>
      </c>
      <c r="D46" s="247"/>
      <c r="E46" s="213"/>
      <c r="F46" s="240"/>
      <c r="G46" s="241"/>
      <c r="H46" s="241"/>
      <c r="I46" s="227"/>
      <c r="J46" s="242"/>
      <c r="L46" s="48"/>
      <c r="M46" s="45"/>
      <c r="N46" s="45"/>
      <c r="O46" s="63"/>
    </row>
    <row r="47" spans="2:15" ht="56.25" customHeight="1" x14ac:dyDescent="0.2">
      <c r="B47" s="469" t="s">
        <v>406</v>
      </c>
      <c r="C47" s="470"/>
      <c r="D47" s="470"/>
      <c r="E47" s="470"/>
      <c r="F47" s="470"/>
      <c r="G47" s="470"/>
      <c r="H47" s="470"/>
      <c r="I47" s="470"/>
      <c r="J47" s="471"/>
      <c r="L47" s="48"/>
      <c r="M47" s="45"/>
      <c r="N47" s="45"/>
      <c r="O47" s="63"/>
    </row>
    <row r="48" spans="2:15" ht="74.25" customHeight="1" x14ac:dyDescent="0.2">
      <c r="B48" s="472" t="s">
        <v>407</v>
      </c>
      <c r="C48" s="473"/>
      <c r="D48" s="473"/>
      <c r="E48" s="473"/>
      <c r="F48" s="473"/>
      <c r="G48" s="473"/>
      <c r="H48" s="473"/>
      <c r="I48" s="473"/>
      <c r="J48" s="474"/>
      <c r="L48" s="48"/>
      <c r="M48" s="45"/>
      <c r="N48" s="45"/>
      <c r="O48" s="63"/>
    </row>
    <row r="49" spans="2:15" ht="75" customHeight="1" x14ac:dyDescent="0.2">
      <c r="B49" s="475" t="s">
        <v>408</v>
      </c>
      <c r="C49" s="476"/>
      <c r="D49" s="476"/>
      <c r="E49" s="476"/>
      <c r="F49" s="476"/>
      <c r="G49" s="476"/>
      <c r="H49" s="476"/>
      <c r="I49" s="476"/>
      <c r="J49" s="477"/>
      <c r="L49" s="48"/>
      <c r="M49" s="45"/>
      <c r="N49" s="45"/>
      <c r="O49" s="63"/>
    </row>
    <row r="50" spans="2:15" ht="51" customHeight="1" x14ac:dyDescent="0.2">
      <c r="B50" s="49" t="s">
        <v>143</v>
      </c>
      <c r="C50" s="467" t="s">
        <v>144</v>
      </c>
      <c r="D50" s="467"/>
      <c r="E50" s="467"/>
      <c r="F50" s="467"/>
      <c r="G50" s="66"/>
      <c r="H50" s="66"/>
      <c r="I50" s="67"/>
      <c r="L50" s="48"/>
      <c r="M50" s="45"/>
      <c r="N50" s="45"/>
      <c r="O50" s="63"/>
    </row>
    <row r="51" spans="2:15" x14ac:dyDescent="0.2">
      <c r="B51" s="47"/>
      <c r="C51" s="45"/>
      <c r="D51" s="39"/>
      <c r="E51" s="45"/>
      <c r="F51" s="63"/>
      <c r="G51" s="64"/>
      <c r="H51" s="64"/>
      <c r="I51" s="65"/>
    </row>
    <row r="52" spans="2:15" x14ac:dyDescent="0.2">
      <c r="B52" s="46"/>
      <c r="C52" s="459" t="s">
        <v>145</v>
      </c>
      <c r="D52" s="459"/>
      <c r="E52" s="459"/>
      <c r="F52" s="459"/>
      <c r="G52" s="68"/>
      <c r="H52" s="68"/>
      <c r="I52" s="69"/>
    </row>
    <row r="53" spans="2:15" ht="51" customHeight="1" x14ac:dyDescent="0.2">
      <c r="B53" s="46"/>
      <c r="C53" s="460" t="s">
        <v>146</v>
      </c>
      <c r="D53" s="460"/>
      <c r="E53" s="460"/>
      <c r="F53" s="460"/>
      <c r="G53" s="460"/>
      <c r="H53" s="460"/>
      <c r="I53" s="461"/>
    </row>
    <row r="54" spans="2:15" x14ac:dyDescent="0.2">
      <c r="B54" s="46"/>
      <c r="C54" s="50"/>
      <c r="D54" s="50"/>
      <c r="E54" s="50"/>
      <c r="F54" s="50"/>
      <c r="G54" s="50"/>
      <c r="H54" s="50"/>
      <c r="I54" s="51"/>
    </row>
    <row r="55" spans="2:15" ht="13.5" thickBot="1" x14ac:dyDescent="0.25">
      <c r="B55" s="52"/>
      <c r="C55" s="53"/>
      <c r="D55" s="53"/>
      <c r="E55" s="53"/>
      <c r="F55" s="53"/>
      <c r="G55" s="53"/>
      <c r="H55" s="53"/>
      <c r="I55" s="54"/>
    </row>
    <row r="56" spans="2:15" x14ac:dyDescent="0.2">
      <c r="B56" s="46"/>
      <c r="C56" s="50"/>
      <c r="D56" s="50"/>
      <c r="E56" s="50"/>
      <c r="F56" s="50"/>
      <c r="G56" s="50"/>
      <c r="H56" s="50"/>
      <c r="I56" s="51"/>
    </row>
    <row r="57" spans="2:15" x14ac:dyDescent="0.2">
      <c r="B57" s="55"/>
      <c r="C57" s="468" t="s">
        <v>147</v>
      </c>
      <c r="D57" s="468"/>
      <c r="E57" s="468"/>
      <c r="F57" s="468"/>
      <c r="G57" s="68"/>
      <c r="H57" s="68"/>
      <c r="I57" s="69"/>
    </row>
    <row r="58" spans="2:15" ht="113.25" customHeight="1" x14ac:dyDescent="0.2">
      <c r="B58" s="55"/>
      <c r="C58" s="460" t="s">
        <v>148</v>
      </c>
      <c r="D58" s="460"/>
      <c r="E58" s="460"/>
      <c r="F58" s="460"/>
      <c r="G58" s="460"/>
      <c r="H58" s="460"/>
      <c r="I58" s="461"/>
    </row>
    <row r="59" spans="2:15" ht="14.25" customHeight="1" x14ac:dyDescent="0.2">
      <c r="B59" s="47"/>
      <c r="C59" s="459" t="s">
        <v>149</v>
      </c>
      <c r="D59" s="459"/>
      <c r="E59" s="459"/>
      <c r="F59" s="459"/>
      <c r="G59" s="68"/>
      <c r="H59" s="68"/>
      <c r="I59" s="69"/>
    </row>
    <row r="60" spans="2:15" ht="96.75" customHeight="1" x14ac:dyDescent="0.2">
      <c r="B60" s="47"/>
      <c r="C60" s="460" t="s">
        <v>150</v>
      </c>
      <c r="D60" s="460"/>
      <c r="E60" s="460"/>
      <c r="F60" s="460"/>
      <c r="G60" s="460"/>
      <c r="H60" s="460"/>
      <c r="I60" s="461"/>
    </row>
    <row r="61" spans="2:15" x14ac:dyDescent="0.2">
      <c r="B61" s="47"/>
      <c r="C61" s="50"/>
      <c r="D61" s="50"/>
      <c r="E61" s="50"/>
      <c r="F61" s="50"/>
      <c r="G61" s="50"/>
      <c r="H61" s="50"/>
      <c r="I61" s="51"/>
    </row>
    <row r="62" spans="2:15" ht="15" customHeight="1" x14ac:dyDescent="0.2">
      <c r="B62" s="47"/>
      <c r="C62" s="459" t="s">
        <v>151</v>
      </c>
      <c r="D62" s="459"/>
      <c r="E62" s="459"/>
      <c r="F62" s="459"/>
      <c r="G62" s="68"/>
      <c r="H62" s="68"/>
      <c r="I62" s="69"/>
    </row>
    <row r="63" spans="2:15" ht="45.75" customHeight="1" x14ac:dyDescent="0.2">
      <c r="B63" s="47"/>
      <c r="C63" s="460" t="s">
        <v>152</v>
      </c>
      <c r="D63" s="460"/>
      <c r="E63" s="460"/>
      <c r="F63" s="460"/>
      <c r="G63" s="460"/>
      <c r="H63" s="460"/>
      <c r="I63" s="461"/>
    </row>
    <row r="64" spans="2:15" x14ac:dyDescent="0.2">
      <c r="B64" s="47"/>
      <c r="C64" s="459" t="s">
        <v>153</v>
      </c>
      <c r="D64" s="459"/>
      <c r="E64" s="459"/>
      <c r="F64" s="459"/>
      <c r="G64" s="68"/>
      <c r="H64" s="68"/>
      <c r="I64" s="69"/>
    </row>
    <row r="65" spans="2:9" ht="60" customHeight="1" x14ac:dyDescent="0.2">
      <c r="B65" s="47"/>
      <c r="C65" s="455" t="s">
        <v>233</v>
      </c>
      <c r="D65" s="455"/>
      <c r="E65" s="455"/>
      <c r="F65" s="455"/>
      <c r="G65" s="455"/>
      <c r="H65" s="455"/>
      <c r="I65" s="456"/>
    </row>
    <row r="66" spans="2:9" ht="41.25" customHeight="1" x14ac:dyDescent="0.2">
      <c r="B66" s="47"/>
      <c r="C66" s="455" t="s">
        <v>234</v>
      </c>
      <c r="D66" s="455"/>
      <c r="E66" s="455"/>
      <c r="F66" s="455"/>
      <c r="G66" s="455"/>
      <c r="H66" s="455"/>
      <c r="I66" s="456"/>
    </row>
    <row r="67" spans="2:9" ht="37.5" customHeight="1" x14ac:dyDescent="0.2">
      <c r="B67" s="47"/>
      <c r="C67" s="455" t="s">
        <v>235</v>
      </c>
      <c r="D67" s="455"/>
      <c r="E67" s="455"/>
      <c r="F67" s="455"/>
      <c r="G67" s="455"/>
      <c r="H67" s="455"/>
      <c r="I67" s="456"/>
    </row>
    <row r="68" spans="2:9" ht="37.5" customHeight="1" x14ac:dyDescent="0.2">
      <c r="B68" s="47"/>
      <c r="C68" s="455" t="s">
        <v>236</v>
      </c>
      <c r="D68" s="455"/>
      <c r="E68" s="455"/>
      <c r="F68" s="455"/>
      <c r="G68" s="455"/>
      <c r="H68" s="455"/>
      <c r="I68" s="456"/>
    </row>
    <row r="69" spans="2:9" ht="13.5" thickBot="1" x14ac:dyDescent="0.25">
      <c r="B69" s="56"/>
      <c r="C69" s="457"/>
      <c r="D69" s="457"/>
      <c r="E69" s="457"/>
      <c r="F69" s="457"/>
      <c r="G69" s="457"/>
      <c r="H69" s="457"/>
      <c r="I69" s="458"/>
    </row>
  </sheetData>
  <mergeCells count="43">
    <mergeCell ref="C6:H6"/>
    <mergeCell ref="L41:O41"/>
    <mergeCell ref="L42:O42"/>
    <mergeCell ref="C20:D20"/>
    <mergeCell ref="C11:D11"/>
    <mergeCell ref="C16:D16"/>
    <mergeCell ref="C17:D17"/>
    <mergeCell ref="C18:D18"/>
    <mergeCell ref="C19:D19"/>
    <mergeCell ref="C14:D14"/>
    <mergeCell ref="C21:D21"/>
    <mergeCell ref="C24:D24"/>
    <mergeCell ref="C27:D27"/>
    <mergeCell ref="C28:D28"/>
    <mergeCell ref="C30:D30"/>
    <mergeCell ref="C2:J2"/>
    <mergeCell ref="C3:E3"/>
    <mergeCell ref="C4:E4"/>
    <mergeCell ref="H4:J4"/>
    <mergeCell ref="C5:E5"/>
    <mergeCell ref="H5:I5"/>
    <mergeCell ref="C60:I60"/>
    <mergeCell ref="C31:D31"/>
    <mergeCell ref="C33:D33"/>
    <mergeCell ref="C39:F39"/>
    <mergeCell ref="C40:F40"/>
    <mergeCell ref="C50:F50"/>
    <mergeCell ref="C52:F52"/>
    <mergeCell ref="C53:I53"/>
    <mergeCell ref="C57:F57"/>
    <mergeCell ref="C58:I58"/>
    <mergeCell ref="C59:F59"/>
    <mergeCell ref="B47:J47"/>
    <mergeCell ref="B48:J48"/>
    <mergeCell ref="B49:J49"/>
    <mergeCell ref="C68:I68"/>
    <mergeCell ref="C69:I69"/>
    <mergeCell ref="C62:F62"/>
    <mergeCell ref="C63:I63"/>
    <mergeCell ref="C64:F64"/>
    <mergeCell ref="C65:I65"/>
    <mergeCell ref="C66:I66"/>
    <mergeCell ref="C67:I67"/>
  </mergeCells>
  <pageMargins left="0.511811024" right="0.511811024" top="0.78740157499999996" bottom="0.78740157499999996" header="0.31496062000000002" footer="0.31496062000000002"/>
  <pageSetup paperSize="9" scale="74"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0"/>
  <sheetViews>
    <sheetView view="pageBreakPreview" zoomScaleNormal="100" zoomScaleSheetLayoutView="100" workbookViewId="0">
      <selection activeCell="C12" sqref="C12"/>
    </sheetView>
  </sheetViews>
  <sheetFormatPr defaultColWidth="9.140625" defaultRowHeight="12.75" x14ac:dyDescent="0.2"/>
  <cols>
    <col min="1" max="1" width="9.140625" style="15"/>
    <col min="2" max="2" width="10.7109375" style="23" customWidth="1"/>
    <col min="3" max="3" width="73.5703125" style="41" customWidth="1"/>
    <col min="4" max="4" width="12.7109375" style="41" customWidth="1"/>
    <col min="5" max="5" width="13.140625" style="23" customWidth="1"/>
    <col min="6" max="16384" width="9.140625" style="15"/>
  </cols>
  <sheetData>
    <row r="1" spans="2:10" x14ac:dyDescent="0.2">
      <c r="F1" s="176"/>
      <c r="G1" s="176"/>
      <c r="H1" s="176"/>
      <c r="I1" s="176"/>
      <c r="J1" s="176"/>
    </row>
    <row r="2" spans="2:10" s="40" customFormat="1" ht="21.75" customHeight="1" x14ac:dyDescent="0.2">
      <c r="B2" s="489"/>
      <c r="C2" s="486" t="s">
        <v>0</v>
      </c>
      <c r="D2" s="487"/>
      <c r="E2" s="488"/>
      <c r="F2" s="176"/>
      <c r="G2" s="176"/>
      <c r="H2" s="176"/>
      <c r="I2" s="176"/>
      <c r="J2" s="176"/>
    </row>
    <row r="3" spans="2:10" s="40" customFormat="1" ht="30" customHeight="1" x14ac:dyDescent="0.2">
      <c r="B3" s="490"/>
      <c r="C3" s="486" t="s">
        <v>396</v>
      </c>
      <c r="D3" s="487"/>
      <c r="E3" s="488"/>
      <c r="F3" s="176"/>
      <c r="G3" s="176"/>
      <c r="H3" s="176"/>
      <c r="I3" s="176"/>
      <c r="J3" s="176"/>
    </row>
    <row r="4" spans="2:10" s="40" customFormat="1" ht="41.25" customHeight="1" x14ac:dyDescent="0.2">
      <c r="B4" s="490"/>
      <c r="C4" s="486" t="s">
        <v>705</v>
      </c>
      <c r="D4" s="487"/>
      <c r="E4" s="488"/>
      <c r="F4" s="176"/>
      <c r="G4" s="176"/>
      <c r="H4" s="176"/>
      <c r="I4" s="176"/>
      <c r="J4" s="176"/>
    </row>
    <row r="5" spans="2:10" s="40" customFormat="1" ht="20.100000000000001" customHeight="1" x14ac:dyDescent="0.2">
      <c r="B5" s="491"/>
      <c r="C5" s="486" t="s">
        <v>2</v>
      </c>
      <c r="D5" s="487"/>
      <c r="E5" s="488"/>
      <c r="F5" s="176"/>
      <c r="G5" s="176"/>
      <c r="H5" s="176"/>
      <c r="I5" s="176"/>
      <c r="J5" s="176"/>
    </row>
    <row r="6" spans="2:10" s="40" customFormat="1" ht="9" customHeight="1" x14ac:dyDescent="0.2">
      <c r="B6" s="492"/>
      <c r="C6" s="492"/>
      <c r="D6" s="492"/>
      <c r="E6" s="492"/>
      <c r="F6" s="176"/>
      <c r="G6" s="176"/>
      <c r="H6" s="176"/>
      <c r="I6" s="176"/>
      <c r="J6" s="176"/>
    </row>
    <row r="7" spans="2:10" ht="15" customHeight="1" x14ac:dyDescent="0.2">
      <c r="B7" s="482" t="s">
        <v>154</v>
      </c>
      <c r="C7" s="482"/>
      <c r="D7" s="482"/>
      <c r="E7" s="198" t="s">
        <v>196</v>
      </c>
      <c r="F7" s="176"/>
      <c r="G7" s="176"/>
      <c r="H7" s="176"/>
      <c r="I7" s="176"/>
      <c r="J7" s="176"/>
    </row>
    <row r="8" spans="2:10" x14ac:dyDescent="0.2">
      <c r="B8" s="198" t="s">
        <v>197</v>
      </c>
      <c r="C8" s="199" t="s">
        <v>155</v>
      </c>
      <c r="D8" s="199"/>
      <c r="E8" s="200">
        <v>0.2</v>
      </c>
      <c r="F8" s="176"/>
      <c r="G8" s="176"/>
      <c r="H8" s="176"/>
      <c r="I8" s="176"/>
      <c r="J8" s="176"/>
    </row>
    <row r="9" spans="2:10" x14ac:dyDescent="0.2">
      <c r="B9" s="198" t="s">
        <v>198</v>
      </c>
      <c r="C9" s="199" t="s">
        <v>156</v>
      </c>
      <c r="D9" s="199"/>
      <c r="E9" s="200">
        <v>0.08</v>
      </c>
      <c r="F9" s="176"/>
      <c r="G9" s="176"/>
      <c r="H9" s="176"/>
      <c r="I9" s="176"/>
      <c r="J9" s="176"/>
    </row>
    <row r="10" spans="2:10" x14ac:dyDescent="0.2">
      <c r="B10" s="198" t="s">
        <v>199</v>
      </c>
      <c r="C10" s="199" t="s">
        <v>157</v>
      </c>
      <c r="D10" s="199"/>
      <c r="E10" s="200">
        <v>1.7999999999999999E-2</v>
      </c>
    </row>
    <row r="11" spans="2:10" x14ac:dyDescent="0.2">
      <c r="B11" s="198" t="s">
        <v>200</v>
      </c>
      <c r="C11" s="199" t="s">
        <v>158</v>
      </c>
      <c r="D11" s="199"/>
      <c r="E11" s="200">
        <v>1.2999999999999999E-2</v>
      </c>
    </row>
    <row r="12" spans="2:10" x14ac:dyDescent="0.2">
      <c r="B12" s="198" t="s">
        <v>201</v>
      </c>
      <c r="C12" s="199" t="s">
        <v>159</v>
      </c>
      <c r="D12" s="199"/>
      <c r="E12" s="200" t="s">
        <v>160</v>
      </c>
    </row>
    <row r="13" spans="2:10" x14ac:dyDescent="0.2">
      <c r="B13" s="198" t="s">
        <v>202</v>
      </c>
      <c r="C13" s="199" t="s">
        <v>161</v>
      </c>
      <c r="D13" s="199"/>
      <c r="E13" s="200">
        <v>2E-3</v>
      </c>
    </row>
    <row r="14" spans="2:10" x14ac:dyDescent="0.2">
      <c r="B14" s="198" t="s">
        <v>203</v>
      </c>
      <c r="C14" s="199" t="s">
        <v>162</v>
      </c>
      <c r="D14" s="199"/>
      <c r="E14" s="200">
        <v>2.5000000000000001E-2</v>
      </c>
    </row>
    <row r="15" spans="2:10" x14ac:dyDescent="0.2">
      <c r="B15" s="198" t="s">
        <v>204</v>
      </c>
      <c r="C15" s="199" t="s">
        <v>163</v>
      </c>
      <c r="D15" s="199"/>
      <c r="E15" s="200">
        <v>0.03</v>
      </c>
    </row>
    <row r="16" spans="2:10" x14ac:dyDescent="0.2">
      <c r="B16" s="198" t="s">
        <v>205</v>
      </c>
      <c r="C16" s="199" t="s">
        <v>164</v>
      </c>
      <c r="D16" s="199"/>
      <c r="E16" s="200">
        <v>0.01</v>
      </c>
    </row>
    <row r="17" spans="2:5" ht="15" customHeight="1" x14ac:dyDescent="0.2">
      <c r="B17" s="482" t="s">
        <v>165</v>
      </c>
      <c r="C17" s="482"/>
      <c r="D17" s="482"/>
      <c r="E17" s="201">
        <f>SUM(E8:E16)</f>
        <v>0.37800000000000011</v>
      </c>
    </row>
    <row r="18" spans="2:5" x14ac:dyDescent="0.2">
      <c r="B18" s="493" t="s">
        <v>166</v>
      </c>
      <c r="C18" s="493"/>
      <c r="D18" s="202"/>
      <c r="E18" s="203" t="s">
        <v>196</v>
      </c>
    </row>
    <row r="19" spans="2:5" x14ac:dyDescent="0.2">
      <c r="B19" s="198" t="s">
        <v>206</v>
      </c>
      <c r="C19" s="199" t="s">
        <v>167</v>
      </c>
      <c r="D19" s="199"/>
      <c r="E19" s="200">
        <v>0.17519999999999999</v>
      </c>
    </row>
    <row r="20" spans="2:5" x14ac:dyDescent="0.2">
      <c r="B20" s="198" t="s">
        <v>207</v>
      </c>
      <c r="C20" s="199" t="s">
        <v>168</v>
      </c>
      <c r="D20" s="199"/>
      <c r="E20" s="200">
        <v>3.9100000000000003E-2</v>
      </c>
    </row>
    <row r="21" spans="2:5" x14ac:dyDescent="0.2">
      <c r="B21" s="198" t="s">
        <v>208</v>
      </c>
      <c r="C21" s="199" t="s">
        <v>169</v>
      </c>
      <c r="D21" s="199"/>
      <c r="E21" s="200">
        <v>7.6E-3</v>
      </c>
    </row>
    <row r="22" spans="2:5" x14ac:dyDescent="0.2">
      <c r="B22" s="198" t="s">
        <v>209</v>
      </c>
      <c r="C22" s="199" t="s">
        <v>170</v>
      </c>
      <c r="D22" s="199"/>
      <c r="E22" s="200">
        <v>1.1000000000000001E-3</v>
      </c>
    </row>
    <row r="23" spans="2:5" x14ac:dyDescent="0.2">
      <c r="B23" s="198" t="s">
        <v>210</v>
      </c>
      <c r="C23" s="199" t="s">
        <v>171</v>
      </c>
      <c r="D23" s="199"/>
      <c r="E23" s="200">
        <v>6.7000000000000002E-3</v>
      </c>
    </row>
    <row r="24" spans="2:5" x14ac:dyDescent="0.2">
      <c r="B24" s="198" t="s">
        <v>211</v>
      </c>
      <c r="C24" s="199" t="s">
        <v>172</v>
      </c>
      <c r="D24" s="199"/>
      <c r="E24" s="200">
        <v>0.1011</v>
      </c>
    </row>
    <row r="25" spans="2:5" x14ac:dyDescent="0.2">
      <c r="B25" s="198" t="s">
        <v>212</v>
      </c>
      <c r="C25" s="199" t="s">
        <v>173</v>
      </c>
      <c r="D25" s="199"/>
      <c r="E25" s="200">
        <v>3.3999999999999998E-3</v>
      </c>
    </row>
    <row r="26" spans="2:5" x14ac:dyDescent="0.2">
      <c r="B26" s="198" t="s">
        <v>213</v>
      </c>
      <c r="C26" s="199" t="s">
        <v>174</v>
      </c>
      <c r="D26" s="199"/>
      <c r="E26" s="204" t="s">
        <v>160</v>
      </c>
    </row>
    <row r="27" spans="2:5" x14ac:dyDescent="0.2">
      <c r="B27" s="198" t="s">
        <v>214</v>
      </c>
      <c r="C27" s="199" t="s">
        <v>175</v>
      </c>
      <c r="D27" s="199"/>
      <c r="E27" s="204" t="s">
        <v>160</v>
      </c>
    </row>
    <row r="28" spans="2:5" x14ac:dyDescent="0.2">
      <c r="B28" s="198" t="s">
        <v>215</v>
      </c>
      <c r="C28" s="199" t="s">
        <v>176</v>
      </c>
      <c r="D28" s="199"/>
      <c r="E28" s="204" t="s">
        <v>160</v>
      </c>
    </row>
    <row r="29" spans="2:5" x14ac:dyDescent="0.2">
      <c r="B29" s="198" t="s">
        <v>216</v>
      </c>
      <c r="C29" s="199" t="s">
        <v>177</v>
      </c>
      <c r="D29" s="199"/>
      <c r="E29" s="204" t="s">
        <v>160</v>
      </c>
    </row>
    <row r="30" spans="2:5" ht="15" customHeight="1" x14ac:dyDescent="0.2">
      <c r="B30" s="482" t="s">
        <v>178</v>
      </c>
      <c r="C30" s="482"/>
      <c r="D30" s="482"/>
      <c r="E30" s="205">
        <f>SUM(E19:E29)</f>
        <v>0.3342</v>
      </c>
    </row>
    <row r="31" spans="2:5" x14ac:dyDescent="0.2">
      <c r="B31" s="483" t="s">
        <v>179</v>
      </c>
      <c r="C31" s="483"/>
      <c r="D31" s="206"/>
      <c r="E31" s="203" t="s">
        <v>196</v>
      </c>
    </row>
    <row r="32" spans="2:5" x14ac:dyDescent="0.2">
      <c r="B32" s="198" t="s">
        <v>217</v>
      </c>
      <c r="C32" s="199" t="s">
        <v>180</v>
      </c>
      <c r="D32" s="199"/>
      <c r="E32" s="207">
        <v>5.3400000000000003E-2</v>
      </c>
    </row>
    <row r="33" spans="2:5" x14ac:dyDescent="0.2">
      <c r="B33" s="198" t="s">
        <v>218</v>
      </c>
      <c r="C33" s="199" t="s">
        <v>181</v>
      </c>
      <c r="D33" s="199"/>
      <c r="E33" s="207">
        <v>0.112</v>
      </c>
    </row>
    <row r="34" spans="2:5" x14ac:dyDescent="0.2">
      <c r="B34" s="198" t="s">
        <v>219</v>
      </c>
      <c r="C34" s="199" t="s">
        <v>182</v>
      </c>
      <c r="D34" s="199"/>
      <c r="E34" s="207">
        <v>0.1129</v>
      </c>
    </row>
    <row r="35" spans="2:5" x14ac:dyDescent="0.2">
      <c r="B35" s="198" t="s">
        <v>220</v>
      </c>
      <c r="C35" s="199" t="s">
        <v>183</v>
      </c>
      <c r="D35" s="199"/>
      <c r="E35" s="207">
        <v>8.9999999999999993E-3</v>
      </c>
    </row>
    <row r="36" spans="2:5" x14ac:dyDescent="0.2">
      <c r="B36" s="198" t="s">
        <v>221</v>
      </c>
      <c r="C36" s="199" t="s">
        <v>184</v>
      </c>
      <c r="D36" s="199"/>
      <c r="E36" s="207">
        <v>2.2599999999999999E-2</v>
      </c>
    </row>
    <row r="37" spans="2:5" x14ac:dyDescent="0.2">
      <c r="B37" s="198" t="s">
        <v>222</v>
      </c>
      <c r="C37" s="199" t="s">
        <v>185</v>
      </c>
      <c r="D37" s="199"/>
      <c r="E37" s="208" t="s">
        <v>160</v>
      </c>
    </row>
    <row r="38" spans="2:5" x14ac:dyDescent="0.2">
      <c r="B38" s="198" t="s">
        <v>223</v>
      </c>
      <c r="C38" s="199" t="s">
        <v>186</v>
      </c>
      <c r="D38" s="199"/>
      <c r="E38" s="208" t="s">
        <v>160</v>
      </c>
    </row>
    <row r="39" spans="2:5" ht="15" customHeight="1" x14ac:dyDescent="0.2">
      <c r="B39" s="482" t="s">
        <v>187</v>
      </c>
      <c r="C39" s="482"/>
      <c r="D39" s="482"/>
      <c r="E39" s="205">
        <f>SUM(E32:E38)</f>
        <v>0.30990000000000001</v>
      </c>
    </row>
    <row r="40" spans="2:5" x14ac:dyDescent="0.2">
      <c r="B40" s="484" t="s">
        <v>188</v>
      </c>
      <c r="C40" s="484"/>
      <c r="D40" s="209"/>
      <c r="E40" s="210" t="s">
        <v>196</v>
      </c>
    </row>
    <row r="41" spans="2:5" x14ac:dyDescent="0.2">
      <c r="B41" s="198" t="s">
        <v>224</v>
      </c>
      <c r="C41" s="199" t="s">
        <v>189</v>
      </c>
      <c r="D41" s="199"/>
      <c r="E41" s="200">
        <f>E17*E30</f>
        <v>0.12632760000000004</v>
      </c>
    </row>
    <row r="42" spans="2:5" ht="25.5" x14ac:dyDescent="0.2">
      <c r="B42" s="198" t="s">
        <v>225</v>
      </c>
      <c r="C42" s="211" t="s">
        <v>231</v>
      </c>
      <c r="D42" s="211"/>
      <c r="E42" s="204" t="s">
        <v>160</v>
      </c>
    </row>
    <row r="43" spans="2:5" ht="15" customHeight="1" x14ac:dyDescent="0.2">
      <c r="B43" s="482" t="s">
        <v>190</v>
      </c>
      <c r="C43" s="482"/>
      <c r="D43" s="482"/>
      <c r="E43" s="201">
        <f>SUM(E41:E42)</f>
        <v>0.12632760000000004</v>
      </c>
    </row>
    <row r="44" spans="2:5" x14ac:dyDescent="0.2">
      <c r="B44" s="485" t="s">
        <v>191</v>
      </c>
      <c r="C44" s="485"/>
      <c r="D44" s="212"/>
      <c r="E44" s="203" t="s">
        <v>196</v>
      </c>
    </row>
    <row r="45" spans="2:5" x14ac:dyDescent="0.2">
      <c r="B45" s="198" t="s">
        <v>226</v>
      </c>
      <c r="C45" s="199" t="s">
        <v>192</v>
      </c>
      <c r="D45" s="199"/>
      <c r="E45" s="207">
        <v>0.25750000000000001</v>
      </c>
    </row>
    <row r="46" spans="2:5" x14ac:dyDescent="0.2">
      <c r="B46" s="198" t="s">
        <v>227</v>
      </c>
      <c r="C46" s="199" t="s">
        <v>193</v>
      </c>
      <c r="D46" s="199"/>
      <c r="E46" s="207">
        <v>6.0299999999999999E-2</v>
      </c>
    </row>
    <row r="47" spans="2:5" ht="25.5" x14ac:dyDescent="0.2">
      <c r="B47" s="198" t="s">
        <v>228</v>
      </c>
      <c r="C47" s="211" t="s">
        <v>232</v>
      </c>
      <c r="D47" s="211"/>
      <c r="E47" s="207">
        <v>2.6700000000000002E-2</v>
      </c>
    </row>
    <row r="48" spans="2:5" x14ac:dyDescent="0.2">
      <c r="B48" s="198" t="s">
        <v>229</v>
      </c>
      <c r="C48" s="199" t="s">
        <v>194</v>
      </c>
      <c r="D48" s="199"/>
      <c r="E48" s="207">
        <v>7.9799999999999996E-2</v>
      </c>
    </row>
    <row r="49" spans="2:5" x14ac:dyDescent="0.2">
      <c r="B49" s="482" t="s">
        <v>230</v>
      </c>
      <c r="C49" s="482"/>
      <c r="D49" s="198"/>
      <c r="E49" s="201">
        <v>0.42430000000000001</v>
      </c>
    </row>
    <row r="50" spans="2:5" ht="15" customHeight="1" x14ac:dyDescent="0.2">
      <c r="B50" s="482" t="s">
        <v>195</v>
      </c>
      <c r="C50" s="482"/>
      <c r="D50" s="482"/>
      <c r="E50" s="201">
        <f>E49+E39+E30+E17+E43</f>
        <v>1.5727276000000001</v>
      </c>
    </row>
  </sheetData>
  <mergeCells count="17">
    <mergeCell ref="B30:D30"/>
    <mergeCell ref="B6:E6"/>
    <mergeCell ref="B7:D7"/>
    <mergeCell ref="B17:D17"/>
    <mergeCell ref="B18:C18"/>
    <mergeCell ref="C3:E3"/>
    <mergeCell ref="C4:E4"/>
    <mergeCell ref="C5:E5"/>
    <mergeCell ref="B2:B5"/>
    <mergeCell ref="C2:E2"/>
    <mergeCell ref="B50:D50"/>
    <mergeCell ref="B31:C31"/>
    <mergeCell ref="B39:D39"/>
    <mergeCell ref="B40:C40"/>
    <mergeCell ref="B43:D43"/>
    <mergeCell ref="B44:C44"/>
    <mergeCell ref="B49:C49"/>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100" zoomScaleSheetLayoutView="100" workbookViewId="0">
      <selection activeCell="C14" sqref="C14:E14"/>
    </sheetView>
  </sheetViews>
  <sheetFormatPr defaultRowHeight="15" x14ac:dyDescent="0.25"/>
  <cols>
    <col min="1" max="1" width="12.28515625" style="129" customWidth="1"/>
    <col min="2" max="2" width="10" style="129" bestFit="1" customWidth="1"/>
    <col min="3" max="3" width="9.140625" style="130"/>
    <col min="4" max="4" width="27.42578125" style="130" customWidth="1"/>
    <col min="5" max="5" width="24.85546875" style="130" customWidth="1"/>
    <col min="6" max="6" width="5" style="130" bestFit="1" customWidth="1"/>
    <col min="7" max="7" width="8.5703125" style="130" bestFit="1" customWidth="1"/>
    <col min="8" max="8" width="8.42578125" style="130" bestFit="1" customWidth="1"/>
    <col min="9" max="9" width="11"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44653</v>
      </c>
    </row>
    <row r="4" spans="1:9" ht="15" customHeight="1" x14ac:dyDescent="0.25">
      <c r="A4" s="504"/>
      <c r="B4" s="504"/>
      <c r="C4" s="504"/>
      <c r="D4" s="504"/>
      <c r="E4" s="504"/>
      <c r="F4" s="504"/>
      <c r="G4" s="504"/>
      <c r="H4" s="504"/>
      <c r="I4" s="302" t="s">
        <v>252</v>
      </c>
    </row>
    <row r="5" spans="1:9" ht="15" customHeight="1" x14ac:dyDescent="0.25">
      <c r="A5" s="506" t="s">
        <v>480</v>
      </c>
      <c r="B5" s="506"/>
      <c r="C5" s="506"/>
      <c r="D5" s="506"/>
      <c r="E5" s="506"/>
      <c r="F5" s="506"/>
      <c r="G5" s="506"/>
      <c r="H5" s="506"/>
      <c r="I5" s="507" t="s">
        <v>367</v>
      </c>
    </row>
    <row r="6" spans="1:9" x14ac:dyDescent="0.25">
      <c r="A6" s="506"/>
      <c r="B6" s="506"/>
      <c r="C6" s="506"/>
      <c r="D6" s="506"/>
      <c r="E6" s="506"/>
      <c r="F6" s="506"/>
      <c r="G6" s="506"/>
      <c r="H6" s="506"/>
      <c r="I6" s="507"/>
    </row>
    <row r="7" spans="1:9" ht="15" customHeight="1" x14ac:dyDescent="0.25">
      <c r="A7" s="508" t="s">
        <v>466</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00" t="s">
        <v>257</v>
      </c>
      <c r="I9" s="101" t="s">
        <v>258</v>
      </c>
    </row>
    <row r="10" spans="1:9" x14ac:dyDescent="0.25">
      <c r="A10" s="131" t="s">
        <v>469</v>
      </c>
      <c r="B10" s="301" t="s">
        <v>238</v>
      </c>
      <c r="C10" s="495" t="s">
        <v>490</v>
      </c>
      <c r="D10" s="496"/>
      <c r="E10" s="106" t="s">
        <v>262</v>
      </c>
      <c r="F10" s="301" t="s">
        <v>259</v>
      </c>
      <c r="G10" s="103">
        <v>5.4100000000000002E-2</v>
      </c>
      <c r="H10" s="107">
        <v>19.12</v>
      </c>
      <c r="I10" s="138">
        <f>G10*H10</f>
        <v>1.0343920000000002</v>
      </c>
    </row>
    <row r="11" spans="1:9" x14ac:dyDescent="0.25">
      <c r="A11" s="502" t="s">
        <v>260</v>
      </c>
      <c r="B11" s="502"/>
      <c r="C11" s="502"/>
      <c r="D11" s="502"/>
      <c r="E11" s="502"/>
      <c r="F11" s="502"/>
      <c r="G11" s="502"/>
      <c r="H11" s="502"/>
      <c r="I11" s="109">
        <f>I10</f>
        <v>1.0343920000000002</v>
      </c>
    </row>
    <row r="12" spans="1:9" x14ac:dyDescent="0.25">
      <c r="A12" s="298"/>
      <c r="B12" s="298"/>
      <c r="C12" s="298"/>
      <c r="D12" s="298"/>
      <c r="E12" s="298"/>
      <c r="F12" s="298"/>
      <c r="G12" s="298"/>
      <c r="H12" s="298"/>
      <c r="I12" s="109"/>
    </row>
    <row r="13" spans="1:9" x14ac:dyDescent="0.25">
      <c r="A13" s="503" t="s">
        <v>266</v>
      </c>
      <c r="B13" s="503"/>
      <c r="C13" s="503"/>
      <c r="D13" s="503"/>
      <c r="E13" s="503"/>
      <c r="F13" s="503"/>
      <c r="G13" s="503"/>
      <c r="H13" s="503"/>
      <c r="I13" s="503"/>
    </row>
    <row r="14" spans="1:9" x14ac:dyDescent="0.25">
      <c r="A14" s="98" t="s">
        <v>253</v>
      </c>
      <c r="B14" s="300" t="s">
        <v>9</v>
      </c>
      <c r="C14" s="494" t="s">
        <v>254</v>
      </c>
      <c r="D14" s="494"/>
      <c r="E14" s="494"/>
      <c r="F14" s="300" t="s">
        <v>255</v>
      </c>
      <c r="G14" s="99" t="s">
        <v>256</v>
      </c>
      <c r="H14" s="100" t="s">
        <v>257</v>
      </c>
      <c r="I14" s="101" t="s">
        <v>258</v>
      </c>
    </row>
    <row r="15" spans="1:9" x14ac:dyDescent="0.25">
      <c r="A15" s="116" t="s">
        <v>467</v>
      </c>
      <c r="B15" s="102" t="s">
        <v>310</v>
      </c>
      <c r="C15" s="497" t="s">
        <v>468</v>
      </c>
      <c r="D15" s="497"/>
      <c r="E15" s="497"/>
      <c r="F15" s="116" t="s">
        <v>22</v>
      </c>
      <c r="G15" s="144">
        <v>0.4</v>
      </c>
      <c r="H15" s="154">
        <v>1.59</v>
      </c>
      <c r="I15" s="104">
        <f>G15*H15</f>
        <v>0.63600000000000012</v>
      </c>
    </row>
    <row r="16" spans="1:9" ht="27.75" customHeight="1" x14ac:dyDescent="0.25">
      <c r="A16" s="122"/>
      <c r="B16" s="122"/>
      <c r="C16" s="498"/>
      <c r="D16" s="498"/>
      <c r="E16" s="498"/>
      <c r="F16" s="123"/>
      <c r="G16" s="124"/>
      <c r="H16" s="125"/>
      <c r="I16" s="126"/>
    </row>
    <row r="17" spans="1:9" x14ac:dyDescent="0.25">
      <c r="A17" s="502" t="s">
        <v>264</v>
      </c>
      <c r="B17" s="502"/>
      <c r="C17" s="502"/>
      <c r="D17" s="502"/>
      <c r="E17" s="502"/>
      <c r="F17" s="502"/>
      <c r="G17" s="502"/>
      <c r="H17" s="502"/>
      <c r="I17" s="127">
        <f>SUM(I15:I16)</f>
        <v>0.63600000000000012</v>
      </c>
    </row>
    <row r="18" spans="1:9" x14ac:dyDescent="0.25">
      <c r="A18" s="298"/>
      <c r="B18" s="298"/>
      <c r="C18" s="298"/>
      <c r="D18" s="298"/>
      <c r="E18" s="298"/>
      <c r="F18" s="298"/>
      <c r="G18" s="298"/>
      <c r="H18" s="298"/>
      <c r="I18" s="109"/>
    </row>
    <row r="19" spans="1:9" x14ac:dyDescent="0.25">
      <c r="A19" s="298"/>
      <c r="B19" s="298"/>
      <c r="C19" s="298"/>
      <c r="D19" s="298"/>
      <c r="E19" s="298"/>
      <c r="F19" s="298"/>
      <c r="G19" s="298"/>
      <c r="H19" s="298"/>
      <c r="I19" s="109"/>
    </row>
    <row r="20" spans="1:9" x14ac:dyDescent="0.25">
      <c r="A20" s="510" t="s">
        <v>276</v>
      </c>
      <c r="B20" s="510"/>
      <c r="C20" s="510"/>
      <c r="D20" s="510"/>
      <c r="E20" s="510"/>
      <c r="F20" s="510"/>
      <c r="G20" s="510"/>
      <c r="H20" s="510"/>
      <c r="I20" s="510"/>
    </row>
    <row r="21" spans="1:9" x14ac:dyDescent="0.25">
      <c r="A21" s="105"/>
      <c r="B21" s="301"/>
      <c r="C21" s="511" t="s">
        <v>254</v>
      </c>
      <c r="D21" s="511"/>
      <c r="E21" s="511"/>
      <c r="F21" s="301" t="s">
        <v>255</v>
      </c>
      <c r="G21" s="110" t="s">
        <v>256</v>
      </c>
      <c r="H21" s="107" t="s">
        <v>257</v>
      </c>
      <c r="I21" s="108" t="s">
        <v>258</v>
      </c>
    </row>
    <row r="22" spans="1:9" ht="15" customHeight="1" x14ac:dyDescent="0.25">
      <c r="A22" s="111"/>
      <c r="B22" s="111"/>
      <c r="C22" s="499"/>
      <c r="D22" s="500"/>
      <c r="E22" s="501"/>
      <c r="F22" s="112"/>
      <c r="G22" s="112"/>
      <c r="H22" s="113"/>
      <c r="I22" s="114"/>
    </row>
    <row r="23" spans="1:9" x14ac:dyDescent="0.25">
      <c r="A23" s="502" t="s">
        <v>265</v>
      </c>
      <c r="B23" s="502"/>
      <c r="C23" s="502"/>
      <c r="D23" s="502"/>
      <c r="E23" s="502"/>
      <c r="F23" s="502"/>
      <c r="G23" s="502"/>
      <c r="H23" s="502"/>
      <c r="I23" s="115">
        <f>I22</f>
        <v>0</v>
      </c>
    </row>
    <row r="24" spans="1:9" x14ac:dyDescent="0.25">
      <c r="A24" s="512"/>
      <c r="B24" s="513"/>
      <c r="C24" s="513"/>
      <c r="D24" s="513"/>
      <c r="E24" s="513"/>
      <c r="F24" s="513"/>
      <c r="G24" s="513"/>
      <c r="H24" s="513"/>
      <c r="I24" s="514"/>
    </row>
    <row r="25" spans="1:9" x14ac:dyDescent="0.25">
      <c r="A25" s="503" t="s">
        <v>269</v>
      </c>
      <c r="B25" s="503"/>
      <c r="C25" s="503"/>
      <c r="D25" s="503"/>
      <c r="E25" s="503"/>
      <c r="F25" s="503"/>
      <c r="G25" s="503"/>
      <c r="H25" s="503"/>
      <c r="I25" s="503"/>
    </row>
    <row r="26" spans="1:9" x14ac:dyDescent="0.25">
      <c r="A26" s="509" t="s">
        <v>279</v>
      </c>
      <c r="B26" s="509"/>
      <c r="C26" s="509"/>
      <c r="D26" s="509"/>
      <c r="E26" s="509"/>
      <c r="F26" s="509"/>
      <c r="G26" s="509"/>
      <c r="H26" s="509"/>
      <c r="I26" s="128">
        <f>I11</f>
        <v>1.0343920000000002</v>
      </c>
    </row>
    <row r="27" spans="1:9" x14ac:dyDescent="0.25">
      <c r="A27" s="509" t="s">
        <v>280</v>
      </c>
      <c r="B27" s="509"/>
      <c r="C27" s="509"/>
      <c r="D27" s="509"/>
      <c r="E27" s="509"/>
      <c r="F27" s="509"/>
      <c r="G27" s="509"/>
      <c r="H27" s="509"/>
      <c r="I27" s="128">
        <f>I17</f>
        <v>0.63600000000000012</v>
      </c>
    </row>
    <row r="28" spans="1:9" x14ac:dyDescent="0.25">
      <c r="A28" s="509" t="s">
        <v>286</v>
      </c>
      <c r="B28" s="509"/>
      <c r="C28" s="509"/>
      <c r="D28" s="509"/>
      <c r="E28" s="509"/>
      <c r="F28" s="509"/>
      <c r="G28" s="509"/>
      <c r="H28" s="509"/>
      <c r="I28" s="128">
        <f>I23</f>
        <v>0</v>
      </c>
    </row>
    <row r="29" spans="1:9" x14ac:dyDescent="0.25">
      <c r="A29" s="509" t="s">
        <v>287</v>
      </c>
      <c r="B29" s="509"/>
      <c r="C29" s="509"/>
      <c r="D29" s="509"/>
      <c r="E29" s="509"/>
      <c r="F29" s="509"/>
      <c r="G29" s="509"/>
      <c r="H29" s="509"/>
      <c r="I29" s="135">
        <f>SUM(I26:I27)</f>
        <v>1.6703920000000003</v>
      </c>
    </row>
  </sheetData>
  <mergeCells count="24">
    <mergeCell ref="A27:H27"/>
    <mergeCell ref="A28:H28"/>
    <mergeCell ref="A29:H29"/>
    <mergeCell ref="A17:H17"/>
    <mergeCell ref="A20:I20"/>
    <mergeCell ref="C21:E21"/>
    <mergeCell ref="A26:H26"/>
    <mergeCell ref="A25:I25"/>
    <mergeCell ref="A23:H23"/>
    <mergeCell ref="A24:I24"/>
    <mergeCell ref="A8:I8"/>
    <mergeCell ref="A1:H4"/>
    <mergeCell ref="I1:I2"/>
    <mergeCell ref="A5:H6"/>
    <mergeCell ref="I5:I6"/>
    <mergeCell ref="A7:I7"/>
    <mergeCell ref="C9:E9"/>
    <mergeCell ref="C10:D10"/>
    <mergeCell ref="C15:E15"/>
    <mergeCell ref="C16:E16"/>
    <mergeCell ref="C22:E22"/>
    <mergeCell ref="A11:H11"/>
    <mergeCell ref="A13:I13"/>
    <mergeCell ref="C14:E14"/>
  </mergeCells>
  <pageMargins left="0.511811024" right="0.511811024" top="0.78740157499999996" bottom="0.78740157499999996" header="0.31496062000000002" footer="0.31496062000000002"/>
  <pageSetup paperSize="9" scale="7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100" zoomScaleSheetLayoutView="100" workbookViewId="0">
      <selection activeCell="A17" sqref="A17:H17"/>
    </sheetView>
  </sheetViews>
  <sheetFormatPr defaultRowHeight="15" x14ac:dyDescent="0.25"/>
  <cols>
    <col min="1" max="1" width="12.28515625" style="129" customWidth="1"/>
    <col min="2" max="2" width="10" style="129" bestFit="1" customWidth="1"/>
    <col min="3" max="3" width="9.140625" style="130"/>
    <col min="4" max="4" width="20.5703125" style="130" customWidth="1"/>
    <col min="5" max="5" width="20.7109375" style="130" customWidth="1"/>
    <col min="6" max="6" width="5" style="130" bestFit="1" customWidth="1"/>
    <col min="7" max="7" width="8.5703125" style="130" bestFit="1" customWidth="1"/>
    <col min="8" max="8" width="8.42578125" style="130" bestFit="1" customWidth="1"/>
    <col min="9" max="9" width="15.140625"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44653</v>
      </c>
    </row>
    <row r="4" spans="1:9" ht="15" customHeight="1" x14ac:dyDescent="0.25">
      <c r="A4" s="504"/>
      <c r="B4" s="504"/>
      <c r="C4" s="504"/>
      <c r="D4" s="504"/>
      <c r="E4" s="504"/>
      <c r="F4" s="504"/>
      <c r="G4" s="504"/>
      <c r="H4" s="504"/>
      <c r="I4" s="302" t="s">
        <v>283</v>
      </c>
    </row>
    <row r="5" spans="1:9" ht="15" customHeight="1" x14ac:dyDescent="0.25">
      <c r="A5" s="506" t="s">
        <v>475</v>
      </c>
      <c r="B5" s="506"/>
      <c r="C5" s="506"/>
      <c r="D5" s="506"/>
      <c r="E5" s="506"/>
      <c r="F5" s="506"/>
      <c r="G5" s="506"/>
      <c r="H5" s="506"/>
      <c r="I5" s="507" t="s">
        <v>367</v>
      </c>
    </row>
    <row r="6" spans="1:9" x14ac:dyDescent="0.25">
      <c r="A6" s="506"/>
      <c r="B6" s="506"/>
      <c r="C6" s="506"/>
      <c r="D6" s="506"/>
      <c r="E6" s="506"/>
      <c r="F6" s="506"/>
      <c r="G6" s="506"/>
      <c r="H6" s="506"/>
      <c r="I6" s="507"/>
    </row>
    <row r="7" spans="1:9" ht="15" customHeight="1" x14ac:dyDescent="0.25">
      <c r="A7" s="508" t="s">
        <v>476</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00" t="s">
        <v>257</v>
      </c>
      <c r="I9" s="101" t="s">
        <v>258</v>
      </c>
    </row>
    <row r="10" spans="1:9" x14ac:dyDescent="0.25">
      <c r="A10" s="131" t="s">
        <v>469</v>
      </c>
      <c r="B10" s="131" t="s">
        <v>706</v>
      </c>
      <c r="C10" s="495" t="s">
        <v>490</v>
      </c>
      <c r="D10" s="496"/>
      <c r="E10" s="106" t="s">
        <v>262</v>
      </c>
      <c r="F10" s="301" t="s">
        <v>259</v>
      </c>
      <c r="G10" s="103">
        <v>0.29859999999999998</v>
      </c>
      <c r="H10" s="107">
        <v>19.12</v>
      </c>
      <c r="I10" s="138">
        <f>G10*H10</f>
        <v>5.7092320000000001</v>
      </c>
    </row>
    <row r="11" spans="1:9" x14ac:dyDescent="0.25">
      <c r="A11" s="502" t="s">
        <v>260</v>
      </c>
      <c r="B11" s="502"/>
      <c r="C11" s="502"/>
      <c r="D11" s="502"/>
      <c r="E11" s="502"/>
      <c r="F11" s="502"/>
      <c r="G11" s="502"/>
      <c r="H11" s="502"/>
      <c r="I11" s="109">
        <f>I10</f>
        <v>5.7092320000000001</v>
      </c>
    </row>
    <row r="12" spans="1:9" x14ac:dyDescent="0.25">
      <c r="A12" s="298"/>
      <c r="B12" s="298"/>
      <c r="C12" s="298"/>
      <c r="D12" s="298"/>
      <c r="E12" s="298"/>
      <c r="F12" s="298"/>
      <c r="G12" s="298"/>
      <c r="H12" s="298"/>
      <c r="I12" s="109"/>
    </row>
    <row r="13" spans="1:9" x14ac:dyDescent="0.25">
      <c r="A13" s="503" t="s">
        <v>266</v>
      </c>
      <c r="B13" s="503"/>
      <c r="C13" s="503"/>
      <c r="D13" s="503"/>
      <c r="E13" s="503"/>
      <c r="F13" s="503"/>
      <c r="G13" s="503"/>
      <c r="H13" s="503"/>
      <c r="I13" s="503"/>
    </row>
    <row r="14" spans="1:9" x14ac:dyDescent="0.25">
      <c r="A14" s="98" t="s">
        <v>253</v>
      </c>
      <c r="B14" s="300" t="s">
        <v>9</v>
      </c>
      <c r="C14" s="494" t="s">
        <v>254</v>
      </c>
      <c r="D14" s="494"/>
      <c r="E14" s="494"/>
      <c r="F14" s="300" t="s">
        <v>255</v>
      </c>
      <c r="G14" s="99" t="s">
        <v>256</v>
      </c>
      <c r="H14" s="100" t="s">
        <v>257</v>
      </c>
      <c r="I14" s="101" t="s">
        <v>258</v>
      </c>
    </row>
    <row r="15" spans="1:9" x14ac:dyDescent="0.25">
      <c r="A15" s="116" t="s">
        <v>477</v>
      </c>
      <c r="B15" s="102" t="s">
        <v>310</v>
      </c>
      <c r="C15" s="497" t="s">
        <v>478</v>
      </c>
      <c r="D15" s="497"/>
      <c r="E15" s="497"/>
      <c r="F15" s="116" t="s">
        <v>22</v>
      </c>
      <c r="G15" s="144">
        <v>0.3</v>
      </c>
      <c r="H15" s="154">
        <v>4.75</v>
      </c>
      <c r="I15" s="104">
        <f>G15*H15</f>
        <v>1.425</v>
      </c>
    </row>
    <row r="16" spans="1:9" ht="32.25" customHeight="1" x14ac:dyDescent="0.25">
      <c r="A16" s="122"/>
      <c r="B16" s="122"/>
      <c r="C16" s="498"/>
      <c r="D16" s="498"/>
      <c r="E16" s="498"/>
      <c r="F16" s="123"/>
      <c r="G16" s="124"/>
      <c r="H16" s="125"/>
      <c r="I16" s="126"/>
    </row>
    <row r="17" spans="1:9" x14ac:dyDescent="0.25">
      <c r="A17" s="502" t="s">
        <v>264</v>
      </c>
      <c r="B17" s="502"/>
      <c r="C17" s="502"/>
      <c r="D17" s="502"/>
      <c r="E17" s="502"/>
      <c r="F17" s="502"/>
      <c r="G17" s="502"/>
      <c r="H17" s="502"/>
      <c r="I17" s="127">
        <f>SUM(I15:I16)</f>
        <v>1.425</v>
      </c>
    </row>
    <row r="18" spans="1:9" x14ac:dyDescent="0.25">
      <c r="A18" s="298"/>
      <c r="B18" s="298"/>
      <c r="C18" s="298"/>
      <c r="D18" s="298"/>
      <c r="E18" s="298"/>
      <c r="F18" s="298"/>
      <c r="G18" s="298"/>
      <c r="H18" s="298"/>
      <c r="I18" s="109"/>
    </row>
    <row r="19" spans="1:9" x14ac:dyDescent="0.25">
      <c r="A19" s="298"/>
      <c r="B19" s="298"/>
      <c r="C19" s="298"/>
      <c r="D19" s="298"/>
      <c r="E19" s="298"/>
      <c r="F19" s="298"/>
      <c r="G19" s="298"/>
      <c r="H19" s="298"/>
      <c r="I19" s="109"/>
    </row>
    <row r="20" spans="1:9" x14ac:dyDescent="0.25">
      <c r="A20" s="510" t="s">
        <v>276</v>
      </c>
      <c r="B20" s="510"/>
      <c r="C20" s="510"/>
      <c r="D20" s="510"/>
      <c r="E20" s="510"/>
      <c r="F20" s="510"/>
      <c r="G20" s="510"/>
      <c r="H20" s="510"/>
      <c r="I20" s="510"/>
    </row>
    <row r="21" spans="1:9" x14ac:dyDescent="0.25">
      <c r="A21" s="105"/>
      <c r="B21" s="301"/>
      <c r="C21" s="511" t="s">
        <v>254</v>
      </c>
      <c r="D21" s="511"/>
      <c r="E21" s="511"/>
      <c r="F21" s="301" t="s">
        <v>255</v>
      </c>
      <c r="G21" s="110" t="s">
        <v>256</v>
      </c>
      <c r="H21" s="107" t="s">
        <v>257</v>
      </c>
      <c r="I21" s="108" t="s">
        <v>258</v>
      </c>
    </row>
    <row r="22" spans="1:9" ht="15" customHeight="1" x14ac:dyDescent="0.25">
      <c r="A22" s="111"/>
      <c r="B22" s="111"/>
      <c r="C22" s="499"/>
      <c r="D22" s="500"/>
      <c r="E22" s="501"/>
      <c r="F22" s="112"/>
      <c r="G22" s="112"/>
      <c r="H22" s="113"/>
      <c r="I22" s="114"/>
    </row>
    <row r="23" spans="1:9" x14ac:dyDescent="0.25">
      <c r="A23" s="502" t="s">
        <v>265</v>
      </c>
      <c r="B23" s="502"/>
      <c r="C23" s="502"/>
      <c r="D23" s="502"/>
      <c r="E23" s="502"/>
      <c r="F23" s="502"/>
      <c r="G23" s="502"/>
      <c r="H23" s="502"/>
      <c r="I23" s="115">
        <f>I22</f>
        <v>0</v>
      </c>
    </row>
    <row r="24" spans="1:9" x14ac:dyDescent="0.25">
      <c r="A24" s="512"/>
      <c r="B24" s="513"/>
      <c r="C24" s="513"/>
      <c r="D24" s="513"/>
      <c r="E24" s="513"/>
      <c r="F24" s="513"/>
      <c r="G24" s="513"/>
      <c r="H24" s="513"/>
      <c r="I24" s="514"/>
    </row>
    <row r="25" spans="1:9" x14ac:dyDescent="0.25">
      <c r="A25" s="503" t="s">
        <v>269</v>
      </c>
      <c r="B25" s="503"/>
      <c r="C25" s="503"/>
      <c r="D25" s="503"/>
      <c r="E25" s="503"/>
      <c r="F25" s="503"/>
      <c r="G25" s="503"/>
      <c r="H25" s="503"/>
      <c r="I25" s="503"/>
    </row>
    <row r="26" spans="1:9" x14ac:dyDescent="0.25">
      <c r="A26" s="509" t="s">
        <v>279</v>
      </c>
      <c r="B26" s="509"/>
      <c r="C26" s="509"/>
      <c r="D26" s="509"/>
      <c r="E26" s="509"/>
      <c r="F26" s="509"/>
      <c r="G26" s="509"/>
      <c r="H26" s="509"/>
      <c r="I26" s="128">
        <f>I11</f>
        <v>5.7092320000000001</v>
      </c>
    </row>
    <row r="27" spans="1:9" x14ac:dyDescent="0.25">
      <c r="A27" s="509" t="s">
        <v>280</v>
      </c>
      <c r="B27" s="509"/>
      <c r="C27" s="509"/>
      <c r="D27" s="509"/>
      <c r="E27" s="509"/>
      <c r="F27" s="509"/>
      <c r="G27" s="509"/>
      <c r="H27" s="509"/>
      <c r="I27" s="128">
        <f>I17</f>
        <v>1.425</v>
      </c>
    </row>
    <row r="28" spans="1:9" x14ac:dyDescent="0.25">
      <c r="A28" s="509" t="s">
        <v>286</v>
      </c>
      <c r="B28" s="509"/>
      <c r="C28" s="509"/>
      <c r="D28" s="509"/>
      <c r="E28" s="509"/>
      <c r="F28" s="509"/>
      <c r="G28" s="509"/>
      <c r="H28" s="509"/>
      <c r="I28" s="128">
        <f>I23</f>
        <v>0</v>
      </c>
    </row>
    <row r="29" spans="1:9" x14ac:dyDescent="0.25">
      <c r="A29" s="509" t="s">
        <v>287</v>
      </c>
      <c r="B29" s="509"/>
      <c r="C29" s="509"/>
      <c r="D29" s="509"/>
      <c r="E29" s="509"/>
      <c r="F29" s="509"/>
      <c r="G29" s="509"/>
      <c r="H29" s="509"/>
      <c r="I29" s="135">
        <f>SUM(I26:I27)</f>
        <v>7.1342319999999999</v>
      </c>
    </row>
  </sheetData>
  <mergeCells count="24">
    <mergeCell ref="A27:H27"/>
    <mergeCell ref="A28:H28"/>
    <mergeCell ref="A29:H29"/>
    <mergeCell ref="A17:H17"/>
    <mergeCell ref="A20:I20"/>
    <mergeCell ref="C21:E21"/>
    <mergeCell ref="A26:H26"/>
    <mergeCell ref="A25:I25"/>
    <mergeCell ref="A23:H23"/>
    <mergeCell ref="A24:I24"/>
    <mergeCell ref="A8:I8"/>
    <mergeCell ref="A1:H4"/>
    <mergeCell ref="I1:I2"/>
    <mergeCell ref="A5:H6"/>
    <mergeCell ref="I5:I6"/>
    <mergeCell ref="A7:I7"/>
    <mergeCell ref="C9:E9"/>
    <mergeCell ref="C10:D10"/>
    <mergeCell ref="C15:E15"/>
    <mergeCell ref="C16:E16"/>
    <mergeCell ref="C22:E22"/>
    <mergeCell ref="A11:H11"/>
    <mergeCell ref="A13:I13"/>
    <mergeCell ref="C14:E14"/>
  </mergeCells>
  <pageMargins left="0.511811024" right="0.511811024" top="0.78740157499999996" bottom="0.78740157499999996" header="0.31496062000000002" footer="0.31496062000000002"/>
  <pageSetup paperSize="9" scale="84"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3"/>
  <sheetViews>
    <sheetView view="pageBreakPreview" zoomScale="95" zoomScaleNormal="100" zoomScaleSheetLayoutView="95" workbookViewId="0">
      <selection activeCell="C19" sqref="C19:E19"/>
    </sheetView>
  </sheetViews>
  <sheetFormatPr defaultRowHeight="15" x14ac:dyDescent="0.25"/>
  <cols>
    <col min="1" max="1" width="8.7109375" style="129" bestFit="1" customWidth="1"/>
    <col min="2" max="2" width="9.85546875" style="129" bestFit="1" customWidth="1"/>
    <col min="3" max="3" width="9.140625" style="130"/>
    <col min="4" max="4" width="20.5703125" style="130" customWidth="1"/>
    <col min="5" max="5" width="18.7109375" style="130" bestFit="1" customWidth="1"/>
    <col min="6" max="6" width="6.28515625" style="130" bestFit="1" customWidth="1"/>
    <col min="7" max="7" width="8.7109375" style="130" bestFit="1" customWidth="1"/>
    <col min="8" max="8" width="10.5703125" style="130" bestFit="1" customWidth="1"/>
    <col min="9" max="9" width="15.140625"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44653</v>
      </c>
    </row>
    <row r="4" spans="1:9" ht="15" customHeight="1" x14ac:dyDescent="0.25">
      <c r="A4" s="504"/>
      <c r="B4" s="504"/>
      <c r="C4" s="504"/>
      <c r="D4" s="504"/>
      <c r="E4" s="504"/>
      <c r="F4" s="504"/>
      <c r="G4" s="504"/>
      <c r="H4" s="504"/>
      <c r="I4" s="302" t="s">
        <v>306</v>
      </c>
    </row>
    <row r="5" spans="1:9" ht="15" customHeight="1" x14ac:dyDescent="0.25">
      <c r="A5" s="506" t="s">
        <v>315</v>
      </c>
      <c r="B5" s="506"/>
      <c r="C5" s="506"/>
      <c r="D5" s="506"/>
      <c r="E5" s="506"/>
      <c r="F5" s="506"/>
      <c r="G5" s="506"/>
      <c r="H5" s="506"/>
      <c r="I5" s="507" t="s">
        <v>346</v>
      </c>
    </row>
    <row r="6" spans="1:9" x14ac:dyDescent="0.25">
      <c r="A6" s="506"/>
      <c r="B6" s="506"/>
      <c r="C6" s="506"/>
      <c r="D6" s="506"/>
      <c r="E6" s="506"/>
      <c r="F6" s="506"/>
      <c r="G6" s="506"/>
      <c r="H6" s="506"/>
      <c r="I6" s="507"/>
    </row>
    <row r="7" spans="1:9" ht="15" customHeight="1" x14ac:dyDescent="0.25">
      <c r="A7" s="508" t="s">
        <v>270</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00" t="s">
        <v>257</v>
      </c>
      <c r="I9" s="101" t="s">
        <v>258</v>
      </c>
    </row>
    <row r="10" spans="1:9" x14ac:dyDescent="0.25">
      <c r="A10" s="131" t="s">
        <v>272</v>
      </c>
      <c r="B10" s="301" t="s">
        <v>238</v>
      </c>
      <c r="C10" s="495" t="s">
        <v>271</v>
      </c>
      <c r="D10" s="496"/>
      <c r="E10" s="106" t="s">
        <v>262</v>
      </c>
      <c r="F10" s="301" t="s">
        <v>259</v>
      </c>
      <c r="G10" s="103">
        <v>0.84</v>
      </c>
      <c r="H10" s="107">
        <v>19.12</v>
      </c>
      <c r="I10" s="108">
        <f>G10*H10</f>
        <v>16.0608</v>
      </c>
    </row>
    <row r="11" spans="1:9" x14ac:dyDescent="0.25">
      <c r="A11" s="131" t="s">
        <v>273</v>
      </c>
      <c r="B11" s="301" t="s">
        <v>238</v>
      </c>
      <c r="C11" s="496" t="s">
        <v>263</v>
      </c>
      <c r="D11" s="496"/>
      <c r="E11" s="106" t="s">
        <v>262</v>
      </c>
      <c r="F11" s="301" t="s">
        <v>259</v>
      </c>
      <c r="G11" s="103">
        <v>0.91</v>
      </c>
      <c r="H11" s="107">
        <v>14.18</v>
      </c>
      <c r="I11" s="108">
        <f>H11*G11</f>
        <v>12.9038</v>
      </c>
    </row>
    <row r="12" spans="1:9" x14ac:dyDescent="0.25">
      <c r="A12" s="502" t="s">
        <v>260</v>
      </c>
      <c r="B12" s="502"/>
      <c r="C12" s="502"/>
      <c r="D12" s="502"/>
      <c r="E12" s="502"/>
      <c r="F12" s="502"/>
      <c r="G12" s="502"/>
      <c r="H12" s="502"/>
      <c r="I12" s="109">
        <f>I10+I11</f>
        <v>28.964600000000001</v>
      </c>
    </row>
    <row r="13" spans="1:9" x14ac:dyDescent="0.25">
      <c r="A13" s="298"/>
      <c r="B13" s="298"/>
      <c r="C13" s="298"/>
      <c r="D13" s="298"/>
      <c r="E13" s="298"/>
      <c r="F13" s="298"/>
      <c r="G13" s="298"/>
      <c r="H13" s="298"/>
      <c r="I13" s="109"/>
    </row>
    <row r="14" spans="1:9" x14ac:dyDescent="0.25">
      <c r="A14" s="503" t="s">
        <v>266</v>
      </c>
      <c r="B14" s="503"/>
      <c r="C14" s="503"/>
      <c r="D14" s="503"/>
      <c r="E14" s="503"/>
      <c r="F14" s="503"/>
      <c r="G14" s="503"/>
      <c r="H14" s="503"/>
      <c r="I14" s="503"/>
    </row>
    <row r="15" spans="1:9" x14ac:dyDescent="0.25">
      <c r="A15" s="98" t="s">
        <v>253</v>
      </c>
      <c r="B15" s="300" t="s">
        <v>9</v>
      </c>
      <c r="C15" s="494" t="s">
        <v>254</v>
      </c>
      <c r="D15" s="494"/>
      <c r="E15" s="494"/>
      <c r="F15" s="300" t="s">
        <v>255</v>
      </c>
      <c r="G15" s="99" t="s">
        <v>256</v>
      </c>
      <c r="H15" s="100" t="s">
        <v>257</v>
      </c>
      <c r="I15" s="101" t="s">
        <v>258</v>
      </c>
    </row>
    <row r="16" spans="1:9" ht="32.25" customHeight="1" x14ac:dyDescent="0.25">
      <c r="A16" s="116" t="s">
        <v>275</v>
      </c>
      <c r="B16" s="361" t="s">
        <v>238</v>
      </c>
      <c r="C16" s="497" t="s">
        <v>274</v>
      </c>
      <c r="D16" s="497"/>
      <c r="E16" s="497"/>
      <c r="F16" s="116" t="s">
        <v>267</v>
      </c>
      <c r="G16" s="132">
        <v>8.6099999999999996E-3</v>
      </c>
      <c r="H16" s="117">
        <v>112.86</v>
      </c>
      <c r="I16" s="139">
        <f>H16*G16</f>
        <v>0.97172459999999994</v>
      </c>
    </row>
    <row r="17" spans="1:17" ht="59.25" customHeight="1" x14ac:dyDescent="0.25">
      <c r="A17" s="133" t="s">
        <v>278</v>
      </c>
      <c r="B17" s="119" t="s">
        <v>238</v>
      </c>
      <c r="C17" s="515" t="s">
        <v>277</v>
      </c>
      <c r="D17" s="515"/>
      <c r="E17" s="515"/>
      <c r="F17" s="118" t="s">
        <v>240</v>
      </c>
      <c r="G17" s="120">
        <v>1.274</v>
      </c>
      <c r="H17" s="121">
        <v>0.8</v>
      </c>
      <c r="I17" s="140">
        <f>H17*G17</f>
        <v>1.0192000000000001</v>
      </c>
    </row>
    <row r="18" spans="1:17" ht="59.25" customHeight="1" x14ac:dyDescent="0.25">
      <c r="A18" s="134" t="s">
        <v>281</v>
      </c>
      <c r="B18" s="119" t="s">
        <v>238</v>
      </c>
      <c r="C18" s="498" t="s">
        <v>282</v>
      </c>
      <c r="D18" s="498"/>
      <c r="E18" s="498"/>
      <c r="F18" s="118" t="s">
        <v>240</v>
      </c>
      <c r="G18" s="124">
        <v>2.5619999999999998</v>
      </c>
      <c r="H18" s="125">
        <v>0.49</v>
      </c>
      <c r="I18" s="139">
        <f>H18*G18</f>
        <v>1.2553799999999999</v>
      </c>
    </row>
    <row r="19" spans="1:17" ht="47.25" customHeight="1" x14ac:dyDescent="0.25">
      <c r="A19" s="134" t="s">
        <v>470</v>
      </c>
      <c r="B19" s="119" t="s">
        <v>238</v>
      </c>
      <c r="C19" s="516" t="s">
        <v>471</v>
      </c>
      <c r="D19" s="517"/>
      <c r="E19" s="518"/>
      <c r="F19" s="118" t="s">
        <v>268</v>
      </c>
      <c r="G19" s="124">
        <v>0.19</v>
      </c>
      <c r="H19" s="125">
        <v>375</v>
      </c>
      <c r="I19" s="104">
        <f>G19*H19</f>
        <v>71.25</v>
      </c>
    </row>
    <row r="20" spans="1:17" x14ac:dyDescent="0.25">
      <c r="A20" s="122"/>
      <c r="B20" s="122"/>
      <c r="C20" s="498"/>
      <c r="D20" s="498"/>
      <c r="E20" s="498"/>
      <c r="F20" s="123"/>
      <c r="G20" s="124"/>
      <c r="H20" s="125"/>
      <c r="I20" s="126"/>
    </row>
    <row r="21" spans="1:17" x14ac:dyDescent="0.25">
      <c r="A21" s="502" t="s">
        <v>264</v>
      </c>
      <c r="B21" s="502"/>
      <c r="C21" s="502"/>
      <c r="D21" s="502"/>
      <c r="E21" s="502"/>
      <c r="F21" s="502"/>
      <c r="G21" s="502"/>
      <c r="H21" s="502"/>
      <c r="I21" s="127">
        <f>SUM(I16:I20)</f>
        <v>74.496304600000002</v>
      </c>
    </row>
    <row r="22" spans="1:17" x14ac:dyDescent="0.25">
      <c r="A22" s="298"/>
      <c r="B22" s="298"/>
      <c r="C22" s="298"/>
      <c r="D22" s="298"/>
      <c r="E22" s="298"/>
      <c r="F22" s="298"/>
      <c r="G22" s="298"/>
      <c r="H22" s="298"/>
      <c r="I22" s="109"/>
    </row>
    <row r="23" spans="1:17" x14ac:dyDescent="0.25">
      <c r="A23" s="298"/>
      <c r="B23" s="298"/>
      <c r="C23" s="298"/>
      <c r="D23" s="298"/>
      <c r="E23" s="298"/>
      <c r="F23" s="298"/>
      <c r="G23" s="298"/>
      <c r="H23" s="298"/>
      <c r="I23" s="109"/>
    </row>
    <row r="24" spans="1:17" ht="15" customHeight="1" x14ac:dyDescent="0.25">
      <c r="A24" s="510" t="s">
        <v>276</v>
      </c>
      <c r="B24" s="510"/>
      <c r="C24" s="510"/>
      <c r="D24" s="510"/>
      <c r="E24" s="510"/>
      <c r="F24" s="510"/>
      <c r="G24" s="510"/>
      <c r="H24" s="510"/>
      <c r="I24" s="510"/>
      <c r="Q24" s="151"/>
    </row>
    <row r="25" spans="1:17" x14ac:dyDescent="0.25">
      <c r="A25" s="105"/>
      <c r="B25" s="301"/>
      <c r="C25" s="511" t="s">
        <v>254</v>
      </c>
      <c r="D25" s="511"/>
      <c r="E25" s="511"/>
      <c r="F25" s="301" t="s">
        <v>255</v>
      </c>
      <c r="G25" s="110" t="s">
        <v>256</v>
      </c>
      <c r="H25" s="107" t="s">
        <v>257</v>
      </c>
      <c r="I25" s="108" t="s">
        <v>258</v>
      </c>
    </row>
    <row r="26" spans="1:17" x14ac:dyDescent="0.25">
      <c r="A26" s="111"/>
      <c r="B26" s="111"/>
      <c r="C26" s="499"/>
      <c r="D26" s="500"/>
      <c r="E26" s="501"/>
      <c r="F26" s="112"/>
      <c r="G26" s="112"/>
      <c r="H26" s="113"/>
      <c r="I26" s="114"/>
    </row>
    <row r="27" spans="1:17" x14ac:dyDescent="0.25">
      <c r="A27" s="502" t="s">
        <v>265</v>
      </c>
      <c r="B27" s="502"/>
      <c r="C27" s="502"/>
      <c r="D27" s="502"/>
      <c r="E27" s="502"/>
      <c r="F27" s="502"/>
      <c r="G27" s="502"/>
      <c r="H27" s="502"/>
      <c r="I27" s="115">
        <f>I26</f>
        <v>0</v>
      </c>
    </row>
    <row r="28" spans="1:17" x14ac:dyDescent="0.25">
      <c r="A28" s="512"/>
      <c r="B28" s="513"/>
      <c r="C28" s="513"/>
      <c r="D28" s="513"/>
      <c r="E28" s="513"/>
      <c r="F28" s="513"/>
      <c r="G28" s="513"/>
      <c r="H28" s="513"/>
      <c r="I28" s="514"/>
    </row>
    <row r="29" spans="1:17" x14ac:dyDescent="0.25">
      <c r="A29" s="503" t="s">
        <v>269</v>
      </c>
      <c r="B29" s="503"/>
      <c r="C29" s="503"/>
      <c r="D29" s="503"/>
      <c r="E29" s="503"/>
      <c r="F29" s="503"/>
      <c r="G29" s="503"/>
      <c r="H29" s="503"/>
      <c r="I29" s="503"/>
    </row>
    <row r="30" spans="1:17" x14ac:dyDescent="0.25">
      <c r="A30" s="509" t="s">
        <v>279</v>
      </c>
      <c r="B30" s="509"/>
      <c r="C30" s="509"/>
      <c r="D30" s="509"/>
      <c r="E30" s="509"/>
      <c r="F30" s="509"/>
      <c r="G30" s="509"/>
      <c r="H30" s="509"/>
      <c r="I30" s="128">
        <f>I12</f>
        <v>28.964600000000001</v>
      </c>
    </row>
    <row r="31" spans="1:17" x14ac:dyDescent="0.25">
      <c r="A31" s="509" t="s">
        <v>280</v>
      </c>
      <c r="B31" s="509"/>
      <c r="C31" s="509"/>
      <c r="D31" s="509"/>
      <c r="E31" s="509"/>
      <c r="F31" s="509"/>
      <c r="G31" s="509"/>
      <c r="H31" s="509"/>
      <c r="I31" s="128">
        <f>I21</f>
        <v>74.496304600000002</v>
      </c>
    </row>
    <row r="32" spans="1:17" x14ac:dyDescent="0.25">
      <c r="A32" s="509" t="s">
        <v>286</v>
      </c>
      <c r="B32" s="509"/>
      <c r="C32" s="509"/>
      <c r="D32" s="509"/>
      <c r="E32" s="509"/>
      <c r="F32" s="509"/>
      <c r="G32" s="509"/>
      <c r="H32" s="509"/>
      <c r="I32" s="128">
        <f>I22</f>
        <v>0</v>
      </c>
    </row>
    <row r="33" spans="1:9" x14ac:dyDescent="0.25">
      <c r="A33" s="509" t="s">
        <v>287</v>
      </c>
      <c r="B33" s="509"/>
      <c r="C33" s="509"/>
      <c r="D33" s="509"/>
      <c r="E33" s="509"/>
      <c r="F33" s="509"/>
      <c r="G33" s="509"/>
      <c r="H33" s="509"/>
      <c r="I33" s="135">
        <f>SUM(I30:I31)</f>
        <v>103.46090460000001</v>
      </c>
    </row>
  </sheetData>
  <mergeCells count="28">
    <mergeCell ref="A33:H33"/>
    <mergeCell ref="A30:H30"/>
    <mergeCell ref="A31:H31"/>
    <mergeCell ref="A32:H32"/>
    <mergeCell ref="C25:E25"/>
    <mergeCell ref="A28:I28"/>
    <mergeCell ref="A24:I24"/>
    <mergeCell ref="C26:E26"/>
    <mergeCell ref="A27:H27"/>
    <mergeCell ref="A29:I29"/>
    <mergeCell ref="C9:E9"/>
    <mergeCell ref="C10:D10"/>
    <mergeCell ref="C11:D11"/>
    <mergeCell ref="A12:H12"/>
    <mergeCell ref="A14:I14"/>
    <mergeCell ref="C15:E15"/>
    <mergeCell ref="C16:E16"/>
    <mergeCell ref="C17:E17"/>
    <mergeCell ref="C18:E18"/>
    <mergeCell ref="C19:E19"/>
    <mergeCell ref="C20:E20"/>
    <mergeCell ref="A21:H21"/>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view="pageBreakPreview" zoomScale="95" zoomScaleNormal="100" zoomScaleSheetLayoutView="95" workbookViewId="0">
      <selection activeCell="I16" sqref="I16"/>
    </sheetView>
  </sheetViews>
  <sheetFormatPr defaultRowHeight="15" x14ac:dyDescent="0.25"/>
  <cols>
    <col min="1" max="1" width="8.7109375" style="363" bestFit="1" customWidth="1"/>
    <col min="2" max="2" width="9.85546875" style="363" bestFit="1" customWidth="1"/>
    <col min="3" max="3" width="9.140625" style="364"/>
    <col min="4" max="4" width="20.5703125" style="364" customWidth="1"/>
    <col min="5" max="5" width="18.7109375" style="364" bestFit="1" customWidth="1"/>
    <col min="6" max="6" width="6.28515625" style="364" bestFit="1" customWidth="1"/>
    <col min="7" max="7" width="8.7109375" style="364" bestFit="1" customWidth="1"/>
    <col min="8" max="8" width="10.5703125" style="364" bestFit="1" customWidth="1"/>
    <col min="9" max="9" width="15.140625" style="364" bestFit="1" customWidth="1"/>
    <col min="10" max="16384" width="9.140625" style="330"/>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347">
        <v>44653</v>
      </c>
    </row>
    <row r="4" spans="1:9" ht="15" customHeight="1" x14ac:dyDescent="0.25">
      <c r="A4" s="504"/>
      <c r="B4" s="504"/>
      <c r="C4" s="504"/>
      <c r="D4" s="504"/>
      <c r="E4" s="504"/>
      <c r="F4" s="504"/>
      <c r="G4" s="504"/>
      <c r="H4" s="504"/>
      <c r="I4" s="390" t="s">
        <v>314</v>
      </c>
    </row>
    <row r="5" spans="1:9" ht="15" customHeight="1" x14ac:dyDescent="0.25">
      <c r="A5" s="506" t="s">
        <v>570</v>
      </c>
      <c r="B5" s="506"/>
      <c r="C5" s="506"/>
      <c r="D5" s="506"/>
      <c r="E5" s="506"/>
      <c r="F5" s="506"/>
      <c r="G5" s="506"/>
      <c r="H5" s="506"/>
      <c r="I5" s="507" t="s">
        <v>709</v>
      </c>
    </row>
    <row r="6" spans="1:9" x14ac:dyDescent="0.25">
      <c r="A6" s="506"/>
      <c r="B6" s="506"/>
      <c r="C6" s="506"/>
      <c r="D6" s="506"/>
      <c r="E6" s="506"/>
      <c r="F6" s="506"/>
      <c r="G6" s="506"/>
      <c r="H6" s="506"/>
      <c r="I6" s="507"/>
    </row>
    <row r="7" spans="1:9" ht="15" customHeight="1" x14ac:dyDescent="0.25">
      <c r="A7" s="508" t="s">
        <v>270</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348" t="s">
        <v>253</v>
      </c>
      <c r="B9" s="391" t="s">
        <v>9</v>
      </c>
      <c r="C9" s="494" t="s">
        <v>254</v>
      </c>
      <c r="D9" s="494"/>
      <c r="E9" s="494"/>
      <c r="F9" s="391" t="s">
        <v>255</v>
      </c>
      <c r="G9" s="349" t="s">
        <v>256</v>
      </c>
      <c r="H9" s="100" t="s">
        <v>257</v>
      </c>
      <c r="I9" s="350" t="s">
        <v>258</v>
      </c>
    </row>
    <row r="10" spans="1:9" x14ac:dyDescent="0.25">
      <c r="A10" s="365" t="s">
        <v>272</v>
      </c>
      <c r="B10" s="389" t="s">
        <v>238</v>
      </c>
      <c r="C10" s="495" t="s">
        <v>271</v>
      </c>
      <c r="D10" s="496"/>
      <c r="E10" s="353" t="s">
        <v>262</v>
      </c>
      <c r="F10" s="389" t="s">
        <v>259</v>
      </c>
      <c r="G10" s="351">
        <v>0.5</v>
      </c>
      <c r="H10" s="354">
        <v>19.12</v>
      </c>
      <c r="I10" s="355">
        <f>G10*H10</f>
        <v>9.56</v>
      </c>
    </row>
    <row r="11" spans="1:9" x14ac:dyDescent="0.25">
      <c r="A11" s="365" t="s">
        <v>273</v>
      </c>
      <c r="B11" s="389" t="s">
        <v>238</v>
      </c>
      <c r="C11" s="496" t="s">
        <v>263</v>
      </c>
      <c r="D11" s="496"/>
      <c r="E11" s="353" t="s">
        <v>262</v>
      </c>
      <c r="F11" s="389" t="s">
        <v>259</v>
      </c>
      <c r="G11" s="351">
        <v>0.3</v>
      </c>
      <c r="H11" s="354">
        <v>14.18</v>
      </c>
      <c r="I11" s="355">
        <f>H11*G11</f>
        <v>4.2539999999999996</v>
      </c>
    </row>
    <row r="12" spans="1:9" x14ac:dyDescent="0.25">
      <c r="A12" s="502" t="s">
        <v>260</v>
      </c>
      <c r="B12" s="502"/>
      <c r="C12" s="502"/>
      <c r="D12" s="502"/>
      <c r="E12" s="502"/>
      <c r="F12" s="502"/>
      <c r="G12" s="502"/>
      <c r="H12" s="502"/>
      <c r="I12" s="109">
        <f>I10+I11</f>
        <v>13.814</v>
      </c>
    </row>
    <row r="13" spans="1:9" x14ac:dyDescent="0.25">
      <c r="A13" s="388"/>
      <c r="B13" s="388"/>
      <c r="C13" s="388"/>
      <c r="D13" s="388"/>
      <c r="E13" s="388"/>
      <c r="F13" s="388"/>
      <c r="G13" s="388"/>
      <c r="H13" s="388"/>
      <c r="I13" s="109"/>
    </row>
    <row r="14" spans="1:9" x14ac:dyDescent="0.25">
      <c r="A14" s="503" t="s">
        <v>266</v>
      </c>
      <c r="B14" s="503"/>
      <c r="C14" s="503"/>
      <c r="D14" s="503"/>
      <c r="E14" s="503"/>
      <c r="F14" s="503"/>
      <c r="G14" s="503"/>
      <c r="H14" s="503"/>
      <c r="I14" s="503"/>
    </row>
    <row r="15" spans="1:9" x14ac:dyDescent="0.25">
      <c r="A15" s="348" t="s">
        <v>253</v>
      </c>
      <c r="B15" s="391" t="s">
        <v>9</v>
      </c>
      <c r="C15" s="494" t="s">
        <v>254</v>
      </c>
      <c r="D15" s="494"/>
      <c r="E15" s="494"/>
      <c r="F15" s="391" t="s">
        <v>255</v>
      </c>
      <c r="G15" s="349" t="s">
        <v>256</v>
      </c>
      <c r="H15" s="100" t="s">
        <v>257</v>
      </c>
      <c r="I15" s="350" t="s">
        <v>258</v>
      </c>
    </row>
    <row r="16" spans="1:9" ht="44.25" customHeight="1" x14ac:dyDescent="0.25">
      <c r="A16" s="360" t="s">
        <v>567</v>
      </c>
      <c r="B16" s="102" t="s">
        <v>310</v>
      </c>
      <c r="C16" s="497" t="s">
        <v>568</v>
      </c>
      <c r="D16" s="497"/>
      <c r="E16" s="497"/>
      <c r="F16" s="360" t="s">
        <v>22</v>
      </c>
      <c r="G16" s="132">
        <v>1</v>
      </c>
      <c r="H16" s="117">
        <v>186.89</v>
      </c>
      <c r="I16" s="369">
        <f>H16*G16</f>
        <v>186.89</v>
      </c>
    </row>
    <row r="17" spans="1:17" x14ac:dyDescent="0.25">
      <c r="A17" s="122"/>
      <c r="B17" s="122"/>
      <c r="C17" s="498"/>
      <c r="D17" s="498"/>
      <c r="E17" s="498"/>
      <c r="F17" s="123"/>
      <c r="G17" s="124"/>
      <c r="H17" s="125"/>
      <c r="I17" s="126"/>
    </row>
    <row r="18" spans="1:17" x14ac:dyDescent="0.25">
      <c r="A18" s="502" t="s">
        <v>264</v>
      </c>
      <c r="B18" s="502"/>
      <c r="C18" s="502"/>
      <c r="D18" s="502"/>
      <c r="E18" s="502"/>
      <c r="F18" s="502"/>
      <c r="G18" s="502"/>
      <c r="H18" s="502"/>
      <c r="I18" s="362">
        <f>SUM(I16:I17)</f>
        <v>186.89</v>
      </c>
    </row>
    <row r="19" spans="1:17" x14ac:dyDescent="0.25">
      <c r="A19" s="388"/>
      <c r="B19" s="388"/>
      <c r="C19" s="388"/>
      <c r="D19" s="388"/>
      <c r="E19" s="388"/>
      <c r="F19" s="388"/>
      <c r="G19" s="388"/>
      <c r="H19" s="388"/>
      <c r="I19" s="109"/>
    </row>
    <row r="20" spans="1:17" x14ac:dyDescent="0.25">
      <c r="A20" s="388"/>
      <c r="B20" s="388"/>
      <c r="C20" s="388"/>
      <c r="D20" s="388"/>
      <c r="E20" s="388"/>
      <c r="F20" s="388"/>
      <c r="G20" s="388"/>
      <c r="H20" s="388"/>
      <c r="I20" s="109"/>
    </row>
    <row r="21" spans="1:17" ht="15" customHeight="1" x14ac:dyDescent="0.25">
      <c r="A21" s="510" t="s">
        <v>276</v>
      </c>
      <c r="B21" s="510"/>
      <c r="C21" s="510"/>
      <c r="D21" s="510"/>
      <c r="E21" s="510"/>
      <c r="F21" s="510"/>
      <c r="G21" s="510"/>
      <c r="H21" s="510"/>
      <c r="I21" s="510"/>
      <c r="Q21" s="151"/>
    </row>
    <row r="22" spans="1:17" x14ac:dyDescent="0.25">
      <c r="A22" s="352"/>
      <c r="B22" s="389"/>
      <c r="C22" s="511" t="s">
        <v>254</v>
      </c>
      <c r="D22" s="511"/>
      <c r="E22" s="511"/>
      <c r="F22" s="389" t="s">
        <v>255</v>
      </c>
      <c r="G22" s="357" t="s">
        <v>256</v>
      </c>
      <c r="H22" s="354" t="s">
        <v>257</v>
      </c>
      <c r="I22" s="355" t="s">
        <v>258</v>
      </c>
    </row>
    <row r="23" spans="1:17" x14ac:dyDescent="0.25">
      <c r="A23" s="358"/>
      <c r="B23" s="358"/>
      <c r="C23" s="499"/>
      <c r="D23" s="500"/>
      <c r="E23" s="501"/>
      <c r="F23" s="359"/>
      <c r="G23" s="359"/>
      <c r="H23" s="113"/>
      <c r="I23" s="114"/>
    </row>
    <row r="24" spans="1:17" x14ac:dyDescent="0.25">
      <c r="A24" s="502" t="s">
        <v>265</v>
      </c>
      <c r="B24" s="502"/>
      <c r="C24" s="502"/>
      <c r="D24" s="502"/>
      <c r="E24" s="502"/>
      <c r="F24" s="502"/>
      <c r="G24" s="502"/>
      <c r="H24" s="502"/>
      <c r="I24" s="356">
        <f>I23</f>
        <v>0</v>
      </c>
    </row>
    <row r="25" spans="1:17" x14ac:dyDescent="0.25">
      <c r="A25" s="512"/>
      <c r="B25" s="513"/>
      <c r="C25" s="513"/>
      <c r="D25" s="513"/>
      <c r="E25" s="513"/>
      <c r="F25" s="513"/>
      <c r="G25" s="513"/>
      <c r="H25" s="513"/>
      <c r="I25" s="514"/>
    </row>
    <row r="26" spans="1:17" x14ac:dyDescent="0.25">
      <c r="A26" s="503" t="s">
        <v>269</v>
      </c>
      <c r="B26" s="503"/>
      <c r="C26" s="503"/>
      <c r="D26" s="503"/>
      <c r="E26" s="503"/>
      <c r="F26" s="503"/>
      <c r="G26" s="503"/>
      <c r="H26" s="503"/>
      <c r="I26" s="503"/>
    </row>
    <row r="27" spans="1:17" x14ac:dyDescent="0.25">
      <c r="A27" s="509" t="s">
        <v>279</v>
      </c>
      <c r="B27" s="509"/>
      <c r="C27" s="509"/>
      <c r="D27" s="509"/>
      <c r="E27" s="509"/>
      <c r="F27" s="509"/>
      <c r="G27" s="509"/>
      <c r="H27" s="509"/>
      <c r="I27" s="128">
        <f>I12</f>
        <v>13.814</v>
      </c>
    </row>
    <row r="28" spans="1:17" x14ac:dyDescent="0.25">
      <c r="A28" s="509" t="s">
        <v>280</v>
      </c>
      <c r="B28" s="509"/>
      <c r="C28" s="509"/>
      <c r="D28" s="509"/>
      <c r="E28" s="509"/>
      <c r="F28" s="509"/>
      <c r="G28" s="509"/>
      <c r="H28" s="509"/>
      <c r="I28" s="128">
        <f>I18</f>
        <v>186.89</v>
      </c>
    </row>
    <row r="29" spans="1:17" x14ac:dyDescent="0.25">
      <c r="A29" s="509" t="s">
        <v>286</v>
      </c>
      <c r="B29" s="509"/>
      <c r="C29" s="509"/>
      <c r="D29" s="509"/>
      <c r="E29" s="509"/>
      <c r="F29" s="509"/>
      <c r="G29" s="509"/>
      <c r="H29" s="509"/>
      <c r="I29" s="128">
        <f>I19</f>
        <v>0</v>
      </c>
    </row>
    <row r="30" spans="1:17" x14ac:dyDescent="0.25">
      <c r="A30" s="509" t="s">
        <v>287</v>
      </c>
      <c r="B30" s="509"/>
      <c r="C30" s="509"/>
      <c r="D30" s="509"/>
      <c r="E30" s="509"/>
      <c r="F30" s="509"/>
      <c r="G30" s="509"/>
      <c r="H30" s="509"/>
      <c r="I30" s="135">
        <f>SUM(I27:I28)</f>
        <v>200.70399999999998</v>
      </c>
    </row>
  </sheetData>
  <mergeCells count="25">
    <mergeCell ref="A27:H27"/>
    <mergeCell ref="A28:H28"/>
    <mergeCell ref="A29:H29"/>
    <mergeCell ref="A30:H30"/>
    <mergeCell ref="A21:I21"/>
    <mergeCell ref="C22:E22"/>
    <mergeCell ref="C23:E23"/>
    <mergeCell ref="A24:H24"/>
    <mergeCell ref="A25:I25"/>
    <mergeCell ref="A26:I26"/>
    <mergeCell ref="C16:E16"/>
    <mergeCell ref="C17:E17"/>
    <mergeCell ref="A18:H18"/>
    <mergeCell ref="C9:E9"/>
    <mergeCell ref="C10:D10"/>
    <mergeCell ref="C11:D11"/>
    <mergeCell ref="A12:H12"/>
    <mergeCell ref="A14:I14"/>
    <mergeCell ref="C15:E15"/>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6"/>
  <sheetViews>
    <sheetView view="pageBreakPreview" topLeftCell="A3" zoomScale="115" zoomScaleNormal="100" zoomScaleSheetLayoutView="115" workbookViewId="0">
      <selection activeCell="L16" sqref="L16"/>
    </sheetView>
  </sheetViews>
  <sheetFormatPr defaultRowHeight="15" x14ac:dyDescent="0.25"/>
  <cols>
    <col min="1" max="1" width="12.28515625" style="129" customWidth="1"/>
    <col min="2" max="2" width="10" style="129" bestFit="1" customWidth="1"/>
    <col min="3" max="3" width="9.140625" style="130"/>
    <col min="4" max="4" width="20.5703125" style="130" customWidth="1"/>
    <col min="5" max="5" width="20.140625" style="130" customWidth="1"/>
    <col min="6" max="6" width="5" style="130" bestFit="1" customWidth="1"/>
    <col min="7" max="7" width="8.5703125" style="130" bestFit="1" customWidth="1"/>
    <col min="8" max="8" width="8.42578125" style="130" bestFit="1" customWidth="1"/>
    <col min="9" max="9" width="11"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44318</v>
      </c>
    </row>
    <row r="4" spans="1:9" ht="15" customHeight="1" x14ac:dyDescent="0.25">
      <c r="A4" s="504"/>
      <c r="B4" s="504"/>
      <c r="C4" s="504"/>
      <c r="D4" s="504"/>
      <c r="E4" s="504"/>
      <c r="F4" s="504"/>
      <c r="G4" s="504"/>
      <c r="H4" s="504"/>
      <c r="I4" s="302" t="s">
        <v>319</v>
      </c>
    </row>
    <row r="5" spans="1:9" ht="15" customHeight="1" x14ac:dyDescent="0.25">
      <c r="A5" s="506" t="s">
        <v>472</v>
      </c>
      <c r="B5" s="506"/>
      <c r="C5" s="506"/>
      <c r="D5" s="506"/>
      <c r="E5" s="506"/>
      <c r="F5" s="506"/>
      <c r="G5" s="506"/>
      <c r="H5" s="506"/>
      <c r="I5" s="507" t="s">
        <v>307</v>
      </c>
    </row>
    <row r="6" spans="1:9" ht="31.5" customHeight="1" x14ac:dyDescent="0.25">
      <c r="A6" s="506"/>
      <c r="B6" s="506"/>
      <c r="C6" s="506"/>
      <c r="D6" s="506"/>
      <c r="E6" s="506"/>
      <c r="F6" s="506"/>
      <c r="G6" s="506"/>
      <c r="H6" s="506"/>
      <c r="I6" s="507"/>
    </row>
    <row r="7" spans="1:9" ht="15" customHeight="1" x14ac:dyDescent="0.25">
      <c r="A7" s="508" t="s">
        <v>313</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00" t="s">
        <v>257</v>
      </c>
      <c r="I9" s="101" t="s">
        <v>258</v>
      </c>
    </row>
    <row r="10" spans="1:9" x14ac:dyDescent="0.25">
      <c r="A10" s="131" t="s">
        <v>285</v>
      </c>
      <c r="B10" s="301" t="s">
        <v>238</v>
      </c>
      <c r="C10" s="495" t="s">
        <v>284</v>
      </c>
      <c r="D10" s="496"/>
      <c r="E10" s="106" t="s">
        <v>262</v>
      </c>
      <c r="F10" s="301" t="s">
        <v>259</v>
      </c>
      <c r="G10" s="103">
        <v>0.85</v>
      </c>
      <c r="H10" s="107">
        <v>16.13</v>
      </c>
      <c r="I10" s="138">
        <f>G10*H10</f>
        <v>13.710499999999998</v>
      </c>
    </row>
    <row r="11" spans="1:9" x14ac:dyDescent="0.25">
      <c r="A11" s="131" t="s">
        <v>348</v>
      </c>
      <c r="B11" s="301" t="s">
        <v>238</v>
      </c>
      <c r="C11" s="495" t="s">
        <v>308</v>
      </c>
      <c r="D11" s="496"/>
      <c r="E11" s="106" t="s">
        <v>262</v>
      </c>
      <c r="F11" s="301" t="s">
        <v>259</v>
      </c>
      <c r="G11" s="103">
        <v>0.85</v>
      </c>
      <c r="H11" s="107">
        <v>19.12</v>
      </c>
      <c r="I11" s="138">
        <f>H11*G11</f>
        <v>16.251999999999999</v>
      </c>
    </row>
    <row r="12" spans="1:9" x14ac:dyDescent="0.25">
      <c r="A12" s="502" t="s">
        <v>260</v>
      </c>
      <c r="B12" s="502"/>
      <c r="C12" s="502"/>
      <c r="D12" s="502"/>
      <c r="E12" s="502"/>
      <c r="F12" s="502"/>
      <c r="G12" s="502"/>
      <c r="H12" s="502"/>
      <c r="I12" s="109">
        <f>I10+I11</f>
        <v>29.962499999999999</v>
      </c>
    </row>
    <row r="13" spans="1:9" x14ac:dyDescent="0.25">
      <c r="A13" s="298"/>
      <c r="B13" s="298"/>
      <c r="C13" s="298"/>
      <c r="D13" s="298"/>
      <c r="E13" s="298"/>
      <c r="F13" s="298"/>
      <c r="G13" s="298"/>
      <c r="H13" s="298"/>
      <c r="I13" s="109"/>
    </row>
    <row r="14" spans="1:9" x14ac:dyDescent="0.25">
      <c r="A14" s="503" t="s">
        <v>266</v>
      </c>
      <c r="B14" s="503"/>
      <c r="C14" s="503"/>
      <c r="D14" s="503"/>
      <c r="E14" s="503"/>
      <c r="F14" s="503"/>
      <c r="G14" s="503"/>
      <c r="H14" s="503"/>
      <c r="I14" s="503"/>
    </row>
    <row r="15" spans="1:9" x14ac:dyDescent="0.25">
      <c r="A15" s="98" t="s">
        <v>253</v>
      </c>
      <c r="B15" s="300" t="s">
        <v>9</v>
      </c>
      <c r="C15" s="494" t="s">
        <v>254</v>
      </c>
      <c r="D15" s="494"/>
      <c r="E15" s="494"/>
      <c r="F15" s="300" t="s">
        <v>255</v>
      </c>
      <c r="G15" s="99" t="s">
        <v>256</v>
      </c>
      <c r="H15" s="100" t="s">
        <v>257</v>
      </c>
      <c r="I15" s="101" t="s">
        <v>258</v>
      </c>
    </row>
    <row r="16" spans="1:9" x14ac:dyDescent="0.25">
      <c r="A16" s="116" t="s">
        <v>312</v>
      </c>
      <c r="B16" s="102"/>
      <c r="C16" s="497" t="s">
        <v>444</v>
      </c>
      <c r="D16" s="497"/>
      <c r="E16" s="497"/>
      <c r="F16" s="116" t="s">
        <v>22</v>
      </c>
      <c r="G16" s="144">
        <v>1</v>
      </c>
      <c r="H16" s="117">
        <f>'[1]COTAÇÕES '!P9</f>
        <v>55.893333333333338</v>
      </c>
      <c r="I16" s="104">
        <f>H16*G16</f>
        <v>55.893333333333338</v>
      </c>
    </row>
    <row r="17" spans="1:9" x14ac:dyDescent="0.25">
      <c r="A17" s="122"/>
      <c r="B17" s="122"/>
      <c r="C17" s="498"/>
      <c r="D17" s="498"/>
      <c r="E17" s="498"/>
      <c r="F17" s="123"/>
      <c r="G17" s="124"/>
      <c r="H17" s="125"/>
      <c r="I17" s="126"/>
    </row>
    <row r="18" spans="1:9" x14ac:dyDescent="0.25">
      <c r="A18" s="502" t="s">
        <v>264</v>
      </c>
      <c r="B18" s="502"/>
      <c r="C18" s="502"/>
      <c r="D18" s="502"/>
      <c r="E18" s="502"/>
      <c r="F18" s="502"/>
      <c r="G18" s="502"/>
      <c r="H18" s="502"/>
      <c r="I18" s="127">
        <f>SUM(I16:I17)</f>
        <v>55.893333333333338</v>
      </c>
    </row>
    <row r="19" spans="1:9" ht="15" customHeight="1" x14ac:dyDescent="0.25">
      <c r="A19" s="298"/>
      <c r="B19" s="298"/>
      <c r="C19" s="298"/>
      <c r="D19" s="298"/>
      <c r="E19" s="298"/>
      <c r="F19" s="298"/>
      <c r="G19" s="298"/>
      <c r="H19" s="298"/>
      <c r="I19" s="109"/>
    </row>
    <row r="20" spans="1:9" ht="15" customHeight="1" x14ac:dyDescent="0.25">
      <c r="A20" s="298"/>
      <c r="B20" s="298"/>
      <c r="C20" s="298"/>
      <c r="D20" s="298"/>
      <c r="E20" s="298"/>
      <c r="F20" s="298"/>
      <c r="G20" s="298"/>
      <c r="H20" s="298"/>
      <c r="I20" s="109"/>
    </row>
    <row r="21" spans="1:9" ht="15" customHeight="1" x14ac:dyDescent="0.25">
      <c r="A21" s="510" t="s">
        <v>276</v>
      </c>
      <c r="B21" s="510"/>
      <c r="C21" s="510"/>
      <c r="D21" s="510"/>
      <c r="E21" s="510"/>
      <c r="F21" s="510"/>
      <c r="G21" s="510"/>
      <c r="H21" s="510"/>
      <c r="I21" s="510"/>
    </row>
    <row r="22" spans="1:9" ht="15" customHeight="1" x14ac:dyDescent="0.25">
      <c r="A22" s="105"/>
      <c r="B22" s="301"/>
      <c r="C22" s="511" t="s">
        <v>254</v>
      </c>
      <c r="D22" s="511"/>
      <c r="E22" s="511"/>
      <c r="F22" s="301" t="s">
        <v>255</v>
      </c>
      <c r="G22" s="110" t="s">
        <v>256</v>
      </c>
      <c r="H22" s="107" t="s">
        <v>257</v>
      </c>
      <c r="I22" s="108" t="s">
        <v>258</v>
      </c>
    </row>
    <row r="23" spans="1:9" x14ac:dyDescent="0.25">
      <c r="A23" s="111"/>
      <c r="B23" s="111"/>
      <c r="C23" s="499"/>
      <c r="D23" s="500"/>
      <c r="E23" s="501"/>
      <c r="F23" s="112"/>
      <c r="G23" s="112"/>
      <c r="H23" s="113"/>
      <c r="I23" s="114"/>
    </row>
    <row r="24" spans="1:9" x14ac:dyDescent="0.25">
      <c r="A24" s="502" t="s">
        <v>265</v>
      </c>
      <c r="B24" s="502"/>
      <c r="C24" s="502"/>
      <c r="D24" s="502"/>
      <c r="E24" s="502"/>
      <c r="F24" s="502"/>
      <c r="G24" s="502"/>
      <c r="H24" s="502"/>
      <c r="I24" s="115">
        <f>I23</f>
        <v>0</v>
      </c>
    </row>
    <row r="25" spans="1:9" ht="15" customHeight="1" x14ac:dyDescent="0.25">
      <c r="A25" s="512"/>
      <c r="B25" s="513"/>
      <c r="C25" s="513"/>
      <c r="D25" s="513"/>
      <c r="E25" s="513"/>
      <c r="F25" s="513"/>
      <c r="G25" s="513"/>
      <c r="H25" s="513"/>
      <c r="I25" s="514"/>
    </row>
    <row r="26" spans="1:9" ht="15" customHeight="1" x14ac:dyDescent="0.25">
      <c r="A26" s="503" t="s">
        <v>269</v>
      </c>
      <c r="B26" s="503"/>
      <c r="C26" s="503"/>
      <c r="D26" s="503"/>
      <c r="E26" s="503"/>
      <c r="F26" s="503"/>
      <c r="G26" s="503"/>
      <c r="H26" s="503"/>
      <c r="I26" s="503"/>
    </row>
    <row r="27" spans="1:9" ht="15" customHeight="1" x14ac:dyDescent="0.25">
      <c r="A27" s="509" t="s">
        <v>279</v>
      </c>
      <c r="B27" s="509"/>
      <c r="C27" s="509"/>
      <c r="D27" s="509"/>
      <c r="E27" s="509"/>
      <c r="F27" s="509"/>
      <c r="G27" s="509"/>
      <c r="H27" s="509"/>
      <c r="I27" s="128">
        <f>I12</f>
        <v>29.962499999999999</v>
      </c>
    </row>
    <row r="28" spans="1:9" ht="15" customHeight="1" x14ac:dyDescent="0.25">
      <c r="A28" s="509" t="s">
        <v>280</v>
      </c>
      <c r="B28" s="509"/>
      <c r="C28" s="509"/>
      <c r="D28" s="509"/>
      <c r="E28" s="509"/>
      <c r="F28" s="509"/>
      <c r="G28" s="509"/>
      <c r="H28" s="509"/>
      <c r="I28" s="128">
        <f>I18</f>
        <v>55.893333333333338</v>
      </c>
    </row>
    <row r="29" spans="1:9" ht="15" customHeight="1" x14ac:dyDescent="0.25">
      <c r="A29" s="509" t="s">
        <v>286</v>
      </c>
      <c r="B29" s="509"/>
      <c r="C29" s="509"/>
      <c r="D29" s="509"/>
      <c r="E29" s="509"/>
      <c r="F29" s="509"/>
      <c r="G29" s="509"/>
      <c r="H29" s="509"/>
      <c r="I29" s="128">
        <f>I19</f>
        <v>0</v>
      </c>
    </row>
    <row r="30" spans="1:9" ht="15" customHeight="1" x14ac:dyDescent="0.25">
      <c r="A30" s="509" t="s">
        <v>287</v>
      </c>
      <c r="B30" s="509"/>
      <c r="C30" s="509"/>
      <c r="D30" s="509"/>
      <c r="E30" s="509"/>
      <c r="F30" s="509"/>
      <c r="G30" s="509"/>
      <c r="H30" s="509"/>
      <c r="I30" s="135">
        <f>SUM(I27:I28)</f>
        <v>85.855833333333337</v>
      </c>
    </row>
    <row r="35" ht="15" customHeight="1" x14ac:dyDescent="0.25"/>
    <row r="36" ht="15" customHeight="1" x14ac:dyDescent="0.25"/>
  </sheetData>
  <mergeCells count="25">
    <mergeCell ref="A30:H30"/>
    <mergeCell ref="C17:E17"/>
    <mergeCell ref="A18:H18"/>
    <mergeCell ref="A21:I21"/>
    <mergeCell ref="A24:H24"/>
    <mergeCell ref="A25:I25"/>
    <mergeCell ref="C22:E22"/>
    <mergeCell ref="C23:E23"/>
    <mergeCell ref="A26:I26"/>
    <mergeCell ref="A27:H27"/>
    <mergeCell ref="A28:H28"/>
    <mergeCell ref="A29:H29"/>
    <mergeCell ref="C15:E15"/>
    <mergeCell ref="C16:E16"/>
    <mergeCell ref="A8:I8"/>
    <mergeCell ref="A1:H4"/>
    <mergeCell ref="I1:I2"/>
    <mergeCell ref="A5:H6"/>
    <mergeCell ref="I5:I6"/>
    <mergeCell ref="A7:I7"/>
    <mergeCell ref="C9:E9"/>
    <mergeCell ref="C10:D10"/>
    <mergeCell ref="C11:D11"/>
    <mergeCell ref="A12:H12"/>
    <mergeCell ref="A14:I14"/>
  </mergeCells>
  <pageMargins left="0.511811024" right="0.511811024" top="0.78740157499999996" bottom="0.78740157499999996" header="0.31496062000000002" footer="0.31496062000000002"/>
  <pageSetup paperSize="9" scale="87"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Normal="100" zoomScaleSheetLayoutView="100" workbookViewId="0">
      <selection activeCell="O17" sqref="O17"/>
    </sheetView>
  </sheetViews>
  <sheetFormatPr defaultRowHeight="15" x14ac:dyDescent="0.25"/>
  <cols>
    <col min="1" max="1" width="12.28515625" style="129" customWidth="1"/>
    <col min="2" max="2" width="10" style="129" bestFit="1" customWidth="1"/>
    <col min="3" max="3" width="9.140625" style="130"/>
    <col min="4" max="4" width="20.5703125" style="130" customWidth="1"/>
    <col min="5" max="5" width="20.140625" style="130" customWidth="1"/>
    <col min="6" max="6" width="5" style="130" bestFit="1" customWidth="1"/>
    <col min="7" max="7" width="8.5703125" style="130" bestFit="1" customWidth="1"/>
    <col min="8" max="8" width="8.42578125" style="130" bestFit="1" customWidth="1"/>
    <col min="9" max="9" width="11"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44318</v>
      </c>
    </row>
    <row r="4" spans="1:9" ht="15" customHeight="1" x14ac:dyDescent="0.25">
      <c r="A4" s="504"/>
      <c r="B4" s="504"/>
      <c r="C4" s="504"/>
      <c r="D4" s="504"/>
      <c r="E4" s="504"/>
      <c r="F4" s="504"/>
      <c r="G4" s="504"/>
      <c r="H4" s="504"/>
      <c r="I4" s="302" t="s">
        <v>320</v>
      </c>
    </row>
    <row r="5" spans="1:9" ht="15" customHeight="1" x14ac:dyDescent="0.25">
      <c r="A5" s="506" t="s">
        <v>473</v>
      </c>
      <c r="B5" s="506"/>
      <c r="C5" s="506"/>
      <c r="D5" s="506"/>
      <c r="E5" s="506"/>
      <c r="F5" s="506"/>
      <c r="G5" s="506"/>
      <c r="H5" s="506"/>
      <c r="I5" s="507" t="s">
        <v>307</v>
      </c>
    </row>
    <row r="6" spans="1:9" x14ac:dyDescent="0.25">
      <c r="A6" s="506"/>
      <c r="B6" s="506"/>
      <c r="C6" s="506"/>
      <c r="D6" s="506"/>
      <c r="E6" s="506"/>
      <c r="F6" s="506"/>
      <c r="G6" s="506"/>
      <c r="H6" s="506"/>
      <c r="I6" s="507"/>
    </row>
    <row r="7" spans="1:9" ht="15" customHeight="1" x14ac:dyDescent="0.25">
      <c r="A7" s="508" t="s">
        <v>313</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00" t="s">
        <v>257</v>
      </c>
      <c r="I9" s="101" t="s">
        <v>258</v>
      </c>
    </row>
    <row r="10" spans="1:9" ht="39.75" customHeight="1" x14ac:dyDescent="0.25">
      <c r="A10" s="131" t="s">
        <v>285</v>
      </c>
      <c r="B10" s="301" t="s">
        <v>238</v>
      </c>
      <c r="C10" s="495" t="s">
        <v>284</v>
      </c>
      <c r="D10" s="496"/>
      <c r="E10" s="106" t="s">
        <v>262</v>
      </c>
      <c r="F10" s="301" t="s">
        <v>259</v>
      </c>
      <c r="G10" s="103">
        <v>0.85</v>
      </c>
      <c r="H10" s="107">
        <v>16.13</v>
      </c>
      <c r="I10" s="138">
        <f>G10*H10</f>
        <v>13.710499999999998</v>
      </c>
    </row>
    <row r="11" spans="1:9" x14ac:dyDescent="0.25">
      <c r="A11" s="131" t="s">
        <v>348</v>
      </c>
      <c r="B11" s="301" t="s">
        <v>238</v>
      </c>
      <c r="C11" s="495" t="s">
        <v>308</v>
      </c>
      <c r="D11" s="496"/>
      <c r="E11" s="106" t="s">
        <v>262</v>
      </c>
      <c r="F11" s="301" t="s">
        <v>259</v>
      </c>
      <c r="G11" s="103">
        <v>0.85</v>
      </c>
      <c r="H11" s="107">
        <v>19.12</v>
      </c>
      <c r="I11" s="138">
        <f>H11*G11</f>
        <v>16.251999999999999</v>
      </c>
    </row>
    <row r="12" spans="1:9" x14ac:dyDescent="0.25">
      <c r="A12" s="502" t="s">
        <v>260</v>
      </c>
      <c r="B12" s="502"/>
      <c r="C12" s="502"/>
      <c r="D12" s="502"/>
      <c r="E12" s="502"/>
      <c r="F12" s="502"/>
      <c r="G12" s="502"/>
      <c r="H12" s="502"/>
      <c r="I12" s="109">
        <f>I10+I11</f>
        <v>29.962499999999999</v>
      </c>
    </row>
    <row r="13" spans="1:9" x14ac:dyDescent="0.25">
      <c r="A13" s="298"/>
      <c r="B13" s="298"/>
      <c r="C13" s="298"/>
      <c r="D13" s="298"/>
      <c r="E13" s="298"/>
      <c r="F13" s="298"/>
      <c r="G13" s="298"/>
      <c r="H13" s="298"/>
      <c r="I13" s="109"/>
    </row>
    <row r="14" spans="1:9" x14ac:dyDescent="0.25">
      <c r="A14" s="503" t="s">
        <v>266</v>
      </c>
      <c r="B14" s="503"/>
      <c r="C14" s="503"/>
      <c r="D14" s="503"/>
      <c r="E14" s="503"/>
      <c r="F14" s="503"/>
      <c r="G14" s="503"/>
      <c r="H14" s="503"/>
      <c r="I14" s="503"/>
    </row>
    <row r="15" spans="1:9" x14ac:dyDescent="0.25">
      <c r="A15" s="98" t="s">
        <v>253</v>
      </c>
      <c r="B15" s="300" t="s">
        <v>9</v>
      </c>
      <c r="C15" s="494" t="s">
        <v>254</v>
      </c>
      <c r="D15" s="494"/>
      <c r="E15" s="494"/>
      <c r="F15" s="300" t="s">
        <v>255</v>
      </c>
      <c r="G15" s="99" t="s">
        <v>256</v>
      </c>
      <c r="H15" s="100" t="s">
        <v>257</v>
      </c>
      <c r="I15" s="101" t="s">
        <v>258</v>
      </c>
    </row>
    <row r="16" spans="1:9" x14ac:dyDescent="0.25">
      <c r="A16" s="116" t="s">
        <v>345</v>
      </c>
      <c r="B16" s="102"/>
      <c r="C16" s="497" t="s">
        <v>447</v>
      </c>
      <c r="D16" s="497"/>
      <c r="E16" s="497"/>
      <c r="F16" s="116" t="s">
        <v>22</v>
      </c>
      <c r="G16" s="144">
        <v>1</v>
      </c>
      <c r="H16" s="117">
        <f>'[1]COTAÇÕES '!P10</f>
        <v>43.133333333333333</v>
      </c>
      <c r="I16" s="104">
        <f>H16*G16</f>
        <v>43.133333333333333</v>
      </c>
    </row>
    <row r="17" spans="1:9" ht="15" customHeight="1" x14ac:dyDescent="0.25">
      <c r="A17" s="122"/>
      <c r="B17" s="122"/>
      <c r="C17" s="498"/>
      <c r="D17" s="498"/>
      <c r="E17" s="498"/>
      <c r="F17" s="123"/>
      <c r="G17" s="124"/>
      <c r="H17" s="125"/>
      <c r="I17" s="126"/>
    </row>
    <row r="18" spans="1:9" ht="15" customHeight="1" x14ac:dyDescent="0.25">
      <c r="A18" s="502" t="s">
        <v>264</v>
      </c>
      <c r="B18" s="502"/>
      <c r="C18" s="502"/>
      <c r="D18" s="502"/>
      <c r="E18" s="502"/>
      <c r="F18" s="502"/>
      <c r="G18" s="502"/>
      <c r="H18" s="502"/>
      <c r="I18" s="127">
        <f>SUM(I16:I17)</f>
        <v>43.133333333333333</v>
      </c>
    </row>
    <row r="19" spans="1:9" ht="15" customHeight="1" x14ac:dyDescent="0.25">
      <c r="A19" s="298"/>
      <c r="B19" s="298"/>
      <c r="C19" s="298"/>
      <c r="D19" s="298"/>
      <c r="E19" s="298"/>
      <c r="F19" s="298"/>
      <c r="G19" s="298"/>
      <c r="H19" s="298"/>
      <c r="I19" s="109"/>
    </row>
    <row r="20" spans="1:9" x14ac:dyDescent="0.25">
      <c r="A20" s="298"/>
      <c r="B20" s="298"/>
      <c r="C20" s="298"/>
      <c r="D20" s="298"/>
      <c r="E20" s="298"/>
      <c r="F20" s="298"/>
      <c r="G20" s="298"/>
      <c r="H20" s="298"/>
      <c r="I20" s="109"/>
    </row>
    <row r="21" spans="1:9" x14ac:dyDescent="0.25">
      <c r="A21" s="510" t="s">
        <v>276</v>
      </c>
      <c r="B21" s="510"/>
      <c r="C21" s="510"/>
      <c r="D21" s="510"/>
      <c r="E21" s="510"/>
      <c r="F21" s="510"/>
      <c r="G21" s="510"/>
      <c r="H21" s="510"/>
      <c r="I21" s="510"/>
    </row>
    <row r="22" spans="1:9" x14ac:dyDescent="0.25">
      <c r="A22" s="105"/>
      <c r="B22" s="301"/>
      <c r="C22" s="511" t="s">
        <v>254</v>
      </c>
      <c r="D22" s="511"/>
      <c r="E22" s="511"/>
      <c r="F22" s="301" t="s">
        <v>255</v>
      </c>
      <c r="G22" s="110" t="s">
        <v>256</v>
      </c>
      <c r="H22" s="107" t="s">
        <v>257</v>
      </c>
      <c r="I22" s="108" t="s">
        <v>258</v>
      </c>
    </row>
    <row r="23" spans="1:9" x14ac:dyDescent="0.25">
      <c r="A23" s="111"/>
      <c r="B23" s="111"/>
      <c r="C23" s="499"/>
      <c r="D23" s="500"/>
      <c r="E23" s="501"/>
      <c r="F23" s="112"/>
      <c r="G23" s="112"/>
      <c r="H23" s="113"/>
      <c r="I23" s="114"/>
    </row>
    <row r="24" spans="1:9" ht="15" customHeight="1" x14ac:dyDescent="0.25">
      <c r="A24" s="502" t="s">
        <v>265</v>
      </c>
      <c r="B24" s="502"/>
      <c r="C24" s="502"/>
      <c r="D24" s="502"/>
      <c r="E24" s="502"/>
      <c r="F24" s="502"/>
      <c r="G24" s="502"/>
      <c r="H24" s="502"/>
      <c r="I24" s="115">
        <f>I23</f>
        <v>0</v>
      </c>
    </row>
    <row r="25" spans="1:9" x14ac:dyDescent="0.25">
      <c r="A25" s="512"/>
      <c r="B25" s="513"/>
      <c r="C25" s="513"/>
      <c r="D25" s="513"/>
      <c r="E25" s="513"/>
      <c r="F25" s="513"/>
      <c r="G25" s="513"/>
      <c r="H25" s="513"/>
      <c r="I25" s="514"/>
    </row>
    <row r="26" spans="1:9" x14ac:dyDescent="0.25">
      <c r="A26" s="503" t="s">
        <v>269</v>
      </c>
      <c r="B26" s="503"/>
      <c r="C26" s="503"/>
      <c r="D26" s="503"/>
      <c r="E26" s="503"/>
      <c r="F26" s="503"/>
      <c r="G26" s="503"/>
      <c r="H26" s="503"/>
      <c r="I26" s="503"/>
    </row>
    <row r="27" spans="1:9" x14ac:dyDescent="0.25">
      <c r="A27" s="509" t="s">
        <v>279</v>
      </c>
      <c r="B27" s="509"/>
      <c r="C27" s="509"/>
      <c r="D27" s="509"/>
      <c r="E27" s="509"/>
      <c r="F27" s="509"/>
      <c r="G27" s="509"/>
      <c r="H27" s="509"/>
      <c r="I27" s="128">
        <f>I12</f>
        <v>29.962499999999999</v>
      </c>
    </row>
    <row r="28" spans="1:9" x14ac:dyDescent="0.25">
      <c r="A28" s="509" t="s">
        <v>280</v>
      </c>
      <c r="B28" s="509"/>
      <c r="C28" s="509"/>
      <c r="D28" s="509"/>
      <c r="E28" s="509"/>
      <c r="F28" s="509"/>
      <c r="G28" s="509"/>
      <c r="H28" s="509"/>
      <c r="I28" s="128">
        <f>I18</f>
        <v>43.133333333333333</v>
      </c>
    </row>
    <row r="29" spans="1:9" x14ac:dyDescent="0.25">
      <c r="A29" s="509" t="s">
        <v>286</v>
      </c>
      <c r="B29" s="509"/>
      <c r="C29" s="509"/>
      <c r="D29" s="509"/>
      <c r="E29" s="509"/>
      <c r="F29" s="509"/>
      <c r="G29" s="509"/>
      <c r="H29" s="509"/>
      <c r="I29" s="128">
        <f>I19</f>
        <v>0</v>
      </c>
    </row>
    <row r="30" spans="1:9" x14ac:dyDescent="0.25">
      <c r="A30" s="509" t="s">
        <v>287</v>
      </c>
      <c r="B30" s="509"/>
      <c r="C30" s="509"/>
      <c r="D30" s="509"/>
      <c r="E30" s="509"/>
      <c r="F30" s="509"/>
      <c r="G30" s="509"/>
      <c r="H30" s="509"/>
      <c r="I30" s="135">
        <f>SUM(I27:I28)</f>
        <v>73.095833333333331</v>
      </c>
    </row>
  </sheetData>
  <mergeCells count="25">
    <mergeCell ref="A30:H30"/>
    <mergeCell ref="C16:E16"/>
    <mergeCell ref="C17:E17"/>
    <mergeCell ref="A27:H27"/>
    <mergeCell ref="A18:H18"/>
    <mergeCell ref="A21:I21"/>
    <mergeCell ref="C22:E22"/>
    <mergeCell ref="C23:E23"/>
    <mergeCell ref="A24:H24"/>
    <mergeCell ref="A25:I25"/>
    <mergeCell ref="A26:I26"/>
    <mergeCell ref="A28:H28"/>
    <mergeCell ref="A29:H29"/>
    <mergeCell ref="A1:H4"/>
    <mergeCell ref="I1:I2"/>
    <mergeCell ref="A5:H6"/>
    <mergeCell ref="I5:I6"/>
    <mergeCell ref="A7:I7"/>
    <mergeCell ref="A14:I14"/>
    <mergeCell ref="C15:E15"/>
    <mergeCell ref="A8:I8"/>
    <mergeCell ref="C9:E9"/>
    <mergeCell ref="C10:D10"/>
    <mergeCell ref="C11:D11"/>
    <mergeCell ref="A12:H12"/>
  </mergeCells>
  <pageMargins left="0.511811024" right="0.511811024" top="0.78740157499999996" bottom="0.78740157499999996" header="0.31496062000000002" footer="0.31496062000000002"/>
  <pageSetup paperSize="9" scale="81"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115" zoomScaleNormal="100" zoomScaleSheetLayoutView="115" workbookViewId="0">
      <selection activeCell="I1" sqref="I1:I2"/>
    </sheetView>
  </sheetViews>
  <sheetFormatPr defaultRowHeight="15" x14ac:dyDescent="0.25"/>
  <cols>
    <col min="1" max="1" width="12.28515625" style="129" customWidth="1"/>
    <col min="2" max="2" width="10" style="129" bestFit="1" customWidth="1"/>
    <col min="3" max="3" width="9.140625" style="130"/>
    <col min="4" max="4" width="33.85546875" style="130" customWidth="1"/>
    <col min="5" max="5" width="20.140625" style="130" customWidth="1"/>
    <col min="6" max="6" width="7.7109375" style="130" customWidth="1"/>
    <col min="7" max="7" width="8.5703125" style="130" bestFit="1" customWidth="1"/>
    <col min="8" max="8" width="12.42578125" style="130" customWidth="1"/>
    <col min="9" max="9" width="16.140625" style="130"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44318</v>
      </c>
    </row>
    <row r="4" spans="1:9" ht="15" customHeight="1" x14ac:dyDescent="0.25">
      <c r="A4" s="504"/>
      <c r="B4" s="504"/>
      <c r="C4" s="504"/>
      <c r="D4" s="504"/>
      <c r="E4" s="504"/>
      <c r="F4" s="504"/>
      <c r="G4" s="504"/>
      <c r="H4" s="504"/>
      <c r="I4" s="302" t="s">
        <v>321</v>
      </c>
    </row>
    <row r="5" spans="1:9" ht="15" customHeight="1" x14ac:dyDescent="0.25">
      <c r="A5" s="506" t="s">
        <v>352</v>
      </c>
      <c r="B5" s="506"/>
      <c r="C5" s="506"/>
      <c r="D5" s="506"/>
      <c r="E5" s="506"/>
      <c r="F5" s="506"/>
      <c r="G5" s="506"/>
      <c r="H5" s="506"/>
      <c r="I5" s="507" t="s">
        <v>307</v>
      </c>
    </row>
    <row r="6" spans="1:9" x14ac:dyDescent="0.25">
      <c r="A6" s="506"/>
      <c r="B6" s="506"/>
      <c r="C6" s="506"/>
      <c r="D6" s="506"/>
      <c r="E6" s="506"/>
      <c r="F6" s="506"/>
      <c r="G6" s="506"/>
      <c r="H6" s="506"/>
      <c r="I6" s="507"/>
    </row>
    <row r="7" spans="1:9" ht="15" customHeight="1" x14ac:dyDescent="0.25">
      <c r="A7" s="503" t="s">
        <v>349</v>
      </c>
      <c r="B7" s="503"/>
      <c r="C7" s="503"/>
      <c r="D7" s="503"/>
      <c r="E7" s="503"/>
      <c r="F7" s="503"/>
      <c r="G7" s="503"/>
      <c r="H7" s="503"/>
      <c r="I7" s="503"/>
    </row>
    <row r="8" spans="1:9" x14ac:dyDescent="0.25">
      <c r="A8" s="98" t="s">
        <v>253</v>
      </c>
      <c r="B8" s="300" t="s">
        <v>9</v>
      </c>
      <c r="C8" s="494" t="s">
        <v>254</v>
      </c>
      <c r="D8" s="494"/>
      <c r="E8" s="494"/>
      <c r="F8" s="300" t="s">
        <v>255</v>
      </c>
      <c r="G8" s="99" t="s">
        <v>256</v>
      </c>
      <c r="H8" s="100" t="s">
        <v>257</v>
      </c>
      <c r="I8" s="101" t="s">
        <v>258</v>
      </c>
    </row>
    <row r="9" spans="1:9" x14ac:dyDescent="0.25">
      <c r="A9" s="131"/>
      <c r="B9" s="131"/>
      <c r="C9" s="519"/>
      <c r="D9" s="520"/>
      <c r="E9" s="106"/>
      <c r="F9" s="301"/>
      <c r="G9" s="103"/>
      <c r="H9" s="107"/>
      <c r="I9" s="138"/>
    </row>
    <row r="10" spans="1:9" x14ac:dyDescent="0.25">
      <c r="A10" s="131"/>
      <c r="B10" s="131"/>
      <c r="C10" s="495"/>
      <c r="D10" s="496"/>
      <c r="E10" s="106"/>
      <c r="F10" s="301"/>
      <c r="G10" s="103"/>
      <c r="H10" s="107"/>
      <c r="I10" s="138"/>
    </row>
    <row r="11" spans="1:9" x14ac:dyDescent="0.25">
      <c r="A11" s="502" t="s">
        <v>260</v>
      </c>
      <c r="B11" s="502"/>
      <c r="C11" s="502"/>
      <c r="D11" s="502"/>
      <c r="E11" s="502"/>
      <c r="F11" s="502"/>
      <c r="G11" s="502"/>
      <c r="H11" s="502"/>
      <c r="I11" s="109">
        <f>I9+I10</f>
        <v>0</v>
      </c>
    </row>
    <row r="12" spans="1:9" x14ac:dyDescent="0.25">
      <c r="A12" s="298"/>
      <c r="B12" s="298"/>
      <c r="C12" s="298"/>
      <c r="D12" s="298"/>
      <c r="E12" s="298"/>
      <c r="F12" s="298"/>
      <c r="G12" s="298"/>
      <c r="H12" s="298"/>
      <c r="I12" s="109"/>
    </row>
    <row r="13" spans="1:9" x14ac:dyDescent="0.25">
      <c r="A13" s="503" t="s">
        <v>266</v>
      </c>
      <c r="B13" s="503"/>
      <c r="C13" s="503"/>
      <c r="D13" s="503"/>
      <c r="E13" s="503"/>
      <c r="F13" s="503"/>
      <c r="G13" s="503"/>
      <c r="H13" s="503"/>
      <c r="I13" s="503"/>
    </row>
    <row r="14" spans="1:9" x14ac:dyDescent="0.25">
      <c r="A14" s="98" t="s">
        <v>253</v>
      </c>
      <c r="B14" s="300" t="s">
        <v>9</v>
      </c>
      <c r="C14" s="494" t="s">
        <v>254</v>
      </c>
      <c r="D14" s="494"/>
      <c r="E14" s="494"/>
      <c r="F14" s="300" t="s">
        <v>255</v>
      </c>
      <c r="G14" s="99" t="s">
        <v>256</v>
      </c>
      <c r="H14" s="100" t="s">
        <v>257</v>
      </c>
      <c r="I14" s="101" t="s">
        <v>258</v>
      </c>
    </row>
    <row r="15" spans="1:9" x14ac:dyDescent="0.25">
      <c r="A15" s="116" t="s">
        <v>347</v>
      </c>
      <c r="B15" s="102"/>
      <c r="C15" s="497" t="s">
        <v>350</v>
      </c>
      <c r="D15" s="497"/>
      <c r="E15" s="497"/>
      <c r="F15" s="116" t="s">
        <v>255</v>
      </c>
      <c r="G15" s="141">
        <v>1</v>
      </c>
      <c r="H15" s="117">
        <f>[2]COTAÇÕES!P14</f>
        <v>2880.6666666666665</v>
      </c>
      <c r="I15" s="104">
        <f>H15*G15</f>
        <v>2880.6666666666665</v>
      </c>
    </row>
    <row r="16" spans="1:9" ht="15" customHeight="1" x14ac:dyDescent="0.25">
      <c r="A16" s="116" t="s">
        <v>353</v>
      </c>
      <c r="B16" s="102" t="s">
        <v>310</v>
      </c>
      <c r="C16" s="521" t="s">
        <v>354</v>
      </c>
      <c r="D16" s="522"/>
      <c r="E16" s="523"/>
      <c r="F16" s="116" t="s">
        <v>255</v>
      </c>
      <c r="G16" s="141">
        <v>1</v>
      </c>
      <c r="H16" s="117">
        <v>2007.36</v>
      </c>
      <c r="I16" s="104">
        <f>G16*H16</f>
        <v>2007.36</v>
      </c>
    </row>
    <row r="17" spans="1:9" ht="15" customHeight="1" x14ac:dyDescent="0.25">
      <c r="A17" s="502" t="s">
        <v>264</v>
      </c>
      <c r="B17" s="502"/>
      <c r="C17" s="502"/>
      <c r="D17" s="502"/>
      <c r="E17" s="502"/>
      <c r="F17" s="502"/>
      <c r="G17" s="502"/>
      <c r="H17" s="502"/>
      <c r="I17" s="127">
        <f>SUM(I15:I16)</f>
        <v>4888.0266666666666</v>
      </c>
    </row>
    <row r="18" spans="1:9" ht="15" customHeight="1" x14ac:dyDescent="0.25">
      <c r="A18" s="298"/>
      <c r="B18" s="298"/>
      <c r="C18" s="298"/>
      <c r="D18" s="298"/>
      <c r="E18" s="298"/>
      <c r="F18" s="298"/>
      <c r="G18" s="298"/>
      <c r="H18" s="298"/>
      <c r="I18" s="109"/>
    </row>
    <row r="19" spans="1:9" ht="15" customHeight="1" x14ac:dyDescent="0.25">
      <c r="A19" s="298"/>
      <c r="B19" s="298"/>
      <c r="C19" s="298"/>
      <c r="D19" s="298"/>
      <c r="E19" s="298"/>
      <c r="F19" s="298"/>
      <c r="G19" s="298"/>
      <c r="H19" s="298"/>
      <c r="I19" s="109"/>
    </row>
    <row r="20" spans="1:9" x14ac:dyDescent="0.25">
      <c r="A20" s="510" t="s">
        <v>276</v>
      </c>
      <c r="B20" s="510"/>
      <c r="C20" s="510"/>
      <c r="D20" s="510"/>
      <c r="E20" s="510"/>
      <c r="F20" s="510"/>
      <c r="G20" s="510"/>
      <c r="H20" s="510"/>
      <c r="I20" s="510"/>
    </row>
    <row r="21" spans="1:9" x14ac:dyDescent="0.25">
      <c r="A21" s="105"/>
      <c r="B21" s="301"/>
      <c r="C21" s="511" t="s">
        <v>254</v>
      </c>
      <c r="D21" s="511"/>
      <c r="E21" s="511"/>
      <c r="F21" s="301" t="s">
        <v>255</v>
      </c>
      <c r="G21" s="110" t="s">
        <v>256</v>
      </c>
      <c r="H21" s="107" t="s">
        <v>257</v>
      </c>
      <c r="I21" s="108" t="s">
        <v>258</v>
      </c>
    </row>
    <row r="22" spans="1:9" x14ac:dyDescent="0.25">
      <c r="A22" s="111"/>
      <c r="B22" s="111"/>
      <c r="C22" s="499"/>
      <c r="D22" s="500"/>
      <c r="E22" s="501"/>
      <c r="F22" s="112"/>
      <c r="G22" s="112"/>
      <c r="H22" s="113"/>
      <c r="I22" s="114"/>
    </row>
    <row r="23" spans="1:9" x14ac:dyDescent="0.25">
      <c r="A23" s="502" t="s">
        <v>265</v>
      </c>
      <c r="B23" s="502"/>
      <c r="C23" s="502"/>
      <c r="D23" s="502"/>
      <c r="E23" s="502"/>
      <c r="F23" s="502"/>
      <c r="G23" s="502"/>
      <c r="H23" s="502"/>
      <c r="I23" s="115">
        <f>I22</f>
        <v>0</v>
      </c>
    </row>
    <row r="24" spans="1:9" x14ac:dyDescent="0.25">
      <c r="A24" s="512"/>
      <c r="B24" s="513"/>
      <c r="C24" s="513"/>
      <c r="D24" s="513"/>
      <c r="E24" s="513"/>
      <c r="F24" s="513"/>
      <c r="G24" s="513"/>
      <c r="H24" s="513"/>
      <c r="I24" s="514"/>
    </row>
    <row r="25" spans="1:9" ht="15" customHeight="1" x14ac:dyDescent="0.25">
      <c r="A25" s="503" t="s">
        <v>269</v>
      </c>
      <c r="B25" s="503"/>
      <c r="C25" s="503"/>
      <c r="D25" s="503"/>
      <c r="E25" s="503"/>
      <c r="F25" s="503"/>
      <c r="G25" s="503"/>
      <c r="H25" s="503"/>
      <c r="I25" s="503"/>
    </row>
    <row r="26" spans="1:9" x14ac:dyDescent="0.25">
      <c r="A26" s="509" t="s">
        <v>279</v>
      </c>
      <c r="B26" s="509"/>
      <c r="C26" s="509"/>
      <c r="D26" s="509"/>
      <c r="E26" s="509"/>
      <c r="F26" s="509"/>
      <c r="G26" s="509"/>
      <c r="H26" s="509"/>
      <c r="I26" s="128">
        <f>I11</f>
        <v>0</v>
      </c>
    </row>
    <row r="27" spans="1:9" x14ac:dyDescent="0.25">
      <c r="A27" s="509" t="s">
        <v>280</v>
      </c>
      <c r="B27" s="509"/>
      <c r="C27" s="509"/>
      <c r="D27" s="509"/>
      <c r="E27" s="509"/>
      <c r="F27" s="509"/>
      <c r="G27" s="509"/>
      <c r="H27" s="509"/>
      <c r="I27" s="128">
        <f>I17</f>
        <v>4888.0266666666666</v>
      </c>
    </row>
    <row r="28" spans="1:9" x14ac:dyDescent="0.25">
      <c r="A28" s="509" t="s">
        <v>286</v>
      </c>
      <c r="B28" s="509"/>
      <c r="C28" s="509"/>
      <c r="D28" s="509"/>
      <c r="E28" s="509"/>
      <c r="F28" s="509"/>
      <c r="G28" s="509"/>
      <c r="H28" s="509"/>
      <c r="I28" s="128">
        <f>I18</f>
        <v>0</v>
      </c>
    </row>
    <row r="29" spans="1:9" x14ac:dyDescent="0.25">
      <c r="A29" s="509" t="s">
        <v>287</v>
      </c>
      <c r="B29" s="509"/>
      <c r="C29" s="509"/>
      <c r="D29" s="509"/>
      <c r="E29" s="509"/>
      <c r="F29" s="509"/>
      <c r="G29" s="509"/>
      <c r="H29" s="509"/>
      <c r="I29" s="135">
        <f>SUM(I27:I27)</f>
        <v>4888.0266666666666</v>
      </c>
    </row>
  </sheetData>
  <mergeCells count="24">
    <mergeCell ref="A29:H29"/>
    <mergeCell ref="C10:D10"/>
    <mergeCell ref="C15:E15"/>
    <mergeCell ref="C16:E16"/>
    <mergeCell ref="A27:H27"/>
    <mergeCell ref="A25:I25"/>
    <mergeCell ref="A26:H26"/>
    <mergeCell ref="A28:H28"/>
    <mergeCell ref="C9:D9"/>
    <mergeCell ref="A11:H11"/>
    <mergeCell ref="A13:I13"/>
    <mergeCell ref="C14:E14"/>
    <mergeCell ref="A24:I24"/>
    <mergeCell ref="A17:H17"/>
    <mergeCell ref="A20:I20"/>
    <mergeCell ref="C21:E21"/>
    <mergeCell ref="C22:E22"/>
    <mergeCell ref="A23:H23"/>
    <mergeCell ref="C8:E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Normal="100" zoomScaleSheetLayoutView="100" workbookViewId="0">
      <selection activeCell="I33" sqref="I33"/>
    </sheetView>
  </sheetViews>
  <sheetFormatPr defaultRowHeight="15" x14ac:dyDescent="0.25"/>
  <cols>
    <col min="1" max="1" width="14.28515625" style="129" customWidth="1"/>
    <col min="2" max="2" width="10" style="129" bestFit="1" customWidth="1"/>
    <col min="3" max="3" width="9.140625" style="130"/>
    <col min="4" max="4" width="29.7109375" style="130" customWidth="1"/>
    <col min="5" max="5" width="20.140625" style="130" customWidth="1"/>
    <col min="6" max="6" width="5" style="130" bestFit="1" customWidth="1"/>
    <col min="7" max="7" width="10.5703125" style="130" bestFit="1" customWidth="1"/>
    <col min="8" max="8" width="8.42578125" style="129" bestFit="1" customWidth="1"/>
    <col min="9" max="9" width="15.140625"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44318</v>
      </c>
    </row>
    <row r="4" spans="1:9" ht="15" customHeight="1" x14ac:dyDescent="0.25">
      <c r="A4" s="504"/>
      <c r="B4" s="504"/>
      <c r="C4" s="504"/>
      <c r="D4" s="504"/>
      <c r="E4" s="504"/>
      <c r="F4" s="504"/>
      <c r="G4" s="504"/>
      <c r="H4" s="504"/>
      <c r="I4" s="302" t="s">
        <v>370</v>
      </c>
    </row>
    <row r="5" spans="1:9" ht="15" customHeight="1" x14ac:dyDescent="0.25">
      <c r="A5" s="506" t="s">
        <v>369</v>
      </c>
      <c r="B5" s="506"/>
      <c r="C5" s="506"/>
      <c r="D5" s="506"/>
      <c r="E5" s="506"/>
      <c r="F5" s="506"/>
      <c r="G5" s="506"/>
      <c r="H5" s="506"/>
      <c r="I5" s="507" t="s">
        <v>307</v>
      </c>
    </row>
    <row r="6" spans="1:9" x14ac:dyDescent="0.25">
      <c r="A6" s="506"/>
      <c r="B6" s="506"/>
      <c r="C6" s="506"/>
      <c r="D6" s="506"/>
      <c r="E6" s="506"/>
      <c r="F6" s="506"/>
      <c r="G6" s="506"/>
      <c r="H6" s="506"/>
      <c r="I6" s="507"/>
    </row>
    <row r="7" spans="1:9" ht="15" customHeight="1" x14ac:dyDescent="0.25">
      <c r="A7" s="508" t="s">
        <v>368</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52" t="s">
        <v>257</v>
      </c>
      <c r="I9" s="101" t="s">
        <v>258</v>
      </c>
    </row>
    <row r="10" spans="1:9" x14ac:dyDescent="0.25">
      <c r="A10" s="137" t="s">
        <v>359</v>
      </c>
      <c r="B10" s="131" t="s">
        <v>372</v>
      </c>
      <c r="C10" s="524" t="s">
        <v>371</v>
      </c>
      <c r="D10" s="525"/>
      <c r="E10" s="106" t="s">
        <v>262</v>
      </c>
      <c r="F10" s="300" t="s">
        <v>259</v>
      </c>
      <c r="G10" s="99">
        <v>0.31619999999999998</v>
      </c>
      <c r="H10" s="107">
        <f>(18.8/1.8674)*2.5727</f>
        <v>25.900589054300102</v>
      </c>
      <c r="I10" s="138">
        <f>G10*H10</f>
        <v>8.1897662589696925</v>
      </c>
    </row>
    <row r="11" spans="1:9" x14ac:dyDescent="0.25">
      <c r="A11" s="137" t="s">
        <v>317</v>
      </c>
      <c r="B11" s="131" t="s">
        <v>372</v>
      </c>
      <c r="C11" s="524" t="s">
        <v>318</v>
      </c>
      <c r="D11" s="525"/>
      <c r="E11" s="106" t="s">
        <v>262</v>
      </c>
      <c r="F11" s="300" t="s">
        <v>259</v>
      </c>
      <c r="G11" s="196">
        <v>9.9599999999999994E-2</v>
      </c>
      <c r="H11" s="107">
        <f>(14.98/1.8674)*2.5727</f>
        <v>20.637809789011463</v>
      </c>
      <c r="I11" s="138">
        <f>G11*H11</f>
        <v>2.0555258549855417</v>
      </c>
    </row>
    <row r="12" spans="1:9" x14ac:dyDescent="0.25">
      <c r="A12" s="131"/>
      <c r="B12" s="301"/>
      <c r="C12" s="496"/>
      <c r="D12" s="496"/>
      <c r="E12" s="106"/>
      <c r="F12" s="301"/>
      <c r="G12" s="103"/>
      <c r="H12" s="153"/>
      <c r="I12" s="138"/>
    </row>
    <row r="13" spans="1:9" x14ac:dyDescent="0.25">
      <c r="A13" s="502" t="s">
        <v>260</v>
      </c>
      <c r="B13" s="502"/>
      <c r="C13" s="502"/>
      <c r="D13" s="502"/>
      <c r="E13" s="502"/>
      <c r="F13" s="502"/>
      <c r="G13" s="502"/>
      <c r="H13" s="502"/>
      <c r="I13" s="109">
        <f>I10+I11</f>
        <v>10.245292113955234</v>
      </c>
    </row>
    <row r="14" spans="1:9" x14ac:dyDescent="0.25">
      <c r="A14" s="298"/>
      <c r="B14" s="298"/>
      <c r="C14" s="298"/>
      <c r="D14" s="298"/>
      <c r="E14" s="298"/>
      <c r="F14" s="298"/>
      <c r="G14" s="298"/>
      <c r="H14" s="299"/>
      <c r="I14" s="109"/>
    </row>
    <row r="15" spans="1:9" x14ac:dyDescent="0.25">
      <c r="A15" s="503" t="s">
        <v>266</v>
      </c>
      <c r="B15" s="503"/>
      <c r="C15" s="503"/>
      <c r="D15" s="503"/>
      <c r="E15" s="503"/>
      <c r="F15" s="503"/>
      <c r="G15" s="503"/>
      <c r="H15" s="503"/>
      <c r="I15" s="503"/>
    </row>
    <row r="16" spans="1:9" x14ac:dyDescent="0.25">
      <c r="A16" s="98" t="s">
        <v>253</v>
      </c>
      <c r="B16" s="300" t="s">
        <v>9</v>
      </c>
      <c r="C16" s="494" t="s">
        <v>254</v>
      </c>
      <c r="D16" s="494"/>
      <c r="E16" s="494"/>
      <c r="F16" s="300" t="s">
        <v>255</v>
      </c>
      <c r="G16" s="99" t="s">
        <v>256</v>
      </c>
      <c r="H16" s="152" t="s">
        <v>257</v>
      </c>
      <c r="I16" s="101" t="s">
        <v>258</v>
      </c>
    </row>
    <row r="17" spans="1:9" ht="15" customHeight="1" x14ac:dyDescent="0.25">
      <c r="A17" s="116" t="s">
        <v>373</v>
      </c>
      <c r="B17" s="131" t="s">
        <v>372</v>
      </c>
      <c r="C17" s="497" t="s">
        <v>378</v>
      </c>
      <c r="D17" s="497"/>
      <c r="E17" s="497"/>
      <c r="F17" s="116" t="s">
        <v>22</v>
      </c>
      <c r="G17" s="103">
        <v>1</v>
      </c>
      <c r="H17" s="154">
        <v>60.95</v>
      </c>
      <c r="I17" s="140">
        <f>G17*H17</f>
        <v>60.95</v>
      </c>
    </row>
    <row r="18" spans="1:9" ht="15" customHeight="1" x14ac:dyDescent="0.25">
      <c r="A18" s="116"/>
      <c r="B18" s="102"/>
      <c r="C18" s="497"/>
      <c r="D18" s="497"/>
      <c r="E18" s="497"/>
      <c r="F18" s="116"/>
      <c r="G18" s="144"/>
      <c r="H18" s="154"/>
      <c r="I18" s="140"/>
    </row>
    <row r="19" spans="1:9" ht="15" customHeight="1" x14ac:dyDescent="0.25">
      <c r="A19" s="116"/>
      <c r="B19" s="102"/>
      <c r="C19" s="497"/>
      <c r="D19" s="497"/>
      <c r="E19" s="497"/>
      <c r="F19" s="116"/>
      <c r="G19" s="144"/>
      <c r="H19" s="154"/>
      <c r="I19" s="140"/>
    </row>
    <row r="20" spans="1:9" ht="15" customHeight="1" x14ac:dyDescent="0.25">
      <c r="A20" s="122"/>
      <c r="B20" s="122"/>
      <c r="C20" s="498"/>
      <c r="D20" s="498"/>
      <c r="E20" s="498"/>
      <c r="F20" s="123"/>
      <c r="G20" s="124"/>
      <c r="H20" s="155"/>
      <c r="I20" s="126"/>
    </row>
    <row r="21" spans="1:9" ht="15" customHeight="1" x14ac:dyDescent="0.25">
      <c r="A21" s="502" t="s">
        <v>264</v>
      </c>
      <c r="B21" s="502"/>
      <c r="C21" s="502"/>
      <c r="D21" s="502"/>
      <c r="E21" s="502"/>
      <c r="F21" s="502"/>
      <c r="G21" s="502"/>
      <c r="H21" s="502"/>
      <c r="I21" s="127">
        <f>SUM(I17:I20)</f>
        <v>60.95</v>
      </c>
    </row>
    <row r="22" spans="1:9" x14ac:dyDescent="0.25">
      <c r="A22" s="298"/>
      <c r="B22" s="298"/>
      <c r="C22" s="298"/>
      <c r="D22" s="298"/>
      <c r="E22" s="298"/>
      <c r="F22" s="298"/>
      <c r="G22" s="298"/>
      <c r="H22" s="299"/>
      <c r="I22" s="109"/>
    </row>
    <row r="23" spans="1:9" x14ac:dyDescent="0.25">
      <c r="A23" s="510" t="s">
        <v>276</v>
      </c>
      <c r="B23" s="510"/>
      <c r="C23" s="510"/>
      <c r="D23" s="510"/>
      <c r="E23" s="510"/>
      <c r="F23" s="510"/>
      <c r="G23" s="510"/>
      <c r="H23" s="510"/>
      <c r="I23" s="510"/>
    </row>
    <row r="24" spans="1:9" x14ac:dyDescent="0.25">
      <c r="A24" s="105"/>
      <c r="B24" s="301"/>
      <c r="C24" s="511" t="s">
        <v>254</v>
      </c>
      <c r="D24" s="511"/>
      <c r="E24" s="511"/>
      <c r="F24" s="301" t="s">
        <v>255</v>
      </c>
      <c r="G24" s="110" t="s">
        <v>256</v>
      </c>
      <c r="H24" s="153" t="s">
        <v>257</v>
      </c>
      <c r="I24" s="108" t="s">
        <v>258</v>
      </c>
    </row>
    <row r="25" spans="1:9" x14ac:dyDescent="0.25">
      <c r="A25" s="134"/>
      <c r="B25" s="122"/>
      <c r="C25" s="516"/>
      <c r="D25" s="517"/>
      <c r="E25" s="518"/>
      <c r="F25" s="118"/>
      <c r="G25" s="142"/>
      <c r="H25" s="155"/>
      <c r="I25" s="139"/>
    </row>
    <row r="26" spans="1:9" ht="15" customHeight="1" x14ac:dyDescent="0.25">
      <c r="A26" s="111"/>
      <c r="B26" s="111"/>
      <c r="C26" s="499"/>
      <c r="D26" s="500"/>
      <c r="E26" s="501"/>
      <c r="F26" s="112"/>
      <c r="G26" s="112"/>
      <c r="H26" s="156"/>
      <c r="I26" s="114"/>
    </row>
    <row r="27" spans="1:9" x14ac:dyDescent="0.25">
      <c r="A27" s="502" t="s">
        <v>265</v>
      </c>
      <c r="B27" s="502"/>
      <c r="C27" s="502"/>
      <c r="D27" s="502"/>
      <c r="E27" s="502"/>
      <c r="F27" s="502"/>
      <c r="G27" s="502"/>
      <c r="H27" s="502"/>
      <c r="I27" s="115">
        <f>I25</f>
        <v>0</v>
      </c>
    </row>
    <row r="28" spans="1:9" x14ac:dyDescent="0.25">
      <c r="A28" s="512"/>
      <c r="B28" s="513"/>
      <c r="C28" s="513"/>
      <c r="D28" s="513"/>
      <c r="E28" s="513"/>
      <c r="F28" s="513"/>
      <c r="G28" s="513"/>
      <c r="H28" s="513"/>
      <c r="I28" s="514"/>
    </row>
    <row r="29" spans="1:9" x14ac:dyDescent="0.25">
      <c r="A29" s="503" t="s">
        <v>269</v>
      </c>
      <c r="B29" s="503"/>
      <c r="C29" s="503"/>
      <c r="D29" s="503"/>
      <c r="E29" s="503"/>
      <c r="F29" s="503"/>
      <c r="G29" s="503"/>
      <c r="H29" s="503"/>
      <c r="I29" s="503"/>
    </row>
    <row r="30" spans="1:9" x14ac:dyDescent="0.25">
      <c r="A30" s="509" t="s">
        <v>279</v>
      </c>
      <c r="B30" s="509"/>
      <c r="C30" s="509"/>
      <c r="D30" s="509"/>
      <c r="E30" s="509"/>
      <c r="F30" s="509"/>
      <c r="G30" s="509"/>
      <c r="H30" s="509"/>
      <c r="I30" s="128">
        <f>I13</f>
        <v>10.245292113955234</v>
      </c>
    </row>
    <row r="31" spans="1:9" x14ac:dyDescent="0.25">
      <c r="A31" s="509" t="s">
        <v>280</v>
      </c>
      <c r="B31" s="509"/>
      <c r="C31" s="509"/>
      <c r="D31" s="509"/>
      <c r="E31" s="509"/>
      <c r="F31" s="509"/>
      <c r="G31" s="509"/>
      <c r="H31" s="509"/>
      <c r="I31" s="128">
        <f>I21</f>
        <v>60.95</v>
      </c>
    </row>
    <row r="32" spans="1:9" x14ac:dyDescent="0.25">
      <c r="A32" s="509" t="s">
        <v>286</v>
      </c>
      <c r="B32" s="509"/>
      <c r="C32" s="509"/>
      <c r="D32" s="509"/>
      <c r="E32" s="509"/>
      <c r="F32" s="509"/>
      <c r="G32" s="509"/>
      <c r="H32" s="509"/>
      <c r="I32" s="128">
        <f>I27</f>
        <v>0</v>
      </c>
    </row>
    <row r="33" spans="1:9" x14ac:dyDescent="0.25">
      <c r="A33" s="509" t="s">
        <v>287</v>
      </c>
      <c r="B33" s="509"/>
      <c r="C33" s="509"/>
      <c r="D33" s="509"/>
      <c r="E33" s="509"/>
      <c r="F33" s="509"/>
      <c r="G33" s="509"/>
      <c r="H33" s="509"/>
      <c r="I33" s="135">
        <f>SUM(I30:I32)</f>
        <v>71.195292113955233</v>
      </c>
    </row>
  </sheetData>
  <mergeCells count="29">
    <mergeCell ref="A31:H31"/>
    <mergeCell ref="A32:H32"/>
    <mergeCell ref="A33:H33"/>
    <mergeCell ref="C16:E16"/>
    <mergeCell ref="C17:E17"/>
    <mergeCell ref="C18:E18"/>
    <mergeCell ref="C19:E19"/>
    <mergeCell ref="C20:E20"/>
    <mergeCell ref="C26:E26"/>
    <mergeCell ref="A21:H21"/>
    <mergeCell ref="A23:I23"/>
    <mergeCell ref="C24:E24"/>
    <mergeCell ref="C25:E25"/>
    <mergeCell ref="A27:H27"/>
    <mergeCell ref="A28:I28"/>
    <mergeCell ref="A29:I29"/>
    <mergeCell ref="A30:H30"/>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75"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Normal="100" zoomScaleSheetLayoutView="100" workbookViewId="0">
      <selection activeCell="O37" sqref="O37"/>
    </sheetView>
  </sheetViews>
  <sheetFormatPr defaultRowHeight="15" x14ac:dyDescent="0.25"/>
  <cols>
    <col min="1" max="1" width="14.28515625" style="129" customWidth="1"/>
    <col min="2" max="2" width="10" style="129" bestFit="1" customWidth="1"/>
    <col min="3" max="3" width="9.140625" style="130"/>
    <col min="4" max="4" width="29.7109375" style="130" customWidth="1"/>
    <col min="5" max="5" width="20.140625" style="130" customWidth="1"/>
    <col min="6" max="6" width="5" style="130" bestFit="1" customWidth="1"/>
    <col min="7" max="7" width="10.5703125" style="130" bestFit="1" customWidth="1"/>
    <col min="8" max="8" width="8.42578125" style="129" bestFit="1" customWidth="1"/>
    <col min="9" max="9" width="15.140625"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44318</v>
      </c>
    </row>
    <row r="4" spans="1:9" ht="15" customHeight="1" x14ac:dyDescent="0.25">
      <c r="A4" s="504"/>
      <c r="B4" s="504"/>
      <c r="C4" s="504"/>
      <c r="D4" s="504"/>
      <c r="E4" s="504"/>
      <c r="F4" s="504"/>
      <c r="G4" s="504"/>
      <c r="H4" s="504"/>
      <c r="I4" s="302" t="s">
        <v>322</v>
      </c>
    </row>
    <row r="5" spans="1:9" ht="15" customHeight="1" x14ac:dyDescent="0.25">
      <c r="A5" s="506" t="s">
        <v>374</v>
      </c>
      <c r="B5" s="506"/>
      <c r="C5" s="506"/>
      <c r="D5" s="506"/>
      <c r="E5" s="506"/>
      <c r="F5" s="506"/>
      <c r="G5" s="506"/>
      <c r="H5" s="506"/>
      <c r="I5" s="507" t="s">
        <v>307</v>
      </c>
    </row>
    <row r="6" spans="1:9" x14ac:dyDescent="0.25">
      <c r="A6" s="506"/>
      <c r="B6" s="506"/>
      <c r="C6" s="506"/>
      <c r="D6" s="506"/>
      <c r="E6" s="506"/>
      <c r="F6" s="506"/>
      <c r="G6" s="506"/>
      <c r="H6" s="506"/>
      <c r="I6" s="507"/>
    </row>
    <row r="7" spans="1:9" x14ac:dyDescent="0.25">
      <c r="A7" s="508" t="s">
        <v>375</v>
      </c>
      <c r="B7" s="508"/>
      <c r="C7" s="508"/>
      <c r="D7" s="508"/>
      <c r="E7" s="508"/>
      <c r="F7" s="508"/>
      <c r="G7" s="508"/>
      <c r="H7" s="508"/>
      <c r="I7" s="508"/>
    </row>
    <row r="8" spans="1:9" ht="15" customHeight="1"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52" t="s">
        <v>257</v>
      </c>
      <c r="I9" s="101" t="s">
        <v>258</v>
      </c>
    </row>
    <row r="10" spans="1:9" x14ac:dyDescent="0.25">
      <c r="A10" s="137" t="s">
        <v>359</v>
      </c>
      <c r="B10" s="131" t="s">
        <v>372</v>
      </c>
      <c r="C10" s="524" t="s">
        <v>371</v>
      </c>
      <c r="D10" s="525"/>
      <c r="E10" s="106" t="s">
        <v>262</v>
      </c>
      <c r="F10" s="300" t="s">
        <v>259</v>
      </c>
      <c r="G10" s="99">
        <v>0.31619999999999998</v>
      </c>
      <c r="H10" s="107">
        <f>(18.8/1.8674)*2.5727</f>
        <v>25.900589054300102</v>
      </c>
      <c r="I10" s="138">
        <f>G10*H10</f>
        <v>8.1897662589696925</v>
      </c>
    </row>
    <row r="11" spans="1:9" x14ac:dyDescent="0.25">
      <c r="A11" s="137" t="s">
        <v>317</v>
      </c>
      <c r="B11" s="131" t="s">
        <v>372</v>
      </c>
      <c r="C11" s="524" t="s">
        <v>318</v>
      </c>
      <c r="D11" s="525"/>
      <c r="E11" s="106" t="s">
        <v>262</v>
      </c>
      <c r="F11" s="300" t="s">
        <v>259</v>
      </c>
      <c r="G11" s="196">
        <v>9.9599999999999994E-2</v>
      </c>
      <c r="H11" s="107">
        <f>(14.98/1.8674)*2.5727</f>
        <v>20.637809789011463</v>
      </c>
      <c r="I11" s="138">
        <f>G11*H11</f>
        <v>2.0555258549855417</v>
      </c>
    </row>
    <row r="12" spans="1:9" x14ac:dyDescent="0.25">
      <c r="A12" s="131"/>
      <c r="B12" s="301"/>
      <c r="C12" s="496"/>
      <c r="D12" s="496"/>
      <c r="E12" s="106"/>
      <c r="F12" s="301"/>
      <c r="G12" s="103"/>
      <c r="H12" s="153"/>
      <c r="I12" s="138"/>
    </row>
    <row r="13" spans="1:9" x14ac:dyDescent="0.25">
      <c r="A13" s="502" t="s">
        <v>260</v>
      </c>
      <c r="B13" s="502"/>
      <c r="C13" s="502"/>
      <c r="D13" s="502"/>
      <c r="E13" s="502"/>
      <c r="F13" s="502"/>
      <c r="G13" s="502"/>
      <c r="H13" s="502"/>
      <c r="I13" s="109">
        <f>I10+I11</f>
        <v>10.245292113955234</v>
      </c>
    </row>
    <row r="14" spans="1:9" x14ac:dyDescent="0.25">
      <c r="A14" s="298"/>
      <c r="B14" s="298"/>
      <c r="C14" s="298"/>
      <c r="D14" s="298"/>
      <c r="E14" s="298"/>
      <c r="F14" s="298"/>
      <c r="G14" s="298"/>
      <c r="H14" s="299"/>
      <c r="I14" s="109"/>
    </row>
    <row r="15" spans="1:9" x14ac:dyDescent="0.25">
      <c r="A15" s="503" t="s">
        <v>266</v>
      </c>
      <c r="B15" s="503"/>
      <c r="C15" s="503"/>
      <c r="D15" s="503"/>
      <c r="E15" s="503"/>
      <c r="F15" s="503"/>
      <c r="G15" s="503"/>
      <c r="H15" s="503"/>
      <c r="I15" s="503"/>
    </row>
    <row r="16" spans="1:9" ht="15" customHeight="1" x14ac:dyDescent="0.25">
      <c r="A16" s="98" t="s">
        <v>253</v>
      </c>
      <c r="B16" s="300" t="s">
        <v>9</v>
      </c>
      <c r="C16" s="494" t="s">
        <v>254</v>
      </c>
      <c r="D16" s="494"/>
      <c r="E16" s="494"/>
      <c r="F16" s="300" t="s">
        <v>255</v>
      </c>
      <c r="G16" s="99" t="s">
        <v>256</v>
      </c>
      <c r="H16" s="152" t="s">
        <v>257</v>
      </c>
      <c r="I16" s="101" t="s">
        <v>258</v>
      </c>
    </row>
    <row r="17" spans="1:9" x14ac:dyDescent="0.25">
      <c r="A17" s="116" t="s">
        <v>377</v>
      </c>
      <c r="B17" s="131" t="s">
        <v>372</v>
      </c>
      <c r="C17" s="497" t="s">
        <v>376</v>
      </c>
      <c r="D17" s="497"/>
      <c r="E17" s="497"/>
      <c r="F17" s="116" t="s">
        <v>22</v>
      </c>
      <c r="G17" s="103">
        <v>1</v>
      </c>
      <c r="H17" s="154">
        <v>23.03</v>
      </c>
      <c r="I17" s="140">
        <f>G17*H17</f>
        <v>23.03</v>
      </c>
    </row>
    <row r="18" spans="1:9" x14ac:dyDescent="0.25">
      <c r="A18" s="116"/>
      <c r="B18" s="102"/>
      <c r="C18" s="497"/>
      <c r="D18" s="497"/>
      <c r="E18" s="497"/>
      <c r="F18" s="116"/>
      <c r="G18" s="144"/>
      <c r="H18" s="154"/>
      <c r="I18" s="140"/>
    </row>
    <row r="19" spans="1:9" x14ac:dyDescent="0.25">
      <c r="A19" s="116"/>
      <c r="B19" s="102"/>
      <c r="C19" s="497"/>
      <c r="D19" s="497"/>
      <c r="E19" s="497"/>
      <c r="F19" s="116"/>
      <c r="G19" s="144"/>
      <c r="H19" s="154"/>
      <c r="I19" s="140"/>
    </row>
    <row r="20" spans="1:9" x14ac:dyDescent="0.25">
      <c r="A20" s="122"/>
      <c r="B20" s="122"/>
      <c r="C20" s="498"/>
      <c r="D20" s="498"/>
      <c r="E20" s="498"/>
      <c r="F20" s="123"/>
      <c r="G20" s="124"/>
      <c r="H20" s="155"/>
      <c r="I20" s="126"/>
    </row>
    <row r="21" spans="1:9" ht="15" customHeight="1" x14ac:dyDescent="0.25">
      <c r="A21" s="502" t="s">
        <v>264</v>
      </c>
      <c r="B21" s="502"/>
      <c r="C21" s="502"/>
      <c r="D21" s="502"/>
      <c r="E21" s="502"/>
      <c r="F21" s="502"/>
      <c r="G21" s="502"/>
      <c r="H21" s="502"/>
      <c r="I21" s="127">
        <f>SUM(I17:I20)</f>
        <v>23.03</v>
      </c>
    </row>
    <row r="22" spans="1:9" x14ac:dyDescent="0.25">
      <c r="A22" s="298"/>
      <c r="B22" s="298"/>
      <c r="C22" s="298"/>
      <c r="D22" s="298"/>
      <c r="E22" s="298"/>
      <c r="F22" s="298"/>
      <c r="G22" s="298"/>
      <c r="H22" s="299"/>
      <c r="I22" s="109"/>
    </row>
    <row r="23" spans="1:9" x14ac:dyDescent="0.25">
      <c r="A23" s="510" t="s">
        <v>276</v>
      </c>
      <c r="B23" s="510"/>
      <c r="C23" s="510"/>
      <c r="D23" s="510"/>
      <c r="E23" s="510"/>
      <c r="F23" s="510"/>
      <c r="G23" s="510"/>
      <c r="H23" s="510"/>
      <c r="I23" s="510"/>
    </row>
    <row r="24" spans="1:9" x14ac:dyDescent="0.25">
      <c r="A24" s="105"/>
      <c r="B24" s="301"/>
      <c r="C24" s="511" t="s">
        <v>254</v>
      </c>
      <c r="D24" s="511"/>
      <c r="E24" s="511"/>
      <c r="F24" s="301" t="s">
        <v>255</v>
      </c>
      <c r="G24" s="110" t="s">
        <v>256</v>
      </c>
      <c r="H24" s="153" t="s">
        <v>257</v>
      </c>
      <c r="I24" s="108" t="s">
        <v>258</v>
      </c>
    </row>
    <row r="25" spans="1:9" x14ac:dyDescent="0.25">
      <c r="A25" s="134"/>
      <c r="B25" s="122"/>
      <c r="C25" s="516"/>
      <c r="D25" s="517"/>
      <c r="E25" s="518"/>
      <c r="F25" s="118"/>
      <c r="G25" s="142"/>
      <c r="H25" s="155"/>
      <c r="I25" s="139"/>
    </row>
    <row r="26" spans="1:9" x14ac:dyDescent="0.25">
      <c r="A26" s="111"/>
      <c r="B26" s="111"/>
      <c r="C26" s="499"/>
      <c r="D26" s="500"/>
      <c r="E26" s="501"/>
      <c r="F26" s="112"/>
      <c r="G26" s="112"/>
      <c r="H26" s="156"/>
      <c r="I26" s="114"/>
    </row>
    <row r="27" spans="1:9" x14ac:dyDescent="0.25">
      <c r="A27" s="502" t="s">
        <v>265</v>
      </c>
      <c r="B27" s="502"/>
      <c r="C27" s="502"/>
      <c r="D27" s="502"/>
      <c r="E27" s="502"/>
      <c r="F27" s="502"/>
      <c r="G27" s="502"/>
      <c r="H27" s="502"/>
      <c r="I27" s="115">
        <f>I25</f>
        <v>0</v>
      </c>
    </row>
    <row r="28" spans="1:9" x14ac:dyDescent="0.25">
      <c r="A28" s="512"/>
      <c r="B28" s="513"/>
      <c r="C28" s="513"/>
      <c r="D28" s="513"/>
      <c r="E28" s="513"/>
      <c r="F28" s="513"/>
      <c r="G28" s="513"/>
      <c r="H28" s="513"/>
      <c r="I28" s="514"/>
    </row>
    <row r="29" spans="1:9" x14ac:dyDescent="0.25">
      <c r="A29" s="503" t="s">
        <v>269</v>
      </c>
      <c r="B29" s="503"/>
      <c r="C29" s="503"/>
      <c r="D29" s="503"/>
      <c r="E29" s="503"/>
      <c r="F29" s="503"/>
      <c r="G29" s="503"/>
      <c r="H29" s="503"/>
      <c r="I29" s="503"/>
    </row>
    <row r="30" spans="1:9" x14ac:dyDescent="0.25">
      <c r="A30" s="509" t="s">
        <v>279</v>
      </c>
      <c r="B30" s="509"/>
      <c r="C30" s="509"/>
      <c r="D30" s="509"/>
      <c r="E30" s="509"/>
      <c r="F30" s="509"/>
      <c r="G30" s="509"/>
      <c r="H30" s="509"/>
      <c r="I30" s="128">
        <f>I13</f>
        <v>10.245292113955234</v>
      </c>
    </row>
    <row r="31" spans="1:9" x14ac:dyDescent="0.25">
      <c r="A31" s="509" t="s">
        <v>280</v>
      </c>
      <c r="B31" s="509"/>
      <c r="C31" s="509"/>
      <c r="D31" s="509"/>
      <c r="E31" s="509"/>
      <c r="F31" s="509"/>
      <c r="G31" s="509"/>
      <c r="H31" s="509"/>
      <c r="I31" s="128">
        <f>I21</f>
        <v>23.03</v>
      </c>
    </row>
    <row r="32" spans="1:9" x14ac:dyDescent="0.25">
      <c r="A32" s="509" t="s">
        <v>286</v>
      </c>
      <c r="B32" s="509"/>
      <c r="C32" s="509"/>
      <c r="D32" s="509"/>
      <c r="E32" s="509"/>
      <c r="F32" s="509"/>
      <c r="G32" s="509"/>
      <c r="H32" s="509"/>
      <c r="I32" s="128">
        <f>I27</f>
        <v>0</v>
      </c>
    </row>
    <row r="33" spans="1:9" x14ac:dyDescent="0.25">
      <c r="A33" s="509" t="s">
        <v>287</v>
      </c>
      <c r="B33" s="509"/>
      <c r="C33" s="509"/>
      <c r="D33" s="509"/>
      <c r="E33" s="509"/>
      <c r="F33" s="509"/>
      <c r="G33" s="509"/>
      <c r="H33" s="509"/>
      <c r="I33" s="135">
        <f>SUM(I30:I32)</f>
        <v>33.275292113955231</v>
      </c>
    </row>
  </sheetData>
  <mergeCells count="29">
    <mergeCell ref="A30:H30"/>
    <mergeCell ref="A31:H31"/>
    <mergeCell ref="A32:H32"/>
    <mergeCell ref="A33:H33"/>
    <mergeCell ref="C24:E24"/>
    <mergeCell ref="C25:E25"/>
    <mergeCell ref="C26:E26"/>
    <mergeCell ref="A28:I28"/>
    <mergeCell ref="A29:I29"/>
    <mergeCell ref="C9:E9"/>
    <mergeCell ref="A1:H4"/>
    <mergeCell ref="I1:I2"/>
    <mergeCell ref="A5:H6"/>
    <mergeCell ref="I5:I6"/>
    <mergeCell ref="A8:I8"/>
    <mergeCell ref="A7:I7"/>
    <mergeCell ref="C17:E17"/>
    <mergeCell ref="A27:H27"/>
    <mergeCell ref="C10:D10"/>
    <mergeCell ref="C11:D11"/>
    <mergeCell ref="C16:E16"/>
    <mergeCell ref="C12:D12"/>
    <mergeCell ref="A13:H13"/>
    <mergeCell ref="A15:I15"/>
    <mergeCell ref="C18:E18"/>
    <mergeCell ref="C19:E19"/>
    <mergeCell ref="C20:E20"/>
    <mergeCell ref="A21:H21"/>
    <mergeCell ref="A23:I23"/>
  </mergeCells>
  <pageMargins left="0.511811024" right="0.511811024" top="0.78740157499999996" bottom="0.78740157499999996" header="0.31496062000000002" footer="0.31496062000000002"/>
  <pageSetup paperSize="9" scale="75"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Normal="100" zoomScaleSheetLayoutView="100" workbookViewId="0">
      <selection activeCell="I31" sqref="I31"/>
    </sheetView>
  </sheetViews>
  <sheetFormatPr defaultRowHeight="15" x14ac:dyDescent="0.25"/>
  <cols>
    <col min="1" max="1" width="14.28515625" style="129" customWidth="1"/>
    <col min="2" max="2" width="12.85546875" style="129" customWidth="1"/>
    <col min="3" max="3" width="9.140625" style="130"/>
    <col min="4" max="4" width="29.7109375" style="130" customWidth="1"/>
    <col min="5" max="5" width="20.140625" style="130" customWidth="1"/>
    <col min="6" max="6" width="5" style="130" bestFit="1" customWidth="1"/>
    <col min="7" max="7" width="10.5703125" style="130" bestFit="1" customWidth="1"/>
    <col min="8" max="8" width="8.42578125" style="129" bestFit="1" customWidth="1"/>
    <col min="9" max="9" width="11"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44318</v>
      </c>
    </row>
    <row r="4" spans="1:9" ht="15" customHeight="1" x14ac:dyDescent="0.25">
      <c r="A4" s="504"/>
      <c r="B4" s="504"/>
      <c r="C4" s="504"/>
      <c r="D4" s="504"/>
      <c r="E4" s="504"/>
      <c r="F4" s="504"/>
      <c r="G4" s="504"/>
      <c r="H4" s="504"/>
      <c r="I4" s="302" t="s">
        <v>327</v>
      </c>
    </row>
    <row r="5" spans="1:9" ht="15" customHeight="1" x14ac:dyDescent="0.25">
      <c r="A5" s="506" t="s">
        <v>379</v>
      </c>
      <c r="B5" s="506"/>
      <c r="C5" s="506"/>
      <c r="D5" s="506"/>
      <c r="E5" s="506"/>
      <c r="F5" s="506"/>
      <c r="G5" s="506"/>
      <c r="H5" s="506"/>
      <c r="I5" s="507" t="s">
        <v>307</v>
      </c>
    </row>
    <row r="6" spans="1:9" x14ac:dyDescent="0.25">
      <c r="A6" s="506"/>
      <c r="B6" s="506"/>
      <c r="C6" s="506"/>
      <c r="D6" s="506"/>
      <c r="E6" s="506"/>
      <c r="F6" s="506"/>
      <c r="G6" s="506"/>
      <c r="H6" s="506"/>
      <c r="I6" s="507"/>
    </row>
    <row r="7" spans="1:9" x14ac:dyDescent="0.25">
      <c r="A7" s="508" t="s">
        <v>368</v>
      </c>
      <c r="B7" s="508"/>
      <c r="C7" s="508"/>
      <c r="D7" s="508"/>
      <c r="E7" s="508"/>
      <c r="F7" s="508"/>
      <c r="G7" s="508"/>
      <c r="H7" s="508"/>
      <c r="I7" s="508"/>
    </row>
    <row r="8" spans="1:9" ht="15" customHeight="1"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52" t="s">
        <v>257</v>
      </c>
      <c r="I9" s="101" t="s">
        <v>258</v>
      </c>
    </row>
    <row r="10" spans="1:9" x14ac:dyDescent="0.25">
      <c r="A10" s="137" t="s">
        <v>359</v>
      </c>
      <c r="B10" s="131" t="s">
        <v>372</v>
      </c>
      <c r="C10" s="524" t="s">
        <v>371</v>
      </c>
      <c r="D10" s="525"/>
      <c r="E10" s="106" t="s">
        <v>262</v>
      </c>
      <c r="F10" s="300" t="s">
        <v>259</v>
      </c>
      <c r="G10" s="99">
        <v>0.31619999999999998</v>
      </c>
      <c r="H10" s="107">
        <f>(18.8/1.8674)*2.5727</f>
        <v>25.900589054300102</v>
      </c>
      <c r="I10" s="138">
        <f>G10*H10</f>
        <v>8.1897662589696925</v>
      </c>
    </row>
    <row r="11" spans="1:9" x14ac:dyDescent="0.25">
      <c r="A11" s="137" t="s">
        <v>317</v>
      </c>
      <c r="B11" s="131" t="s">
        <v>372</v>
      </c>
      <c r="C11" s="524" t="s">
        <v>318</v>
      </c>
      <c r="D11" s="525"/>
      <c r="E11" s="106" t="s">
        <v>262</v>
      </c>
      <c r="F11" s="300" t="s">
        <v>259</v>
      </c>
      <c r="G11" s="196">
        <v>9.9599999999999994E-2</v>
      </c>
      <c r="H11" s="107">
        <f>(14.98/1.8674)*2.5727</f>
        <v>20.637809789011463</v>
      </c>
      <c r="I11" s="138">
        <f>G11*H11</f>
        <v>2.0555258549855417</v>
      </c>
    </row>
    <row r="12" spans="1:9" x14ac:dyDescent="0.25">
      <c r="A12" s="131"/>
      <c r="B12" s="301"/>
      <c r="C12" s="496"/>
      <c r="D12" s="496"/>
      <c r="E12" s="106"/>
      <c r="F12" s="301"/>
      <c r="G12" s="103"/>
      <c r="H12" s="153"/>
      <c r="I12" s="138"/>
    </row>
    <row r="13" spans="1:9" x14ac:dyDescent="0.25">
      <c r="A13" s="502" t="s">
        <v>260</v>
      </c>
      <c r="B13" s="502"/>
      <c r="C13" s="502"/>
      <c r="D13" s="502"/>
      <c r="E13" s="502"/>
      <c r="F13" s="502"/>
      <c r="G13" s="502"/>
      <c r="H13" s="502"/>
      <c r="I13" s="109">
        <f>I10+I11</f>
        <v>10.245292113955234</v>
      </c>
    </row>
    <row r="14" spans="1:9" x14ac:dyDescent="0.25">
      <c r="A14" s="298"/>
      <c r="B14" s="298"/>
      <c r="C14" s="298"/>
      <c r="D14" s="298"/>
      <c r="E14" s="298"/>
      <c r="F14" s="298"/>
      <c r="G14" s="298"/>
      <c r="H14" s="299"/>
      <c r="I14" s="109"/>
    </row>
    <row r="15" spans="1:9" x14ac:dyDescent="0.25">
      <c r="A15" s="503" t="s">
        <v>266</v>
      </c>
      <c r="B15" s="503"/>
      <c r="C15" s="503"/>
      <c r="D15" s="503"/>
      <c r="E15" s="503"/>
      <c r="F15" s="503"/>
      <c r="G15" s="503"/>
      <c r="H15" s="503"/>
      <c r="I15" s="503"/>
    </row>
    <row r="16" spans="1:9" ht="15" customHeight="1" x14ac:dyDescent="0.25">
      <c r="A16" s="98" t="s">
        <v>253</v>
      </c>
      <c r="B16" s="300" t="s">
        <v>9</v>
      </c>
      <c r="C16" s="494" t="s">
        <v>254</v>
      </c>
      <c r="D16" s="494"/>
      <c r="E16" s="494"/>
      <c r="F16" s="300" t="s">
        <v>255</v>
      </c>
      <c r="G16" s="99" t="s">
        <v>256</v>
      </c>
      <c r="H16" s="152" t="s">
        <v>257</v>
      </c>
      <c r="I16" s="101" t="s">
        <v>258</v>
      </c>
    </row>
    <row r="17" spans="1:9" x14ac:dyDescent="0.25">
      <c r="A17" s="116"/>
      <c r="B17" s="131" t="s">
        <v>474</v>
      </c>
      <c r="C17" s="497" t="s">
        <v>381</v>
      </c>
      <c r="D17" s="497"/>
      <c r="E17" s="497"/>
      <c r="F17" s="116" t="s">
        <v>22</v>
      </c>
      <c r="G17" s="103">
        <v>1</v>
      </c>
      <c r="H17" s="154">
        <f>'[1]COTAÇÕES '!P12</f>
        <v>51.066666666666663</v>
      </c>
      <c r="I17" s="140">
        <f>G17*H17</f>
        <v>51.066666666666663</v>
      </c>
    </row>
    <row r="18" spans="1:9" x14ac:dyDescent="0.25">
      <c r="A18" s="116"/>
      <c r="B18" s="102"/>
      <c r="C18" s="497"/>
      <c r="D18" s="497"/>
      <c r="E18" s="497"/>
      <c r="F18" s="116"/>
      <c r="G18" s="144"/>
      <c r="H18" s="154"/>
      <c r="I18" s="140"/>
    </row>
    <row r="19" spans="1:9" x14ac:dyDescent="0.25">
      <c r="A19" s="502" t="s">
        <v>264</v>
      </c>
      <c r="B19" s="502"/>
      <c r="C19" s="502"/>
      <c r="D19" s="502"/>
      <c r="E19" s="502"/>
      <c r="F19" s="502"/>
      <c r="G19" s="502"/>
      <c r="H19" s="502"/>
      <c r="I19" s="127">
        <f>SUM(I17:I18)</f>
        <v>51.066666666666663</v>
      </c>
    </row>
    <row r="20" spans="1:9" x14ac:dyDescent="0.25">
      <c r="A20" s="298"/>
      <c r="B20" s="298"/>
      <c r="C20" s="298"/>
      <c r="D20" s="298"/>
      <c r="E20" s="298"/>
      <c r="F20" s="298"/>
      <c r="G20" s="298"/>
      <c r="H20" s="299"/>
      <c r="I20" s="109"/>
    </row>
    <row r="21" spans="1:9" x14ac:dyDescent="0.25">
      <c r="A21" s="510" t="s">
        <v>276</v>
      </c>
      <c r="B21" s="510"/>
      <c r="C21" s="510"/>
      <c r="D21" s="510"/>
      <c r="E21" s="510"/>
      <c r="F21" s="510"/>
      <c r="G21" s="510"/>
      <c r="H21" s="510"/>
      <c r="I21" s="510"/>
    </row>
    <row r="22" spans="1:9" ht="15" customHeight="1" x14ac:dyDescent="0.25">
      <c r="A22" s="105"/>
      <c r="B22" s="301"/>
      <c r="C22" s="511" t="s">
        <v>254</v>
      </c>
      <c r="D22" s="511"/>
      <c r="E22" s="511"/>
      <c r="F22" s="301" t="s">
        <v>255</v>
      </c>
      <c r="G22" s="110" t="s">
        <v>256</v>
      </c>
      <c r="H22" s="153" t="s">
        <v>257</v>
      </c>
      <c r="I22" s="108" t="s">
        <v>258</v>
      </c>
    </row>
    <row r="23" spans="1:9" x14ac:dyDescent="0.25">
      <c r="A23" s="134"/>
      <c r="B23" s="122"/>
      <c r="C23" s="516"/>
      <c r="D23" s="517"/>
      <c r="E23" s="518"/>
      <c r="F23" s="118"/>
      <c r="G23" s="142"/>
      <c r="H23" s="155"/>
      <c r="I23" s="139"/>
    </row>
    <row r="24" spans="1:9" x14ac:dyDescent="0.25">
      <c r="A24" s="111"/>
      <c r="B24" s="111"/>
      <c r="C24" s="499"/>
      <c r="D24" s="500"/>
      <c r="E24" s="501"/>
      <c r="F24" s="112"/>
      <c r="G24" s="112"/>
      <c r="H24" s="156"/>
      <c r="I24" s="114"/>
    </row>
    <row r="25" spans="1:9" x14ac:dyDescent="0.25">
      <c r="A25" s="502" t="s">
        <v>265</v>
      </c>
      <c r="B25" s="502"/>
      <c r="C25" s="502"/>
      <c r="D25" s="502"/>
      <c r="E25" s="502"/>
      <c r="F25" s="502"/>
      <c r="G25" s="502"/>
      <c r="H25" s="502"/>
      <c r="I25" s="115">
        <f>I23</f>
        <v>0</v>
      </c>
    </row>
    <row r="26" spans="1:9" x14ac:dyDescent="0.25">
      <c r="A26" s="512"/>
      <c r="B26" s="513"/>
      <c r="C26" s="513"/>
      <c r="D26" s="513"/>
      <c r="E26" s="513"/>
      <c r="F26" s="513"/>
      <c r="G26" s="513"/>
      <c r="H26" s="513"/>
      <c r="I26" s="514"/>
    </row>
    <row r="27" spans="1:9" x14ac:dyDescent="0.25">
      <c r="A27" s="503" t="s">
        <v>269</v>
      </c>
      <c r="B27" s="503"/>
      <c r="C27" s="503"/>
      <c r="D27" s="503"/>
      <c r="E27" s="503"/>
      <c r="F27" s="503"/>
      <c r="G27" s="503"/>
      <c r="H27" s="503"/>
      <c r="I27" s="503"/>
    </row>
    <row r="28" spans="1:9" x14ac:dyDescent="0.25">
      <c r="A28" s="509" t="s">
        <v>279</v>
      </c>
      <c r="B28" s="509"/>
      <c r="C28" s="509"/>
      <c r="D28" s="509"/>
      <c r="E28" s="509"/>
      <c r="F28" s="509"/>
      <c r="G28" s="509"/>
      <c r="H28" s="509"/>
      <c r="I28" s="128">
        <f>I13</f>
        <v>10.245292113955234</v>
      </c>
    </row>
    <row r="29" spans="1:9" x14ac:dyDescent="0.25">
      <c r="A29" s="509" t="s">
        <v>280</v>
      </c>
      <c r="B29" s="509"/>
      <c r="C29" s="509"/>
      <c r="D29" s="509"/>
      <c r="E29" s="509"/>
      <c r="F29" s="509"/>
      <c r="G29" s="509"/>
      <c r="H29" s="509"/>
      <c r="I29" s="128">
        <f>I19</f>
        <v>51.066666666666663</v>
      </c>
    </row>
    <row r="30" spans="1:9" x14ac:dyDescent="0.25">
      <c r="A30" s="509" t="s">
        <v>286</v>
      </c>
      <c r="B30" s="509"/>
      <c r="C30" s="509"/>
      <c r="D30" s="509"/>
      <c r="E30" s="509"/>
      <c r="F30" s="509"/>
      <c r="G30" s="509"/>
      <c r="H30" s="509"/>
      <c r="I30" s="128">
        <f>I25</f>
        <v>0</v>
      </c>
    </row>
    <row r="31" spans="1:9" x14ac:dyDescent="0.25">
      <c r="A31" s="509" t="s">
        <v>287</v>
      </c>
      <c r="B31" s="509"/>
      <c r="C31" s="509"/>
      <c r="D31" s="509"/>
      <c r="E31" s="509"/>
      <c r="F31" s="509"/>
      <c r="G31" s="509"/>
      <c r="H31" s="509"/>
      <c r="I31" s="135">
        <f>SUM(I28:I30)</f>
        <v>61.311958780621893</v>
      </c>
    </row>
  </sheetData>
  <mergeCells count="27">
    <mergeCell ref="A31:H31"/>
    <mergeCell ref="C16:E16"/>
    <mergeCell ref="A1:H4"/>
    <mergeCell ref="I1:I2"/>
    <mergeCell ref="A5:H6"/>
    <mergeCell ref="I5:I6"/>
    <mergeCell ref="A8:I8"/>
    <mergeCell ref="C9:E9"/>
    <mergeCell ref="C10:D10"/>
    <mergeCell ref="C11:D11"/>
    <mergeCell ref="A7:I7"/>
    <mergeCell ref="C12:D12"/>
    <mergeCell ref="A13:H13"/>
    <mergeCell ref="A15:I15"/>
    <mergeCell ref="A30:H30"/>
    <mergeCell ref="C17:E17"/>
    <mergeCell ref="A29:H29"/>
    <mergeCell ref="C18:E18"/>
    <mergeCell ref="A19:H19"/>
    <mergeCell ref="C24:E24"/>
    <mergeCell ref="A25:H25"/>
    <mergeCell ref="A27:I27"/>
    <mergeCell ref="A21:I21"/>
    <mergeCell ref="C22:E22"/>
    <mergeCell ref="C23:E23"/>
    <mergeCell ref="A26:I26"/>
    <mergeCell ref="A28:H28"/>
  </mergeCells>
  <pageMargins left="0.511811024" right="0.511811024" top="0.78740157499999996" bottom="0.78740157499999996" header="0.31496062000000002" footer="0.31496062000000002"/>
  <pageSetup paperSize="9" scale="75"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topLeftCell="A2" zoomScaleNormal="100" zoomScaleSheetLayoutView="100" workbookViewId="0">
      <selection activeCell="J31" sqref="J31"/>
    </sheetView>
  </sheetViews>
  <sheetFormatPr defaultRowHeight="15" x14ac:dyDescent="0.25"/>
  <cols>
    <col min="1" max="1" width="14.28515625" style="129" customWidth="1"/>
    <col min="2" max="2" width="12.85546875" style="129" customWidth="1"/>
    <col min="3" max="3" width="9.140625" style="130"/>
    <col min="4" max="4" width="29.7109375" style="130" customWidth="1"/>
    <col min="5" max="5" width="20.140625" style="130" customWidth="1"/>
    <col min="6" max="6" width="5" style="130" bestFit="1" customWidth="1"/>
    <col min="7" max="7" width="10.5703125" style="130" bestFit="1" customWidth="1"/>
    <col min="8" max="8" width="8.42578125" style="129" bestFit="1" customWidth="1"/>
    <col min="9" max="9" width="15.140625" style="130" bestFit="1" customWidth="1"/>
  </cols>
  <sheetData>
    <row r="1" spans="1:9" ht="15" customHeight="1" x14ac:dyDescent="0.25">
      <c r="A1" s="504" t="s">
        <v>250</v>
      </c>
      <c r="B1" s="504"/>
      <c r="C1" s="504"/>
      <c r="D1" s="504"/>
      <c r="E1" s="504"/>
      <c r="F1" s="504"/>
      <c r="G1" s="504"/>
      <c r="H1" s="504"/>
      <c r="I1" s="505" t="s">
        <v>251</v>
      </c>
    </row>
    <row r="2" spans="1:9" ht="15" customHeight="1" x14ac:dyDescent="0.25">
      <c r="A2" s="504"/>
      <c r="B2" s="504"/>
      <c r="C2" s="504"/>
      <c r="D2" s="504"/>
      <c r="E2" s="504"/>
      <c r="F2" s="504"/>
      <c r="G2" s="504"/>
      <c r="H2" s="504"/>
      <c r="I2" s="505"/>
    </row>
    <row r="3" spans="1:9" ht="15" customHeight="1" x14ac:dyDescent="0.25">
      <c r="A3" s="504"/>
      <c r="B3" s="504"/>
      <c r="C3" s="504"/>
      <c r="D3" s="504"/>
      <c r="E3" s="504"/>
      <c r="F3" s="504"/>
      <c r="G3" s="504"/>
      <c r="H3" s="504"/>
      <c r="I3" s="97">
        <v>44317</v>
      </c>
    </row>
    <row r="4" spans="1:9" ht="15" customHeight="1" x14ac:dyDescent="0.25">
      <c r="A4" s="504"/>
      <c r="B4" s="504"/>
      <c r="C4" s="504"/>
      <c r="D4" s="504"/>
      <c r="E4" s="504"/>
      <c r="F4" s="504"/>
      <c r="G4" s="504"/>
      <c r="H4" s="504"/>
      <c r="I4" s="302" t="s">
        <v>351</v>
      </c>
    </row>
    <row r="5" spans="1:9" ht="15" customHeight="1" x14ac:dyDescent="0.25">
      <c r="A5" s="506" t="s">
        <v>389</v>
      </c>
      <c r="B5" s="506"/>
      <c r="C5" s="506"/>
      <c r="D5" s="506"/>
      <c r="E5" s="506"/>
      <c r="F5" s="506"/>
      <c r="G5" s="506"/>
      <c r="H5" s="506"/>
      <c r="I5" s="507" t="s">
        <v>307</v>
      </c>
    </row>
    <row r="6" spans="1:9" x14ac:dyDescent="0.25">
      <c r="A6" s="506"/>
      <c r="B6" s="506"/>
      <c r="C6" s="506"/>
      <c r="D6" s="506"/>
      <c r="E6" s="506"/>
      <c r="F6" s="506"/>
      <c r="G6" s="506"/>
      <c r="H6" s="506"/>
      <c r="I6" s="507"/>
    </row>
    <row r="7" spans="1:9" x14ac:dyDescent="0.25">
      <c r="A7" s="508" t="s">
        <v>388</v>
      </c>
      <c r="B7" s="508"/>
      <c r="C7" s="508"/>
      <c r="D7" s="508"/>
      <c r="E7" s="508"/>
      <c r="F7" s="508"/>
      <c r="G7" s="508"/>
      <c r="H7" s="508"/>
      <c r="I7" s="508"/>
    </row>
    <row r="8" spans="1:9" ht="15" customHeight="1" x14ac:dyDescent="0.25">
      <c r="A8" s="503" t="s">
        <v>261</v>
      </c>
      <c r="B8" s="503"/>
      <c r="C8" s="503"/>
      <c r="D8" s="503"/>
      <c r="E8" s="503"/>
      <c r="F8" s="503"/>
      <c r="G8" s="503"/>
      <c r="H8" s="503"/>
      <c r="I8" s="503"/>
    </row>
    <row r="9" spans="1:9" x14ac:dyDescent="0.25">
      <c r="A9" s="98" t="s">
        <v>253</v>
      </c>
      <c r="B9" s="300" t="s">
        <v>9</v>
      </c>
      <c r="C9" s="494" t="s">
        <v>254</v>
      </c>
      <c r="D9" s="494"/>
      <c r="E9" s="494"/>
      <c r="F9" s="300" t="s">
        <v>255</v>
      </c>
      <c r="G9" s="99" t="s">
        <v>256</v>
      </c>
      <c r="H9" s="152" t="s">
        <v>257</v>
      </c>
      <c r="I9" s="101" t="s">
        <v>258</v>
      </c>
    </row>
    <row r="10" spans="1:9" ht="28.5" customHeight="1" x14ac:dyDescent="0.25">
      <c r="A10" s="137" t="s">
        <v>386</v>
      </c>
      <c r="B10" s="131" t="s">
        <v>372</v>
      </c>
      <c r="C10" s="524" t="s">
        <v>355</v>
      </c>
      <c r="D10" s="525"/>
      <c r="E10" s="106" t="s">
        <v>262</v>
      </c>
      <c r="F10" s="300" t="s">
        <v>259</v>
      </c>
      <c r="G10" s="197">
        <v>0.22989999999999999</v>
      </c>
      <c r="H10" s="107">
        <f>(17.46/1.8674)*2.5727</f>
        <v>24.054483238727645</v>
      </c>
      <c r="I10" s="138">
        <f>G10*H10</f>
        <v>5.5301256965834851</v>
      </c>
    </row>
    <row r="11" spans="1:9" x14ac:dyDescent="0.25">
      <c r="A11" s="137" t="s">
        <v>387</v>
      </c>
      <c r="B11" s="131" t="s">
        <v>372</v>
      </c>
      <c r="C11" s="524" t="s">
        <v>356</v>
      </c>
      <c r="D11" s="525"/>
      <c r="E11" s="106" t="s">
        <v>262</v>
      </c>
      <c r="F11" s="300" t="s">
        <v>259</v>
      </c>
      <c r="G11" s="196">
        <v>0.55179999999999996</v>
      </c>
      <c r="H11" s="107">
        <f>(22.54/1.8674)*2.5727</f>
        <v>31.053153047017243</v>
      </c>
      <c r="I11" s="138">
        <f>G11*H11</f>
        <v>17.135129851344114</v>
      </c>
    </row>
    <row r="12" spans="1:9" x14ac:dyDescent="0.25">
      <c r="A12" s="131"/>
      <c r="B12" s="301"/>
      <c r="C12" s="496"/>
      <c r="D12" s="496"/>
      <c r="E12" s="106"/>
      <c r="F12" s="301"/>
      <c r="G12" s="103"/>
      <c r="H12" s="153"/>
      <c r="I12" s="138"/>
    </row>
    <row r="13" spans="1:9" x14ac:dyDescent="0.25">
      <c r="A13" s="502" t="s">
        <v>260</v>
      </c>
      <c r="B13" s="502"/>
      <c r="C13" s="502"/>
      <c r="D13" s="502"/>
      <c r="E13" s="502"/>
      <c r="F13" s="502"/>
      <c r="G13" s="502"/>
      <c r="H13" s="502"/>
      <c r="I13" s="109">
        <f>I10+I11</f>
        <v>22.6652555479276</v>
      </c>
    </row>
    <row r="14" spans="1:9" x14ac:dyDescent="0.25">
      <c r="A14" s="298"/>
      <c r="B14" s="298"/>
      <c r="C14" s="298"/>
      <c r="D14" s="298"/>
      <c r="E14" s="298"/>
      <c r="F14" s="298"/>
      <c r="G14" s="298"/>
      <c r="H14" s="299"/>
      <c r="I14" s="109"/>
    </row>
    <row r="15" spans="1:9" x14ac:dyDescent="0.25">
      <c r="A15" s="503" t="s">
        <v>266</v>
      </c>
      <c r="B15" s="503"/>
      <c r="C15" s="503"/>
      <c r="D15" s="503"/>
      <c r="E15" s="503"/>
      <c r="F15" s="503"/>
      <c r="G15" s="503"/>
      <c r="H15" s="503"/>
      <c r="I15" s="503"/>
    </row>
    <row r="16" spans="1:9" ht="15" customHeight="1" x14ac:dyDescent="0.25">
      <c r="A16" s="98" t="s">
        <v>253</v>
      </c>
      <c r="B16" s="300" t="s">
        <v>9</v>
      </c>
      <c r="C16" s="494" t="s">
        <v>254</v>
      </c>
      <c r="D16" s="494"/>
      <c r="E16" s="494"/>
      <c r="F16" s="300" t="s">
        <v>255</v>
      </c>
      <c r="G16" s="99" t="s">
        <v>256</v>
      </c>
      <c r="H16" s="152" t="s">
        <v>257</v>
      </c>
      <c r="I16" s="101" t="s">
        <v>258</v>
      </c>
    </row>
    <row r="17" spans="1:9" ht="15" customHeight="1" x14ac:dyDescent="0.25">
      <c r="A17" s="116" t="s">
        <v>391</v>
      </c>
      <c r="B17" s="131" t="s">
        <v>372</v>
      </c>
      <c r="C17" s="497" t="s">
        <v>390</v>
      </c>
      <c r="D17" s="497"/>
      <c r="E17" s="497"/>
      <c r="F17" s="116" t="s">
        <v>22</v>
      </c>
      <c r="G17" s="103">
        <v>1</v>
      </c>
      <c r="H17" s="154">
        <v>8.6</v>
      </c>
      <c r="I17" s="140">
        <f>G17*H17</f>
        <v>8.6</v>
      </c>
    </row>
    <row r="18" spans="1:9" x14ac:dyDescent="0.25">
      <c r="A18" s="116" t="s">
        <v>392</v>
      </c>
      <c r="B18" s="131" t="s">
        <v>372</v>
      </c>
      <c r="C18" s="497" t="s">
        <v>393</v>
      </c>
      <c r="D18" s="497"/>
      <c r="E18" s="497"/>
      <c r="F18" s="116" t="s">
        <v>22</v>
      </c>
      <c r="G18" s="144">
        <v>1</v>
      </c>
      <c r="H18" s="154">
        <v>66.11</v>
      </c>
      <c r="I18" s="140">
        <f>G18*H18</f>
        <v>66.11</v>
      </c>
    </row>
    <row r="19" spans="1:9" x14ac:dyDescent="0.25">
      <c r="A19" s="502" t="s">
        <v>264</v>
      </c>
      <c r="B19" s="502"/>
      <c r="C19" s="502"/>
      <c r="D19" s="502"/>
      <c r="E19" s="502"/>
      <c r="F19" s="502"/>
      <c r="G19" s="502"/>
      <c r="H19" s="502"/>
      <c r="I19" s="127">
        <f>SUM(I17:I18)</f>
        <v>74.709999999999994</v>
      </c>
    </row>
    <row r="20" spans="1:9" x14ac:dyDescent="0.25">
      <c r="A20" s="298"/>
      <c r="B20" s="298"/>
      <c r="C20" s="298"/>
      <c r="D20" s="298"/>
      <c r="E20" s="298"/>
      <c r="F20" s="298"/>
      <c r="G20" s="298"/>
      <c r="H20" s="299"/>
      <c r="I20" s="109"/>
    </row>
    <row r="21" spans="1:9" x14ac:dyDescent="0.25">
      <c r="A21" s="510" t="s">
        <v>276</v>
      </c>
      <c r="B21" s="510"/>
      <c r="C21" s="510"/>
      <c r="D21" s="510"/>
      <c r="E21" s="510"/>
      <c r="F21" s="510"/>
      <c r="G21" s="510"/>
      <c r="H21" s="510"/>
      <c r="I21" s="510"/>
    </row>
    <row r="22" spans="1:9" x14ac:dyDescent="0.25">
      <c r="A22" s="105"/>
      <c r="B22" s="301"/>
      <c r="C22" s="511" t="s">
        <v>254</v>
      </c>
      <c r="D22" s="511"/>
      <c r="E22" s="511"/>
      <c r="F22" s="301" t="s">
        <v>255</v>
      </c>
      <c r="G22" s="110" t="s">
        <v>256</v>
      </c>
      <c r="H22" s="153" t="s">
        <v>257</v>
      </c>
      <c r="I22" s="108" t="s">
        <v>258</v>
      </c>
    </row>
    <row r="23" spans="1:9" ht="15" customHeight="1" x14ac:dyDescent="0.25">
      <c r="A23" s="134"/>
      <c r="B23" s="122"/>
      <c r="C23" s="516"/>
      <c r="D23" s="517"/>
      <c r="E23" s="518"/>
      <c r="F23" s="118"/>
      <c r="G23" s="142"/>
      <c r="H23" s="155"/>
      <c r="I23" s="139"/>
    </row>
    <row r="24" spans="1:9" x14ac:dyDescent="0.25">
      <c r="A24" s="111"/>
      <c r="B24" s="111"/>
      <c r="C24" s="499"/>
      <c r="D24" s="500"/>
      <c r="E24" s="501"/>
      <c r="F24" s="112"/>
      <c r="G24" s="112"/>
      <c r="H24" s="156"/>
      <c r="I24" s="114"/>
    </row>
    <row r="25" spans="1:9" x14ac:dyDescent="0.25">
      <c r="A25" s="502" t="s">
        <v>265</v>
      </c>
      <c r="B25" s="502"/>
      <c r="C25" s="502"/>
      <c r="D25" s="502"/>
      <c r="E25" s="502"/>
      <c r="F25" s="502"/>
      <c r="G25" s="502"/>
      <c r="H25" s="502"/>
      <c r="I25" s="115">
        <f>I23</f>
        <v>0</v>
      </c>
    </row>
    <row r="26" spans="1:9" x14ac:dyDescent="0.25">
      <c r="A26" s="512"/>
      <c r="B26" s="513"/>
      <c r="C26" s="513"/>
      <c r="D26" s="513"/>
      <c r="E26" s="513"/>
      <c r="F26" s="513"/>
      <c r="G26" s="513"/>
      <c r="H26" s="513"/>
      <c r="I26" s="514"/>
    </row>
    <row r="27" spans="1:9" x14ac:dyDescent="0.25">
      <c r="A27" s="503" t="s">
        <v>269</v>
      </c>
      <c r="B27" s="503"/>
      <c r="C27" s="503"/>
      <c r="D27" s="503"/>
      <c r="E27" s="503"/>
      <c r="F27" s="503"/>
      <c r="G27" s="503"/>
      <c r="H27" s="503"/>
      <c r="I27" s="503"/>
    </row>
    <row r="28" spans="1:9" x14ac:dyDescent="0.25">
      <c r="A28" s="509" t="s">
        <v>279</v>
      </c>
      <c r="B28" s="509"/>
      <c r="C28" s="509"/>
      <c r="D28" s="509"/>
      <c r="E28" s="509"/>
      <c r="F28" s="509"/>
      <c r="G28" s="509"/>
      <c r="H28" s="509"/>
      <c r="I28" s="128">
        <f>I13</f>
        <v>22.6652555479276</v>
      </c>
    </row>
    <row r="29" spans="1:9" x14ac:dyDescent="0.25">
      <c r="A29" s="509" t="s">
        <v>280</v>
      </c>
      <c r="B29" s="509"/>
      <c r="C29" s="509"/>
      <c r="D29" s="509"/>
      <c r="E29" s="509"/>
      <c r="F29" s="509"/>
      <c r="G29" s="509"/>
      <c r="H29" s="509"/>
      <c r="I29" s="128">
        <f>I19</f>
        <v>74.709999999999994</v>
      </c>
    </row>
    <row r="30" spans="1:9" x14ac:dyDescent="0.25">
      <c r="A30" s="509" t="s">
        <v>286</v>
      </c>
      <c r="B30" s="509"/>
      <c r="C30" s="509"/>
      <c r="D30" s="509"/>
      <c r="E30" s="509"/>
      <c r="F30" s="509"/>
      <c r="G30" s="509"/>
      <c r="H30" s="509"/>
      <c r="I30" s="128">
        <f>I25</f>
        <v>0</v>
      </c>
    </row>
    <row r="31" spans="1:9" x14ac:dyDescent="0.25">
      <c r="A31" s="509" t="s">
        <v>287</v>
      </c>
      <c r="B31" s="509"/>
      <c r="C31" s="509"/>
      <c r="D31" s="509"/>
      <c r="E31" s="509"/>
      <c r="F31" s="509"/>
      <c r="G31" s="509"/>
      <c r="H31" s="509"/>
      <c r="I31" s="135">
        <f>SUM(I28:I30)</f>
        <v>97.375255547927594</v>
      </c>
    </row>
  </sheetData>
  <mergeCells count="27">
    <mergeCell ref="A8:I8"/>
    <mergeCell ref="A1:H4"/>
    <mergeCell ref="I1:I2"/>
    <mergeCell ref="A5:H6"/>
    <mergeCell ref="I5:I6"/>
    <mergeCell ref="A7:I7"/>
    <mergeCell ref="C23:E23"/>
    <mergeCell ref="C9:E9"/>
    <mergeCell ref="C10:D10"/>
    <mergeCell ref="C11:D11"/>
    <mergeCell ref="C16:E16"/>
    <mergeCell ref="C17:E17"/>
    <mergeCell ref="C18:E18"/>
    <mergeCell ref="A19:H19"/>
    <mergeCell ref="C12:D12"/>
    <mergeCell ref="A13:H13"/>
    <mergeCell ref="A15:I15"/>
    <mergeCell ref="A21:I21"/>
    <mergeCell ref="C22:E22"/>
    <mergeCell ref="A30:H30"/>
    <mergeCell ref="A31:H31"/>
    <mergeCell ref="C24:E24"/>
    <mergeCell ref="A25:H25"/>
    <mergeCell ref="A26:I26"/>
    <mergeCell ref="A27:I27"/>
    <mergeCell ref="A28:H28"/>
    <mergeCell ref="A29:H29"/>
  </mergeCells>
  <pageMargins left="0.511811024" right="0.511811024" top="0.78740157499999996" bottom="0.78740157499999996" header="0.31496062000000002" footer="0.31496062000000002"/>
  <pageSetup paperSize="9" scale="73"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100" zoomScaleSheetLayoutView="100" workbookViewId="0">
      <selection activeCell="I29" sqref="I29"/>
    </sheetView>
  </sheetViews>
  <sheetFormatPr defaultRowHeight="15" x14ac:dyDescent="0.25"/>
  <cols>
    <col min="1" max="1" width="12.28515625" style="129" customWidth="1"/>
    <col min="2" max="2" width="10" style="129" bestFit="1" customWidth="1"/>
    <col min="3" max="3" width="9.140625" style="130"/>
    <col min="4" max="4" width="38.140625" style="130" customWidth="1"/>
    <col min="5" max="5" width="20.7109375" style="130" customWidth="1"/>
    <col min="6" max="6" width="5" style="130" bestFit="1" customWidth="1"/>
    <col min="7" max="7" width="8.5703125" style="130" bestFit="1" customWidth="1"/>
    <col min="8" max="8" width="8.42578125" style="130" bestFit="1" customWidth="1"/>
    <col min="9" max="9" width="15.140625" style="130" bestFit="1" customWidth="1"/>
  </cols>
  <sheetData>
    <row r="1" spans="1:9" ht="15" customHeight="1" x14ac:dyDescent="0.25">
      <c r="A1" s="526" t="s">
        <v>250</v>
      </c>
      <c r="B1" s="526"/>
      <c r="C1" s="526"/>
      <c r="D1" s="526"/>
      <c r="E1" s="526"/>
      <c r="F1" s="526"/>
      <c r="G1" s="526"/>
      <c r="H1" s="526"/>
      <c r="I1" s="505" t="s">
        <v>251</v>
      </c>
    </row>
    <row r="2" spans="1:9" ht="15" customHeight="1" x14ac:dyDescent="0.25">
      <c r="A2" s="526"/>
      <c r="B2" s="526"/>
      <c r="C2" s="526"/>
      <c r="D2" s="526"/>
      <c r="E2" s="526"/>
      <c r="F2" s="526"/>
      <c r="G2" s="526"/>
      <c r="H2" s="526"/>
      <c r="I2" s="505"/>
    </row>
    <row r="3" spans="1:9" ht="15" customHeight="1" x14ac:dyDescent="0.25">
      <c r="A3" s="526"/>
      <c r="B3" s="526"/>
      <c r="C3" s="526"/>
      <c r="D3" s="526"/>
      <c r="E3" s="526"/>
      <c r="F3" s="526"/>
      <c r="G3" s="526"/>
      <c r="H3" s="526"/>
      <c r="I3" s="97">
        <v>44318</v>
      </c>
    </row>
    <row r="4" spans="1:9" ht="15" customHeight="1" x14ac:dyDescent="0.25">
      <c r="A4" s="526"/>
      <c r="B4" s="526"/>
      <c r="C4" s="526"/>
      <c r="D4" s="526"/>
      <c r="E4" s="526"/>
      <c r="F4" s="526"/>
      <c r="G4" s="526"/>
      <c r="H4" s="526"/>
      <c r="I4" s="308" t="s">
        <v>484</v>
      </c>
    </row>
    <row r="5" spans="1:9" ht="15" customHeight="1" x14ac:dyDescent="0.25">
      <c r="A5" s="506" t="s">
        <v>483</v>
      </c>
      <c r="B5" s="506"/>
      <c r="C5" s="506"/>
      <c r="D5" s="506"/>
      <c r="E5" s="506"/>
      <c r="F5" s="506"/>
      <c r="G5" s="506"/>
      <c r="H5" s="506"/>
      <c r="I5" s="507" t="s">
        <v>367</v>
      </c>
    </row>
    <row r="6" spans="1:9" x14ac:dyDescent="0.25">
      <c r="A6" s="506"/>
      <c r="B6" s="506"/>
      <c r="C6" s="506"/>
      <c r="D6" s="506"/>
      <c r="E6" s="506"/>
      <c r="F6" s="506"/>
      <c r="G6" s="506"/>
      <c r="H6" s="506"/>
      <c r="I6" s="507"/>
    </row>
    <row r="7" spans="1:9" ht="15" customHeight="1" x14ac:dyDescent="0.25">
      <c r="A7" s="508" t="s">
        <v>482</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98" t="s">
        <v>253</v>
      </c>
      <c r="B9" s="305" t="s">
        <v>9</v>
      </c>
      <c r="C9" s="494" t="s">
        <v>254</v>
      </c>
      <c r="D9" s="494"/>
      <c r="E9" s="494"/>
      <c r="F9" s="305" t="s">
        <v>255</v>
      </c>
      <c r="G9" s="99" t="s">
        <v>256</v>
      </c>
      <c r="H9" s="100" t="s">
        <v>257</v>
      </c>
      <c r="I9" s="101" t="s">
        <v>258</v>
      </c>
    </row>
    <row r="10" spans="1:9" x14ac:dyDescent="0.25">
      <c r="A10" s="131" t="s">
        <v>486</v>
      </c>
      <c r="B10" s="131" t="s">
        <v>310</v>
      </c>
      <c r="C10" s="495" t="s">
        <v>485</v>
      </c>
      <c r="D10" s="496"/>
      <c r="E10" s="106" t="s">
        <v>262</v>
      </c>
      <c r="F10" s="307" t="s">
        <v>259</v>
      </c>
      <c r="G10" s="103">
        <v>7.1300000000000002E-2</v>
      </c>
      <c r="H10" s="107">
        <f>(16.79/1.8674)*2.5727</f>
        <v>23.13143033094142</v>
      </c>
      <c r="I10" s="138">
        <f>G10*H10</f>
        <v>1.6492709825961234</v>
      </c>
    </row>
    <row r="11" spans="1:9" x14ac:dyDescent="0.25">
      <c r="A11" s="131" t="s">
        <v>317</v>
      </c>
      <c r="B11" s="131" t="s">
        <v>310</v>
      </c>
      <c r="C11" s="527" t="s">
        <v>318</v>
      </c>
      <c r="D11" s="528"/>
      <c r="E11" s="106" t="s">
        <v>262</v>
      </c>
      <c r="F11" s="131" t="s">
        <v>259</v>
      </c>
      <c r="G11" s="103">
        <v>0.1401</v>
      </c>
      <c r="H11" s="107">
        <f>(14.98/1.8674)*2.5727</f>
        <v>20.637809789011463</v>
      </c>
      <c r="I11" s="138">
        <f>G11*H11</f>
        <v>2.8913571514405061</v>
      </c>
    </row>
    <row r="12" spans="1:9" x14ac:dyDescent="0.25">
      <c r="A12" s="502" t="s">
        <v>260</v>
      </c>
      <c r="B12" s="502"/>
      <c r="C12" s="502"/>
      <c r="D12" s="502"/>
      <c r="E12" s="502"/>
      <c r="F12" s="502"/>
      <c r="G12" s="502"/>
      <c r="H12" s="502"/>
      <c r="I12" s="109">
        <f>SUM(I10:I11)</f>
        <v>4.5406281340366297</v>
      </c>
    </row>
    <row r="13" spans="1:9" x14ac:dyDescent="0.25">
      <c r="A13" s="306"/>
      <c r="B13" s="306"/>
      <c r="C13" s="306"/>
      <c r="D13" s="306"/>
      <c r="E13" s="306"/>
      <c r="F13" s="306"/>
      <c r="G13" s="306"/>
      <c r="H13" s="306"/>
      <c r="I13" s="109"/>
    </row>
    <row r="14" spans="1:9" x14ac:dyDescent="0.25">
      <c r="A14" s="503" t="s">
        <v>266</v>
      </c>
      <c r="B14" s="503"/>
      <c r="C14" s="503"/>
      <c r="D14" s="503"/>
      <c r="E14" s="503"/>
      <c r="F14" s="503"/>
      <c r="G14" s="503"/>
      <c r="H14" s="503"/>
      <c r="I14" s="503"/>
    </row>
    <row r="15" spans="1:9" x14ac:dyDescent="0.25">
      <c r="A15" s="98" t="s">
        <v>253</v>
      </c>
      <c r="B15" s="305" t="s">
        <v>9</v>
      </c>
      <c r="C15" s="494" t="s">
        <v>254</v>
      </c>
      <c r="D15" s="494"/>
      <c r="E15" s="494"/>
      <c r="F15" s="305" t="s">
        <v>255</v>
      </c>
      <c r="G15" s="99" t="s">
        <v>256</v>
      </c>
      <c r="H15" s="100" t="s">
        <v>257</v>
      </c>
      <c r="I15" s="101" t="s">
        <v>258</v>
      </c>
    </row>
    <row r="16" spans="1:9" ht="32.25" customHeight="1" x14ac:dyDescent="0.25">
      <c r="A16" s="122"/>
      <c r="B16" s="122"/>
      <c r="C16" s="498"/>
      <c r="D16" s="498"/>
      <c r="E16" s="498"/>
      <c r="F16" s="123"/>
      <c r="G16" s="124"/>
      <c r="H16" s="125"/>
      <c r="I16" s="126"/>
    </row>
    <row r="17" spans="1:9" x14ac:dyDescent="0.25">
      <c r="A17" s="502" t="s">
        <v>264</v>
      </c>
      <c r="B17" s="502"/>
      <c r="C17" s="502"/>
      <c r="D17" s="502"/>
      <c r="E17" s="502"/>
      <c r="F17" s="502"/>
      <c r="G17" s="502"/>
      <c r="H17" s="502"/>
      <c r="I17" s="127">
        <f>SUM(I16:I16)</f>
        <v>0</v>
      </c>
    </row>
    <row r="18" spans="1:9" x14ac:dyDescent="0.25">
      <c r="A18" s="306"/>
      <c r="B18" s="306"/>
      <c r="C18" s="306"/>
      <c r="D18" s="306"/>
      <c r="E18" s="306"/>
      <c r="F18" s="306"/>
      <c r="G18" s="306"/>
      <c r="H18" s="306"/>
      <c r="I18" s="109"/>
    </row>
    <row r="19" spans="1:9" x14ac:dyDescent="0.25">
      <c r="A19" s="306"/>
      <c r="B19" s="306"/>
      <c r="C19" s="306"/>
      <c r="D19" s="306"/>
      <c r="E19" s="306"/>
      <c r="F19" s="306"/>
      <c r="G19" s="306"/>
      <c r="H19" s="306"/>
      <c r="I19" s="109"/>
    </row>
    <row r="20" spans="1:9" x14ac:dyDescent="0.25">
      <c r="A20" s="510" t="s">
        <v>276</v>
      </c>
      <c r="B20" s="510"/>
      <c r="C20" s="510"/>
      <c r="D20" s="510"/>
      <c r="E20" s="510"/>
      <c r="F20" s="510"/>
      <c r="G20" s="510"/>
      <c r="H20" s="510"/>
      <c r="I20" s="510"/>
    </row>
    <row r="21" spans="1:9" x14ac:dyDescent="0.25">
      <c r="A21" s="105"/>
      <c r="B21" s="307"/>
      <c r="C21" s="511" t="s">
        <v>254</v>
      </c>
      <c r="D21" s="511"/>
      <c r="E21" s="511"/>
      <c r="F21" s="307" t="s">
        <v>255</v>
      </c>
      <c r="G21" s="110" t="s">
        <v>256</v>
      </c>
      <c r="H21" s="107" t="s">
        <v>257</v>
      </c>
      <c r="I21" s="108" t="s">
        <v>258</v>
      </c>
    </row>
    <row r="22" spans="1:9" ht="15" customHeight="1" x14ac:dyDescent="0.25">
      <c r="A22" s="111"/>
      <c r="B22" s="111"/>
      <c r="C22" s="499"/>
      <c r="D22" s="500"/>
      <c r="E22" s="501"/>
      <c r="F22" s="112"/>
      <c r="G22" s="112"/>
      <c r="H22" s="113"/>
      <c r="I22" s="114"/>
    </row>
    <row r="23" spans="1:9" x14ac:dyDescent="0.25">
      <c r="A23" s="502" t="s">
        <v>265</v>
      </c>
      <c r="B23" s="502"/>
      <c r="C23" s="502"/>
      <c r="D23" s="502"/>
      <c r="E23" s="502"/>
      <c r="F23" s="502"/>
      <c r="G23" s="502"/>
      <c r="H23" s="502"/>
      <c r="I23" s="115">
        <f>I22</f>
        <v>0</v>
      </c>
    </row>
    <row r="24" spans="1:9" x14ac:dyDescent="0.25">
      <c r="A24" s="512"/>
      <c r="B24" s="513"/>
      <c r="C24" s="513"/>
      <c r="D24" s="513"/>
      <c r="E24" s="513"/>
      <c r="F24" s="513"/>
      <c r="G24" s="513"/>
      <c r="H24" s="513"/>
      <c r="I24" s="514"/>
    </row>
    <row r="25" spans="1:9" x14ac:dyDescent="0.25">
      <c r="A25" s="503" t="s">
        <v>269</v>
      </c>
      <c r="B25" s="503"/>
      <c r="C25" s="503"/>
      <c r="D25" s="503"/>
      <c r="E25" s="503"/>
      <c r="F25" s="503"/>
      <c r="G25" s="503"/>
      <c r="H25" s="503"/>
      <c r="I25" s="503"/>
    </row>
    <row r="26" spans="1:9" x14ac:dyDescent="0.25">
      <c r="A26" s="509" t="s">
        <v>279</v>
      </c>
      <c r="B26" s="509"/>
      <c r="C26" s="509"/>
      <c r="D26" s="509"/>
      <c r="E26" s="509"/>
      <c r="F26" s="509"/>
      <c r="G26" s="509"/>
      <c r="H26" s="509"/>
      <c r="I26" s="128">
        <f>I12</f>
        <v>4.5406281340366297</v>
      </c>
    </row>
    <row r="27" spans="1:9" x14ac:dyDescent="0.25">
      <c r="A27" s="509" t="s">
        <v>280</v>
      </c>
      <c r="B27" s="509"/>
      <c r="C27" s="509"/>
      <c r="D27" s="509"/>
      <c r="E27" s="509"/>
      <c r="F27" s="509"/>
      <c r="G27" s="509"/>
      <c r="H27" s="509"/>
      <c r="I27" s="128">
        <f>I17</f>
        <v>0</v>
      </c>
    </row>
    <row r="28" spans="1:9" x14ac:dyDescent="0.25">
      <c r="A28" s="509" t="s">
        <v>286</v>
      </c>
      <c r="B28" s="509"/>
      <c r="C28" s="509"/>
      <c r="D28" s="509"/>
      <c r="E28" s="509"/>
      <c r="F28" s="509"/>
      <c r="G28" s="509"/>
      <c r="H28" s="509"/>
      <c r="I28" s="128">
        <f>I23</f>
        <v>0</v>
      </c>
    </row>
    <row r="29" spans="1:9" x14ac:dyDescent="0.25">
      <c r="A29" s="509" t="s">
        <v>287</v>
      </c>
      <c r="B29" s="509"/>
      <c r="C29" s="509"/>
      <c r="D29" s="509"/>
      <c r="E29" s="509"/>
      <c r="F29" s="509"/>
      <c r="G29" s="509"/>
      <c r="H29" s="509"/>
      <c r="I29" s="135">
        <f>SUM(I26:I28)</f>
        <v>4.5406281340366297</v>
      </c>
    </row>
  </sheetData>
  <mergeCells count="24">
    <mergeCell ref="A14:I14"/>
    <mergeCell ref="C15:E15"/>
    <mergeCell ref="A29:H29"/>
    <mergeCell ref="C16:E16"/>
    <mergeCell ref="A17:H17"/>
    <mergeCell ref="A20:I20"/>
    <mergeCell ref="C21:E21"/>
    <mergeCell ref="C22:E22"/>
    <mergeCell ref="A23:H23"/>
    <mergeCell ref="A24:I24"/>
    <mergeCell ref="A25:I25"/>
    <mergeCell ref="A26:H26"/>
    <mergeCell ref="A27:H27"/>
    <mergeCell ref="A28:H28"/>
    <mergeCell ref="A8:I8"/>
    <mergeCell ref="C11:D11"/>
    <mergeCell ref="C9:E9"/>
    <mergeCell ref="C10:D10"/>
    <mergeCell ref="A12:H12"/>
    <mergeCell ref="A1:H4"/>
    <mergeCell ref="I1:I2"/>
    <mergeCell ref="A5:H6"/>
    <mergeCell ref="I5:I6"/>
    <mergeCell ref="A7:I7"/>
  </mergeCells>
  <pageMargins left="0.511811024" right="0.511811024" top="0.78740157499999996" bottom="0.78740157499999996" header="0.31496062000000002" footer="0.31496062000000002"/>
  <pageSetup paperSize="9" scale="72"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Normal="100" zoomScaleSheetLayoutView="100" workbookViewId="0">
      <selection activeCell="L35" sqref="L35"/>
    </sheetView>
  </sheetViews>
  <sheetFormatPr defaultRowHeight="15" x14ac:dyDescent="0.25"/>
  <cols>
    <col min="1" max="1" width="12.28515625" style="129" customWidth="1"/>
    <col min="2" max="2" width="10" style="129" bestFit="1" customWidth="1"/>
    <col min="3" max="3" width="9.140625" style="130"/>
    <col min="4" max="4" width="38.140625" style="130" customWidth="1"/>
    <col min="5" max="5" width="20.7109375" style="130" customWidth="1"/>
    <col min="6" max="6" width="5" style="130" bestFit="1" customWidth="1"/>
    <col min="7" max="7" width="8.5703125" style="130" bestFit="1" customWidth="1"/>
    <col min="8" max="8" width="8.42578125" style="130" bestFit="1" customWidth="1"/>
    <col min="9" max="9" width="15.140625" style="130" bestFit="1" customWidth="1"/>
  </cols>
  <sheetData>
    <row r="1" spans="1:9" ht="15" customHeight="1" x14ac:dyDescent="0.25">
      <c r="A1" s="526" t="s">
        <v>250</v>
      </c>
      <c r="B1" s="526"/>
      <c r="C1" s="526"/>
      <c r="D1" s="526"/>
      <c r="E1" s="526"/>
      <c r="F1" s="526"/>
      <c r="G1" s="526"/>
      <c r="H1" s="526"/>
      <c r="I1" s="505" t="s">
        <v>251</v>
      </c>
    </row>
    <row r="2" spans="1:9" ht="15" customHeight="1" x14ac:dyDescent="0.25">
      <c r="A2" s="526"/>
      <c r="B2" s="526"/>
      <c r="C2" s="526"/>
      <c r="D2" s="526"/>
      <c r="E2" s="526"/>
      <c r="F2" s="526"/>
      <c r="G2" s="526"/>
      <c r="H2" s="526"/>
      <c r="I2" s="505"/>
    </row>
    <row r="3" spans="1:9" ht="15" customHeight="1" x14ac:dyDescent="0.25">
      <c r="A3" s="526"/>
      <c r="B3" s="526"/>
      <c r="C3" s="526"/>
      <c r="D3" s="526"/>
      <c r="E3" s="526"/>
      <c r="F3" s="526"/>
      <c r="G3" s="526"/>
      <c r="H3" s="526"/>
      <c r="I3" s="97">
        <v>44318</v>
      </c>
    </row>
    <row r="4" spans="1:9" ht="15" customHeight="1" x14ac:dyDescent="0.25">
      <c r="A4" s="526"/>
      <c r="B4" s="526"/>
      <c r="C4" s="526"/>
      <c r="D4" s="526"/>
      <c r="E4" s="526"/>
      <c r="F4" s="526"/>
      <c r="G4" s="526"/>
      <c r="H4" s="526"/>
      <c r="I4" s="311" t="s">
        <v>495</v>
      </c>
    </row>
    <row r="5" spans="1:9" ht="15" customHeight="1" x14ac:dyDescent="0.25">
      <c r="A5" s="506" t="s">
        <v>487</v>
      </c>
      <c r="B5" s="506"/>
      <c r="C5" s="506"/>
      <c r="D5" s="506"/>
      <c r="E5" s="506"/>
      <c r="F5" s="506"/>
      <c r="G5" s="506"/>
      <c r="H5" s="506"/>
      <c r="I5" s="507" t="s">
        <v>367</v>
      </c>
    </row>
    <row r="6" spans="1:9" x14ac:dyDescent="0.25">
      <c r="A6" s="506"/>
      <c r="B6" s="506"/>
      <c r="C6" s="506"/>
      <c r="D6" s="506"/>
      <c r="E6" s="506"/>
      <c r="F6" s="506"/>
      <c r="G6" s="506"/>
      <c r="H6" s="506"/>
      <c r="I6" s="507"/>
    </row>
    <row r="7" spans="1:9" ht="15" customHeight="1" x14ac:dyDescent="0.25">
      <c r="A7" s="508" t="s">
        <v>488</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98" t="s">
        <v>253</v>
      </c>
      <c r="B9" s="312" t="s">
        <v>9</v>
      </c>
      <c r="C9" s="494" t="s">
        <v>254</v>
      </c>
      <c r="D9" s="494"/>
      <c r="E9" s="494"/>
      <c r="F9" s="312" t="s">
        <v>255</v>
      </c>
      <c r="G9" s="99" t="s">
        <v>256</v>
      </c>
      <c r="H9" s="100" t="s">
        <v>257</v>
      </c>
      <c r="I9" s="101" t="s">
        <v>258</v>
      </c>
    </row>
    <row r="10" spans="1:9" x14ac:dyDescent="0.25">
      <c r="A10" s="131" t="s">
        <v>285</v>
      </c>
      <c r="B10" s="131" t="s">
        <v>238</v>
      </c>
      <c r="C10" s="519" t="s">
        <v>489</v>
      </c>
      <c r="D10" s="496"/>
      <c r="E10" s="106" t="s">
        <v>262</v>
      </c>
      <c r="F10" s="313" t="s">
        <v>259</v>
      </c>
      <c r="G10" s="103">
        <v>0.35</v>
      </c>
      <c r="H10" s="107">
        <v>16.13</v>
      </c>
      <c r="I10" s="138">
        <f>G10*H10</f>
        <v>5.6454999999999993</v>
      </c>
    </row>
    <row r="11" spans="1:9" x14ac:dyDescent="0.25">
      <c r="A11" s="131" t="s">
        <v>469</v>
      </c>
      <c r="B11" s="131" t="s">
        <v>238</v>
      </c>
      <c r="C11" s="527" t="s">
        <v>490</v>
      </c>
      <c r="D11" s="528"/>
      <c r="E11" s="106" t="s">
        <v>262</v>
      </c>
      <c r="F11" s="131" t="s">
        <v>259</v>
      </c>
      <c r="G11" s="103">
        <v>0.4</v>
      </c>
      <c r="H11" s="107">
        <v>19.12</v>
      </c>
      <c r="I11" s="138">
        <f>G11*H11</f>
        <v>7.6480000000000006</v>
      </c>
    </row>
    <row r="12" spans="1:9" x14ac:dyDescent="0.25">
      <c r="A12" s="502" t="s">
        <v>260</v>
      </c>
      <c r="B12" s="502"/>
      <c r="C12" s="502"/>
      <c r="D12" s="502"/>
      <c r="E12" s="502"/>
      <c r="F12" s="502"/>
      <c r="G12" s="502"/>
      <c r="H12" s="502"/>
      <c r="I12" s="109">
        <f>SUM(I10:I11)</f>
        <v>13.2935</v>
      </c>
    </row>
    <row r="13" spans="1:9" x14ac:dyDescent="0.25">
      <c r="A13" s="310"/>
      <c r="B13" s="310"/>
      <c r="C13" s="310"/>
      <c r="D13" s="310"/>
      <c r="E13" s="310"/>
      <c r="F13" s="310"/>
      <c r="G13" s="310"/>
      <c r="H13" s="310"/>
      <c r="I13" s="109"/>
    </row>
    <row r="14" spans="1:9" x14ac:dyDescent="0.25">
      <c r="A14" s="503" t="s">
        <v>266</v>
      </c>
      <c r="B14" s="503"/>
      <c r="C14" s="503"/>
      <c r="D14" s="503"/>
      <c r="E14" s="503"/>
      <c r="F14" s="503"/>
      <c r="G14" s="503"/>
      <c r="H14" s="503"/>
      <c r="I14" s="503"/>
    </row>
    <row r="15" spans="1:9" x14ac:dyDescent="0.25">
      <c r="A15" s="98" t="s">
        <v>253</v>
      </c>
      <c r="B15" s="312" t="s">
        <v>9</v>
      </c>
      <c r="C15" s="494" t="s">
        <v>254</v>
      </c>
      <c r="D15" s="494"/>
      <c r="E15" s="494"/>
      <c r="F15" s="312" t="s">
        <v>255</v>
      </c>
      <c r="G15" s="99" t="s">
        <v>256</v>
      </c>
      <c r="H15" s="100" t="s">
        <v>257</v>
      </c>
      <c r="I15" s="101" t="s">
        <v>258</v>
      </c>
    </row>
    <row r="16" spans="1:9" x14ac:dyDescent="0.25">
      <c r="A16" s="122">
        <v>38001</v>
      </c>
      <c r="B16" s="122" t="s">
        <v>238</v>
      </c>
      <c r="C16" s="498" t="s">
        <v>491</v>
      </c>
      <c r="D16" s="498"/>
      <c r="E16" s="498"/>
      <c r="F16" s="123" t="s">
        <v>492</v>
      </c>
      <c r="G16" s="124">
        <v>0.04</v>
      </c>
      <c r="H16" s="125">
        <v>12.58</v>
      </c>
      <c r="I16" s="138">
        <f>G16*H16</f>
        <v>0.50319999999999998</v>
      </c>
    </row>
    <row r="17" spans="1:9" x14ac:dyDescent="0.25">
      <c r="A17" s="122">
        <v>37502</v>
      </c>
      <c r="B17" s="122" t="s">
        <v>238</v>
      </c>
      <c r="C17" s="516" t="s">
        <v>493</v>
      </c>
      <c r="D17" s="517"/>
      <c r="E17" s="518"/>
      <c r="F17" s="123" t="s">
        <v>492</v>
      </c>
      <c r="G17" s="124">
        <v>0.16</v>
      </c>
      <c r="H17" s="125">
        <v>28.29</v>
      </c>
      <c r="I17" s="138">
        <f>G17*H17</f>
        <v>4.5263999999999998</v>
      </c>
    </row>
    <row r="18" spans="1:9" x14ac:dyDescent="0.25">
      <c r="A18" s="122">
        <v>38013</v>
      </c>
      <c r="B18" s="122" t="s">
        <v>238</v>
      </c>
      <c r="C18" s="516" t="s">
        <v>494</v>
      </c>
      <c r="D18" s="517"/>
      <c r="E18" s="518"/>
      <c r="F18" s="123" t="s">
        <v>255</v>
      </c>
      <c r="G18" s="124">
        <v>0.4</v>
      </c>
      <c r="H18" s="125">
        <v>0.91</v>
      </c>
      <c r="I18" s="138">
        <f>G18*H18</f>
        <v>0.36400000000000005</v>
      </c>
    </row>
    <row r="19" spans="1:9" x14ac:dyDescent="0.25">
      <c r="A19" s="502" t="s">
        <v>264</v>
      </c>
      <c r="B19" s="502"/>
      <c r="C19" s="502"/>
      <c r="D19" s="502"/>
      <c r="E19" s="502"/>
      <c r="F19" s="502"/>
      <c r="G19" s="502"/>
      <c r="H19" s="502"/>
      <c r="I19" s="127">
        <f>SUM(I16:I18)</f>
        <v>5.3935999999999993</v>
      </c>
    </row>
    <row r="20" spans="1:9" x14ac:dyDescent="0.25">
      <c r="A20" s="310"/>
      <c r="B20" s="310"/>
      <c r="C20" s="310"/>
      <c r="D20" s="310"/>
      <c r="E20" s="310"/>
      <c r="F20" s="310"/>
      <c r="G20" s="310"/>
      <c r="H20" s="310"/>
      <c r="I20" s="109"/>
    </row>
    <row r="21" spans="1:9" x14ac:dyDescent="0.25">
      <c r="A21" s="310"/>
      <c r="B21" s="310"/>
      <c r="C21" s="310"/>
      <c r="D21" s="310"/>
      <c r="E21" s="310"/>
      <c r="F21" s="310"/>
      <c r="G21" s="310"/>
      <c r="H21" s="310"/>
      <c r="I21" s="109"/>
    </row>
    <row r="22" spans="1:9" x14ac:dyDescent="0.25">
      <c r="A22" s="510" t="s">
        <v>276</v>
      </c>
      <c r="B22" s="510"/>
      <c r="C22" s="510"/>
      <c r="D22" s="510"/>
      <c r="E22" s="510"/>
      <c r="F22" s="510"/>
      <c r="G22" s="510"/>
      <c r="H22" s="510"/>
      <c r="I22" s="510"/>
    </row>
    <row r="23" spans="1:9" x14ac:dyDescent="0.25">
      <c r="A23" s="105"/>
      <c r="B23" s="313"/>
      <c r="C23" s="511" t="s">
        <v>254</v>
      </c>
      <c r="D23" s="511"/>
      <c r="E23" s="511"/>
      <c r="F23" s="313" t="s">
        <v>255</v>
      </c>
      <c r="G23" s="110" t="s">
        <v>256</v>
      </c>
      <c r="H23" s="107" t="s">
        <v>257</v>
      </c>
      <c r="I23" s="108" t="s">
        <v>258</v>
      </c>
    </row>
    <row r="24" spans="1:9" ht="15" customHeight="1" x14ac:dyDescent="0.25">
      <c r="A24" s="111"/>
      <c r="B24" s="111"/>
      <c r="C24" s="499"/>
      <c r="D24" s="500"/>
      <c r="E24" s="501"/>
      <c r="F24" s="112"/>
      <c r="G24" s="112"/>
      <c r="H24" s="113"/>
      <c r="I24" s="114"/>
    </row>
    <row r="25" spans="1:9" x14ac:dyDescent="0.25">
      <c r="A25" s="502" t="s">
        <v>265</v>
      </c>
      <c r="B25" s="502"/>
      <c r="C25" s="502"/>
      <c r="D25" s="502"/>
      <c r="E25" s="502"/>
      <c r="F25" s="502"/>
      <c r="G25" s="502"/>
      <c r="H25" s="502"/>
      <c r="I25" s="115">
        <f>I24</f>
        <v>0</v>
      </c>
    </row>
    <row r="26" spans="1:9" x14ac:dyDescent="0.25">
      <c r="A26" s="512"/>
      <c r="B26" s="513"/>
      <c r="C26" s="513"/>
      <c r="D26" s="513"/>
      <c r="E26" s="513"/>
      <c r="F26" s="513"/>
      <c r="G26" s="513"/>
      <c r="H26" s="513"/>
      <c r="I26" s="514"/>
    </row>
    <row r="27" spans="1:9" x14ac:dyDescent="0.25">
      <c r="A27" s="503" t="s">
        <v>269</v>
      </c>
      <c r="B27" s="503"/>
      <c r="C27" s="503"/>
      <c r="D27" s="503"/>
      <c r="E27" s="503"/>
      <c r="F27" s="503"/>
      <c r="G27" s="503"/>
      <c r="H27" s="503"/>
      <c r="I27" s="503"/>
    </row>
    <row r="28" spans="1:9" x14ac:dyDescent="0.25">
      <c r="A28" s="509" t="s">
        <v>279</v>
      </c>
      <c r="B28" s="509"/>
      <c r="C28" s="509"/>
      <c r="D28" s="509"/>
      <c r="E28" s="509"/>
      <c r="F28" s="509"/>
      <c r="G28" s="509"/>
      <c r="H28" s="509"/>
      <c r="I28" s="128">
        <f>I12</f>
        <v>13.2935</v>
      </c>
    </row>
    <row r="29" spans="1:9" x14ac:dyDescent="0.25">
      <c r="A29" s="509" t="s">
        <v>280</v>
      </c>
      <c r="B29" s="509"/>
      <c r="C29" s="509"/>
      <c r="D29" s="509"/>
      <c r="E29" s="509"/>
      <c r="F29" s="509"/>
      <c r="G29" s="509"/>
      <c r="H29" s="509"/>
      <c r="I29" s="128">
        <f>I19</f>
        <v>5.3935999999999993</v>
      </c>
    </row>
    <row r="30" spans="1:9" x14ac:dyDescent="0.25">
      <c r="A30" s="509" t="s">
        <v>286</v>
      </c>
      <c r="B30" s="509"/>
      <c r="C30" s="509"/>
      <c r="D30" s="509"/>
      <c r="E30" s="509"/>
      <c r="F30" s="509"/>
      <c r="G30" s="509"/>
      <c r="H30" s="509"/>
      <c r="I30" s="128">
        <f>I25</f>
        <v>0</v>
      </c>
    </row>
    <row r="31" spans="1:9" x14ac:dyDescent="0.25">
      <c r="A31" s="509" t="s">
        <v>287</v>
      </c>
      <c r="B31" s="509"/>
      <c r="C31" s="509"/>
      <c r="D31" s="509"/>
      <c r="E31" s="509"/>
      <c r="F31" s="509"/>
      <c r="G31" s="509"/>
      <c r="H31" s="509"/>
      <c r="I31" s="135">
        <f>SUM(I28:I30)</f>
        <v>18.687100000000001</v>
      </c>
    </row>
  </sheetData>
  <mergeCells count="26">
    <mergeCell ref="C15:E15"/>
    <mergeCell ref="A1:H4"/>
    <mergeCell ref="I1:I2"/>
    <mergeCell ref="A5:H6"/>
    <mergeCell ref="I5:I6"/>
    <mergeCell ref="A7:I7"/>
    <mergeCell ref="A8:I8"/>
    <mergeCell ref="C9:E9"/>
    <mergeCell ref="C10:D10"/>
    <mergeCell ref="C11:D11"/>
    <mergeCell ref="A12:H12"/>
    <mergeCell ref="A14:I14"/>
    <mergeCell ref="A30:H30"/>
    <mergeCell ref="A31:H31"/>
    <mergeCell ref="C16:E16"/>
    <mergeCell ref="A19:H19"/>
    <mergeCell ref="A22:I22"/>
    <mergeCell ref="C23:E23"/>
    <mergeCell ref="C24:E24"/>
    <mergeCell ref="A25:H25"/>
    <mergeCell ref="C17:E17"/>
    <mergeCell ref="C18:E18"/>
    <mergeCell ref="A26:I26"/>
    <mergeCell ref="A27:I27"/>
    <mergeCell ref="A28:H28"/>
    <mergeCell ref="A29:H29"/>
  </mergeCells>
  <pageMargins left="0.511811024" right="0.511811024" top="0.78740157499999996" bottom="0.78740157499999996" header="0.31496062000000002" footer="0.31496062000000002"/>
  <pageSetup paperSize="9" scale="72"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7" zoomScaleNormal="100" zoomScaleSheetLayoutView="100" workbookViewId="0">
      <selection activeCell="J15" sqref="J15"/>
    </sheetView>
  </sheetViews>
  <sheetFormatPr defaultRowHeight="15" x14ac:dyDescent="0.25"/>
  <cols>
    <col min="1" max="1" width="14.28515625" style="363" customWidth="1"/>
    <col min="2" max="2" width="12.85546875" style="363" customWidth="1"/>
    <col min="3" max="3" width="9.140625" style="364"/>
    <col min="4" max="4" width="29.7109375" style="364" customWidth="1"/>
    <col min="5" max="5" width="20.140625" style="364" customWidth="1"/>
    <col min="6" max="6" width="5" style="364" bestFit="1" customWidth="1"/>
    <col min="7" max="7" width="10.5703125" style="364" bestFit="1" customWidth="1"/>
    <col min="8" max="8" width="8.42578125" style="363" bestFit="1" customWidth="1"/>
    <col min="9" max="9" width="11" style="364" bestFit="1" customWidth="1"/>
    <col min="10" max="16384" width="9.140625" style="330"/>
  </cols>
  <sheetData>
    <row r="1" spans="1:9" x14ac:dyDescent="0.25">
      <c r="A1" s="504" t="s">
        <v>250</v>
      </c>
      <c r="B1" s="504"/>
      <c r="C1" s="504"/>
      <c r="D1" s="504"/>
      <c r="E1" s="504"/>
      <c r="F1" s="504"/>
      <c r="G1" s="504"/>
      <c r="H1" s="504"/>
      <c r="I1" s="505" t="s">
        <v>251</v>
      </c>
    </row>
    <row r="2" spans="1:9" x14ac:dyDescent="0.25">
      <c r="A2" s="504"/>
      <c r="B2" s="504"/>
      <c r="C2" s="504"/>
      <c r="D2" s="504"/>
      <c r="E2" s="504"/>
      <c r="F2" s="504"/>
      <c r="G2" s="504"/>
      <c r="H2" s="504"/>
      <c r="I2" s="505"/>
    </row>
    <row r="3" spans="1:9" x14ac:dyDescent="0.25">
      <c r="A3" s="504"/>
      <c r="B3" s="504"/>
      <c r="C3" s="504"/>
      <c r="D3" s="504"/>
      <c r="E3" s="504"/>
      <c r="F3" s="504"/>
      <c r="G3" s="504"/>
      <c r="H3" s="504"/>
      <c r="I3" s="347">
        <v>44317</v>
      </c>
    </row>
    <row r="4" spans="1:9" x14ac:dyDescent="0.25">
      <c r="A4" s="504"/>
      <c r="B4" s="504"/>
      <c r="C4" s="504"/>
      <c r="D4" s="504"/>
      <c r="E4" s="504"/>
      <c r="F4" s="504"/>
      <c r="G4" s="504"/>
      <c r="H4" s="504"/>
      <c r="I4" s="381" t="s">
        <v>504</v>
      </c>
    </row>
    <row r="5" spans="1:9" x14ac:dyDescent="0.25">
      <c r="A5" s="506" t="s">
        <v>505</v>
      </c>
      <c r="B5" s="506"/>
      <c r="C5" s="506"/>
      <c r="D5" s="506"/>
      <c r="E5" s="506"/>
      <c r="F5" s="506"/>
      <c r="G5" s="506"/>
      <c r="H5" s="506"/>
      <c r="I5" s="507" t="s">
        <v>307</v>
      </c>
    </row>
    <row r="6" spans="1:9" x14ac:dyDescent="0.25">
      <c r="A6" s="506"/>
      <c r="B6" s="506"/>
      <c r="C6" s="506"/>
      <c r="D6" s="506"/>
      <c r="E6" s="506"/>
      <c r="F6" s="506"/>
      <c r="G6" s="506"/>
      <c r="H6" s="506"/>
      <c r="I6" s="507"/>
    </row>
    <row r="7" spans="1:9" x14ac:dyDescent="0.25">
      <c r="A7" s="508" t="s">
        <v>506</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348" t="s">
        <v>253</v>
      </c>
      <c r="B9" s="380" t="s">
        <v>9</v>
      </c>
      <c r="C9" s="494" t="s">
        <v>254</v>
      </c>
      <c r="D9" s="494"/>
      <c r="E9" s="494"/>
      <c r="F9" s="380" t="s">
        <v>255</v>
      </c>
      <c r="G9" s="349" t="s">
        <v>256</v>
      </c>
      <c r="H9" s="373" t="s">
        <v>257</v>
      </c>
      <c r="I9" s="350" t="s">
        <v>258</v>
      </c>
    </row>
    <row r="10" spans="1:9" ht="30.75" customHeight="1" x14ac:dyDescent="0.25">
      <c r="A10" s="367" t="s">
        <v>507</v>
      </c>
      <c r="B10" s="365" t="s">
        <v>372</v>
      </c>
      <c r="C10" s="524" t="s">
        <v>355</v>
      </c>
      <c r="D10" s="525"/>
      <c r="E10" s="353" t="s">
        <v>262</v>
      </c>
      <c r="F10" s="380" t="s">
        <v>259</v>
      </c>
      <c r="G10" s="383">
        <v>0.40899999999999997</v>
      </c>
      <c r="H10" s="354">
        <f>(17.46/1.8674)*2.5727</f>
        <v>24.054483238727645</v>
      </c>
      <c r="I10" s="368">
        <f>G10*H10</f>
        <v>9.8382836446396063</v>
      </c>
    </row>
    <row r="11" spans="1:9" ht="29.25" customHeight="1" x14ac:dyDescent="0.25">
      <c r="A11" s="367" t="s">
        <v>508</v>
      </c>
      <c r="B11" s="365" t="s">
        <v>372</v>
      </c>
      <c r="C11" s="524" t="s">
        <v>356</v>
      </c>
      <c r="D11" s="525"/>
      <c r="E11" s="353" t="s">
        <v>262</v>
      </c>
      <c r="F11" s="380" t="s">
        <v>259</v>
      </c>
      <c r="G11" s="383">
        <f>0.409+0.124</f>
        <v>0.53299999999999992</v>
      </c>
      <c r="H11" s="354">
        <f>(22.54/1.8674)*2.5727</f>
        <v>31.053153047017243</v>
      </c>
      <c r="I11" s="368">
        <f>G11*H11</f>
        <v>16.551330574060188</v>
      </c>
    </row>
    <row r="12" spans="1:9" x14ac:dyDescent="0.25">
      <c r="A12" s="365"/>
      <c r="B12" s="378"/>
      <c r="C12" s="496"/>
      <c r="D12" s="496"/>
      <c r="E12" s="353"/>
      <c r="F12" s="378"/>
      <c r="G12" s="351"/>
      <c r="H12" s="374"/>
      <c r="I12" s="368"/>
    </row>
    <row r="13" spans="1:9" x14ac:dyDescent="0.25">
      <c r="A13" s="502" t="s">
        <v>260</v>
      </c>
      <c r="B13" s="502"/>
      <c r="C13" s="502"/>
      <c r="D13" s="502"/>
      <c r="E13" s="502"/>
      <c r="F13" s="502"/>
      <c r="G13" s="502"/>
      <c r="H13" s="502"/>
      <c r="I13" s="109">
        <f>SUM(I10:I12)</f>
        <v>26.389614218699794</v>
      </c>
    </row>
    <row r="14" spans="1:9" x14ac:dyDescent="0.25">
      <c r="A14" s="377"/>
      <c r="B14" s="377"/>
      <c r="C14" s="377"/>
      <c r="D14" s="377"/>
      <c r="E14" s="377"/>
      <c r="F14" s="377"/>
      <c r="G14" s="377"/>
      <c r="H14" s="379"/>
      <c r="I14" s="109"/>
    </row>
    <row r="15" spans="1:9" x14ac:dyDescent="0.25">
      <c r="A15" s="503" t="s">
        <v>266</v>
      </c>
      <c r="B15" s="503"/>
      <c r="C15" s="503"/>
      <c r="D15" s="503"/>
      <c r="E15" s="503"/>
      <c r="F15" s="503"/>
      <c r="G15" s="503"/>
      <c r="H15" s="503"/>
      <c r="I15" s="503"/>
    </row>
    <row r="16" spans="1:9" x14ac:dyDescent="0.25">
      <c r="A16" s="348" t="s">
        <v>253</v>
      </c>
      <c r="B16" s="380" t="s">
        <v>9</v>
      </c>
      <c r="C16" s="494" t="s">
        <v>254</v>
      </c>
      <c r="D16" s="494"/>
      <c r="E16" s="494"/>
      <c r="F16" s="380" t="s">
        <v>255</v>
      </c>
      <c r="G16" s="349" t="s">
        <v>256</v>
      </c>
      <c r="H16" s="373" t="s">
        <v>257</v>
      </c>
      <c r="I16" s="350" t="s">
        <v>258</v>
      </c>
    </row>
    <row r="17" spans="1:9" ht="18" customHeight="1" x14ac:dyDescent="0.25">
      <c r="A17" s="360" t="s">
        <v>509</v>
      </c>
      <c r="B17" s="365" t="s">
        <v>372</v>
      </c>
      <c r="C17" s="497" t="s">
        <v>510</v>
      </c>
      <c r="D17" s="497"/>
      <c r="E17" s="497"/>
      <c r="F17" s="360" t="s">
        <v>22</v>
      </c>
      <c r="G17" s="351">
        <v>2</v>
      </c>
      <c r="H17" s="375">
        <v>7.53</v>
      </c>
      <c r="I17" s="370">
        <f>G17*H17</f>
        <v>15.06</v>
      </c>
    </row>
    <row r="18" spans="1:9" ht="28.5" customHeight="1" x14ac:dyDescent="0.25">
      <c r="A18" s="360" t="s">
        <v>511</v>
      </c>
      <c r="B18" s="365" t="s">
        <v>372</v>
      </c>
      <c r="C18" s="521" t="s">
        <v>512</v>
      </c>
      <c r="D18" s="522"/>
      <c r="E18" s="523"/>
      <c r="F18" s="360" t="s">
        <v>22</v>
      </c>
      <c r="G18" s="351">
        <v>1</v>
      </c>
      <c r="H18" s="375">
        <v>2.8</v>
      </c>
      <c r="I18" s="370">
        <f>G18*H18</f>
        <v>2.8</v>
      </c>
    </row>
    <row r="19" spans="1:9" ht="46.5" customHeight="1" x14ac:dyDescent="0.25">
      <c r="A19" s="360" t="s">
        <v>513</v>
      </c>
      <c r="B19" s="365" t="s">
        <v>372</v>
      </c>
      <c r="C19" s="521" t="s">
        <v>514</v>
      </c>
      <c r="D19" s="522"/>
      <c r="E19" s="523"/>
      <c r="F19" s="360" t="s">
        <v>22</v>
      </c>
      <c r="G19" s="351">
        <v>1</v>
      </c>
      <c r="H19" s="375">
        <v>1.45</v>
      </c>
      <c r="I19" s="370">
        <f>G19*H19</f>
        <v>1.45</v>
      </c>
    </row>
    <row r="20" spans="1:9" x14ac:dyDescent="0.25">
      <c r="A20" s="360"/>
      <c r="B20" s="365"/>
      <c r="C20" s="385"/>
      <c r="D20" s="385"/>
      <c r="E20" s="385"/>
      <c r="F20" s="360"/>
      <c r="G20" s="351"/>
      <c r="H20" s="375"/>
      <c r="I20" s="370"/>
    </row>
    <row r="21" spans="1:9" x14ac:dyDescent="0.25">
      <c r="A21" s="502" t="s">
        <v>264</v>
      </c>
      <c r="B21" s="502"/>
      <c r="C21" s="502"/>
      <c r="D21" s="502"/>
      <c r="E21" s="502"/>
      <c r="F21" s="502"/>
      <c r="G21" s="502"/>
      <c r="H21" s="502"/>
      <c r="I21" s="362">
        <f>SUM(I17:I19)</f>
        <v>19.309999999999999</v>
      </c>
    </row>
    <row r="22" spans="1:9" x14ac:dyDescent="0.25">
      <c r="A22" s="377"/>
      <c r="B22" s="377"/>
      <c r="C22" s="377"/>
      <c r="D22" s="377"/>
      <c r="E22" s="377"/>
      <c r="F22" s="377"/>
      <c r="G22" s="377"/>
      <c r="H22" s="379"/>
      <c r="I22" s="109"/>
    </row>
    <row r="23" spans="1:9" x14ac:dyDescent="0.25">
      <c r="A23" s="510" t="s">
        <v>276</v>
      </c>
      <c r="B23" s="510"/>
      <c r="C23" s="510"/>
      <c r="D23" s="510"/>
      <c r="E23" s="510"/>
      <c r="F23" s="510"/>
      <c r="G23" s="510"/>
      <c r="H23" s="510"/>
      <c r="I23" s="510"/>
    </row>
    <row r="24" spans="1:9" x14ac:dyDescent="0.25">
      <c r="A24" s="352"/>
      <c r="B24" s="378"/>
      <c r="C24" s="511" t="s">
        <v>254</v>
      </c>
      <c r="D24" s="511"/>
      <c r="E24" s="511"/>
      <c r="F24" s="378" t="s">
        <v>255</v>
      </c>
      <c r="G24" s="357" t="s">
        <v>256</v>
      </c>
      <c r="H24" s="374" t="s">
        <v>257</v>
      </c>
      <c r="I24" s="355" t="s">
        <v>258</v>
      </c>
    </row>
    <row r="25" spans="1:9" x14ac:dyDescent="0.25">
      <c r="A25" s="366"/>
      <c r="B25" s="365"/>
      <c r="C25" s="516"/>
      <c r="D25" s="517"/>
      <c r="E25" s="518"/>
      <c r="F25" s="361"/>
      <c r="G25" s="371"/>
      <c r="H25" s="376"/>
      <c r="I25" s="369"/>
    </row>
    <row r="26" spans="1:9" x14ac:dyDescent="0.25">
      <c r="A26" s="358"/>
      <c r="B26" s="365"/>
      <c r="C26" s="529"/>
      <c r="D26" s="500"/>
      <c r="E26" s="501"/>
      <c r="F26" s="384"/>
      <c r="G26" s="359"/>
      <c r="H26" s="156"/>
      <c r="I26" s="369"/>
    </row>
    <row r="27" spans="1:9" x14ac:dyDescent="0.25">
      <c r="A27" s="502" t="s">
        <v>265</v>
      </c>
      <c r="B27" s="502"/>
      <c r="C27" s="502"/>
      <c r="D27" s="502"/>
      <c r="E27" s="502"/>
      <c r="F27" s="502"/>
      <c r="G27" s="502"/>
      <c r="H27" s="502"/>
      <c r="I27" s="356">
        <f>SUM(I25:I26)</f>
        <v>0</v>
      </c>
    </row>
    <row r="28" spans="1:9" x14ac:dyDescent="0.25">
      <c r="A28" s="512"/>
      <c r="B28" s="513"/>
      <c r="C28" s="513"/>
      <c r="D28" s="513"/>
      <c r="E28" s="513"/>
      <c r="F28" s="513"/>
      <c r="G28" s="513"/>
      <c r="H28" s="513"/>
      <c r="I28" s="514"/>
    </row>
    <row r="29" spans="1:9" x14ac:dyDescent="0.25">
      <c r="A29" s="503" t="s">
        <v>269</v>
      </c>
      <c r="B29" s="503"/>
      <c r="C29" s="503"/>
      <c r="D29" s="503"/>
      <c r="E29" s="503"/>
      <c r="F29" s="503"/>
      <c r="G29" s="503"/>
      <c r="H29" s="503"/>
      <c r="I29" s="503"/>
    </row>
    <row r="30" spans="1:9" x14ac:dyDescent="0.25">
      <c r="A30" s="509" t="s">
        <v>279</v>
      </c>
      <c r="B30" s="509"/>
      <c r="C30" s="509"/>
      <c r="D30" s="509"/>
      <c r="E30" s="509"/>
      <c r="F30" s="509"/>
      <c r="G30" s="509"/>
      <c r="H30" s="509"/>
      <c r="I30" s="128">
        <f>I13</f>
        <v>26.389614218699794</v>
      </c>
    </row>
    <row r="31" spans="1:9" x14ac:dyDescent="0.25">
      <c r="A31" s="509" t="s">
        <v>280</v>
      </c>
      <c r="B31" s="509"/>
      <c r="C31" s="509"/>
      <c r="D31" s="509"/>
      <c r="E31" s="509"/>
      <c r="F31" s="509"/>
      <c r="G31" s="509"/>
      <c r="H31" s="509"/>
      <c r="I31" s="128">
        <f>I21</f>
        <v>19.309999999999999</v>
      </c>
    </row>
    <row r="32" spans="1:9" x14ac:dyDescent="0.25">
      <c r="A32" s="509" t="s">
        <v>286</v>
      </c>
      <c r="B32" s="509"/>
      <c r="C32" s="509"/>
      <c r="D32" s="509"/>
      <c r="E32" s="509"/>
      <c r="F32" s="509"/>
      <c r="G32" s="509"/>
      <c r="H32" s="509"/>
      <c r="I32" s="128">
        <f>I27</f>
        <v>0</v>
      </c>
    </row>
    <row r="33" spans="1:9" x14ac:dyDescent="0.25">
      <c r="A33" s="509" t="s">
        <v>287</v>
      </c>
      <c r="B33" s="509"/>
      <c r="C33" s="509"/>
      <c r="D33" s="509"/>
      <c r="E33" s="509"/>
      <c r="F33" s="509"/>
      <c r="G33" s="509"/>
      <c r="H33" s="509"/>
      <c r="I33" s="135">
        <f>SUM(I30:I32)</f>
        <v>45.699614218699793</v>
      </c>
    </row>
  </sheetData>
  <mergeCells count="28">
    <mergeCell ref="A30:H30"/>
    <mergeCell ref="A31:H31"/>
    <mergeCell ref="A32:H32"/>
    <mergeCell ref="A33:H33"/>
    <mergeCell ref="C24:E24"/>
    <mergeCell ref="C25:E25"/>
    <mergeCell ref="C26:E26"/>
    <mergeCell ref="A27:H27"/>
    <mergeCell ref="A28:I28"/>
    <mergeCell ref="A29:I29"/>
    <mergeCell ref="A23:I23"/>
    <mergeCell ref="C9:E9"/>
    <mergeCell ref="C10:D10"/>
    <mergeCell ref="C11:D11"/>
    <mergeCell ref="C12:D12"/>
    <mergeCell ref="A13:H13"/>
    <mergeCell ref="A15:I15"/>
    <mergeCell ref="C16:E16"/>
    <mergeCell ref="C17:E17"/>
    <mergeCell ref="C18:E18"/>
    <mergeCell ref="C19:E19"/>
    <mergeCell ref="A21:H21"/>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7"/>
  <sheetViews>
    <sheetView view="pageBreakPreview" zoomScaleNormal="100" zoomScaleSheetLayoutView="100" workbookViewId="0">
      <selection activeCell="I37" sqref="I37"/>
    </sheetView>
  </sheetViews>
  <sheetFormatPr defaultRowHeight="15" x14ac:dyDescent="0.25"/>
  <cols>
    <col min="1" max="1" width="14.28515625" style="363" customWidth="1"/>
    <col min="2" max="2" width="12.85546875" style="363" customWidth="1"/>
    <col min="3" max="3" width="9.140625" style="364"/>
    <col min="4" max="4" width="29.7109375" style="364" customWidth="1"/>
    <col min="5" max="5" width="20.140625" style="364" customWidth="1"/>
    <col min="6" max="6" width="5" style="364" bestFit="1" customWidth="1"/>
    <col min="7" max="7" width="10.5703125" style="364" bestFit="1" customWidth="1"/>
    <col min="8" max="8" width="8.42578125" style="363" bestFit="1" customWidth="1"/>
    <col min="9" max="9" width="11" style="364" bestFit="1" customWidth="1"/>
    <col min="10" max="16384" width="9.140625" style="330"/>
  </cols>
  <sheetData>
    <row r="1" spans="1:9" x14ac:dyDescent="0.25">
      <c r="A1" s="504" t="s">
        <v>250</v>
      </c>
      <c r="B1" s="504"/>
      <c r="C1" s="504"/>
      <c r="D1" s="504"/>
      <c r="E1" s="504"/>
      <c r="F1" s="504"/>
      <c r="G1" s="504"/>
      <c r="H1" s="504"/>
      <c r="I1" s="505" t="s">
        <v>251</v>
      </c>
    </row>
    <row r="2" spans="1:9" x14ac:dyDescent="0.25">
      <c r="A2" s="504"/>
      <c r="B2" s="504"/>
      <c r="C2" s="504"/>
      <c r="D2" s="504"/>
      <c r="E2" s="504"/>
      <c r="F2" s="504"/>
      <c r="G2" s="504"/>
      <c r="H2" s="504"/>
      <c r="I2" s="505"/>
    </row>
    <row r="3" spans="1:9" x14ac:dyDescent="0.25">
      <c r="A3" s="504"/>
      <c r="B3" s="504"/>
      <c r="C3" s="504"/>
      <c r="D3" s="504"/>
      <c r="E3" s="504"/>
      <c r="F3" s="504"/>
      <c r="G3" s="504"/>
      <c r="H3" s="504"/>
      <c r="I3" s="347">
        <v>44317</v>
      </c>
    </row>
    <row r="4" spans="1:9" x14ac:dyDescent="0.25">
      <c r="A4" s="504"/>
      <c r="B4" s="504"/>
      <c r="C4" s="504"/>
      <c r="D4" s="504"/>
      <c r="E4" s="504"/>
      <c r="F4" s="504"/>
      <c r="G4" s="504"/>
      <c r="H4" s="504"/>
      <c r="I4" s="381" t="s">
        <v>515</v>
      </c>
    </row>
    <row r="5" spans="1:9" x14ac:dyDescent="0.25">
      <c r="A5" s="506" t="s">
        <v>516</v>
      </c>
      <c r="B5" s="506"/>
      <c r="C5" s="506"/>
      <c r="D5" s="506"/>
      <c r="E5" s="506"/>
      <c r="F5" s="506"/>
      <c r="G5" s="506"/>
      <c r="H5" s="506"/>
      <c r="I5" s="507" t="s">
        <v>346</v>
      </c>
    </row>
    <row r="6" spans="1:9" ht="42" customHeight="1" x14ac:dyDescent="0.25">
      <c r="A6" s="506"/>
      <c r="B6" s="506"/>
      <c r="C6" s="506"/>
      <c r="D6" s="506"/>
      <c r="E6" s="506"/>
      <c r="F6" s="506"/>
      <c r="G6" s="506"/>
      <c r="H6" s="506"/>
      <c r="I6" s="507"/>
    </row>
    <row r="7" spans="1:9" x14ac:dyDescent="0.25">
      <c r="A7" s="508" t="s">
        <v>517</v>
      </c>
      <c r="B7" s="508"/>
      <c r="C7" s="508"/>
      <c r="D7" s="508"/>
      <c r="E7" s="508"/>
      <c r="F7" s="508"/>
      <c r="G7" s="508"/>
      <c r="H7" s="508"/>
      <c r="I7" s="508"/>
    </row>
    <row r="8" spans="1:9" x14ac:dyDescent="0.25">
      <c r="A8" s="503" t="s">
        <v>261</v>
      </c>
      <c r="B8" s="503"/>
      <c r="C8" s="503"/>
      <c r="D8" s="503"/>
      <c r="E8" s="503"/>
      <c r="F8" s="503"/>
      <c r="G8" s="503"/>
      <c r="H8" s="503"/>
      <c r="I8" s="503"/>
    </row>
    <row r="9" spans="1:9" x14ac:dyDescent="0.25">
      <c r="A9" s="348" t="s">
        <v>253</v>
      </c>
      <c r="B9" s="380" t="s">
        <v>9</v>
      </c>
      <c r="C9" s="494" t="s">
        <v>254</v>
      </c>
      <c r="D9" s="494"/>
      <c r="E9" s="494"/>
      <c r="F9" s="380" t="s">
        <v>255</v>
      </c>
      <c r="G9" s="349" t="s">
        <v>256</v>
      </c>
      <c r="H9" s="373" t="s">
        <v>257</v>
      </c>
      <c r="I9" s="350" t="s">
        <v>258</v>
      </c>
    </row>
    <row r="10" spans="1:9" ht="30.75" customHeight="1" x14ac:dyDescent="0.25">
      <c r="A10" s="367" t="s">
        <v>535</v>
      </c>
      <c r="B10" s="365" t="s">
        <v>372</v>
      </c>
      <c r="C10" s="524" t="s">
        <v>534</v>
      </c>
      <c r="D10" s="525"/>
      <c r="E10" s="353" t="s">
        <v>262</v>
      </c>
      <c r="F10" s="380" t="s">
        <v>259</v>
      </c>
      <c r="G10" s="383">
        <v>4.5259999999999998</v>
      </c>
      <c r="H10" s="354">
        <f>(16.94/1.8674)*2.5727</f>
        <v>23.338083967012967</v>
      </c>
      <c r="I10" s="368">
        <f>G10*H10</f>
        <v>105.62816803470068</v>
      </c>
    </row>
    <row r="11" spans="1:9" ht="29.25" customHeight="1" x14ac:dyDescent="0.25">
      <c r="A11" s="367" t="s">
        <v>537</v>
      </c>
      <c r="B11" s="365" t="s">
        <v>372</v>
      </c>
      <c r="C11" s="524" t="s">
        <v>536</v>
      </c>
      <c r="D11" s="525"/>
      <c r="E11" s="353" t="s">
        <v>262</v>
      </c>
      <c r="F11" s="380" t="s">
        <v>259</v>
      </c>
      <c r="G11" s="383">
        <v>5.51</v>
      </c>
      <c r="H11" s="354">
        <f>(20.82/1.8674)*2.5727</f>
        <v>28.683524686730216</v>
      </c>
      <c r="I11" s="368">
        <f>G11*H11</f>
        <v>158.04622102388348</v>
      </c>
    </row>
    <row r="12" spans="1:9" x14ac:dyDescent="0.25">
      <c r="A12" s="365"/>
      <c r="B12" s="378"/>
      <c r="C12" s="496"/>
      <c r="D12" s="496"/>
      <c r="E12" s="353"/>
      <c r="F12" s="378"/>
      <c r="G12" s="351"/>
      <c r="H12" s="374"/>
      <c r="I12" s="368"/>
    </row>
    <row r="13" spans="1:9" x14ac:dyDescent="0.25">
      <c r="A13" s="502" t="s">
        <v>260</v>
      </c>
      <c r="B13" s="502"/>
      <c r="C13" s="502"/>
      <c r="D13" s="502"/>
      <c r="E13" s="502"/>
      <c r="F13" s="502"/>
      <c r="G13" s="502"/>
      <c r="H13" s="502"/>
      <c r="I13" s="109">
        <f>SUM(I10:I12)</f>
        <v>263.67438905858415</v>
      </c>
    </row>
    <row r="14" spans="1:9" x14ac:dyDescent="0.25">
      <c r="A14" s="377"/>
      <c r="B14" s="377"/>
      <c r="C14" s="377"/>
      <c r="D14" s="377"/>
      <c r="E14" s="377"/>
      <c r="F14" s="377"/>
      <c r="G14" s="377"/>
      <c r="H14" s="379"/>
      <c r="I14" s="109"/>
    </row>
    <row r="15" spans="1:9" x14ac:dyDescent="0.25">
      <c r="A15" s="503" t="s">
        <v>266</v>
      </c>
      <c r="B15" s="503"/>
      <c r="C15" s="503"/>
      <c r="D15" s="503"/>
      <c r="E15" s="503"/>
      <c r="F15" s="503"/>
      <c r="G15" s="503"/>
      <c r="H15" s="503"/>
      <c r="I15" s="503"/>
    </row>
    <row r="16" spans="1:9" x14ac:dyDescent="0.25">
      <c r="A16" s="348" t="s">
        <v>253</v>
      </c>
      <c r="B16" s="380" t="s">
        <v>9</v>
      </c>
      <c r="C16" s="494" t="s">
        <v>254</v>
      </c>
      <c r="D16" s="494"/>
      <c r="E16" s="494"/>
      <c r="F16" s="380" t="s">
        <v>255</v>
      </c>
      <c r="G16" s="349" t="s">
        <v>256</v>
      </c>
      <c r="H16" s="373" t="s">
        <v>257</v>
      </c>
      <c r="I16" s="350" t="s">
        <v>258</v>
      </c>
    </row>
    <row r="17" spans="1:9" ht="35.25" customHeight="1" x14ac:dyDescent="0.25">
      <c r="A17" s="360" t="s">
        <v>519</v>
      </c>
      <c r="B17" s="365" t="s">
        <v>372</v>
      </c>
      <c r="C17" s="497" t="s">
        <v>518</v>
      </c>
      <c r="D17" s="497"/>
      <c r="E17" s="497"/>
      <c r="F17" s="360" t="s">
        <v>520</v>
      </c>
      <c r="G17" s="351">
        <v>0.89600000000000002</v>
      </c>
      <c r="H17" s="375">
        <v>12.84</v>
      </c>
      <c r="I17" s="370">
        <f>G17*H17</f>
        <v>11.50464</v>
      </c>
    </row>
    <row r="18" spans="1:9" ht="28.5" customHeight="1" x14ac:dyDescent="0.25">
      <c r="A18" s="360" t="s">
        <v>522</v>
      </c>
      <c r="B18" s="365" t="s">
        <v>372</v>
      </c>
      <c r="C18" s="521" t="s">
        <v>521</v>
      </c>
      <c r="D18" s="522"/>
      <c r="E18" s="523"/>
      <c r="F18" s="360" t="s">
        <v>520</v>
      </c>
      <c r="G18" s="351">
        <v>6.5000000000000002E-2</v>
      </c>
      <c r="H18" s="375">
        <v>26.15</v>
      </c>
      <c r="I18" s="370">
        <f>G18*H18</f>
        <v>1.6997499999999999</v>
      </c>
    </row>
    <row r="19" spans="1:9" ht="28.5" customHeight="1" x14ac:dyDescent="0.25">
      <c r="A19" s="360" t="s">
        <v>524</v>
      </c>
      <c r="B19" s="365" t="s">
        <v>372</v>
      </c>
      <c r="C19" s="521" t="s">
        <v>523</v>
      </c>
      <c r="D19" s="522"/>
      <c r="E19" s="523"/>
      <c r="F19" s="360"/>
      <c r="G19" s="351">
        <v>3.3330000000000002</v>
      </c>
      <c r="H19" s="375">
        <v>1.32</v>
      </c>
      <c r="I19" s="370">
        <f t="shared" ref="I19:I23" si="0">G19*H19</f>
        <v>4.3995600000000001</v>
      </c>
    </row>
    <row r="20" spans="1:9" ht="28.5" customHeight="1" x14ac:dyDescent="0.25">
      <c r="A20" s="360" t="s">
        <v>528</v>
      </c>
      <c r="B20" s="365" t="s">
        <v>372</v>
      </c>
      <c r="C20" s="521" t="s">
        <v>529</v>
      </c>
      <c r="D20" s="522"/>
      <c r="E20" s="523"/>
      <c r="F20" s="360" t="s">
        <v>527</v>
      </c>
      <c r="G20" s="351">
        <v>6.25</v>
      </c>
      <c r="H20" s="375">
        <v>29.05</v>
      </c>
      <c r="I20" s="370">
        <f t="shared" si="0"/>
        <v>181.5625</v>
      </c>
    </row>
    <row r="21" spans="1:9" ht="46.5" customHeight="1" x14ac:dyDescent="0.25">
      <c r="A21" s="360" t="s">
        <v>525</v>
      </c>
      <c r="B21" s="365" t="s">
        <v>372</v>
      </c>
      <c r="C21" s="521" t="s">
        <v>526</v>
      </c>
      <c r="D21" s="522"/>
      <c r="E21" s="523"/>
      <c r="F21" s="360" t="s">
        <v>527</v>
      </c>
      <c r="G21" s="351">
        <v>2.0230000000000001</v>
      </c>
      <c r="H21" s="375">
        <v>39.01</v>
      </c>
      <c r="I21" s="370">
        <f t="shared" si="0"/>
        <v>78.917230000000004</v>
      </c>
    </row>
    <row r="22" spans="1:9" ht="46.5" customHeight="1" x14ac:dyDescent="0.25">
      <c r="A22" s="360" t="s">
        <v>531</v>
      </c>
      <c r="B22" s="365" t="s">
        <v>372</v>
      </c>
      <c r="C22" s="521" t="s">
        <v>530</v>
      </c>
      <c r="D22" s="522"/>
      <c r="E22" s="523"/>
      <c r="F22" s="360" t="s">
        <v>527</v>
      </c>
      <c r="G22" s="351">
        <v>0.92600000000000005</v>
      </c>
      <c r="H22" s="375">
        <v>56.86</v>
      </c>
      <c r="I22" s="370">
        <f t="shared" si="0"/>
        <v>52.652360000000002</v>
      </c>
    </row>
    <row r="23" spans="1:9" ht="46.5" customHeight="1" x14ac:dyDescent="0.25">
      <c r="A23" s="360" t="s">
        <v>532</v>
      </c>
      <c r="B23" s="365" t="s">
        <v>372</v>
      </c>
      <c r="C23" s="521" t="s">
        <v>533</v>
      </c>
      <c r="D23" s="522"/>
      <c r="E23" s="523"/>
      <c r="F23" s="360" t="s">
        <v>527</v>
      </c>
      <c r="G23" s="351">
        <v>1.0289999999999999</v>
      </c>
      <c r="H23" s="375">
        <v>62.83</v>
      </c>
      <c r="I23" s="370">
        <f t="shared" si="0"/>
        <v>64.652069999999995</v>
      </c>
    </row>
    <row r="24" spans="1:9" x14ac:dyDescent="0.25">
      <c r="A24" s="360"/>
      <c r="B24" s="365"/>
      <c r="C24" s="385"/>
      <c r="D24" s="385"/>
      <c r="E24" s="385"/>
      <c r="F24" s="360"/>
      <c r="G24" s="351"/>
      <c r="H24" s="375"/>
      <c r="I24" s="370"/>
    </row>
    <row r="25" spans="1:9" x14ac:dyDescent="0.25">
      <c r="A25" s="502" t="s">
        <v>264</v>
      </c>
      <c r="B25" s="502"/>
      <c r="C25" s="502"/>
      <c r="D25" s="502"/>
      <c r="E25" s="502"/>
      <c r="F25" s="502"/>
      <c r="G25" s="502"/>
      <c r="H25" s="502"/>
      <c r="I25" s="362">
        <f>SUM(I17:I23)</f>
        <v>395.38810999999998</v>
      </c>
    </row>
    <row r="26" spans="1:9" x14ac:dyDescent="0.25">
      <c r="A26" s="377"/>
      <c r="B26" s="377"/>
      <c r="C26" s="377"/>
      <c r="D26" s="377"/>
      <c r="E26" s="377"/>
      <c r="F26" s="377"/>
      <c r="G26" s="377"/>
      <c r="H26" s="379"/>
      <c r="I26" s="109"/>
    </row>
    <row r="27" spans="1:9" x14ac:dyDescent="0.25">
      <c r="A27" s="510" t="s">
        <v>276</v>
      </c>
      <c r="B27" s="510"/>
      <c r="C27" s="510"/>
      <c r="D27" s="510"/>
      <c r="E27" s="510"/>
      <c r="F27" s="510"/>
      <c r="G27" s="510"/>
      <c r="H27" s="510"/>
      <c r="I27" s="510"/>
    </row>
    <row r="28" spans="1:9" x14ac:dyDescent="0.25">
      <c r="A28" s="352"/>
      <c r="B28" s="378"/>
      <c r="C28" s="511" t="s">
        <v>254</v>
      </c>
      <c r="D28" s="511"/>
      <c r="E28" s="511"/>
      <c r="F28" s="378" t="s">
        <v>255</v>
      </c>
      <c r="G28" s="357" t="s">
        <v>256</v>
      </c>
      <c r="H28" s="374" t="s">
        <v>257</v>
      </c>
      <c r="I28" s="355" t="s">
        <v>258</v>
      </c>
    </row>
    <row r="29" spans="1:9" x14ac:dyDescent="0.25">
      <c r="A29" s="366"/>
      <c r="B29" s="365"/>
      <c r="C29" s="516"/>
      <c r="D29" s="517"/>
      <c r="E29" s="518"/>
      <c r="F29" s="361"/>
      <c r="G29" s="371"/>
      <c r="H29" s="376"/>
      <c r="I29" s="369"/>
    </row>
    <row r="30" spans="1:9" x14ac:dyDescent="0.25">
      <c r="A30" s="358"/>
      <c r="B30" s="365"/>
      <c r="C30" s="529"/>
      <c r="D30" s="500"/>
      <c r="E30" s="501"/>
      <c r="F30" s="384"/>
      <c r="G30" s="359"/>
      <c r="H30" s="156"/>
      <c r="I30" s="369"/>
    </row>
    <row r="31" spans="1:9" x14ac:dyDescent="0.25">
      <c r="A31" s="502" t="s">
        <v>265</v>
      </c>
      <c r="B31" s="502"/>
      <c r="C31" s="502"/>
      <c r="D31" s="502"/>
      <c r="E31" s="502"/>
      <c r="F31" s="502"/>
      <c r="G31" s="502"/>
      <c r="H31" s="502"/>
      <c r="I31" s="356">
        <f>SUM(I29:I30)</f>
        <v>0</v>
      </c>
    </row>
    <row r="32" spans="1:9" x14ac:dyDescent="0.25">
      <c r="A32" s="512"/>
      <c r="B32" s="513"/>
      <c r="C32" s="513"/>
      <c r="D32" s="513"/>
      <c r="E32" s="513"/>
      <c r="F32" s="513"/>
      <c r="G32" s="513"/>
      <c r="H32" s="513"/>
      <c r="I32" s="514"/>
    </row>
    <row r="33" spans="1:9" x14ac:dyDescent="0.25">
      <c r="A33" s="503" t="s">
        <v>269</v>
      </c>
      <c r="B33" s="503"/>
      <c r="C33" s="503"/>
      <c r="D33" s="503"/>
      <c r="E33" s="503"/>
      <c r="F33" s="503"/>
      <c r="G33" s="503"/>
      <c r="H33" s="503"/>
      <c r="I33" s="503"/>
    </row>
    <row r="34" spans="1:9" x14ac:dyDescent="0.25">
      <c r="A34" s="509" t="s">
        <v>279</v>
      </c>
      <c r="B34" s="509"/>
      <c r="C34" s="509"/>
      <c r="D34" s="509"/>
      <c r="E34" s="509"/>
      <c r="F34" s="509"/>
      <c r="G34" s="509"/>
      <c r="H34" s="509"/>
      <c r="I34" s="128">
        <f>I13</f>
        <v>263.67438905858415</v>
      </c>
    </row>
    <row r="35" spans="1:9" x14ac:dyDescent="0.25">
      <c r="A35" s="509" t="s">
        <v>280</v>
      </c>
      <c r="B35" s="509"/>
      <c r="C35" s="509"/>
      <c r="D35" s="509"/>
      <c r="E35" s="509"/>
      <c r="F35" s="509"/>
      <c r="G35" s="509"/>
      <c r="H35" s="509"/>
      <c r="I35" s="128">
        <f>I25</f>
        <v>395.38810999999998</v>
      </c>
    </row>
    <row r="36" spans="1:9" x14ac:dyDescent="0.25">
      <c r="A36" s="509" t="s">
        <v>286</v>
      </c>
      <c r="B36" s="509"/>
      <c r="C36" s="509"/>
      <c r="D36" s="509"/>
      <c r="E36" s="509"/>
      <c r="F36" s="509"/>
      <c r="G36" s="509"/>
      <c r="H36" s="509"/>
      <c r="I36" s="128">
        <f>I31</f>
        <v>0</v>
      </c>
    </row>
    <row r="37" spans="1:9" x14ac:dyDescent="0.25">
      <c r="A37" s="509" t="s">
        <v>287</v>
      </c>
      <c r="B37" s="509"/>
      <c r="C37" s="509"/>
      <c r="D37" s="509"/>
      <c r="E37" s="509"/>
      <c r="F37" s="509"/>
      <c r="G37" s="509"/>
      <c r="H37" s="509"/>
      <c r="I37" s="135">
        <f>SUM(I34:I36)</f>
        <v>659.06249905858408</v>
      </c>
    </row>
  </sheetData>
  <mergeCells count="32">
    <mergeCell ref="A15:I15"/>
    <mergeCell ref="A1:H4"/>
    <mergeCell ref="I1:I2"/>
    <mergeCell ref="A5:H6"/>
    <mergeCell ref="I5:I6"/>
    <mergeCell ref="A7:I7"/>
    <mergeCell ref="A8:I8"/>
    <mergeCell ref="C9:E9"/>
    <mergeCell ref="C10:D10"/>
    <mergeCell ref="C11:D11"/>
    <mergeCell ref="C12:D12"/>
    <mergeCell ref="A13:H13"/>
    <mergeCell ref="C16:E16"/>
    <mergeCell ref="C17:E17"/>
    <mergeCell ref="C18:E18"/>
    <mergeCell ref="A25:H25"/>
    <mergeCell ref="A27:I27"/>
    <mergeCell ref="A34:H34"/>
    <mergeCell ref="A35:H35"/>
    <mergeCell ref="A36:H36"/>
    <mergeCell ref="A37:H37"/>
    <mergeCell ref="C19:E19"/>
    <mergeCell ref="C21:E21"/>
    <mergeCell ref="C20:E20"/>
    <mergeCell ref="C22:E22"/>
    <mergeCell ref="C23:E23"/>
    <mergeCell ref="C28:E28"/>
    <mergeCell ref="C29:E29"/>
    <mergeCell ref="C30:E30"/>
    <mergeCell ref="A31:H31"/>
    <mergeCell ref="A32:I32"/>
    <mergeCell ref="A33:I33"/>
  </mergeCells>
  <pageMargins left="0.511811024" right="0.511811024" top="0.78740157499999996" bottom="0.78740157499999996" header="0.31496062000000002" footer="0.31496062000000002"/>
  <pageSetup paperSize="9" scale="7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15"/>
  <sheetViews>
    <sheetView view="pageBreakPreview" topLeftCell="A10" zoomScale="55" zoomScaleNormal="100" zoomScaleSheetLayoutView="55" workbookViewId="0">
      <selection activeCell="B16" sqref="B16"/>
    </sheetView>
  </sheetViews>
  <sheetFormatPr defaultRowHeight="15" x14ac:dyDescent="0.25"/>
  <cols>
    <col min="1" max="1" width="9.42578125" bestFit="1" customWidth="1"/>
    <col min="2" max="2" width="15.42578125" bestFit="1" customWidth="1"/>
    <col min="3" max="3" width="50.42578125" bestFit="1" customWidth="1"/>
    <col min="4" max="4" width="18.28515625" bestFit="1" customWidth="1"/>
    <col min="5" max="5" width="34" customWidth="1"/>
    <col min="6" max="6" width="18.7109375" bestFit="1" customWidth="1"/>
    <col min="7" max="7" width="14" bestFit="1" customWidth="1"/>
    <col min="8" max="8" width="15.42578125" bestFit="1" customWidth="1"/>
    <col min="9" max="9" width="38.85546875" customWidth="1"/>
    <col min="10" max="10" width="19.140625" bestFit="1" customWidth="1"/>
    <col min="11" max="11" width="14" bestFit="1" customWidth="1"/>
    <col min="12" max="12" width="16" bestFit="1" customWidth="1"/>
    <col min="13" max="13" width="36.85546875" customWidth="1"/>
    <col min="14" max="14" width="16.28515625" bestFit="1" customWidth="1"/>
    <col min="15" max="15" width="14" bestFit="1" customWidth="1"/>
    <col min="16" max="16" width="18.7109375" bestFit="1" customWidth="1"/>
    <col min="17" max="17" width="23.42578125" customWidth="1"/>
  </cols>
  <sheetData>
    <row r="1" spans="1:17" ht="15" customHeight="1" x14ac:dyDescent="0.25">
      <c r="A1" s="530"/>
      <c r="B1" s="533" t="s">
        <v>0</v>
      </c>
      <c r="C1" s="533"/>
      <c r="D1" s="533"/>
      <c r="E1" s="533"/>
      <c r="F1" s="533"/>
      <c r="G1" s="533"/>
      <c r="H1" s="533"/>
      <c r="I1" s="533"/>
      <c r="J1" s="533"/>
      <c r="K1" s="533"/>
      <c r="L1" s="533"/>
      <c r="M1" s="533"/>
      <c r="N1" s="533"/>
      <c r="O1" s="533"/>
      <c r="P1" s="533"/>
      <c r="Q1" s="533"/>
    </row>
    <row r="2" spans="1:17" ht="15.75" x14ac:dyDescent="0.25">
      <c r="A2" s="531"/>
      <c r="B2" s="534" t="s">
        <v>288</v>
      </c>
      <c r="C2" s="535"/>
      <c r="D2" s="535"/>
      <c r="E2" s="535"/>
      <c r="F2" s="535"/>
      <c r="G2" s="535"/>
      <c r="H2" s="535"/>
      <c r="I2" s="535"/>
      <c r="J2" s="535"/>
      <c r="K2" s="535"/>
      <c r="L2" s="535"/>
      <c r="M2" s="535"/>
      <c r="N2" s="535"/>
      <c r="O2" s="535"/>
      <c r="P2" s="535"/>
      <c r="Q2" s="536"/>
    </row>
    <row r="3" spans="1:17" ht="15" customHeight="1" x14ac:dyDescent="0.25">
      <c r="A3" s="531"/>
      <c r="B3" s="534" t="s">
        <v>435</v>
      </c>
      <c r="C3" s="535"/>
      <c r="D3" s="535"/>
      <c r="E3" s="535"/>
      <c r="F3" s="535"/>
      <c r="G3" s="535"/>
      <c r="H3" s="535"/>
      <c r="I3" s="535"/>
      <c r="J3" s="535"/>
      <c r="K3" s="535"/>
      <c r="L3" s="535"/>
      <c r="M3" s="535"/>
      <c r="N3" s="535"/>
      <c r="O3" s="535"/>
      <c r="P3" s="535"/>
      <c r="Q3" s="536"/>
    </row>
    <row r="4" spans="1:17" ht="15" customHeight="1" x14ac:dyDescent="0.25">
      <c r="A4" s="531"/>
      <c r="B4" s="534" t="s">
        <v>2</v>
      </c>
      <c r="C4" s="535"/>
      <c r="D4" s="535"/>
      <c r="E4" s="535"/>
      <c r="F4" s="535"/>
      <c r="G4" s="535"/>
      <c r="H4" s="535"/>
      <c r="I4" s="535"/>
      <c r="J4" s="535"/>
      <c r="K4" s="535"/>
      <c r="L4" s="535"/>
      <c r="M4" s="535"/>
      <c r="N4" s="535"/>
      <c r="O4" s="535"/>
      <c r="P4" s="535"/>
      <c r="Q4" s="536"/>
    </row>
    <row r="5" spans="1:17" ht="15" customHeight="1" x14ac:dyDescent="0.25">
      <c r="A5" s="532"/>
      <c r="B5" s="534" t="s">
        <v>438</v>
      </c>
      <c r="C5" s="535"/>
      <c r="D5" s="535"/>
      <c r="E5" s="535"/>
      <c r="F5" s="535"/>
      <c r="G5" s="535"/>
      <c r="H5" s="535"/>
      <c r="I5" s="535"/>
      <c r="J5" s="535"/>
      <c r="K5" s="535"/>
      <c r="L5" s="535"/>
      <c r="M5" s="535"/>
      <c r="N5" s="535"/>
      <c r="O5" s="535"/>
      <c r="P5" s="535"/>
      <c r="Q5" s="536"/>
    </row>
    <row r="6" spans="1:17" ht="15" customHeight="1" x14ac:dyDescent="0.25">
      <c r="A6" s="538" t="s">
        <v>289</v>
      </c>
      <c r="B6" s="539" t="s">
        <v>290</v>
      </c>
      <c r="C6" s="540" t="s">
        <v>254</v>
      </c>
      <c r="D6" s="541" t="s">
        <v>291</v>
      </c>
      <c r="E6" s="541" t="s">
        <v>292</v>
      </c>
      <c r="F6" s="543" t="s">
        <v>293</v>
      </c>
      <c r="G6" s="544" t="s">
        <v>294</v>
      </c>
      <c r="H6" s="545" t="s">
        <v>295</v>
      </c>
      <c r="I6" s="547" t="s">
        <v>292</v>
      </c>
      <c r="J6" s="548" t="s">
        <v>293</v>
      </c>
      <c r="K6" s="550" t="s">
        <v>296</v>
      </c>
      <c r="L6" s="537" t="s">
        <v>297</v>
      </c>
      <c r="M6" s="537" t="s">
        <v>292</v>
      </c>
      <c r="N6" s="552" t="s">
        <v>293</v>
      </c>
      <c r="O6" s="553" t="s">
        <v>296</v>
      </c>
      <c r="P6" s="555" t="s">
        <v>298</v>
      </c>
      <c r="Q6" s="555" t="s">
        <v>299</v>
      </c>
    </row>
    <row r="7" spans="1:17" ht="21.75" customHeight="1" x14ac:dyDescent="0.25">
      <c r="A7" s="538"/>
      <c r="B7" s="540"/>
      <c r="C7" s="538"/>
      <c r="D7" s="541"/>
      <c r="E7" s="542"/>
      <c r="F7" s="543"/>
      <c r="G7" s="544"/>
      <c r="H7" s="546"/>
      <c r="I7" s="545"/>
      <c r="J7" s="549"/>
      <c r="K7" s="550"/>
      <c r="L7" s="537"/>
      <c r="M7" s="551"/>
      <c r="N7" s="551"/>
      <c r="O7" s="554"/>
      <c r="P7" s="556"/>
      <c r="Q7" s="556"/>
    </row>
    <row r="8" spans="1:17" ht="271.5" customHeight="1" x14ac:dyDescent="0.25">
      <c r="A8" s="263">
        <v>1</v>
      </c>
      <c r="B8" s="263" t="s">
        <v>360</v>
      </c>
      <c r="C8" s="264" t="s">
        <v>439</v>
      </c>
      <c r="D8" s="265" t="s">
        <v>311</v>
      </c>
      <c r="E8" s="303" t="s">
        <v>440</v>
      </c>
      <c r="F8" s="267">
        <v>439.9</v>
      </c>
      <c r="G8" s="268">
        <v>44421</v>
      </c>
      <c r="H8" s="265" t="s">
        <v>441</v>
      </c>
      <c r="I8" s="266" t="s">
        <v>442</v>
      </c>
      <c r="J8" s="267">
        <v>413.5</v>
      </c>
      <c r="K8" s="268">
        <v>44421</v>
      </c>
      <c r="L8" s="265" t="s">
        <v>384</v>
      </c>
      <c r="M8" s="303" t="s">
        <v>443</v>
      </c>
      <c r="N8" s="269">
        <v>409.1</v>
      </c>
      <c r="O8" s="268">
        <v>44421</v>
      </c>
      <c r="P8" s="270">
        <f t="shared" ref="P8:P13" si="0">(F8+J8+N8)/3</f>
        <v>420.83333333333331</v>
      </c>
      <c r="Q8" s="264" t="s">
        <v>304</v>
      </c>
    </row>
    <row r="9" spans="1:17" ht="142.5" x14ac:dyDescent="0.25">
      <c r="A9" s="263">
        <v>2</v>
      </c>
      <c r="B9" s="263" t="s">
        <v>305</v>
      </c>
      <c r="C9" s="264" t="s">
        <v>444</v>
      </c>
      <c r="D9" s="264" t="s">
        <v>445</v>
      </c>
      <c r="E9" s="303" t="s">
        <v>300</v>
      </c>
      <c r="F9" s="267">
        <v>44.9</v>
      </c>
      <c r="G9" s="268">
        <v>44421</v>
      </c>
      <c r="H9" s="265" t="s">
        <v>301</v>
      </c>
      <c r="I9" s="303" t="s">
        <v>446</v>
      </c>
      <c r="J9" s="267">
        <v>58.88</v>
      </c>
      <c r="K9" s="268">
        <v>44421</v>
      </c>
      <c r="L9" s="265" t="s">
        <v>302</v>
      </c>
      <c r="M9" s="303" t="s">
        <v>303</v>
      </c>
      <c r="N9" s="269">
        <v>63.9</v>
      </c>
      <c r="O9" s="268">
        <v>44421</v>
      </c>
      <c r="P9" s="270">
        <f t="shared" si="0"/>
        <v>55.893333333333338</v>
      </c>
      <c r="Q9" s="264" t="s">
        <v>304</v>
      </c>
    </row>
    <row r="10" spans="1:17" ht="195" x14ac:dyDescent="0.25">
      <c r="A10" s="263">
        <v>3</v>
      </c>
      <c r="B10" s="263" t="s">
        <v>434</v>
      </c>
      <c r="C10" s="264" t="s">
        <v>447</v>
      </c>
      <c r="D10" s="265" t="s">
        <v>448</v>
      </c>
      <c r="E10" s="303" t="s">
        <v>449</v>
      </c>
      <c r="F10" s="267">
        <v>45.5</v>
      </c>
      <c r="G10" s="268">
        <v>44421</v>
      </c>
      <c r="H10" s="265" t="s">
        <v>311</v>
      </c>
      <c r="I10" s="271" t="s">
        <v>450</v>
      </c>
      <c r="J10" s="267">
        <v>39.99</v>
      </c>
      <c r="K10" s="268">
        <v>44421</v>
      </c>
      <c r="L10" s="265" t="s">
        <v>451</v>
      </c>
      <c r="M10" s="271" t="s">
        <v>452</v>
      </c>
      <c r="N10" s="269">
        <v>43.91</v>
      </c>
      <c r="O10" s="268">
        <v>44421</v>
      </c>
      <c r="P10" s="270">
        <f t="shared" si="0"/>
        <v>43.133333333333333</v>
      </c>
      <c r="Q10" s="264" t="s">
        <v>304</v>
      </c>
    </row>
    <row r="11" spans="1:17" ht="45" x14ac:dyDescent="0.25">
      <c r="A11" s="263">
        <v>4</v>
      </c>
      <c r="B11" s="272" t="s">
        <v>437</v>
      </c>
      <c r="C11" s="264" t="s">
        <v>343</v>
      </c>
      <c r="D11" s="264" t="s">
        <v>323</v>
      </c>
      <c r="E11" s="271" t="s">
        <v>328</v>
      </c>
      <c r="F11" s="267">
        <v>2790</v>
      </c>
      <c r="G11" s="268">
        <v>44319</v>
      </c>
      <c r="H11" s="265" t="s">
        <v>324</v>
      </c>
      <c r="I11" s="271" t="s">
        <v>325</v>
      </c>
      <c r="J11" s="267">
        <v>3278</v>
      </c>
      <c r="K11" s="268">
        <v>44321</v>
      </c>
      <c r="L11" s="264" t="s">
        <v>326</v>
      </c>
      <c r="M11" s="271" t="s">
        <v>344</v>
      </c>
      <c r="N11" s="269">
        <v>2574</v>
      </c>
      <c r="O11" s="268">
        <v>44326</v>
      </c>
      <c r="P11" s="270">
        <f t="shared" si="0"/>
        <v>2880.6666666666665</v>
      </c>
      <c r="Q11" s="264"/>
    </row>
    <row r="12" spans="1:17" ht="199.5" x14ac:dyDescent="0.25">
      <c r="A12" s="263">
        <v>5</v>
      </c>
      <c r="B12" s="272" t="s">
        <v>357</v>
      </c>
      <c r="C12" s="264" t="s">
        <v>381</v>
      </c>
      <c r="D12" s="264" t="s">
        <v>311</v>
      </c>
      <c r="E12" s="303" t="s">
        <v>380</v>
      </c>
      <c r="F12" s="267">
        <v>54</v>
      </c>
      <c r="G12" s="268">
        <v>44424</v>
      </c>
      <c r="H12" s="265" t="s">
        <v>382</v>
      </c>
      <c r="I12" s="303" t="s">
        <v>383</v>
      </c>
      <c r="J12" s="267">
        <v>45.2</v>
      </c>
      <c r="K12" s="268">
        <v>44424</v>
      </c>
      <c r="L12" s="264" t="s">
        <v>384</v>
      </c>
      <c r="M12" s="303" t="s">
        <v>385</v>
      </c>
      <c r="N12" s="269">
        <v>54</v>
      </c>
      <c r="O12" s="268">
        <v>44424</v>
      </c>
      <c r="P12" s="270">
        <f t="shared" si="0"/>
        <v>51.066666666666663</v>
      </c>
      <c r="Q12" s="264" t="s">
        <v>304</v>
      </c>
    </row>
    <row r="13" spans="1:17" ht="189" customHeight="1" x14ac:dyDescent="0.25">
      <c r="A13" s="263">
        <v>6</v>
      </c>
      <c r="B13" s="272" t="s">
        <v>426</v>
      </c>
      <c r="C13" s="264" t="s">
        <v>453</v>
      </c>
      <c r="D13" s="264" t="s">
        <v>454</v>
      </c>
      <c r="E13" s="303" t="s">
        <v>455</v>
      </c>
      <c r="F13" s="267">
        <v>471.2</v>
      </c>
      <c r="G13" s="268">
        <v>44425</v>
      </c>
      <c r="H13" s="265" t="s">
        <v>384</v>
      </c>
      <c r="I13" s="303" t="s">
        <v>456</v>
      </c>
      <c r="J13" s="267">
        <v>350.1</v>
      </c>
      <c r="K13" s="268">
        <v>44425</v>
      </c>
      <c r="L13" s="264" t="s">
        <v>457</v>
      </c>
      <c r="M13" s="303" t="s">
        <v>458</v>
      </c>
      <c r="N13" s="269">
        <v>329.9</v>
      </c>
      <c r="O13" s="268">
        <v>44425</v>
      </c>
      <c r="P13" s="270">
        <f t="shared" si="0"/>
        <v>383.73333333333329</v>
      </c>
      <c r="Q13" s="264" t="s">
        <v>304</v>
      </c>
    </row>
    <row r="14" spans="1:17" ht="45" x14ac:dyDescent="0.25">
      <c r="A14" s="263">
        <v>7</v>
      </c>
      <c r="B14" s="272" t="s">
        <v>358</v>
      </c>
      <c r="C14" s="264" t="s">
        <v>459</v>
      </c>
      <c r="D14" s="264" t="s">
        <v>460</v>
      </c>
      <c r="E14" s="271" t="s">
        <v>461</v>
      </c>
      <c r="F14" s="267">
        <v>5400</v>
      </c>
      <c r="G14" s="268">
        <v>44424</v>
      </c>
      <c r="H14" s="264" t="s">
        <v>462</v>
      </c>
      <c r="I14" s="271" t="s">
        <v>463</v>
      </c>
      <c r="J14" s="267">
        <v>4500</v>
      </c>
      <c r="K14" s="268">
        <v>44424</v>
      </c>
      <c r="L14" s="264" t="s">
        <v>464</v>
      </c>
      <c r="M14" s="271" t="s">
        <v>465</v>
      </c>
      <c r="N14" s="269">
        <v>3800</v>
      </c>
      <c r="O14" s="268">
        <v>44425</v>
      </c>
      <c r="P14" s="270">
        <f>(F14+J14+N14)/3</f>
        <v>4566.666666666667</v>
      </c>
      <c r="Q14" s="264"/>
    </row>
    <row r="15" spans="1:17" ht="57" x14ac:dyDescent="0.25">
      <c r="A15" s="320">
        <v>8</v>
      </c>
      <c r="B15" s="328" t="s">
        <v>481</v>
      </c>
      <c r="C15" s="321" t="s">
        <v>497</v>
      </c>
      <c r="D15" s="321" t="s">
        <v>498</v>
      </c>
      <c r="E15" s="329" t="s">
        <v>499</v>
      </c>
      <c r="F15" s="323">
        <v>27200</v>
      </c>
      <c r="G15" s="324">
        <v>44375</v>
      </c>
      <c r="H15" s="322" t="s">
        <v>500</v>
      </c>
      <c r="I15" s="327" t="s">
        <v>501</v>
      </c>
      <c r="J15" s="323">
        <v>57657.4</v>
      </c>
      <c r="K15" s="324">
        <v>44377</v>
      </c>
      <c r="L15" s="321" t="s">
        <v>502</v>
      </c>
      <c r="M15" s="329" t="s">
        <v>503</v>
      </c>
      <c r="N15" s="325">
        <v>59700</v>
      </c>
      <c r="O15" s="324">
        <v>44377</v>
      </c>
      <c r="P15" s="326">
        <v>48185.799999999996</v>
      </c>
      <c r="Q15" s="321"/>
    </row>
  </sheetData>
  <mergeCells count="23">
    <mergeCell ref="M6:M7"/>
    <mergeCell ref="N6:N7"/>
    <mergeCell ref="O6:O7"/>
    <mergeCell ref="P6:P7"/>
    <mergeCell ref="Q6:Q7"/>
    <mergeCell ref="L6:L7"/>
    <mergeCell ref="A6:A7"/>
    <mergeCell ref="B6:B7"/>
    <mergeCell ref="C6:C7"/>
    <mergeCell ref="D6:D7"/>
    <mergeCell ref="E6:E7"/>
    <mergeCell ref="F6:F7"/>
    <mergeCell ref="G6:G7"/>
    <mergeCell ref="H6:H7"/>
    <mergeCell ref="I6:I7"/>
    <mergeCell ref="J6:J7"/>
    <mergeCell ref="K6:K7"/>
    <mergeCell ref="A1:A5"/>
    <mergeCell ref="B1:Q1"/>
    <mergeCell ref="B2:Q2"/>
    <mergeCell ref="B3:Q3"/>
    <mergeCell ref="B4:Q4"/>
    <mergeCell ref="B5:Q5"/>
  </mergeCells>
  <hyperlinks>
    <hyperlink ref="E8" display="https://www.americanas.com.br/produto/26994907/kit-porteiro-eletronico-f8-ntl-e-fechadura-eletrica-c90-hdl?WT.srch=1&amp;opn=YSMESP&amp;sellerid=18552346000168&amp;epar=bp_pl_00_go_pla_casaeconst_geral_gmv&amp;acc=e789ea56094489dffd798f86ff51c7a9&amp;i=56f30ab2eec3dfb1f8ebb8"/>
    <hyperlink ref="M8" display="https://www.submarino.com.br/produto/26994907/kit-porteiro-eletronico-f8-ntl-e-fechadura-eletrica-c90-hdl?opn=XMLGOOGLE&amp;sellerid=18552346000168&amp;epar=bp_pl_00_go_g35219&amp;WT.srch=1&amp;acc=d47a04c6f99456bc289220d5d0ff208d&amp;i=56f30b7aeec3dfb1f8ebed1c&amp;o=59aeee21eec"/>
    <hyperlink ref="E9" r:id="rId1"/>
    <hyperlink ref="I9" display="https://www.madeiramadeira.com.br/painel-plafon-led-embutir-24w-quadrado-branco-neutro-4000k-2164787.html?seller=4697&amp;origem=pla-2164787&amp;utm_source=google&amp;utm_medium=cpc&amp;utm_content=plafons-led-606&amp;utm_term=&amp;utm_id=6448165818&amp;gclid=EAIaIQobChMIv7j4ns3B8AI"/>
    <hyperlink ref="M9" r:id="rId2"/>
    <hyperlink ref="E10" display="https://www.amazon.com.br/LED-Painel-Bivolt-Avant-768131375/dp/B07HFN35X6/ref=asc_df_B07HFN35X6/?tag=googleshopp00-20&amp;linkCode=df0&amp;hvadid=379793968058&amp;hvpos=&amp;hvnetw=g&amp;hvrand=10190021652353567351&amp;hvpone=&amp;hvptwo=&amp;hvqmt=&amp;hvdev=c&amp;hvdvcmdl=&amp;hvlocint=&amp;hvlocphy="/>
    <hyperlink ref="E12" display="https://www.americanas.com.br/produto/1978061482/dispenser-p-papel-toalha-velox-premisse-branco?WT.srch=1&amp;acc=e789ea56094489dffd798f86ff51c7a9&amp;epar=bp_pl_00_go_todos-os-produtos_geral_gmv&amp;gclid=Cj0KCQjwqrb7BRDlARIsACwGad7MVi73ugrkWG5jAIN6yU4ecz3MaOidsVcft"/>
    <hyperlink ref="I12" r:id="rId3"/>
    <hyperlink ref="M12" display="https://www.submarino.com.br/produto/1978061482/dispenser-p-papel-toalha-velox-premisse-branco?WT.srch=1&amp;acc=d47a04c6f99456bc289220d5d0ff208d&amp;epar=bp_pl_00_go_pla_aic_geral_gmv&amp;gclid=Cj0KCQjwqrb7BRDlARIsACwGad5qhu8e-MVC7waZ4lS8pgcaHr3VGGgI1Hi8l7aEO5_d5nqD"/>
    <hyperlink ref="E13" r:id="rId4"/>
    <hyperlink ref="I13" display="https://www.submarino.com.br/produto/2586565420?loja=29894630000139&amp;epar=bp_pl_00_go_g35183&amp;opn=XMLGOOGLE&amp;WT.srch=1&amp;acc=d47a04c6f99456bc289220d5d0ff208d&amp;i=5f3cb97b49f937f625b60d71&amp;o=5fbbde8ff8e95eac3d838e69&amp;epar=bp_pl_00_go_g35183&amp;utm_medium=buscappc&amp;utm_"/>
    <hyperlink ref="M13" r:id="rId5"/>
    <hyperlink ref="E15" r:id="rId6"/>
    <hyperlink ref="M15" r:id="rId7"/>
  </hyperlinks>
  <pageMargins left="0.511811024" right="0.511811024" top="0.78740157499999996" bottom="0.78740157499999996" header="0.31496062000000002" footer="0.31496062000000002"/>
  <pageSetup paperSize="9" scale="36" orientation="landscape" r:id="rId8"/>
  <drawing r:id="rId9"/>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21</vt:i4>
      </vt:variant>
      <vt:variant>
        <vt:lpstr>Intervalos nomeados</vt:lpstr>
      </vt:variant>
      <vt:variant>
        <vt:i4>9</vt:i4>
      </vt:variant>
    </vt:vector>
  </HeadingPairs>
  <TitlesOfParts>
    <vt:vector size="30" baseType="lpstr">
      <vt:lpstr>PLANILHA ORÇAMENTÁRIA</vt:lpstr>
      <vt:lpstr>MC</vt:lpstr>
      <vt:lpstr>CRONOGRAMA</vt:lpstr>
      <vt:lpstr>BDI</vt:lpstr>
      <vt:lpstr>LS</vt:lpstr>
      <vt:lpstr>COMP-01</vt:lpstr>
      <vt:lpstr>COMP-02</vt:lpstr>
      <vt:lpstr>COMP-03</vt:lpstr>
      <vt:lpstr>COMP-04</vt:lpstr>
      <vt:lpstr>COMP-06</vt:lpstr>
      <vt:lpstr>COMP-07</vt:lpstr>
      <vt:lpstr>COMP-08</vt:lpstr>
      <vt:lpstr>COMP-09</vt:lpstr>
      <vt:lpstr>COMP-10</vt:lpstr>
      <vt:lpstr>COMP-11</vt:lpstr>
      <vt:lpstr>COMP-12</vt:lpstr>
      <vt:lpstr>COMP-14</vt:lpstr>
      <vt:lpstr>COMP-15</vt:lpstr>
      <vt:lpstr>COMP-16</vt:lpstr>
      <vt:lpstr>COMP-17</vt:lpstr>
      <vt:lpstr>COTAÇÕES </vt:lpstr>
      <vt:lpstr>BDI!Area_de_impressao</vt:lpstr>
      <vt:lpstr>'COTAÇÕES '!Area_de_impressao</vt:lpstr>
      <vt:lpstr>CRONOGRAMA!Area_de_impressao</vt:lpstr>
      <vt:lpstr>LS!Area_de_impressao</vt:lpstr>
      <vt:lpstr>MC!Area_de_impressao</vt:lpstr>
      <vt:lpstr>'PLANILHA ORÇAMENTÁRIA'!Area_de_impressao</vt:lpstr>
      <vt:lpstr>CRONOGRAMA!Titulos_de_impressao</vt:lpstr>
      <vt:lpstr>MC!Titulos_de_impressao</vt:lpstr>
      <vt:lpstr>'PLANILHA ORÇAMENTÁRIA'!Titulos_de_impressao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thais.baptista</dc:creator>
  <cp:lastModifiedBy>allan.dantas</cp:lastModifiedBy>
  <cp:lastPrinted>2022-04-14T12:43:08Z</cp:lastPrinted>
  <dcterms:created xsi:type="dcterms:W3CDTF">2021-04-14T10:19:50Z</dcterms:created>
  <dcterms:modified xsi:type="dcterms:W3CDTF">2022-06-13T11:33:29Z</dcterms:modified>
</cp:coreProperties>
</file>