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X:\Obras\ENGENHARIA\2.PROPOSTA - NOVAS OBRAS\06 - REFORMA RENASCER\PLANILHA ORÇAMENTÁRIA\"/>
    </mc:Choice>
  </mc:AlternateContent>
  <xr:revisionPtr revIDLastSave="0" documentId="13_ncr:1_{BABFD9ED-F5E9-49D7-A5ED-ECDC246B7058}" xr6:coauthVersionLast="47" xr6:coauthVersionMax="47" xr10:uidLastSave="{00000000-0000-0000-0000-000000000000}"/>
  <bookViews>
    <workbookView xWindow="-120" yWindow="-120" windowWidth="29040" windowHeight="15720" tabRatio="809" activeTab="14" xr2:uid="{00000000-000D-0000-FFFF-FFFF00000000}"/>
  </bookViews>
  <sheets>
    <sheet name="PLANILHA ORÇAMENTÁRIA" sheetId="1" r:id="rId1"/>
    <sheet name="MC" sheetId="11" r:id="rId2"/>
    <sheet name="CRONOGRAMA" sheetId="22" r:id="rId3"/>
    <sheet name="BDI" sheetId="4" r:id="rId4"/>
    <sheet name="LS" sheetId="5" r:id="rId5"/>
    <sheet name="COMP-01" sheetId="26" r:id="rId6"/>
    <sheet name="COMP-02" sheetId="61" r:id="rId7"/>
    <sheet name="COMP-03" sheetId="62" r:id="rId8"/>
    <sheet name="COMP-04" sheetId="24" r:id="rId9"/>
    <sheet name="COMP-05" sheetId="60" r:id="rId10"/>
    <sheet name="COMP-06" sheetId="28" r:id="rId11"/>
    <sheet name="COMP-07" sheetId="63" r:id="rId12"/>
    <sheet name="COMP-08" sheetId="64" r:id="rId13"/>
    <sheet name="COMP-09" sheetId="65" r:id="rId14"/>
    <sheet name="COTAÇÕES " sheetId="23" r:id="rId15"/>
  </sheets>
  <definedNames>
    <definedName name="_xlnm.Print_Area" localSheetId="3">BDI!$B$2:$J$48</definedName>
    <definedName name="_xlnm.Print_Area" localSheetId="14">'COTAÇÕES '!$A$1:$P$8</definedName>
    <definedName name="_xlnm.Print_Area" localSheetId="2">CRONOGRAMA!$A$1:$J$50</definedName>
    <definedName name="_xlnm.Print_Area" localSheetId="4">LS!$B$2:$E$50</definedName>
    <definedName name="_xlnm.Print_Area" localSheetId="1">MC!$A$1:$J$695</definedName>
    <definedName name="_xlnm.Print_Area" localSheetId="0">'PLANILHA ORÇAMENTÁRIA'!$A$1:$I$179</definedName>
    <definedName name="_xlnm.Print_Titles" localSheetId="14">'COTAÇÕES '!$1:$6</definedName>
    <definedName name="_xlnm.Print_Titles" localSheetId="2">CRONOGRAMA!$A:$D,CRONOGRAMA!$1:$6</definedName>
    <definedName name="_xlnm.Print_Titles" localSheetId="1">MC!$1:$5</definedName>
    <definedName name="_xlnm.Print_Titles" localSheetId="0">'PLANILHA ORÇAMENTÁRIA'!$1:$6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4" i="1" l="1"/>
  <c r="I174" i="1" s="1"/>
  <c r="I176" i="1"/>
  <c r="I175" i="1"/>
  <c r="H176" i="1"/>
  <c r="H175" i="1"/>
  <c r="I11" i="65"/>
  <c r="I10" i="65"/>
  <c r="I16" i="64"/>
  <c r="I11" i="64"/>
  <c r="I10" i="64"/>
  <c r="I16" i="63"/>
  <c r="I11" i="63"/>
  <c r="I10" i="63"/>
  <c r="I11" i="28"/>
  <c r="I10" i="28"/>
  <c r="I17" i="60"/>
  <c r="I16" i="60"/>
  <c r="I11" i="60"/>
  <c r="I10" i="60"/>
  <c r="I18" i="24"/>
  <c r="I17" i="24"/>
  <c r="I16" i="24"/>
  <c r="I11" i="24"/>
  <c r="I10" i="24"/>
  <c r="I23" i="61"/>
  <c r="I26" i="62"/>
  <c r="I25" i="62"/>
  <c r="I20" i="62"/>
  <c r="I19" i="62"/>
  <c r="I18" i="62"/>
  <c r="I17" i="62"/>
  <c r="I16" i="62"/>
  <c r="I11" i="62"/>
  <c r="I10" i="62"/>
  <c r="I22" i="61"/>
  <c r="I17" i="61"/>
  <c r="I16" i="61"/>
  <c r="I11" i="61"/>
  <c r="I10" i="61"/>
  <c r="I23" i="26"/>
  <c r="I22" i="26"/>
  <c r="I17" i="26"/>
  <c r="I16" i="26"/>
  <c r="I11" i="26"/>
  <c r="I10" i="26"/>
  <c r="B43" i="22" l="1"/>
  <c r="B671" i="11"/>
  <c r="H667" i="11" l="1"/>
  <c r="J667" i="11" s="1"/>
  <c r="E613" i="11"/>
  <c r="H613" i="11" s="1"/>
  <c r="I613" i="11"/>
  <c r="G612" i="11"/>
  <c r="E612" i="11"/>
  <c r="E610" i="11"/>
  <c r="H610" i="11" s="1"/>
  <c r="J610" i="11" s="1"/>
  <c r="J608" i="11"/>
  <c r="H607" i="11"/>
  <c r="J607" i="11" s="1"/>
  <c r="J619" i="11"/>
  <c r="J616" i="11"/>
  <c r="J617" i="11"/>
  <c r="J618" i="11"/>
  <c r="H606" i="11"/>
  <c r="J606" i="11" s="1"/>
  <c r="E604" i="11"/>
  <c r="H604" i="11" s="1"/>
  <c r="J604" i="11" s="1"/>
  <c r="E603" i="11"/>
  <c r="J615" i="11"/>
  <c r="G603" i="11"/>
  <c r="G601" i="11"/>
  <c r="I601" i="11"/>
  <c r="E601" i="11"/>
  <c r="G599" i="11"/>
  <c r="G597" i="11"/>
  <c r="G595" i="11"/>
  <c r="F599" i="11"/>
  <c r="F595" i="11"/>
  <c r="F597" i="11"/>
  <c r="E591" i="11"/>
  <c r="H591" i="11" s="1"/>
  <c r="J591" i="11" s="1"/>
  <c r="E593" i="11"/>
  <c r="H593" i="11" s="1"/>
  <c r="J593" i="11" s="1"/>
  <c r="J592" i="11"/>
  <c r="H590" i="11"/>
  <c r="J590" i="11" s="1"/>
  <c r="F588" i="11"/>
  <c r="H588" i="11" s="1"/>
  <c r="J588" i="11" s="1"/>
  <c r="F587" i="11"/>
  <c r="H587" i="11" s="1"/>
  <c r="J587" i="11" s="1"/>
  <c r="F586" i="11"/>
  <c r="H586" i="11" s="1"/>
  <c r="J586" i="11" s="1"/>
  <c r="E585" i="11"/>
  <c r="H585" i="11" s="1"/>
  <c r="J585" i="11" s="1"/>
  <c r="E584" i="11"/>
  <c r="H584" i="11" s="1"/>
  <c r="J584" i="11" s="1"/>
  <c r="I583" i="11"/>
  <c r="J583" i="11" s="1"/>
  <c r="H582" i="11"/>
  <c r="J582" i="11" s="1"/>
  <c r="I581" i="11"/>
  <c r="J581" i="11" s="1"/>
  <c r="I580" i="11"/>
  <c r="H580" i="11"/>
  <c r="B45" i="22"/>
  <c r="B41" i="22"/>
  <c r="B39" i="22"/>
  <c r="B37" i="22"/>
  <c r="B35" i="22"/>
  <c r="B33" i="22"/>
  <c r="B31" i="22"/>
  <c r="B29" i="22"/>
  <c r="B27" i="22"/>
  <c r="B25" i="22"/>
  <c r="B23" i="22"/>
  <c r="B21" i="22"/>
  <c r="B19" i="22"/>
  <c r="B17" i="22"/>
  <c r="B15" i="22"/>
  <c r="B13" i="22"/>
  <c r="B11" i="22"/>
  <c r="B9" i="22"/>
  <c r="B7" i="22"/>
  <c r="B176" i="11"/>
  <c r="A176" i="11"/>
  <c r="C690" i="11"/>
  <c r="C684" i="11"/>
  <c r="B690" i="11"/>
  <c r="A690" i="11"/>
  <c r="J693" i="11"/>
  <c r="J692" i="11"/>
  <c r="J691" i="11"/>
  <c r="B677" i="11"/>
  <c r="A677" i="11"/>
  <c r="B684" i="11"/>
  <c r="A684" i="11"/>
  <c r="J687" i="11"/>
  <c r="J686" i="11"/>
  <c r="J685" i="11"/>
  <c r="J680" i="11"/>
  <c r="J681" i="11"/>
  <c r="J679" i="11"/>
  <c r="C678" i="11"/>
  <c r="B678" i="11"/>
  <c r="A678" i="11"/>
  <c r="B676" i="11"/>
  <c r="A676" i="11"/>
  <c r="I24" i="65"/>
  <c r="I29" i="65" s="1"/>
  <c r="H164" i="1"/>
  <c r="H166" i="1"/>
  <c r="H170" i="1"/>
  <c r="H162" i="1"/>
  <c r="I24" i="64"/>
  <c r="I29" i="64" s="1"/>
  <c r="I18" i="64"/>
  <c r="I28" i="64" s="1"/>
  <c r="I12" i="63"/>
  <c r="I27" i="63" s="1"/>
  <c r="C672" i="11"/>
  <c r="C631" i="11"/>
  <c r="C622" i="11"/>
  <c r="C577" i="11"/>
  <c r="J673" i="11"/>
  <c r="J674" i="11" s="1"/>
  <c r="F170" i="1" s="1"/>
  <c r="I170" i="1" s="1"/>
  <c r="I171" i="1" s="1"/>
  <c r="D44" i="22" s="1"/>
  <c r="J44" i="22" s="1"/>
  <c r="I18" i="63"/>
  <c r="I28" i="63" s="1"/>
  <c r="I24" i="63"/>
  <c r="I29" i="63"/>
  <c r="J628" i="11"/>
  <c r="J625" i="11"/>
  <c r="J626" i="11"/>
  <c r="J627" i="11"/>
  <c r="J624" i="11"/>
  <c r="J149" i="11"/>
  <c r="J150" i="11"/>
  <c r="E27" i="11"/>
  <c r="H27" i="11" s="1"/>
  <c r="J27" i="11" s="1"/>
  <c r="J138" i="11"/>
  <c r="J137" i="11"/>
  <c r="J556" i="11"/>
  <c r="J557" i="11" s="1"/>
  <c r="F155" i="1" s="1"/>
  <c r="O7" i="23"/>
  <c r="H16" i="28" s="1"/>
  <c r="C555" i="11"/>
  <c r="B555" i="11"/>
  <c r="A555" i="11"/>
  <c r="B554" i="11"/>
  <c r="A554" i="11"/>
  <c r="I12" i="28"/>
  <c r="I27" i="28" s="1"/>
  <c r="I24" i="28"/>
  <c r="I29" i="28"/>
  <c r="J567" i="11"/>
  <c r="J568" i="11"/>
  <c r="J110" i="11"/>
  <c r="J111" i="11"/>
  <c r="J113" i="11"/>
  <c r="J566" i="11"/>
  <c r="J565" i="11"/>
  <c r="J102" i="11"/>
  <c r="J564" i="11"/>
  <c r="J563" i="11"/>
  <c r="H141" i="1"/>
  <c r="J87" i="11"/>
  <c r="J339" i="11"/>
  <c r="J340" i="11"/>
  <c r="J341" i="11"/>
  <c r="C338" i="11"/>
  <c r="B338" i="11"/>
  <c r="A338" i="11"/>
  <c r="B337" i="11"/>
  <c r="A337" i="11"/>
  <c r="H91" i="1"/>
  <c r="C514" i="11"/>
  <c r="C508" i="11"/>
  <c r="C503" i="11"/>
  <c r="C497" i="11"/>
  <c r="H140" i="1"/>
  <c r="B514" i="11"/>
  <c r="A514" i="11"/>
  <c r="J515" i="11"/>
  <c r="J516" i="11" s="1"/>
  <c r="F144" i="1" s="1"/>
  <c r="B508" i="11"/>
  <c r="A508" i="11"/>
  <c r="B507" i="11"/>
  <c r="A507" i="11"/>
  <c r="J509" i="11"/>
  <c r="J510" i="11"/>
  <c r="J511" i="11"/>
  <c r="B503" i="11"/>
  <c r="A503" i="11"/>
  <c r="J504" i="11"/>
  <c r="J498" i="11"/>
  <c r="J501" i="11" s="1"/>
  <c r="F140" i="1" s="1"/>
  <c r="J499" i="11"/>
  <c r="J500" i="11"/>
  <c r="H144" i="1"/>
  <c r="B497" i="11"/>
  <c r="A497" i="11"/>
  <c r="A496" i="11"/>
  <c r="B496" i="11"/>
  <c r="C485" i="11"/>
  <c r="B485" i="11"/>
  <c r="A485" i="11"/>
  <c r="H137" i="1"/>
  <c r="H143" i="1"/>
  <c r="H268" i="11"/>
  <c r="H54" i="1"/>
  <c r="J246" i="11"/>
  <c r="J240" i="11"/>
  <c r="J241" i="11" s="1"/>
  <c r="F58" i="1" s="1"/>
  <c r="C249" i="11"/>
  <c r="C239" i="11"/>
  <c r="A239" i="11"/>
  <c r="B239" i="11"/>
  <c r="H45" i="11"/>
  <c r="J45" i="11" s="1"/>
  <c r="J231" i="11"/>
  <c r="C224" i="11"/>
  <c r="A224" i="11"/>
  <c r="B224" i="11"/>
  <c r="J225" i="11"/>
  <c r="J226" i="11" s="1"/>
  <c r="F54" i="1" s="1"/>
  <c r="H58" i="1"/>
  <c r="H68" i="1"/>
  <c r="H280" i="11"/>
  <c r="J280" i="11" s="1"/>
  <c r="H278" i="11"/>
  <c r="J278" i="11" s="1"/>
  <c r="B276" i="11"/>
  <c r="A276" i="11"/>
  <c r="C276" i="11"/>
  <c r="J25" i="11"/>
  <c r="J26" i="11"/>
  <c r="J334" i="11"/>
  <c r="F363" i="11"/>
  <c r="H363" i="11" s="1"/>
  <c r="I364" i="11"/>
  <c r="I363" i="11"/>
  <c r="I362" i="11"/>
  <c r="F17" i="11"/>
  <c r="F362" i="11"/>
  <c r="H362" i="11"/>
  <c r="J12" i="11"/>
  <c r="J380" i="11"/>
  <c r="B672" i="11"/>
  <c r="B631" i="11"/>
  <c r="B630" i="11"/>
  <c r="B621" i="11"/>
  <c r="B622" i="11"/>
  <c r="B577" i="11"/>
  <c r="H10" i="1"/>
  <c r="H11" i="1"/>
  <c r="H12" i="1"/>
  <c r="H13" i="1"/>
  <c r="H14" i="1"/>
  <c r="H15" i="1"/>
  <c r="H16" i="1"/>
  <c r="H17" i="1"/>
  <c r="H18" i="1"/>
  <c r="H19" i="1"/>
  <c r="H20" i="1"/>
  <c r="H21" i="1"/>
  <c r="H22" i="1"/>
  <c r="H23" i="1"/>
  <c r="H24" i="1"/>
  <c r="H25" i="1"/>
  <c r="H27" i="1"/>
  <c r="B158" i="11"/>
  <c r="J159" i="11"/>
  <c r="J160" i="11" s="1"/>
  <c r="H664" i="11"/>
  <c r="J664" i="11" s="1"/>
  <c r="H663" i="11"/>
  <c r="J663" i="11" s="1"/>
  <c r="J651" i="11"/>
  <c r="J653" i="11"/>
  <c r="J656" i="11"/>
  <c r="J659" i="11"/>
  <c r="J661" i="11"/>
  <c r="J662" i="11"/>
  <c r="H259" i="11"/>
  <c r="J259" i="11" s="1"/>
  <c r="H257" i="11"/>
  <c r="J257" i="11" s="1"/>
  <c r="B262" i="11"/>
  <c r="H666" i="11"/>
  <c r="J666" i="11" s="1"/>
  <c r="H665" i="11"/>
  <c r="J665" i="11" s="1"/>
  <c r="J407" i="11"/>
  <c r="J408" i="11"/>
  <c r="H660" i="11"/>
  <c r="J660" i="11" s="1"/>
  <c r="J406" i="11"/>
  <c r="H658" i="11"/>
  <c r="J658" i="11" s="1"/>
  <c r="H657" i="11"/>
  <c r="J657" i="11" s="1"/>
  <c r="H655" i="11"/>
  <c r="J655" i="11" s="1"/>
  <c r="H654" i="11"/>
  <c r="J654" i="11" s="1"/>
  <c r="C405" i="11"/>
  <c r="B405" i="11"/>
  <c r="A405" i="11"/>
  <c r="H108" i="1"/>
  <c r="H109" i="1"/>
  <c r="H652" i="11"/>
  <c r="J652" i="11" s="1"/>
  <c r="B249" i="11"/>
  <c r="A249" i="11"/>
  <c r="C243" i="11"/>
  <c r="B243" i="11"/>
  <c r="A243" i="11"/>
  <c r="B238" i="11"/>
  <c r="A238" i="11"/>
  <c r="J250" i="11"/>
  <c r="J251" i="11" s="1"/>
  <c r="F60" i="1" s="1"/>
  <c r="J245" i="11"/>
  <c r="J244" i="11"/>
  <c r="C234" i="11"/>
  <c r="B234" i="11"/>
  <c r="A234" i="11"/>
  <c r="J235" i="11"/>
  <c r="J236" i="11" s="1"/>
  <c r="F56" i="1" s="1"/>
  <c r="J230" i="11"/>
  <c r="J229" i="11"/>
  <c r="C228" i="11"/>
  <c r="B228" i="11"/>
  <c r="A228" i="11"/>
  <c r="B223" i="11"/>
  <c r="A223" i="11"/>
  <c r="B222" i="11"/>
  <c r="A222" i="11"/>
  <c r="B255" i="11"/>
  <c r="B254" i="11"/>
  <c r="A255" i="11"/>
  <c r="A254" i="11"/>
  <c r="H64" i="1"/>
  <c r="H650" i="11"/>
  <c r="J650" i="11" s="1"/>
  <c r="H648" i="11"/>
  <c r="J648" i="11" s="1"/>
  <c r="H647" i="11"/>
  <c r="J647" i="11" s="1"/>
  <c r="H645" i="11"/>
  <c r="J645" i="11" s="1"/>
  <c r="H60" i="1"/>
  <c r="H59" i="1"/>
  <c r="H643" i="11"/>
  <c r="J643" i="11" s="1"/>
  <c r="H642" i="11"/>
  <c r="J642" i="11" s="1"/>
  <c r="H56" i="1"/>
  <c r="H55" i="1"/>
  <c r="J413" i="11"/>
  <c r="J414" i="11"/>
  <c r="J415" i="11"/>
  <c r="J416" i="11"/>
  <c r="J417" i="11"/>
  <c r="J418" i="11"/>
  <c r="J419" i="11"/>
  <c r="J420" i="11"/>
  <c r="J421" i="11"/>
  <c r="J422" i="11"/>
  <c r="H635" i="11"/>
  <c r="J635" i="11" s="1"/>
  <c r="H636" i="11"/>
  <c r="J636" i="11" s="1"/>
  <c r="H637" i="11"/>
  <c r="J637" i="11" s="1"/>
  <c r="H638" i="11"/>
  <c r="J638" i="11" s="1"/>
  <c r="H639" i="11"/>
  <c r="J639" i="11" s="1"/>
  <c r="H640" i="11"/>
  <c r="J640" i="11" s="1"/>
  <c r="H641" i="11"/>
  <c r="J641" i="11" s="1"/>
  <c r="H634" i="11"/>
  <c r="J634" i="11" s="1"/>
  <c r="J412" i="11"/>
  <c r="C411" i="11"/>
  <c r="B411" i="11"/>
  <c r="A411" i="11"/>
  <c r="H110" i="1"/>
  <c r="J402" i="11"/>
  <c r="J390" i="11"/>
  <c r="J391" i="11"/>
  <c r="J388" i="11"/>
  <c r="J389" i="11"/>
  <c r="J350" i="11"/>
  <c r="J349" i="11"/>
  <c r="J348" i="11"/>
  <c r="J347" i="11"/>
  <c r="J346" i="11"/>
  <c r="J333" i="11"/>
  <c r="J332" i="11"/>
  <c r="J331" i="11"/>
  <c r="H297" i="11"/>
  <c r="J297" i="11" s="1"/>
  <c r="J298" i="11" s="1"/>
  <c r="F74" i="1" s="1"/>
  <c r="H219" i="11"/>
  <c r="J214" i="11"/>
  <c r="J213" i="11"/>
  <c r="E198" i="11"/>
  <c r="H198" i="11" s="1"/>
  <c r="J198" i="11" s="1"/>
  <c r="E207" i="11"/>
  <c r="H207" i="11" s="1"/>
  <c r="J207" i="11" s="1"/>
  <c r="E202" i="11"/>
  <c r="H202" i="11" s="1"/>
  <c r="J202" i="11" s="1"/>
  <c r="J155" i="11"/>
  <c r="F25" i="1" s="1"/>
  <c r="A35" i="11"/>
  <c r="A30" i="11"/>
  <c r="A22" i="11"/>
  <c r="A15" i="11"/>
  <c r="A8" i="11"/>
  <c r="B7" i="11"/>
  <c r="A7" i="11"/>
  <c r="B6" i="11"/>
  <c r="A6" i="11"/>
  <c r="J85" i="11"/>
  <c r="J86" i="11"/>
  <c r="J89" i="11"/>
  <c r="J90" i="11"/>
  <c r="J91" i="11"/>
  <c r="J93" i="11"/>
  <c r="J94" i="11"/>
  <c r="J96" i="11"/>
  <c r="J97" i="11"/>
  <c r="J99" i="11"/>
  <c r="J100" i="11"/>
  <c r="J101" i="11"/>
  <c r="J104" i="11"/>
  <c r="J105" i="11"/>
  <c r="J106" i="11"/>
  <c r="J108" i="11"/>
  <c r="J114" i="11"/>
  <c r="J115" i="11"/>
  <c r="J117" i="11"/>
  <c r="J118" i="11"/>
  <c r="J119" i="11"/>
  <c r="J84" i="11"/>
  <c r="I32" i="11"/>
  <c r="J32" i="11" s="1"/>
  <c r="C571" i="11"/>
  <c r="B571" i="11"/>
  <c r="A571" i="11"/>
  <c r="C560" i="11"/>
  <c r="B560" i="11"/>
  <c r="A560" i="11"/>
  <c r="B559" i="11"/>
  <c r="A559" i="11"/>
  <c r="C550" i="11"/>
  <c r="B550" i="11"/>
  <c r="A550" i="11"/>
  <c r="C546" i="11"/>
  <c r="B546" i="11"/>
  <c r="A546" i="11"/>
  <c r="C542" i="11"/>
  <c r="B542" i="11"/>
  <c r="A542" i="11"/>
  <c r="C537" i="11"/>
  <c r="B537" i="11"/>
  <c r="A537" i="11"/>
  <c r="C528" i="11"/>
  <c r="B528" i="11"/>
  <c r="A528" i="11"/>
  <c r="C520" i="11"/>
  <c r="B520" i="11"/>
  <c r="A520" i="11"/>
  <c r="B519" i="11"/>
  <c r="A519" i="11"/>
  <c r="A518" i="11"/>
  <c r="C490" i="11"/>
  <c r="B490" i="11"/>
  <c r="A490" i="11"/>
  <c r="B484" i="11"/>
  <c r="A484" i="11"/>
  <c r="B483" i="11"/>
  <c r="A483" i="11"/>
  <c r="C477" i="11"/>
  <c r="B477" i="11"/>
  <c r="A477" i="11"/>
  <c r="B476" i="11"/>
  <c r="A476" i="11"/>
  <c r="C472" i="11"/>
  <c r="B472" i="11"/>
  <c r="A472" i="11"/>
  <c r="B471" i="11"/>
  <c r="A471" i="11"/>
  <c r="C467" i="11"/>
  <c r="B467" i="11"/>
  <c r="A467" i="11"/>
  <c r="C463" i="11"/>
  <c r="B463" i="11"/>
  <c r="A463" i="11"/>
  <c r="C459" i="11"/>
  <c r="B459" i="11"/>
  <c r="A459" i="11"/>
  <c r="C455" i="11"/>
  <c r="B455" i="11"/>
  <c r="A455" i="11"/>
  <c r="C451" i="11"/>
  <c r="C447" i="11"/>
  <c r="C442" i="11"/>
  <c r="B451" i="11"/>
  <c r="A451" i="11"/>
  <c r="B450" i="11"/>
  <c r="A450" i="11"/>
  <c r="B447" i="11"/>
  <c r="A447" i="11"/>
  <c r="B446" i="11"/>
  <c r="A446" i="11"/>
  <c r="B442" i="11"/>
  <c r="A442" i="11"/>
  <c r="B441" i="11"/>
  <c r="A441" i="11"/>
  <c r="B440" i="11"/>
  <c r="A440" i="11"/>
  <c r="C436" i="11"/>
  <c r="B436" i="11"/>
  <c r="A436" i="11"/>
  <c r="B435" i="11"/>
  <c r="A435" i="11"/>
  <c r="C431" i="11"/>
  <c r="B431" i="11"/>
  <c r="A431" i="11"/>
  <c r="C427" i="11"/>
  <c r="B427" i="11"/>
  <c r="A427" i="11"/>
  <c r="B426" i="11"/>
  <c r="A426" i="11"/>
  <c r="B425" i="11"/>
  <c r="A425" i="11"/>
  <c r="C395" i="11"/>
  <c r="B395" i="11"/>
  <c r="A395" i="11"/>
  <c r="B394" i="11"/>
  <c r="A394" i="11"/>
  <c r="C379" i="11"/>
  <c r="B379" i="11"/>
  <c r="A379" i="11"/>
  <c r="B378" i="11"/>
  <c r="A378" i="11"/>
  <c r="B377" i="11"/>
  <c r="A377" i="11"/>
  <c r="C373" i="11"/>
  <c r="B373" i="11"/>
  <c r="A373" i="11"/>
  <c r="C368" i="11"/>
  <c r="B368" i="11"/>
  <c r="A368" i="11"/>
  <c r="B367" i="11"/>
  <c r="A367" i="11"/>
  <c r="C360" i="11"/>
  <c r="B360" i="11"/>
  <c r="A360" i="11"/>
  <c r="B359" i="11"/>
  <c r="A359" i="11"/>
  <c r="C355" i="11"/>
  <c r="B355" i="11"/>
  <c r="A355" i="11"/>
  <c r="B354" i="11"/>
  <c r="A354" i="11"/>
  <c r="A345" i="11"/>
  <c r="B344" i="11"/>
  <c r="A344" i="11"/>
  <c r="B329" i="11"/>
  <c r="A329" i="11"/>
  <c r="B328" i="11"/>
  <c r="I21" i="62"/>
  <c r="I12" i="62"/>
  <c r="I30" i="62" s="1"/>
  <c r="I24" i="61"/>
  <c r="I29" i="61" s="1"/>
  <c r="I18" i="61"/>
  <c r="I28" i="61" s="1"/>
  <c r="J23" i="11"/>
  <c r="J24" i="11"/>
  <c r="B22" i="11"/>
  <c r="C22" i="11"/>
  <c r="H73" i="11"/>
  <c r="J73" i="11" s="1"/>
  <c r="C296" i="11"/>
  <c r="B296" i="11"/>
  <c r="A296" i="11"/>
  <c r="B295" i="11"/>
  <c r="A295" i="11"/>
  <c r="H74" i="1"/>
  <c r="H72" i="11"/>
  <c r="J72" i="11" s="1"/>
  <c r="J62" i="11"/>
  <c r="C285" i="11"/>
  <c r="A262" i="11"/>
  <c r="H42" i="11"/>
  <c r="J42" i="11" s="1"/>
  <c r="B210" i="11"/>
  <c r="A210" i="11"/>
  <c r="B192" i="11"/>
  <c r="A192" i="11"/>
  <c r="B191" i="11"/>
  <c r="A191" i="11"/>
  <c r="C178" i="11"/>
  <c r="B178" i="11"/>
  <c r="A178" i="11"/>
  <c r="B177" i="11"/>
  <c r="A177" i="11"/>
  <c r="C158" i="11"/>
  <c r="A158" i="11"/>
  <c r="B156" i="11"/>
  <c r="A156" i="11"/>
  <c r="A53" i="11"/>
  <c r="I19" i="11"/>
  <c r="F19" i="11"/>
  <c r="H19" i="11" s="1"/>
  <c r="J11" i="11"/>
  <c r="J131" i="11"/>
  <c r="J147" i="11"/>
  <c r="J136" i="11"/>
  <c r="J135" i="11"/>
  <c r="H97" i="1"/>
  <c r="B353" i="11"/>
  <c r="A353" i="11"/>
  <c r="C345" i="11"/>
  <c r="B345" i="11"/>
  <c r="C329" i="11"/>
  <c r="B327" i="11"/>
  <c r="A327" i="11"/>
  <c r="C322" i="11"/>
  <c r="B322" i="11"/>
  <c r="A322" i="11"/>
  <c r="B321" i="11"/>
  <c r="A321" i="11"/>
  <c r="B320" i="11"/>
  <c r="A320" i="11"/>
  <c r="B285" i="11"/>
  <c r="A285" i="11"/>
  <c r="B284" i="11"/>
  <c r="A284" i="11"/>
  <c r="B283" i="11"/>
  <c r="A283" i="11"/>
  <c r="C267" i="11"/>
  <c r="B267" i="11"/>
  <c r="A267" i="11"/>
  <c r="C263" i="11"/>
  <c r="B263" i="11"/>
  <c r="A263" i="11"/>
  <c r="B253" i="11"/>
  <c r="A253" i="11"/>
  <c r="C212" i="11"/>
  <c r="B212" i="11"/>
  <c r="A212" i="11"/>
  <c r="B211" i="11"/>
  <c r="A211" i="11"/>
  <c r="C218" i="11"/>
  <c r="B218" i="11"/>
  <c r="A218" i="11"/>
  <c r="B217" i="11"/>
  <c r="A217" i="11"/>
  <c r="C205" i="11"/>
  <c r="C201" i="11"/>
  <c r="C197" i="11"/>
  <c r="B205" i="11"/>
  <c r="B201" i="11"/>
  <c r="A205" i="11"/>
  <c r="A201" i="11"/>
  <c r="B197" i="11"/>
  <c r="A197" i="11"/>
  <c r="C193" i="11"/>
  <c r="B193" i="11"/>
  <c r="A193" i="11"/>
  <c r="C168" i="11"/>
  <c r="C172" i="11"/>
  <c r="C164" i="11"/>
  <c r="B168" i="11"/>
  <c r="B172" i="11"/>
  <c r="B164" i="11"/>
  <c r="A168" i="11"/>
  <c r="A172" i="11"/>
  <c r="A164" i="11"/>
  <c r="C71" i="11"/>
  <c r="C35" i="11"/>
  <c r="C30" i="11"/>
  <c r="C15" i="11"/>
  <c r="C8" i="11"/>
  <c r="A153" i="11"/>
  <c r="C146" i="11"/>
  <c r="B146" i="11"/>
  <c r="A146" i="11"/>
  <c r="C134" i="11"/>
  <c r="B134" i="11"/>
  <c r="A134" i="11"/>
  <c r="B71" i="11"/>
  <c r="A71" i="11"/>
  <c r="B35" i="11"/>
  <c r="B30" i="11"/>
  <c r="B15" i="11"/>
  <c r="B8" i="11"/>
  <c r="E369" i="11"/>
  <c r="J67" i="11"/>
  <c r="J68" i="11"/>
  <c r="J66" i="11"/>
  <c r="F18" i="11"/>
  <c r="H18" i="11" s="1"/>
  <c r="I18" i="11"/>
  <c r="I17" i="11"/>
  <c r="I30" i="63" l="1"/>
  <c r="G174" i="1" s="1"/>
  <c r="I16" i="28"/>
  <c r="I18" i="28" s="1"/>
  <c r="I28" i="28" s="1"/>
  <c r="I30" i="28" s="1"/>
  <c r="G155" i="1" s="1"/>
  <c r="H155" i="1" s="1"/>
  <c r="I155" i="1" s="1"/>
  <c r="I24" i="26"/>
  <c r="I140" i="1"/>
  <c r="I27" i="62"/>
  <c r="I32" i="62" s="1"/>
  <c r="I60" i="1"/>
  <c r="I12" i="64"/>
  <c r="I27" i="64" s="1"/>
  <c r="I30" i="64" s="1"/>
  <c r="G175" i="1" s="1"/>
  <c r="I12" i="65"/>
  <c r="I27" i="65" s="1"/>
  <c r="K44" i="22"/>
  <c r="J43" i="22"/>
  <c r="K43" i="22" s="1"/>
  <c r="I12" i="61"/>
  <c r="I27" i="61" s="1"/>
  <c r="I30" i="61" s="1"/>
  <c r="G80" i="1" s="1"/>
  <c r="J215" i="11"/>
  <c r="F48" i="1" s="1"/>
  <c r="I144" i="1"/>
  <c r="I25" i="1"/>
  <c r="I74" i="1"/>
  <c r="J409" i="11"/>
  <c r="F109" i="1" s="1"/>
  <c r="H597" i="11"/>
  <c r="J597" i="11" s="1"/>
  <c r="I31" i="62"/>
  <c r="I54" i="1"/>
  <c r="J74" i="11"/>
  <c r="F16" i="1" s="1"/>
  <c r="I16" i="1" s="1"/>
  <c r="H599" i="11"/>
  <c r="J599" i="11" s="1"/>
  <c r="J342" i="11"/>
  <c r="F91" i="1" s="1"/>
  <c r="I91" i="1" s="1"/>
  <c r="J281" i="11"/>
  <c r="F68" i="1" s="1"/>
  <c r="I68" i="1" s="1"/>
  <c r="J682" i="11"/>
  <c r="F174" i="1" s="1"/>
  <c r="I177" i="1" s="1"/>
  <c r="J613" i="11"/>
  <c r="J512" i="11"/>
  <c r="F143" i="1" s="1"/>
  <c r="H612" i="11"/>
  <c r="J612" i="11" s="1"/>
  <c r="J151" i="11"/>
  <c r="F24" i="1" s="1"/>
  <c r="I24" i="1" s="1"/>
  <c r="J351" i="11"/>
  <c r="J247" i="11"/>
  <c r="H601" i="11"/>
  <c r="J601" i="11" s="1"/>
  <c r="J232" i="11"/>
  <c r="F55" i="1" s="1"/>
  <c r="I55" i="1" s="1"/>
  <c r="J362" i="11"/>
  <c r="J363" i="11"/>
  <c r="J629" i="11"/>
  <c r="F164" i="1" s="1"/>
  <c r="I164" i="1" s="1"/>
  <c r="F27" i="1"/>
  <c r="I27" i="1" s="1"/>
  <c r="H188" i="11"/>
  <c r="I188" i="11" s="1"/>
  <c r="J188" i="11" s="1"/>
  <c r="J69" i="11"/>
  <c r="F15" i="1" s="1"/>
  <c r="I15" i="1" s="1"/>
  <c r="J19" i="11"/>
  <c r="J688" i="11"/>
  <c r="F175" i="1" s="1"/>
  <c r="J694" i="11"/>
  <c r="F176" i="1" s="1"/>
  <c r="J580" i="11"/>
  <c r="H595" i="11"/>
  <c r="J595" i="11" s="1"/>
  <c r="H603" i="11"/>
  <c r="J603" i="11" s="1"/>
  <c r="J139" i="11"/>
  <c r="F22" i="1" s="1"/>
  <c r="I22" i="1" s="1"/>
  <c r="J505" i="11"/>
  <c r="F141" i="1" s="1"/>
  <c r="I141" i="1" s="1"/>
  <c r="I58" i="1"/>
  <c r="F59" i="1"/>
  <c r="J423" i="11"/>
  <c r="F110" i="1" s="1"/>
  <c r="I110" i="1" s="1"/>
  <c r="J260" i="11"/>
  <c r="F64" i="1" s="1"/>
  <c r="I64" i="1" s="1"/>
  <c r="J28" i="11"/>
  <c r="J18" i="11"/>
  <c r="J547" i="11"/>
  <c r="J548" i="11" s="1"/>
  <c r="F152" i="1" s="1"/>
  <c r="J543" i="11"/>
  <c r="J544" i="11" s="1"/>
  <c r="F151" i="1" s="1"/>
  <c r="H151" i="1"/>
  <c r="H152" i="1"/>
  <c r="J538" i="11"/>
  <c r="J539" i="11"/>
  <c r="H150" i="1"/>
  <c r="I150" i="1" s="1"/>
  <c r="J534" i="11"/>
  <c r="J533" i="11"/>
  <c r="J532" i="11"/>
  <c r="J531" i="11"/>
  <c r="J530" i="11"/>
  <c r="J529" i="11"/>
  <c r="H149" i="1"/>
  <c r="J551" i="11"/>
  <c r="J552" i="11" s="1"/>
  <c r="F153" i="1" s="1"/>
  <c r="J522" i="11"/>
  <c r="J523" i="11"/>
  <c r="J524" i="11"/>
  <c r="J525" i="11"/>
  <c r="I25" i="60"/>
  <c r="I30" i="60" s="1"/>
  <c r="J521" i="11"/>
  <c r="H148" i="1"/>
  <c r="J493" i="11"/>
  <c r="J573" i="11"/>
  <c r="J562" i="11"/>
  <c r="J561" i="11"/>
  <c r="J572" i="11"/>
  <c r="H158" i="1"/>
  <c r="H157" i="1"/>
  <c r="J487" i="11"/>
  <c r="J486" i="11"/>
  <c r="J492" i="11"/>
  <c r="J491" i="11"/>
  <c r="H123" i="1"/>
  <c r="J479" i="11"/>
  <c r="J480" i="11"/>
  <c r="J478" i="11"/>
  <c r="H133" i="1"/>
  <c r="J473" i="11"/>
  <c r="J474" i="11" s="1"/>
  <c r="F131" i="1" s="1"/>
  <c r="H131" i="1"/>
  <c r="J468" i="11"/>
  <c r="J469" i="11" s="1"/>
  <c r="F129" i="1" s="1"/>
  <c r="J464" i="11"/>
  <c r="J465" i="11" s="1"/>
  <c r="F128" i="1" s="1"/>
  <c r="J460" i="11"/>
  <c r="J461" i="11" s="1"/>
  <c r="F127" i="1" s="1"/>
  <c r="J456" i="11"/>
  <c r="J457" i="11" s="1"/>
  <c r="F126" i="1" s="1"/>
  <c r="J452" i="11"/>
  <c r="J453" i="11" s="1"/>
  <c r="F125" i="1" s="1"/>
  <c r="H129" i="1"/>
  <c r="H128" i="1"/>
  <c r="H127" i="1"/>
  <c r="H126" i="1"/>
  <c r="H125" i="1"/>
  <c r="J443" i="11"/>
  <c r="J444" i="11" s="1"/>
  <c r="F121" i="1" s="1"/>
  <c r="H121" i="1"/>
  <c r="J437" i="11"/>
  <c r="J438" i="11" s="1"/>
  <c r="F117" i="1" s="1"/>
  <c r="H117" i="1"/>
  <c r="J432" i="11"/>
  <c r="J433" i="11" s="1"/>
  <c r="F115" i="1" s="1"/>
  <c r="J428" i="11"/>
  <c r="J429" i="11" s="1"/>
  <c r="F114" i="1" s="1"/>
  <c r="H115" i="1"/>
  <c r="H114" i="1"/>
  <c r="J401" i="11"/>
  <c r="J398" i="11"/>
  <c r="J397" i="11"/>
  <c r="J399" i="11"/>
  <c r="J400" i="11"/>
  <c r="J396" i="11"/>
  <c r="H102" i="1"/>
  <c r="I31" i="11"/>
  <c r="J31" i="11" s="1"/>
  <c r="J33" i="11" s="1"/>
  <c r="H48" i="1"/>
  <c r="H50" i="1"/>
  <c r="J219" i="11"/>
  <c r="J220" i="11" s="1"/>
  <c r="F50" i="1" s="1"/>
  <c r="H17" i="11"/>
  <c r="J17" i="11" s="1"/>
  <c r="H292" i="11"/>
  <c r="J292" i="11" s="1"/>
  <c r="H291" i="11"/>
  <c r="J291" i="11" s="1"/>
  <c r="H273" i="11"/>
  <c r="J273" i="11" s="1"/>
  <c r="H272" i="11"/>
  <c r="J272" i="11" s="1"/>
  <c r="J387" i="11"/>
  <c r="J386" i="11"/>
  <c r="J385" i="11"/>
  <c r="J384" i="11"/>
  <c r="J383" i="11"/>
  <c r="J382" i="11"/>
  <c r="J381" i="11"/>
  <c r="H106" i="1"/>
  <c r="H369" i="11"/>
  <c r="J369" i="11" s="1"/>
  <c r="J371" i="11" s="1"/>
  <c r="H101" i="1"/>
  <c r="F364" i="11"/>
  <c r="H364" i="11" s="1"/>
  <c r="J364" i="11" s="1"/>
  <c r="H99" i="1"/>
  <c r="J330" i="11"/>
  <c r="J335" i="11" s="1"/>
  <c r="H93" i="1"/>
  <c r="H89" i="1"/>
  <c r="H85" i="1"/>
  <c r="H323" i="11"/>
  <c r="J323" i="11" s="1"/>
  <c r="H324" i="11"/>
  <c r="J324" i="11" s="1"/>
  <c r="I33" i="62" l="1"/>
  <c r="G81" i="1" s="1"/>
  <c r="H81" i="1" s="1"/>
  <c r="I12" i="60"/>
  <c r="I28" i="60" s="1"/>
  <c r="I19" i="60"/>
  <c r="I29" i="60" s="1"/>
  <c r="D46" i="22"/>
  <c r="J46" i="22" s="1"/>
  <c r="J45" i="22" s="1"/>
  <c r="I143" i="1"/>
  <c r="J20" i="11"/>
  <c r="H180" i="11" s="1"/>
  <c r="I180" i="11" s="1"/>
  <c r="J180" i="11" s="1"/>
  <c r="J569" i="11"/>
  <c r="J488" i="11"/>
  <c r="F137" i="1" s="1"/>
  <c r="I137" i="1" s="1"/>
  <c r="J574" i="11"/>
  <c r="F158" i="1" s="1"/>
  <c r="I158" i="1" s="1"/>
  <c r="F11" i="1"/>
  <c r="I11" i="1" s="1"/>
  <c r="H181" i="11"/>
  <c r="I181" i="11" s="1"/>
  <c r="J181" i="11" s="1"/>
  <c r="J392" i="11"/>
  <c r="J481" i="11"/>
  <c r="F133" i="1" s="1"/>
  <c r="I133" i="1" s="1"/>
  <c r="J620" i="11"/>
  <c r="F162" i="1" s="1"/>
  <c r="I162" i="1" s="1"/>
  <c r="F12" i="1"/>
  <c r="I12" i="1" s="1"/>
  <c r="I182" i="11"/>
  <c r="J182" i="11" s="1"/>
  <c r="J526" i="11"/>
  <c r="F148" i="1" s="1"/>
  <c r="I148" i="1" s="1"/>
  <c r="J403" i="11"/>
  <c r="F108" i="1" s="1"/>
  <c r="I108" i="1" s="1"/>
  <c r="I109" i="1"/>
  <c r="F89" i="1"/>
  <c r="I89" i="1" s="1"/>
  <c r="I128" i="1"/>
  <c r="J540" i="11"/>
  <c r="J494" i="11"/>
  <c r="F138" i="1" s="1"/>
  <c r="I152" i="1"/>
  <c r="I151" i="1"/>
  <c r="J535" i="11"/>
  <c r="F149" i="1" s="1"/>
  <c r="I149" i="1" s="1"/>
  <c r="I126" i="1"/>
  <c r="I127" i="1"/>
  <c r="I125" i="1"/>
  <c r="I114" i="1"/>
  <c r="I129" i="1"/>
  <c r="I115" i="1"/>
  <c r="I117" i="1"/>
  <c r="I121" i="1"/>
  <c r="I131" i="1"/>
  <c r="H356" i="11"/>
  <c r="I50" i="1"/>
  <c r="I48" i="1"/>
  <c r="F93" i="1"/>
  <c r="I93" i="1" s="1"/>
  <c r="F106" i="1"/>
  <c r="J325" i="11"/>
  <c r="F85" i="1" s="1"/>
  <c r="I85" i="1" s="1"/>
  <c r="H72" i="1"/>
  <c r="H290" i="11"/>
  <c r="J290" i="11" s="1"/>
  <c r="H289" i="11"/>
  <c r="J289" i="11" s="1"/>
  <c r="H288" i="11"/>
  <c r="J288" i="11" s="1"/>
  <c r="H287" i="11"/>
  <c r="J287" i="11" s="1"/>
  <c r="H286" i="11"/>
  <c r="J286" i="11" s="1"/>
  <c r="H270" i="11"/>
  <c r="J270" i="11" s="1"/>
  <c r="H271" i="11"/>
  <c r="J271" i="11" s="1"/>
  <c r="H269" i="11"/>
  <c r="J269" i="11" s="1"/>
  <c r="I56" i="1" s="1"/>
  <c r="J268" i="11"/>
  <c r="H67" i="1"/>
  <c r="H66" i="1"/>
  <c r="H264" i="11"/>
  <c r="J264" i="11" s="1"/>
  <c r="H44" i="1"/>
  <c r="H43" i="1"/>
  <c r="J208" i="11"/>
  <c r="F44" i="1" s="1"/>
  <c r="J203" i="11"/>
  <c r="F43" i="1" s="1"/>
  <c r="J199" i="11"/>
  <c r="F42" i="1" s="1"/>
  <c r="H42" i="1"/>
  <c r="H41" i="1"/>
  <c r="E194" i="11"/>
  <c r="H194" i="11" s="1"/>
  <c r="J194" i="11" s="1"/>
  <c r="J195" i="11" s="1"/>
  <c r="F41" i="1" s="1"/>
  <c r="H185" i="11"/>
  <c r="I185" i="11" s="1"/>
  <c r="J185" i="11" s="1"/>
  <c r="H37" i="1"/>
  <c r="E317" i="11"/>
  <c r="J317" i="11" s="1"/>
  <c r="J318" i="11" s="1"/>
  <c r="F81" i="1" s="1"/>
  <c r="J303" i="11"/>
  <c r="J313" i="11"/>
  <c r="J312" i="11"/>
  <c r="J308" i="11"/>
  <c r="J307" i="11"/>
  <c r="J56" i="11"/>
  <c r="J57" i="11"/>
  <c r="J58" i="11"/>
  <c r="J59" i="11"/>
  <c r="J60" i="11"/>
  <c r="J61" i="11"/>
  <c r="J55" i="11"/>
  <c r="C316" i="11"/>
  <c r="B316" i="11"/>
  <c r="A316" i="11"/>
  <c r="C302" i="11"/>
  <c r="B302" i="11"/>
  <c r="A302" i="11"/>
  <c r="H123" i="11"/>
  <c r="J123" i="11" s="1"/>
  <c r="J124" i="11" s="1"/>
  <c r="F19" i="1" s="1"/>
  <c r="I19" i="1" s="1"/>
  <c r="C122" i="11"/>
  <c r="B122" i="11"/>
  <c r="A122" i="11"/>
  <c r="H78" i="1"/>
  <c r="H143" i="11"/>
  <c r="J143" i="11" s="1"/>
  <c r="H44" i="11"/>
  <c r="J44" i="11" s="1"/>
  <c r="H47" i="11"/>
  <c r="J47" i="11" s="1"/>
  <c r="H48" i="11"/>
  <c r="J48" i="11" s="1"/>
  <c r="H50" i="11"/>
  <c r="J50" i="11" s="1"/>
  <c r="H40" i="11"/>
  <c r="J40" i="11" s="1"/>
  <c r="C311" i="11"/>
  <c r="B311" i="11"/>
  <c r="A311" i="11"/>
  <c r="H80" i="1"/>
  <c r="C306" i="11"/>
  <c r="B306" i="11"/>
  <c r="A306" i="11"/>
  <c r="B301" i="11"/>
  <c r="A301" i="11"/>
  <c r="B300" i="11"/>
  <c r="A300" i="11"/>
  <c r="J132" i="11"/>
  <c r="F21" i="1" s="1"/>
  <c r="I21" i="1" s="1"/>
  <c r="H142" i="11"/>
  <c r="J142" i="11" s="1"/>
  <c r="H127" i="11"/>
  <c r="C82" i="11"/>
  <c r="B82" i="11"/>
  <c r="A82" i="11"/>
  <c r="C130" i="11"/>
  <c r="B130" i="11"/>
  <c r="A130" i="11"/>
  <c r="C141" i="11"/>
  <c r="B141" i="11"/>
  <c r="A141" i="11"/>
  <c r="C126" i="11"/>
  <c r="B126" i="11"/>
  <c r="A126" i="11"/>
  <c r="J78" i="11"/>
  <c r="J79" i="11"/>
  <c r="J77" i="11"/>
  <c r="C76" i="11"/>
  <c r="B76" i="11"/>
  <c r="A76" i="11"/>
  <c r="C65" i="11"/>
  <c r="B65" i="11"/>
  <c r="A65" i="11"/>
  <c r="C53" i="11"/>
  <c r="B53" i="11"/>
  <c r="H39" i="11"/>
  <c r="J39" i="11" s="1"/>
  <c r="H37" i="11"/>
  <c r="J37" i="11" s="1"/>
  <c r="J10" i="11"/>
  <c r="J9" i="11"/>
  <c r="J13" i="11" s="1"/>
  <c r="H179" i="11" s="1"/>
  <c r="I179" i="11" s="1"/>
  <c r="J179" i="11" s="1"/>
  <c r="H9" i="1"/>
  <c r="H32" i="1"/>
  <c r="J169" i="11"/>
  <c r="J170" i="11" s="1"/>
  <c r="F32" i="1" s="1"/>
  <c r="H33" i="1"/>
  <c r="J173" i="11"/>
  <c r="J174" i="11" s="1"/>
  <c r="F33" i="1" s="1"/>
  <c r="H31" i="1"/>
  <c r="I31" i="60" l="1"/>
  <c r="G153" i="1" s="1"/>
  <c r="H153" i="1" s="1"/>
  <c r="I153" i="1" s="1"/>
  <c r="I86" i="1"/>
  <c r="D26" i="22" s="1"/>
  <c r="G26" i="22" s="1"/>
  <c r="I51" i="1"/>
  <c r="D16" i="22" s="1"/>
  <c r="F16" i="22" s="1"/>
  <c r="F15" i="22" s="1"/>
  <c r="I118" i="1"/>
  <c r="I94" i="1"/>
  <c r="D28" i="22" s="1"/>
  <c r="H28" i="22" s="1"/>
  <c r="H27" i="22" s="1"/>
  <c r="F10" i="1"/>
  <c r="I10" i="1" s="1"/>
  <c r="J144" i="11"/>
  <c r="F23" i="1" s="1"/>
  <c r="I23" i="1" s="1"/>
  <c r="J80" i="11"/>
  <c r="J63" i="11"/>
  <c r="H183" i="11" s="1"/>
  <c r="I183" i="11" s="1"/>
  <c r="J183" i="11" s="1"/>
  <c r="J51" i="11"/>
  <c r="F13" i="1" s="1"/>
  <c r="I13" i="1" s="1"/>
  <c r="J274" i="11"/>
  <c r="F67" i="1" s="1"/>
  <c r="I67" i="1" s="1"/>
  <c r="J293" i="11"/>
  <c r="J356" i="11"/>
  <c r="J357" i="11" s="1"/>
  <c r="F97" i="1" s="1"/>
  <c r="I97" i="1" s="1"/>
  <c r="F9" i="1"/>
  <c r="I9" i="1" s="1"/>
  <c r="I106" i="1"/>
  <c r="J265" i="11"/>
  <c r="F66" i="1" s="1"/>
  <c r="I66" i="1" s="1"/>
  <c r="I59" i="1"/>
  <c r="J365" i="11"/>
  <c r="F99" i="1" s="1"/>
  <c r="I99" i="1" s="1"/>
  <c r="F101" i="1"/>
  <c r="I101" i="1" s="1"/>
  <c r="D34" i="22"/>
  <c r="H34" i="22" s="1"/>
  <c r="H33" i="22" s="1"/>
  <c r="J120" i="11"/>
  <c r="F18" i="1" s="1"/>
  <c r="I18" i="1" s="1"/>
  <c r="E448" i="11"/>
  <c r="J448" i="11" s="1"/>
  <c r="J449" i="11" s="1"/>
  <c r="F123" i="1" s="1"/>
  <c r="I123" i="1" s="1"/>
  <c r="H374" i="11"/>
  <c r="F72" i="1"/>
  <c r="I72" i="1" s="1"/>
  <c r="J314" i="11"/>
  <c r="F80" i="1" s="1"/>
  <c r="I80" i="1" s="1"/>
  <c r="I44" i="1"/>
  <c r="I81" i="1"/>
  <c r="I43" i="1"/>
  <c r="J309" i="11"/>
  <c r="I41" i="1"/>
  <c r="I42" i="1"/>
  <c r="J127" i="11"/>
  <c r="J128" i="11" s="1"/>
  <c r="F20" i="1" s="1"/>
  <c r="I20" i="1" s="1"/>
  <c r="H186" i="11"/>
  <c r="I186" i="11" s="1"/>
  <c r="J186" i="11" s="1"/>
  <c r="F78" i="1"/>
  <c r="I78" i="1" s="1"/>
  <c r="J304" i="11"/>
  <c r="I32" i="1"/>
  <c r="I33" i="1"/>
  <c r="I45" i="1" l="1"/>
  <c r="D14" i="22" s="1"/>
  <c r="F14" i="22" s="1"/>
  <c r="I134" i="1"/>
  <c r="D36" i="22" s="1"/>
  <c r="H36" i="22" s="1"/>
  <c r="H35" i="22" s="1"/>
  <c r="I75" i="1"/>
  <c r="D22" i="22" s="1"/>
  <c r="I22" i="22" s="1"/>
  <c r="J22" i="22" s="1"/>
  <c r="J21" i="22" s="1"/>
  <c r="I111" i="1"/>
  <c r="D32" i="22" s="1"/>
  <c r="H32" i="22" s="1"/>
  <c r="I32" i="22" s="1"/>
  <c r="I31" i="22" s="1"/>
  <c r="I69" i="1"/>
  <c r="D20" i="22" s="1"/>
  <c r="H20" i="22" s="1"/>
  <c r="H19" i="22" s="1"/>
  <c r="I61" i="1"/>
  <c r="D18" i="22" s="1"/>
  <c r="H18" i="22" s="1"/>
  <c r="H17" i="22" s="1"/>
  <c r="F17" i="1"/>
  <c r="I17" i="1" s="1"/>
  <c r="H184" i="11"/>
  <c r="I184" i="11" s="1"/>
  <c r="J184" i="11" s="1"/>
  <c r="J189" i="11" s="1"/>
  <c r="F14" i="1"/>
  <c r="I14" i="1" s="1"/>
  <c r="J374" i="11"/>
  <c r="J375" i="11" s="1"/>
  <c r="F102" i="1" s="1"/>
  <c r="I102" i="1" s="1"/>
  <c r="F79" i="1"/>
  <c r="H632" i="11"/>
  <c r="J632" i="11" s="1"/>
  <c r="J668" i="11" s="1"/>
  <c r="H187" i="11"/>
  <c r="I187" i="11" s="1"/>
  <c r="J187" i="11" s="1"/>
  <c r="I103" i="1" l="1"/>
  <c r="D30" i="22" s="1"/>
  <c r="H30" i="22" s="1"/>
  <c r="I30" i="22" s="1"/>
  <c r="I29" i="22" s="1"/>
  <c r="I28" i="1"/>
  <c r="F37" i="1"/>
  <c r="I37" i="1" s="1"/>
  <c r="I38" i="1" l="1"/>
  <c r="D12" i="22" s="1"/>
  <c r="F12" i="22" s="1"/>
  <c r="D8" i="22"/>
  <c r="F8" i="22" s="1"/>
  <c r="E30" i="4"/>
  <c r="E13" i="4"/>
  <c r="E27" i="4"/>
  <c r="E23" i="4"/>
  <c r="E20" i="4"/>
  <c r="E10" i="4"/>
  <c r="E8" i="22" l="1"/>
  <c r="E32" i="4"/>
  <c r="O8" i="23"/>
  <c r="H16" i="65" s="1"/>
  <c r="I16" i="65" l="1"/>
  <c r="I18" i="65" s="1"/>
  <c r="I28" i="65" s="1"/>
  <c r="I30" i="65" s="1"/>
  <c r="G176" i="1" s="1"/>
  <c r="I29" i="26"/>
  <c r="I12" i="26"/>
  <c r="I25" i="24"/>
  <c r="I30" i="24" s="1"/>
  <c r="I19" i="24"/>
  <c r="I29" i="24" s="1"/>
  <c r="I18" i="26" l="1"/>
  <c r="I28" i="26" s="1"/>
  <c r="I12" i="24"/>
  <c r="I28" i="24" s="1"/>
  <c r="I31" i="24" s="1"/>
  <c r="I27" i="26"/>
  <c r="I30" i="26" l="1"/>
  <c r="G79" i="1" s="1"/>
  <c r="H79" i="1" s="1"/>
  <c r="I79" i="1" s="1"/>
  <c r="I82" i="1" s="1"/>
  <c r="D24" i="22" s="1"/>
  <c r="F24" i="22" s="1"/>
  <c r="G24" i="22" s="1"/>
  <c r="G23" i="22" s="1"/>
  <c r="G138" i="1"/>
  <c r="H138" i="1" s="1"/>
  <c r="I138" i="1" s="1"/>
  <c r="I145" i="1" l="1"/>
  <c r="D38" i="22" s="1"/>
  <c r="I38" i="22" s="1"/>
  <c r="I37" i="22" s="1"/>
  <c r="H165" i="11"/>
  <c r="J165" i="11" s="1"/>
  <c r="J166" i="11" s="1"/>
  <c r="F31" i="1" s="1"/>
  <c r="I31" i="1" l="1"/>
  <c r="I34" i="1" s="1"/>
  <c r="E39" i="5"/>
  <c r="E30" i="5"/>
  <c r="E17" i="5"/>
  <c r="E41" i="5" l="1"/>
  <c r="E43" i="5" s="1"/>
  <c r="E50" i="5"/>
  <c r="K38" i="22"/>
  <c r="K37" i="22"/>
  <c r="D10" i="22" l="1"/>
  <c r="K23" i="22"/>
  <c r="K24" i="22"/>
  <c r="K27" i="22"/>
  <c r="K28" i="22"/>
  <c r="G12" i="22"/>
  <c r="G11" i="22" s="1"/>
  <c r="F11" i="22"/>
  <c r="G25" i="22"/>
  <c r="F10" i="22" l="1"/>
  <c r="F49" i="22" s="1"/>
  <c r="J10" i="22"/>
  <c r="H10" i="22"/>
  <c r="H49" i="22" s="1"/>
  <c r="I10" i="22"/>
  <c r="I49" i="22" s="1"/>
  <c r="G10" i="22"/>
  <c r="G49" i="22" s="1"/>
  <c r="K12" i="22"/>
  <c r="K7" i="22"/>
  <c r="K8" i="22"/>
  <c r="K35" i="22"/>
  <c r="K29" i="22"/>
  <c r="K30" i="22"/>
  <c r="K25" i="22"/>
  <c r="K26" i="22"/>
  <c r="K14" i="22"/>
  <c r="F13" i="22"/>
  <c r="K34" i="22"/>
  <c r="K33" i="22"/>
  <c r="K36" i="22"/>
  <c r="K46" i="22"/>
  <c r="K45" i="22"/>
  <c r="K32" i="22"/>
  <c r="K31" i="22"/>
  <c r="K11" i="22"/>
  <c r="K20" i="22"/>
  <c r="E10" i="22" l="1"/>
  <c r="K15" i="22"/>
  <c r="K17" i="22"/>
  <c r="K16" i="22"/>
  <c r="K18" i="22"/>
  <c r="K22" i="22"/>
  <c r="K21" i="22"/>
  <c r="K19" i="22"/>
  <c r="K13" i="22"/>
  <c r="E9" i="22" l="1"/>
  <c r="K9" i="22" s="1"/>
  <c r="E49" i="22"/>
  <c r="E50" i="22" s="1"/>
  <c r="F50" i="22" s="1"/>
  <c r="G50" i="22" s="1"/>
  <c r="H50" i="22" s="1"/>
  <c r="I50" i="22" s="1"/>
  <c r="K10" i="22"/>
  <c r="F166" i="1" l="1"/>
  <c r="I166" i="1" s="1"/>
  <c r="I167" i="1" s="1"/>
  <c r="F157" i="1"/>
  <c r="I157" i="1" s="1"/>
  <c r="I159" i="1" s="1"/>
  <c r="I178" i="1" s="1"/>
  <c r="D40" i="22" l="1"/>
  <c r="J40" i="22" l="1"/>
  <c r="J39" i="22" s="1"/>
  <c r="K40" i="22" l="1"/>
  <c r="K39" i="22"/>
  <c r="D42" i="22"/>
  <c r="D47" i="22" s="1"/>
  <c r="D45" i="22" s="1"/>
  <c r="D43" i="22" l="1"/>
  <c r="D11" i="22"/>
  <c r="D25" i="22"/>
  <c r="D7" i="22"/>
  <c r="D13" i="22"/>
  <c r="I47" i="22"/>
  <c r="J42" i="22"/>
  <c r="J49" i="22" s="1"/>
  <c r="J50" i="22" s="1"/>
  <c r="D9" i="22"/>
  <c r="D23" i="22"/>
  <c r="D35" i="22"/>
  <c r="D29" i="22"/>
  <c r="D31" i="22"/>
  <c r="D37" i="22"/>
  <c r="D39" i="22"/>
  <c r="E47" i="22"/>
  <c r="E48" i="22" s="1"/>
  <c r="D19" i="22"/>
  <c r="F47" i="22"/>
  <c r="D15" i="22"/>
  <c r="F48" i="22" l="1"/>
  <c r="D27" i="22"/>
  <c r="H47" i="22"/>
  <c r="D21" i="22"/>
  <c r="D17" i="22"/>
  <c r="G47" i="22"/>
  <c r="D33" i="22"/>
  <c r="D41" i="22"/>
  <c r="K42" i="22"/>
  <c r="J41" i="22"/>
  <c r="K41" i="22" s="1"/>
  <c r="G48" i="22" l="1"/>
  <c r="H48" i="22" s="1"/>
  <c r="I48" i="22" s="1"/>
  <c r="J47" i="22"/>
  <c r="J48" i="22" l="1"/>
</calcChain>
</file>

<file path=xl/sharedStrings.xml><?xml version="1.0" encoding="utf-8"?>
<sst xmlns="http://schemas.openxmlformats.org/spreadsheetml/2006/main" count="2545" uniqueCount="905">
  <si>
    <t>PREFEITURA MUNICIPAL DE JOÃO NEIVA</t>
  </si>
  <si>
    <t>PLANILHA ORÇAMENTÁRIA</t>
  </si>
  <si>
    <t>OBRA: REFORMA DO CENTRO ASSOCIATIVO RENASCER NO MUNICÍPIO DE JOÃO NEIVA-ES</t>
  </si>
  <si>
    <t>L. SOCIAIS:</t>
  </si>
  <si>
    <t>TABELA DE REFERÊNCIA: DER/ES</t>
  </si>
  <si>
    <t>LOCAL: JOÃO NEIVA-ES</t>
  </si>
  <si>
    <t>BDI:</t>
  </si>
  <si>
    <t>DATA-BASE:</t>
  </si>
  <si>
    <t>ITEM</t>
  </si>
  <si>
    <t>CÓDIGO</t>
  </si>
  <si>
    <t>ORGÃO</t>
  </si>
  <si>
    <t>DESCRIÇÃO SERVIÇO</t>
  </si>
  <si>
    <t>UNIDADE</t>
  </si>
  <si>
    <t>QUANTIDADE</t>
  </si>
  <si>
    <t>CUSTO (R$)</t>
  </si>
  <si>
    <t>UNITÁRIO</t>
  </si>
  <si>
    <t>UNITÁRIO C/ BDI</t>
  </si>
  <si>
    <t>TOTAL</t>
  </si>
  <si>
    <t>01</t>
  </si>
  <si>
    <t>SERVIÇOS PRELIMINARES</t>
  </si>
  <si>
    <t>1.1</t>
  </si>
  <si>
    <t>0102/0103</t>
  </si>
  <si>
    <t>DER-ES</t>
  </si>
  <si>
    <t>DEMOLIÇÕES E RETIRADAS</t>
  </si>
  <si>
    <t>1.1.1</t>
  </si>
  <si>
    <t>010202</t>
  </si>
  <si>
    <t>Demolição de piso revestido com cerâmica</t>
  </si>
  <si>
    <t>m2</t>
  </si>
  <si>
    <t>1.1.2</t>
  </si>
  <si>
    <t>010206</t>
  </si>
  <si>
    <t>Demolição de revestimento com azulejos</t>
  </si>
  <si>
    <t>1.1.3</t>
  </si>
  <si>
    <t xml:space="preserve">010208 </t>
  </si>
  <si>
    <t xml:space="preserve">Retirada de revestimento antigo em reboco </t>
  </si>
  <si>
    <t>1.1.4</t>
  </si>
  <si>
    <t>010209</t>
  </si>
  <si>
    <t>Demolição de alvenaria</t>
  </si>
  <si>
    <t>m3</t>
  </si>
  <si>
    <t>1.1.5</t>
  </si>
  <si>
    <t>010214</t>
  </si>
  <si>
    <t>Retirada de portas e janelas de madeira, inclusive batentes</t>
  </si>
  <si>
    <t>1.1.6</t>
  </si>
  <si>
    <t>010220</t>
  </si>
  <si>
    <t>Demolição de piso cimentado, exclusive lastro de concreto</t>
  </si>
  <si>
    <t>1.1.7</t>
  </si>
  <si>
    <t>010223</t>
  </si>
  <si>
    <t>Retirada de aparelhos sanitários</t>
  </si>
  <si>
    <t>und</t>
  </si>
  <si>
    <t>1.1.8</t>
  </si>
  <si>
    <t>010224</t>
  </si>
  <si>
    <t>Retirada de grades, gradis, alambrados, cercas e portões</t>
  </si>
  <si>
    <t>1.1.9</t>
  </si>
  <si>
    <t>010228</t>
  </si>
  <si>
    <t>Demolição de forro de madeira, sem reaproveitamento</t>
  </si>
  <si>
    <t>1.1.10</t>
  </si>
  <si>
    <t>010240</t>
  </si>
  <si>
    <t>Retirada de pontos elétricos (luminárias, interruptores e tomadas)</t>
  </si>
  <si>
    <t>1.1.11</t>
  </si>
  <si>
    <t>010255</t>
  </si>
  <si>
    <t xml:space="preserve">Remoção de telhas cerâmicas, tipo colonial, inclusive cumeeiras </t>
  </si>
  <si>
    <t>1.1.12</t>
  </si>
  <si>
    <t>010256</t>
  </si>
  <si>
    <t>Remoção de telha ondulada de fibrocimento, inclusive cumeeira</t>
  </si>
  <si>
    <t>1.1.13</t>
  </si>
  <si>
    <t>010271</t>
  </si>
  <si>
    <t>Retirada de caixas/quadros elétricos</t>
  </si>
  <si>
    <t>1.1.14</t>
  </si>
  <si>
    <t>010323</t>
  </si>
  <si>
    <t>Retirada de torneiras e registros</t>
  </si>
  <si>
    <t>1.1.15</t>
  </si>
  <si>
    <t>010325</t>
  </si>
  <si>
    <t>Demolição de estrutura de madeira para telhado</t>
  </si>
  <si>
    <t>1.1.16</t>
  </si>
  <si>
    <t>010327</t>
  </si>
  <si>
    <t>Retirada de marco de madeira</t>
  </si>
  <si>
    <t>m</t>
  </si>
  <si>
    <t>1.1.17</t>
  </si>
  <si>
    <t>010329</t>
  </si>
  <si>
    <t>Retirada de disjuntor</t>
  </si>
  <si>
    <t>1.2</t>
  </si>
  <si>
    <t>0104</t>
  </si>
  <si>
    <t>LIMPEZA DO TERRENO</t>
  </si>
  <si>
    <t>1.2.1</t>
  </si>
  <si>
    <t>010402</t>
  </si>
  <si>
    <t>Raspagem e limpeza do terreno (manual)</t>
  </si>
  <si>
    <t>SUB-TOTAL 01</t>
  </si>
  <si>
    <t>02</t>
  </si>
  <si>
    <t>INSTALAÇÃO DO CANTEIRO DE OBRAS</t>
  </si>
  <si>
    <t>2.1</t>
  </si>
  <si>
    <t>0203</t>
  </si>
  <si>
    <t>TAPUMES, BARRACÕES E COBERTURAS</t>
  </si>
  <si>
    <t>2.1.1</t>
  </si>
  <si>
    <t>020305</t>
  </si>
  <si>
    <t>Placa de obra nas dimensões de 2.0 x 4.0 m, padrão DER</t>
  </si>
  <si>
    <t>2.1.2</t>
  </si>
  <si>
    <t>020344</t>
  </si>
  <si>
    <t>Mobilização e desmobilização de conteiner locado para barracão de obra</t>
  </si>
  <si>
    <t>2.1.3</t>
  </si>
  <si>
    <t>020356</t>
  </si>
  <si>
    <t>Aluguel mensal container para almoxarifado, incl. porta, 2 janelas, 1 pt iluminação, Isolamento térmico (teto), piso em comp. Naval pintado, cert. NR18, incl. laudo descontaminação.</t>
  </si>
  <si>
    <t>mês</t>
  </si>
  <si>
    <t>SUB-TOTAL 02</t>
  </si>
  <si>
    <t>03</t>
  </si>
  <si>
    <t>MOVIMENTO DE TERRA</t>
  </si>
  <si>
    <t>3.1</t>
  </si>
  <si>
    <t>0303</t>
  </si>
  <si>
    <t>TRANSPORTES</t>
  </si>
  <si>
    <t>3.1.1</t>
  </si>
  <si>
    <t>030304</t>
  </si>
  <si>
    <t>Índice de preço para remoção de entulho decorrente da execução de obras (Classe A CONAMA - NBR 10.004 - Classe II-B), incluindo aluguel da caçamba, carga, transporte e descarga em área licenciada</t>
  </si>
  <si>
    <t>SUB-TOTAL 03</t>
  </si>
  <si>
    <t>04</t>
  </si>
  <si>
    <t>ESTRUTURAS</t>
  </si>
  <si>
    <t>4.1</t>
  </si>
  <si>
    <t>0408</t>
  </si>
  <si>
    <t>RECUPERAÇÃO DE ESTRUTURAS</t>
  </si>
  <si>
    <t>4.1.1</t>
  </si>
  <si>
    <t>040803</t>
  </si>
  <si>
    <t>Preparação do substrato para reparo em estrutura de concreto por apicoamento manual da superfície</t>
  </si>
  <si>
    <t>4.1.2</t>
  </si>
  <si>
    <t>040806</t>
  </si>
  <si>
    <t>Limpeza de aço com lixamento e escovamento com escova de aço, até a completa remoção de partículas soltas, materiais indesejáveis e corrosão</t>
  </si>
  <si>
    <t>4.1.3</t>
  </si>
  <si>
    <t>040807</t>
  </si>
  <si>
    <t>Aplicação de Sika Top 108 Armatec ou equivalente, nas ferragens a serem recuperadas</t>
  </si>
  <si>
    <t>4.1.4</t>
  </si>
  <si>
    <t>040809</t>
  </si>
  <si>
    <t>Recomposição de concreto danificado, com utilização de argamassa Sika Grout ou equivalente (considerando esp. 5cm)</t>
  </si>
  <si>
    <t>SUB-TOTAL 04</t>
  </si>
  <si>
    <t>05</t>
  </si>
  <si>
    <t>PAREDES E PAINÉIS</t>
  </si>
  <si>
    <t>5.1</t>
  </si>
  <si>
    <t>0503</t>
  </si>
  <si>
    <t>VERGAS/CONTRAVERGA</t>
  </si>
  <si>
    <t>050301</t>
  </si>
  <si>
    <t>Verga/contraverga reta de concreto armado 10 x 5 cm, Fck = 15 MPa, inclusive forma, armação e desforma</t>
  </si>
  <si>
    <t>5.2</t>
  </si>
  <si>
    <t>0506</t>
  </si>
  <si>
    <t>ALVENARIA DE VEDAÇÃO EMPREGANDO ARGAMASSA DE CIMENTO, CAL E AREIA</t>
  </si>
  <si>
    <t>5.2.1</t>
  </si>
  <si>
    <t>050606</t>
  </si>
  <si>
    <t>Alvenaria de blocos cerâmicos 10 furos 10x20x20cm, assentados c/argamassa de cimento, cal hidratada CH1 e areia traço 1:0,5:8, esp. das juntas 12mm e esp. das paredes s/revestimento, 10cm (bloco comprado na fábrica, posto obra)</t>
  </si>
  <si>
    <t>SUB-TOTAL 05</t>
  </si>
  <si>
    <t>06</t>
  </si>
  <si>
    <t>ESQUADRIAS DE MADEIRA</t>
  </si>
  <si>
    <t>6.1</t>
  </si>
  <si>
    <t>0601</t>
  </si>
  <si>
    <t>MARCOS E ALIZARES</t>
  </si>
  <si>
    <t>6.1.1</t>
  </si>
  <si>
    <t>Marco de madeira de lei de 1ª (Peroba, Ipê, Angelim Pedra ou equivalente) com 15x3 cm de batente, nas dimensões de 0.60 x 2.10 m</t>
  </si>
  <si>
    <t>6.1.2</t>
  </si>
  <si>
    <t>060102</t>
  </si>
  <si>
    <t>Marco de madeira de lei de 1ª (Peroba, Ipê, Angelim Pedra ou equivalente) com 15x3 cm de batente, nas dimensões de 0.70 x 2.10 m</t>
  </si>
  <si>
    <t>6.1.3</t>
  </si>
  <si>
    <t>060103</t>
  </si>
  <si>
    <t>Marco de madeira de lei de 1ª (Peroba, Ipê, Angelim Pedra ou equivalente) com 15x3 cm de batente, nas dimensões de 0.80 x 2.10 m</t>
  </si>
  <si>
    <t>6.2</t>
  </si>
  <si>
    <t>0613</t>
  </si>
  <si>
    <t>PORTA EM MADEIRA DE LEI TIPO ANGELIM PEDRA OU EQUIV.C/ENCHIMENTO EM MADEIRA 1A.QUALIDADE ESP. 30MM P/ PINTURA, INCLUSIVE ALIZARES, DOBRADIÇAS E FECHADURA EXTERNA, EXCLUSIVE MARCO</t>
  </si>
  <si>
    <t>6.2.1</t>
  </si>
  <si>
    <t>Porta em madeira de lei tipo angelim pedra ou equiv.c/enchimento em madeira 1a.qualidade esp. 30mm p/ pintura, inclusive alizares, dobradiças e fechadura externa em latão cromado LaFonte ou equiv., exclusive marco, nas dim.:0.60 x 2.10 m</t>
  </si>
  <si>
    <t xml:space="preserve">und </t>
  </si>
  <si>
    <t>6.2.2</t>
  </si>
  <si>
    <t>061302</t>
  </si>
  <si>
    <t>Porta em madeira de lei tipo angelim pedra ou equiv.c/enchimento em madeira 1a.qualidade esp. 30mm p/ pintura, inclusive alizares, dobradiças e fechadura externa em latão cromado LaFonte ou equiv., exclusive marco, nas dim.: 0.70 x 2.10 m</t>
  </si>
  <si>
    <t>6.2.3</t>
  </si>
  <si>
    <t>061303</t>
  </si>
  <si>
    <t>Porta em madeira de lei tipo angelim pedra ou equiv.c/enchimento em madeira 1a.qualidade esp. 30mm p/ pintura, inclusive alizares, dobradiças e fechadura externa em latão cromado LaFonte ou equiv., exclusive marco, nas dim.: 0.80 x 2.10 m</t>
  </si>
  <si>
    <t>SUB-TOTAL 06</t>
  </si>
  <si>
    <t>07</t>
  </si>
  <si>
    <t>ESQUADRIAS METÁLICAS</t>
  </si>
  <si>
    <t>7.1</t>
  </si>
  <si>
    <t>0711</t>
  </si>
  <si>
    <t>GRADES E PORTÕES</t>
  </si>
  <si>
    <t>7.2.1</t>
  </si>
  <si>
    <t>071105</t>
  </si>
  <si>
    <t xml:space="preserve">Grade de ferro em barra chata, inclusive chumbamento </t>
  </si>
  <si>
    <t>7.2</t>
  </si>
  <si>
    <t>0717</t>
  </si>
  <si>
    <t>ESQUADRIAS METÁLICAS (M2)</t>
  </si>
  <si>
    <t>071701</t>
  </si>
  <si>
    <t>Janela de correr para vidro em alumínio anodizado cor natural, linha 25, completa, incl. puxador com tranca, alizar, caixilho e contramarco, exclusive vidro</t>
  </si>
  <si>
    <t>7.2.2</t>
  </si>
  <si>
    <t>071702</t>
  </si>
  <si>
    <t>Báscula para vidro em alumínio anodizado cor natural, linha 25, completa, com tranca, caixilho, alizar e contramarco, exclusive vidro</t>
  </si>
  <si>
    <t>7.2.3</t>
  </si>
  <si>
    <t xml:space="preserve">071704 </t>
  </si>
  <si>
    <t>Porta de abrir tipo veneziana em alumínio anodizado, linha 25, completa, incl. puxador com tranca, caixilho, alizar e contramarco</t>
  </si>
  <si>
    <t>08</t>
  </si>
  <si>
    <t>VIDROS E ESPELHOS</t>
  </si>
  <si>
    <t>8.1</t>
  </si>
  <si>
    <t>0801</t>
  </si>
  <si>
    <t>VIDROS PARA ESQUADRIAS</t>
  </si>
  <si>
    <t>8.1.1</t>
  </si>
  <si>
    <t>080102</t>
  </si>
  <si>
    <t>Vidro plano transparente liso, com 4 mm de espessura</t>
  </si>
  <si>
    <t>8.2</t>
  </si>
  <si>
    <t>0802</t>
  </si>
  <si>
    <t>ESPELHOS</t>
  </si>
  <si>
    <t>8.2.1</t>
  </si>
  <si>
    <t>080201</t>
  </si>
  <si>
    <t>Espelho para banheiros espessura 4 mm, incluindo chapa compensada 10 mm, moldura de alumínio em perfil L 3/4", fixado com parafusos cromados</t>
  </si>
  <si>
    <t>SUB-TOTAL 07</t>
  </si>
  <si>
    <t>09</t>
  </si>
  <si>
    <t>COBERTURA</t>
  </si>
  <si>
    <t>9.1</t>
  </si>
  <si>
    <t>0903</t>
  </si>
  <si>
    <t>ESTRUTURA PARA TELHADO</t>
  </si>
  <si>
    <t>9.1.1</t>
  </si>
  <si>
    <t>090312</t>
  </si>
  <si>
    <t>Calha em chapa galvanizada com largura de 40 cm</t>
  </si>
  <si>
    <t>9.1.2</t>
  </si>
  <si>
    <t>COMP-01</t>
  </si>
  <si>
    <t>Telhamento com Telha Metálica Termoacústica E = 30 Mm, Com Até 2 Águas, Incluso Içamento</t>
  </si>
  <si>
    <t>9.1.3</t>
  </si>
  <si>
    <t>COMP-02</t>
  </si>
  <si>
    <t>Trama de Aço Composta por Terças para Telhados de Até 2 Águas Para Telha Ondulada de Fibrocimento, metálica, plástica ou Termoacústica, Incluso Tranporte Vertical</t>
  </si>
  <si>
    <t>9.1.4</t>
  </si>
  <si>
    <t>COMP-03</t>
  </si>
  <si>
    <t>Calha Em Chapa de Aço Galvanizado Número 24, Desenvolvimento De 33 Cm Incluso Transporte Vertical</t>
  </si>
  <si>
    <t>SUB-TOTAL 08</t>
  </si>
  <si>
    <t>IMPERMEABILIZAÇÃO</t>
  </si>
  <si>
    <t>10.1</t>
  </si>
  <si>
    <t>IMPERMEABILIZAÇÃO CALHAS, LAJES DESCOBERTAS, BALDRAMES, PAREDES E JARDINEIRAS</t>
  </si>
  <si>
    <t>10.1.1</t>
  </si>
  <si>
    <t>100208</t>
  </si>
  <si>
    <t>Índice de imperm.c/ manta asfáltica atendendo NBR 9952, asfalto polimerizado esp.3mm, reforç.c/ filme int. polietileno, regul. base c/ arg.1:4 esp.mín.15mm, proteção mec. arg.1:4 esp.20mm e juntas dilat.</t>
  </si>
  <si>
    <t>SUB-TOTAL 09</t>
  </si>
  <si>
    <t>TETOS E FORROS</t>
  </si>
  <si>
    <t>11.1</t>
  </si>
  <si>
    <t>REVESTIMENTO COM ARGAMASSA</t>
  </si>
  <si>
    <t>11.1.1</t>
  </si>
  <si>
    <t>110101</t>
  </si>
  <si>
    <t>Chapisco com argamassa de cimento e areia média ou grossa lavada no traço 1:3, espessura 5 mm</t>
  </si>
  <si>
    <t>11.2</t>
  </si>
  <si>
    <t>REBAIXAMENTOS</t>
  </si>
  <si>
    <t>11.2.1</t>
  </si>
  <si>
    <t>110210</t>
  </si>
  <si>
    <t>Forro PVC branco L = 20 cm, frisado, colocado</t>
  </si>
  <si>
    <t>11.3</t>
  </si>
  <si>
    <t>REVESTIMENTO EMPREGANDO ARGAMASSA DE CIMENTO, CAL E AREIA</t>
  </si>
  <si>
    <t>11.3.1</t>
  </si>
  <si>
    <t>110302</t>
  </si>
  <si>
    <t>Reboco tipo paulista de argamassa de cimento, cal hidratada CH1 e areia lavada traço 1:0.5:6, espessura 25 mm</t>
  </si>
  <si>
    <t>SUB-TOTAL 10</t>
  </si>
  <si>
    <t>REVESTIMENTO DE PAREDES</t>
  </si>
  <si>
    <t>12.1</t>
  </si>
  <si>
    <t>12.1.1</t>
  </si>
  <si>
    <t>120101</t>
  </si>
  <si>
    <t>12.2</t>
  </si>
  <si>
    <t>ACABAMENTOS</t>
  </si>
  <si>
    <t>12.2.1</t>
  </si>
  <si>
    <t>130234</t>
  </si>
  <si>
    <t>Porcelanato natural, acabamento acetinado, dim. 60x60cm, ref. PLATINA NA Eliane/equiv, utilizando dupla colagem de argamassa colante para porcelanato tipo ACIII e rejunte 1mm para porcelanato</t>
  </si>
  <si>
    <t>12.3</t>
  </si>
  <si>
    <t>12.3.1</t>
  </si>
  <si>
    <t>120308</t>
  </si>
  <si>
    <t>Chapisco de argamassa de cimento e areia média ou grossa lavada no traço 1:3, espessura 5mm, com utilização de impermeabilizante</t>
  </si>
  <si>
    <t>12.3.2</t>
  </si>
  <si>
    <t>120303</t>
  </si>
  <si>
    <t>Reboco tipo paulista de argamassa de cimento, cal hidratada CH1 e areia média ou grossa lavada no traço 1:0.5:6, espessura 25 mm</t>
  </si>
  <si>
    <t>SUB-TOTAL 11</t>
  </si>
  <si>
    <t>PISOS INTERNOS E EXTERNOS</t>
  </si>
  <si>
    <t>13.1</t>
  </si>
  <si>
    <t>1302</t>
  </si>
  <si>
    <t>13.1.1</t>
  </si>
  <si>
    <t>130230</t>
  </si>
  <si>
    <t>Piso argamassa alta resistência tipo granilite ou equiv de qualidade comprovada, esp de 10mm, com juntas plástica em quadros de 1m, na cor natural, com acabamento anti-derrapante mecanizado, inclusive regularização e=3.0cm</t>
  </si>
  <si>
    <t>13.2</t>
  </si>
  <si>
    <t>1303</t>
  </si>
  <si>
    <t>DEGRAUS, RODAPÉS, SOLEIRAS E PEITORIS</t>
  </si>
  <si>
    <t>13.2.1</t>
  </si>
  <si>
    <t>130317</t>
  </si>
  <si>
    <t>Peitoril de granito cinza polido, 15 cm, esp. 3cm</t>
  </si>
  <si>
    <t>13.2.2</t>
  </si>
  <si>
    <t>130322</t>
  </si>
  <si>
    <t>Rodapé de argamassa de alta resistência tipo granilite ou equivalente de qualidade comprovada, altura de 10 cm e espessura de 10 mm, com cantos boleados, executado com cimento e granitina grana N.1, inclusive polimento</t>
  </si>
  <si>
    <t>13.2.3</t>
  </si>
  <si>
    <t>130323</t>
  </si>
  <si>
    <t>Soleira de argamassa de alta resistência tipo granilite ou equivalente de qualidade comprovada, largura de 15cm, executado com cimento e granitina grana N.1</t>
  </si>
  <si>
    <t>SUB-TOTAL 12</t>
  </si>
  <si>
    <t>INSTALAÇÕES HIDRO-SANITÁRIAS</t>
  </si>
  <si>
    <t>14.1</t>
  </si>
  <si>
    <t>1407</t>
  </si>
  <si>
    <t>PONTOS HIDRO-SANITÁRIOS</t>
  </si>
  <si>
    <t>14.1.1</t>
  </si>
  <si>
    <t>140701</t>
  </si>
  <si>
    <t>Ponto de água fria (lavatório, tanque, pia de cozinha, etc...)</t>
  </si>
  <si>
    <t>pt</t>
  </si>
  <si>
    <t>14.1.2</t>
  </si>
  <si>
    <t>140706</t>
  </si>
  <si>
    <t>Ponto para esgoto secundário (pia, lavatório, mictório, tanque, bidê, etc...)</t>
  </si>
  <si>
    <t>14.2</t>
  </si>
  <si>
    <t>1419</t>
  </si>
  <si>
    <t>REDE DE ESGOTO - TUBOS DE PVC</t>
  </si>
  <si>
    <t>14.2.1</t>
  </si>
  <si>
    <t>141910</t>
  </si>
  <si>
    <t>Tubo de PVC rígido soldável branco, para esgoto, diâmetro 150mm (6"), inclusive conexões</t>
  </si>
  <si>
    <t>SUB-TOTAL 13</t>
  </si>
  <si>
    <t>INSTALAÇÕES ELÉTRICAS</t>
  </si>
  <si>
    <t>15.1</t>
  </si>
  <si>
    <t>1503</t>
  </si>
  <si>
    <t>QUADRO DE DISTRIBUIÇÃO</t>
  </si>
  <si>
    <t>15.1.1</t>
  </si>
  <si>
    <t>150311</t>
  </si>
  <si>
    <t>Quadro de distribuição de energia, de embutir, com 12 divisões modulares, sem barramento</t>
  </si>
  <si>
    <t>15.2</t>
  </si>
  <si>
    <t>1511</t>
  </si>
  <si>
    <t>ELETRODUTOS E CONEXÕES</t>
  </si>
  <si>
    <t>15.2.1</t>
  </si>
  <si>
    <t>151132</t>
  </si>
  <si>
    <t>Eletroduto flexível corrugado 3/4" , marca de referência TIGRE</t>
  </si>
  <si>
    <t>15.3</t>
  </si>
  <si>
    <t>1513</t>
  </si>
  <si>
    <t>CHAVES, FUSIVEIS E DISJUNTORES</t>
  </si>
  <si>
    <t>15.3.1</t>
  </si>
  <si>
    <t>151301</t>
  </si>
  <si>
    <t>Mini-Disjuntor monopolar 16 A, curva C - 5KA 220/127VCA (NBR IEC 60947-2), Ref. Siemens, GE, Schneider ou equivalente</t>
  </si>
  <si>
    <t>15.3.2</t>
  </si>
  <si>
    <t>151302</t>
  </si>
  <si>
    <t>Mini-Disjuntor monopolar 20 A, curva C - 5KA 220/127VCA (NBR IEC 60947-2), Ref. Siemens, GE, Schneider ou equivalente</t>
  </si>
  <si>
    <t>15.3.3</t>
  </si>
  <si>
    <t>151304</t>
  </si>
  <si>
    <t>Mini-Disjuntor monopolar 32 A, curva C - 5KA 220/127VCA (NBR IEC 60947-2), Ref. Siemens, GE, Schneider ou equivalente</t>
  </si>
  <si>
    <t>15.3.4</t>
  </si>
  <si>
    <t>151305</t>
  </si>
  <si>
    <t>Mini-Disjuntor monopolar 40 A, curva C - 5KA 220/127VCA (NBR IEC 60947-2), Ref. Siemens, GE, Schneider ou equivalente</t>
  </si>
  <si>
    <t>15.3.5</t>
  </si>
  <si>
    <t>151306</t>
  </si>
  <si>
    <t>Mini-Disjuntor bipolar 16 A, curva C - 5KA 220/127VCA (NBR IEC 60947-2), Ref. Siemens, GE, Schneider ou equivalente</t>
  </si>
  <si>
    <t>15.4</t>
  </si>
  <si>
    <t>1514</t>
  </si>
  <si>
    <t>FIOS E CABOS</t>
  </si>
  <si>
    <t>15.4.1</t>
  </si>
  <si>
    <t>151402</t>
  </si>
  <si>
    <t>Fio de cobre termoplástico, com isolamento para 750V, seção de 2.5 mm2</t>
  </si>
  <si>
    <t>15.5</t>
  </si>
  <si>
    <t>1516</t>
  </si>
  <si>
    <t>ABERTURA E FECHAMENTO DE RASGOS (inclusive preparo e aplicação de argamassa)</t>
  </si>
  <si>
    <t>15.5.1</t>
  </si>
  <si>
    <t>Abertura e fechamento de rasgos em alvenaria, para passagem de eletrodutos diâm. 1/2" a 1"</t>
  </si>
  <si>
    <t>SUB-TOTAL 14</t>
  </si>
  <si>
    <t>APARELHOS HIDRO-SANITÁRIOS</t>
  </si>
  <si>
    <t>16.1</t>
  </si>
  <si>
    <t>1701</t>
  </si>
  <si>
    <t>LOUÇAS</t>
  </si>
  <si>
    <t>16.1.1</t>
  </si>
  <si>
    <t xml:space="preserve">170117 </t>
  </si>
  <si>
    <t>Lavatório de louça branca, padrão popular, marcas de referência Deca, Celite ou Ideal Standard, inclusive acessórios em PVC, exceto torneira</t>
  </si>
  <si>
    <t>16.1.2</t>
  </si>
  <si>
    <t>Recolocação de vaso sanitário, inclusive fornecimento de acessórios (parafusos de fixação e anel de vedação), exclusive fornecimento do vaso e tampa</t>
  </si>
  <si>
    <t>16.2</t>
  </si>
  <si>
    <t xml:space="preserve">1703 </t>
  </si>
  <si>
    <t>TORNEIRAS, REGISTROS, VÁLVULAS E METAIS</t>
  </si>
  <si>
    <t>16.2.1</t>
  </si>
  <si>
    <t xml:space="preserve">170304 </t>
  </si>
  <si>
    <t>Torneira pressão cromada diâm. 1/2" para lavatório, marcas de referência Fabrimar, Deca ou Docol</t>
  </si>
  <si>
    <t xml:space="preserve"> und </t>
  </si>
  <si>
    <t>16.2.2</t>
  </si>
  <si>
    <t xml:space="preserve">170351 </t>
  </si>
  <si>
    <t>Torneira de parede cromada, marcas de referência Fabrimar (linha prática, ref.1157) , Deca ou Docol</t>
  </si>
  <si>
    <t>16.3</t>
  </si>
  <si>
    <t>1705</t>
  </si>
  <si>
    <t>OUTROS APARELHOS</t>
  </si>
  <si>
    <t>16.3.1</t>
  </si>
  <si>
    <t>170537</t>
  </si>
  <si>
    <t>Assento plástico para vaso sanitário, marcas de referência Deca, Celite ou Ideal Standard</t>
  </si>
  <si>
    <t>16.3.2</t>
  </si>
  <si>
    <t xml:space="preserve">170538 </t>
  </si>
  <si>
    <t xml:space="preserve">Chuveiro frio de PVC, marcas de referência Atlas, Cipla ou Akros </t>
  </si>
  <si>
    <t>SUB-TOTAL 15</t>
  </si>
  <si>
    <t>APARELHOS ELÉTRICOS</t>
  </si>
  <si>
    <t>17.1</t>
  </si>
  <si>
    <t>1802</t>
  </si>
  <si>
    <t>INTERRUPTORES E TOMADAS</t>
  </si>
  <si>
    <t>17.1.1</t>
  </si>
  <si>
    <t>180201</t>
  </si>
  <si>
    <t>Tomada padrão brasileiro linha branca, NBR 14136 2 polos + terra 10A/250V, com placa 4x2"</t>
  </si>
  <si>
    <t>17.1.2</t>
  </si>
  <si>
    <t>180204</t>
  </si>
  <si>
    <t>Interruptor de uma tecla simples 10A/250V, com placa 4x2"</t>
  </si>
  <si>
    <t>17.1.3</t>
  </si>
  <si>
    <t>180205</t>
  </si>
  <si>
    <t>Interruptor de duas teclas simples 10A/250V, com placa 4x2"</t>
  </si>
  <si>
    <t>17.1.4</t>
  </si>
  <si>
    <t>180207</t>
  </si>
  <si>
    <t>Interruptor de uma tecla simples 10A/250V e uma tomada 3 polos 10A/250V, padrão brasileiro, NBR 14136, linha branca, com placa 4x2"</t>
  </si>
  <si>
    <t>17.1.5</t>
  </si>
  <si>
    <t>180208</t>
  </si>
  <si>
    <t>Interruptor de duas teclas simples 10A/250V e uma tomada 3 polos universal 10A/250V, com placa 4x2"</t>
  </si>
  <si>
    <t>17.1.6</t>
  </si>
  <si>
    <t>Tomada dupla padrão brasileiro linha branca, NBR 14136 2 polos + terra 10A/250V, com placa 4x2"</t>
  </si>
  <si>
    <t>17.2</t>
  </si>
  <si>
    <t>1807</t>
  </si>
  <si>
    <t>VENTILADORES</t>
  </si>
  <si>
    <t>17.2.1</t>
  </si>
  <si>
    <t>Ventilador de parede, 60 cm, bivolt, 200 a 210 watts</t>
  </si>
  <si>
    <t>17.3</t>
  </si>
  <si>
    <t>1810</t>
  </si>
  <si>
    <t>LUMINARIAS PARA LÂMPADAS LED</t>
  </si>
  <si>
    <t>17.3.1</t>
  </si>
  <si>
    <t>181001</t>
  </si>
  <si>
    <t>Luminaria sobrepor compl., corpo ch. aço pintada branca, refletor, aletas parabólicas alum.alta pureza e refletância inclusive 2 lâmpadas LED T8 9W temp. de cor 5000k c/ 60cm - Ref. CS216AL-N - AMES, 663 - LUMAVI OU EQUIVALENTE</t>
  </si>
  <si>
    <t>17.3.2</t>
  </si>
  <si>
    <t>181002</t>
  </si>
  <si>
    <t>Luminaria sobrepor compl., corpo ch. aço pintada branca, refletor aletas parabólicas alum.alta pureza e refletância inclusive 2 lâmpadas LED T8 20W temp. de cor 5000k bivolt c/ 1,20m - Ref. CS232AL-N - AMES, 664 - LUMAVI OU EQUIVALENTE</t>
  </si>
  <si>
    <t>SUB-TOTAL 17</t>
  </si>
  <si>
    <t>PINTURA</t>
  </si>
  <si>
    <t>18.1</t>
  </si>
  <si>
    <t>SOBRE PAREDES E FORROS</t>
  </si>
  <si>
    <t>18.1.1</t>
  </si>
  <si>
    <t xml:space="preserve">Pintura com tinta acrílica, marcas de referência Suvinil, Coral e Metalatex, inclusive selador acrílico, em paredes e forros, a duas demãos </t>
  </si>
  <si>
    <t>18.2</t>
  </si>
  <si>
    <t>SOBRE MADEIRA</t>
  </si>
  <si>
    <t>18.2.1</t>
  </si>
  <si>
    <t>Pintura com verniz brilhante, linha Premium, marcas de referência Suvinil, Coral ou Metalatex, em madeira, a três demãos</t>
  </si>
  <si>
    <t xml:space="preserve"> m2 </t>
  </si>
  <si>
    <t>18.3</t>
  </si>
  <si>
    <t>1904</t>
  </si>
  <si>
    <t>SOBRE METAL</t>
  </si>
  <si>
    <t>18.3.1</t>
  </si>
  <si>
    <t>190417</t>
  </si>
  <si>
    <t>Pintura com tinta esmalte sintético, marcas de referência Suvinil, Coral ou Metalatex, a duas demãos, inclusive fundo anticorrosivo a uma demão, em metal</t>
  </si>
  <si>
    <t xml:space="preserve">m2 </t>
  </si>
  <si>
    <t>TRATAMENTO, CONSERVAÇÃO E LIMPEZA</t>
  </si>
  <si>
    <t xml:space="preserve">Limpeza geral da obra (edificação) </t>
  </si>
  <si>
    <t>SUB-TOTAL 18</t>
  </si>
  <si>
    <t> </t>
  </si>
  <si>
    <t>SERVIÇOS COMPLEMENTARES INTERNOS</t>
  </si>
  <si>
    <t>19.1</t>
  </si>
  <si>
    <t>DIVERSOS INTERNOS</t>
  </si>
  <si>
    <t>19.1.1</t>
  </si>
  <si>
    <t>COMP-07</t>
  </si>
  <si>
    <t>Saboneteira plástica tipo dispenser para sabonete líquido com reservatório 800 a 1500 ml, incluso fixação.</t>
  </si>
  <si>
    <t>COMP-08</t>
  </si>
  <si>
    <t>Papeleira de parede em metal cromado sem tampa, incluso fixação.</t>
  </si>
  <si>
    <t>COMP-09</t>
  </si>
  <si>
    <t>Porta papel toalha plástica tipo dispenser, capacidade para aproximadamente 750 folhas, incluso fixação</t>
  </si>
  <si>
    <t>SUB-TOTAL 19</t>
  </si>
  <si>
    <t>MEMÓRIA DE CÁLCULO</t>
  </si>
  <si>
    <t>TABELA DE REFERÊNCIA:DER/ES</t>
  </si>
  <si>
    <t>Qnt</t>
  </si>
  <si>
    <t>C (m)</t>
  </si>
  <si>
    <t>L (m)</t>
  </si>
  <si>
    <t>H (m)</t>
  </si>
  <si>
    <t>A(m2)</t>
  </si>
  <si>
    <t>V(m3)</t>
  </si>
  <si>
    <t>QUANT.  DO SERVIÇO</t>
  </si>
  <si>
    <t xml:space="preserve">Banheiro Masculino </t>
  </si>
  <si>
    <t>Banheiro Feminino</t>
  </si>
  <si>
    <t>Banheiro Área de serviço</t>
  </si>
  <si>
    <t>Bilheteria</t>
  </si>
  <si>
    <t>Total</t>
  </si>
  <si>
    <t>Vãos a descontar (m2)</t>
  </si>
  <si>
    <t>Teto Banheiro Feminino</t>
  </si>
  <si>
    <t xml:space="preserve">Teto Banheiro Masculino </t>
  </si>
  <si>
    <t>Teto Banheiro Área de serviço</t>
  </si>
  <si>
    <t>Teto  Área  de Serviço</t>
  </si>
  <si>
    <t>Parede externa sem calçada (lado rio)</t>
  </si>
  <si>
    <t>Abertura para básculas dos banheiros Masc. e Fem.</t>
  </si>
  <si>
    <t>Abertura para báscula da cozinha</t>
  </si>
  <si>
    <t>Portas</t>
  </si>
  <si>
    <t>Báscula</t>
  </si>
  <si>
    <t>Porta</t>
  </si>
  <si>
    <t>Cozinha</t>
  </si>
  <si>
    <t xml:space="preserve">Janela </t>
  </si>
  <si>
    <t>Despensa</t>
  </si>
  <si>
    <t>Cantina</t>
  </si>
  <si>
    <t>Salão</t>
  </si>
  <si>
    <t>Palco</t>
  </si>
  <si>
    <t>Circulação</t>
  </si>
  <si>
    <t xml:space="preserve">Cantina </t>
  </si>
  <si>
    <t>Caixa</t>
  </si>
  <si>
    <t>Depósito</t>
  </si>
  <si>
    <t>Área de serviço</t>
  </si>
  <si>
    <t>Grade Banheiro Masculino</t>
  </si>
  <si>
    <t>Grade Cozinha</t>
  </si>
  <si>
    <t>Luminarias</t>
  </si>
  <si>
    <t>Interruptores</t>
  </si>
  <si>
    <t>Tomadas</t>
  </si>
  <si>
    <t>Vetntiladores</t>
  </si>
  <si>
    <t>Banheiro Masculino</t>
  </si>
  <si>
    <t>Ventilador</t>
  </si>
  <si>
    <t>Banheiro área de serviço</t>
  </si>
  <si>
    <t>Luminárias</t>
  </si>
  <si>
    <t>Área telhado colonial</t>
  </si>
  <si>
    <t>Área telhado Fibrocimento</t>
  </si>
  <si>
    <t>QDG</t>
  </si>
  <si>
    <t>Banheiro feminino</t>
  </si>
  <si>
    <t>Banheiro masculino</t>
  </si>
  <si>
    <t>Área telhado fibrocimento</t>
  </si>
  <si>
    <t>Caixa (Marco de porta 0,80x2,10cm)</t>
  </si>
  <si>
    <t xml:space="preserve">Banheiro feminino </t>
  </si>
  <si>
    <t>Porta de entrada</t>
  </si>
  <si>
    <t>Portas sanitários</t>
  </si>
  <si>
    <t>Entorno da edificação (aproximadamente)</t>
  </si>
  <si>
    <t>Placa da obra</t>
  </si>
  <si>
    <t>Considerando 6 meses de obra</t>
  </si>
  <si>
    <t>Pilaretes abaixo da Á. de Serviço</t>
  </si>
  <si>
    <t>Para básculas do banheiro Masc.</t>
  </si>
  <si>
    <t>Para básculas do banheiro Fem.</t>
  </si>
  <si>
    <t>Fechamento das aberturas das básculas (B. Masc. e B. Fem.)</t>
  </si>
  <si>
    <t>Porta Banheiro Área de serviço</t>
  </si>
  <si>
    <t>Porta banheiro mascuilino</t>
  </si>
  <si>
    <t>Porta banheiro feminino</t>
  </si>
  <si>
    <t>Porta Cozinha</t>
  </si>
  <si>
    <t>Porta Caixa</t>
  </si>
  <si>
    <t>Grade Janela Cozinha</t>
  </si>
  <si>
    <t>210x83</t>
  </si>
  <si>
    <t xml:space="preserve">Grades Básculas Banheiros </t>
  </si>
  <si>
    <t>120x100</t>
  </si>
  <si>
    <t>B. Masculino</t>
  </si>
  <si>
    <t>B. Feminino</t>
  </si>
  <si>
    <t>Porta  60x160cm</t>
  </si>
  <si>
    <t>Porta 60x160cm</t>
  </si>
  <si>
    <t>Janela Cozinha</t>
  </si>
  <si>
    <t>Báscula Cantina</t>
  </si>
  <si>
    <t xml:space="preserve"> Báscula Cozinha</t>
  </si>
  <si>
    <t>Báscula Despensa</t>
  </si>
  <si>
    <t>Báscula B. Masculino</t>
  </si>
  <si>
    <t>Báscula B. Feminino</t>
  </si>
  <si>
    <t>Banheiros fem. e masc.</t>
  </si>
  <si>
    <t>Calha central</t>
  </si>
  <si>
    <t>Área telhado proposto</t>
  </si>
  <si>
    <t>Calhas beiral</t>
  </si>
  <si>
    <t>Laje Banheiro Masc. e Fem.</t>
  </si>
  <si>
    <t>Laje Á. de Serviço e Banheiro</t>
  </si>
  <si>
    <t>Teto Caixa</t>
  </si>
  <si>
    <t>Teto Banheiro Masculino</t>
  </si>
  <si>
    <t>Teto Banheiro Á. serviço</t>
  </si>
  <si>
    <t>Teto Área de serviço</t>
  </si>
  <si>
    <t>Parede interna e externa dos banheiros Masc. e Fem. (fechamento das básculas)</t>
  </si>
  <si>
    <t>Parede interna dos banheiros Masc. e Fem. (fechamento das básculas)</t>
  </si>
  <si>
    <t>Depensa</t>
  </si>
  <si>
    <t>Básculas Despensa</t>
  </si>
  <si>
    <t>Portão de entrada</t>
  </si>
  <si>
    <t>Portão de acesso aos fundos</t>
  </si>
  <si>
    <t>Porta da cantina</t>
  </si>
  <si>
    <t>Vão cantina e cozinha</t>
  </si>
  <si>
    <t>Porta da despensa</t>
  </si>
  <si>
    <t>Porta área de serviço</t>
  </si>
  <si>
    <t>Porta banheiro da área de serviço</t>
  </si>
  <si>
    <t>Porta do caixa</t>
  </si>
  <si>
    <t>Porta do banheiro masculino</t>
  </si>
  <si>
    <t>Porta do banheiro feminino</t>
  </si>
  <si>
    <t>Portão de acesso lateral</t>
  </si>
  <si>
    <t>Bebedouro (Circulação)</t>
  </si>
  <si>
    <t>Prumada das calhas</t>
  </si>
  <si>
    <t>QDE cantina</t>
  </si>
  <si>
    <t>Para a fiação a ser embutida através dos rasgos em alvenaria</t>
  </si>
  <si>
    <t>Substituição da fiação p/iluminação e ventiladores do Salão</t>
  </si>
  <si>
    <t>Recepção (entrada)</t>
  </si>
  <si>
    <t>Banheiros Área de Serviço</t>
  </si>
  <si>
    <t>Banheiro A. Serviço</t>
  </si>
  <si>
    <t>Banheiro Á. serviço</t>
  </si>
  <si>
    <t>Á. de Serviço</t>
  </si>
  <si>
    <t>Á. serviço</t>
  </si>
  <si>
    <t>Salão e circulação</t>
  </si>
  <si>
    <t xml:space="preserve">Salão </t>
  </si>
  <si>
    <t>Parede (lado rio)</t>
  </si>
  <si>
    <t>Parede (lado Cantina)</t>
  </si>
  <si>
    <t>Parede (lado palco)</t>
  </si>
  <si>
    <t>Parede (portão de entrada)</t>
  </si>
  <si>
    <t>Pilares (altura calha)</t>
  </si>
  <si>
    <t>Pilares (altura cumeeira)</t>
  </si>
  <si>
    <t>Vigas (longitudinais)</t>
  </si>
  <si>
    <t>Vigas (transversais)</t>
  </si>
  <si>
    <t>Circulação e Caixa</t>
  </si>
  <si>
    <t>Parede lateral (lado cozinha)</t>
  </si>
  <si>
    <t>Paredes internas e externas Caixa</t>
  </si>
  <si>
    <t>Parede fundos (caixa e circ.)</t>
  </si>
  <si>
    <t>Muro entrada banheiro feminino</t>
  </si>
  <si>
    <t>Todas as paredes</t>
  </si>
  <si>
    <t xml:space="preserve">Todas as paredes </t>
  </si>
  <si>
    <t>Paredes com revestimento</t>
  </si>
  <si>
    <t>Paredes restantes</t>
  </si>
  <si>
    <t>Parede lateral (lado rio)</t>
  </si>
  <si>
    <t>Paredes básculas</t>
  </si>
  <si>
    <t>Muro Perímetro</t>
  </si>
  <si>
    <t>Tetos</t>
  </si>
  <si>
    <t>A. Serviço</t>
  </si>
  <si>
    <t>Coeficiente de 3 (conforme roteiro IOPES)</t>
  </si>
  <si>
    <t>Estrutura do telhado (Área do telhado)</t>
  </si>
  <si>
    <t>Grades  Salão</t>
  </si>
  <si>
    <t>Coeficiente de 2 (conforme roteiro IOPES)</t>
  </si>
  <si>
    <t>384x174</t>
  </si>
  <si>
    <t>338x174</t>
  </si>
  <si>
    <t>383x174</t>
  </si>
  <si>
    <t>377x174</t>
  </si>
  <si>
    <t>356x174</t>
  </si>
  <si>
    <t>255x174</t>
  </si>
  <si>
    <t>194x35</t>
  </si>
  <si>
    <t>250x70</t>
  </si>
  <si>
    <t>Grade Circulação</t>
  </si>
  <si>
    <t>197x70</t>
  </si>
  <si>
    <t>Grades Caixa</t>
  </si>
  <si>
    <t>471x145</t>
  </si>
  <si>
    <t>136x50</t>
  </si>
  <si>
    <t>Grade Área de serviço</t>
  </si>
  <si>
    <t>224x75</t>
  </si>
  <si>
    <t>Grade Cantina</t>
  </si>
  <si>
    <t>215x65</t>
  </si>
  <si>
    <t>Grades Despensa</t>
  </si>
  <si>
    <t>100x80</t>
  </si>
  <si>
    <t>115x95</t>
  </si>
  <si>
    <t>185x155</t>
  </si>
  <si>
    <t xml:space="preserve">Grades Banheiros </t>
  </si>
  <si>
    <t>Portões</t>
  </si>
  <si>
    <t>Portão Entrada veículo</t>
  </si>
  <si>
    <t>SERVIÇOS COMPLEMENTARES EXTERNOS</t>
  </si>
  <si>
    <t>Área da edificação</t>
  </si>
  <si>
    <t>ETAPAS</t>
  </si>
  <si>
    <t xml:space="preserve">VALORES </t>
  </si>
  <si>
    <t>PERÍODO (MESES)</t>
  </si>
  <si>
    <t xml:space="preserve">Físico (%) </t>
  </si>
  <si>
    <t>Financeiro (R$)</t>
  </si>
  <si>
    <t>11</t>
  </si>
  <si>
    <t>12</t>
  </si>
  <si>
    <t>Total Parcial (%)</t>
  </si>
  <si>
    <t>Metas (%)</t>
  </si>
  <si>
    <t>Total Financeiro (R$)</t>
  </si>
  <si>
    <t>Total Acumulado (R$)</t>
  </si>
  <si>
    <t>COMPOSIÇÃO BDI</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</si>
  <si>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</si>
  <si>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</si>
  <si>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</si>
  <si>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</si>
  <si>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</si>
  <si>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</si>
  <si>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</si>
  <si>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</si>
  <si>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</si>
  <si>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</si>
  <si>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</si>
  <si>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</si>
  <si>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</si>
  <si>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</si>
  <si>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</si>
  <si>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</si>
  <si>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</si>
  <si>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</si>
  <si>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</si>
  <si>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</si>
  <si>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</si>
  <si>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</si>
  <si>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</si>
  <si>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</si>
  <si>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</si>
  <si>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</si>
  <si>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</si>
  <si>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</si>
  <si>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</si>
  <si>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</si>
  <si>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</si>
  <si>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</si>
  <si>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</si>
  <si>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</si>
  <si>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</si>
  <si>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</si>
  <si>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</si>
  <si>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</si>
  <si>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</si>
  <si>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</si>
  <si>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</si>
  <si>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</si>
  <si>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</si>
  <si>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</si>
  <si>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</si>
  <si>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</si>
  <si>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</si>
  <si>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</si>
  <si>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</si>
  <si>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</si>
  <si>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</si>
  <si>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</si>
  <si>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</si>
  <si>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</si>
  <si>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</si>
  <si>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</si>
  <si>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</si>
  <si>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</si>
  <si>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</si>
  <si>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</si>
  <si>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</si>
  <si>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</si>
  <si>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</si>
  <si>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</si>
  <si>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</si>
  <si>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</si>
  <si>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</si>
  <si>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</si>
  <si>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</si>
  <si>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</si>
  <si>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</si>
  <si>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</si>
  <si>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</si>
  <si>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</si>
  <si>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</si>
  <si>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</si>
  <si>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</si>
  <si>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</si>
  <si>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</si>
  <si>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</si>
  <si>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</si>
  <si>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</si>
  <si>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</si>
  <si>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</si>
  <si>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</si>
  <si>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</si>
  <si>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</si>
  <si>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</si>
  <si>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</si>
  <si>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</si>
  <si>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</si>
  <si>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</si>
  <si>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</si>
  <si>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</si>
  <si>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</si>
  <si>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</si>
  <si>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</si>
  <si>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</si>
  <si>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</si>
  <si>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</si>
  <si>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</si>
  <si>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</si>
  <si>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</si>
  <si>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</si>
  <si>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</si>
  <si>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</si>
  <si>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</si>
  <si>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</si>
  <si>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</si>
  <si>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</si>
  <si>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</si>
  <si>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</si>
  <si>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</si>
  <si>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</si>
  <si>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</si>
  <si>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</si>
  <si>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</si>
  <si>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</si>
  <si>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</si>
  <si>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</si>
  <si>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</si>
  <si>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</si>
  <si>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</si>
  <si>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</si>
  <si>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</si>
  <si>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</si>
  <si>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</si>
  <si>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</si>
  <si>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</si>
  <si>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</si>
  <si>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</si>
  <si>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</si>
  <si>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</si>
  <si>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</si>
  <si>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</si>
  <si>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COMPOSIÇÃO ANALÍTICA DE PREÇO UNITÁRIO</t>
  </si>
  <si>
    <t>Data-base</t>
  </si>
  <si>
    <t>SERVIÇO: Telhamento com Telha Metálica Termoacústica E = 30 Mm, Com Até 2 Águas, Incluso Içamento</t>
  </si>
  <si>
    <t>UND: m²</t>
  </si>
  <si>
    <t>REFERÊNCIA: SINAPI 94216</t>
  </si>
  <si>
    <t>MÃO-DE-OBRA</t>
  </si>
  <si>
    <t>CÓD.</t>
  </si>
  <si>
    <t>DESCRIÇÃO</t>
  </si>
  <si>
    <t>UND</t>
  </si>
  <si>
    <t>COEF</t>
  </si>
  <si>
    <t>R$ UNIT.</t>
  </si>
  <si>
    <t>R$ PARCIAL</t>
  </si>
  <si>
    <t>SINAPI</t>
  </si>
  <si>
    <t>Encargo: 157,27%</t>
  </si>
  <si>
    <t>h</t>
  </si>
  <si>
    <t>TOTAL A</t>
  </si>
  <si>
    <t>MATERIAIS/ SERVIÇOS</t>
  </si>
  <si>
    <t>11029</t>
  </si>
  <si>
    <t>HASTE RETA PARA GANCHO DE FERRO GALVANIZADO, COM ROSCA 1/4 " X 30 CM PARA FIXACAO DE TELHA METALICA, INCLUI PORCA E ARRUELAS DE VEDACAO</t>
  </si>
  <si>
    <t>CJ</t>
  </si>
  <si>
    <t>40740</t>
  </si>
  <si>
    <t>TELHA GALVALUME COM ISOLAMENTO TERMOACUSTICO EM ESPUMA RIGIDA DE POLIURETA NO (PU) INJETADO, ESPESSURA DE 30 MM, DENSIDADE DE 35 KG/M3, REVESTIMENTO EM TELHA TRAPEZOIDAL NAS DUAS FACES COM ESPESSURA DE 0,50 MM CADA, ACABAMENTO NATURAL (NAO INCLUI ACESSORIOS DE FIXACAO)</t>
  </si>
  <si>
    <t>M2</t>
  </si>
  <si>
    <t>TOTAL B</t>
  </si>
  <si>
    <t>EQUIPAMENTOS</t>
  </si>
  <si>
    <t>GUINCHO ELÉTRICO DE COLUNA, CAPACIDADE 400 KG, COM MOTO
FREIO, MOTOR TRIFÁSICO DE 1,25 CV - CHP DIURNO</t>
  </si>
  <si>
    <t>CHP</t>
  </si>
  <si>
    <t>GUINCHO ELÉTRICO DE COLUNA, CAPACIDADE 400 KG, COM MOTO FREIO, MOTOR TRIFÁSICO DE 1,25 CV - CHI DIURNO</t>
  </si>
  <si>
    <t>CHI</t>
  </si>
  <si>
    <t>TOTAL C</t>
  </si>
  <si>
    <t>RESUMO</t>
  </si>
  <si>
    <t>TOTAL  A</t>
  </si>
  <si>
    <t>TOTAL  B</t>
  </si>
  <si>
    <t>TOTAL  C</t>
  </si>
  <si>
    <r>
      <rPr>
        <b/>
        <sz val="11"/>
        <color indexed="8"/>
        <rFont val="Calibri"/>
        <family val="2"/>
        <scheme val="minor"/>
      </rPr>
      <t>PREÇO DE VENDA</t>
    </r>
    <r>
      <rPr>
        <sz val="11"/>
        <color indexed="8"/>
        <rFont val="Calibri"/>
        <family val="2"/>
        <scheme val="minor"/>
      </rPr>
      <t xml:space="preserve"> = TOTAL (A+B+C)</t>
    </r>
  </si>
  <si>
    <t>SERVIÇO: Trama de Aço Composta por Terças para Telhados de Até 2 Águas Para Telha Ondulada de Fibrocimento, metálica, plástica ou Termoacústica, Incluso Tranporte Vertical</t>
  </si>
  <si>
    <t>REFERÊNCIA: SINAPI 92580</t>
  </si>
  <si>
    <t>40549</t>
  </si>
  <si>
    <t>PARAFUSO, COMUM, ASTM A307, SEXTAVADO, DIAMETRO 1/2" (12,7 MM), COMPRIMENTO 1" (25,4 MM)</t>
  </si>
  <si>
    <t>CENTO</t>
  </si>
  <si>
    <t>43083</t>
  </si>
  <si>
    <t>PERFIL "U" ENRIJECIDO DE ACO GALVANIZADO, DOBRADO, 150 X 60 X 20 MM, E = 3,00 MM OU 200 X 75 X 25 MM, E = 3,75 MM</t>
  </si>
  <si>
    <t>KG</t>
  </si>
  <si>
    <t>GUINCHO ELÉTRICO DE COLUNA, CAPACIDADE 400 KG, COM MOTO FREIO, MOTOR TRIFÁSICO DE 1,25 CV - CHP DIURNO</t>
  </si>
  <si>
    <t>SERVIÇO: Calha Em Chapa de Aço Galvanizado Número 24, Desenvolvimento De 33 Cm Incluso Transporte Vertical</t>
  </si>
  <si>
    <t>UND: m</t>
  </si>
  <si>
    <t>REFERÊNCIA: SINAPI 94227</t>
  </si>
  <si>
    <t>142</t>
  </si>
  <si>
    <t>SELANTE ELASTICO MONOCOMPONENTE A BASE DE POLIURETANO (PU) PARA JUNTAS DIVERSAS</t>
  </si>
  <si>
    <t>310 ML</t>
  </si>
  <si>
    <t>5061</t>
  </si>
  <si>
    <t>PREGO DE ACO POLIDO COM CABECA 18 X 27 (2 1/2 X 10)</t>
  </si>
  <si>
    <t>5104</t>
  </si>
  <si>
    <t>REBITE DE ALUMINIO VAZADO DE REPUXO, 3,2 X 8 MM (1KG = 1025 UNIDADES)</t>
  </si>
  <si>
    <t>13388</t>
  </si>
  <si>
    <t>SOLDA EM BARRA DE ESTANHO-CHUMBO 50/50</t>
  </si>
  <si>
    <t>40782</t>
  </si>
  <si>
    <t>CALHA QUADRADA DE CHAPA DE ACO GALVANIZADA NUM 24, CORTE 33 CM</t>
  </si>
  <si>
    <t>M</t>
  </si>
  <si>
    <t>COMP-04</t>
  </si>
  <si>
    <t>SERVIÇO: Recolocação de vaso sanitário, inclusive fornecimento de acessórios (parafusos de fixação e anel de vedação), exclusive fornecimento do vaso e tampa</t>
  </si>
  <si>
    <t>UND: und</t>
  </si>
  <si>
    <t>REFERÊNCIA: DER-ES 170121</t>
  </si>
  <si>
    <t>010101</t>
  </si>
  <si>
    <t>AJUDANTE (AJUDANTE PRATICO - SINDUSCON) (LABOR)</t>
  </si>
  <si>
    <t>010118</t>
  </si>
  <si>
    <t>ENCANADOR - (OFICIAL - SINDUSCON) (LABOR)</t>
  </si>
  <si>
    <t>064709</t>
  </si>
  <si>
    <t>026549</t>
  </si>
  <si>
    <t>BUCHA PLASTICA 8MM (LABOR)</t>
  </si>
  <si>
    <t>026550</t>
  </si>
  <si>
    <t>PARAFUSO CROMADO P/FIXACAO SANITARIOS
(LABOR)</t>
  </si>
  <si>
    <t>COMP-05</t>
  </si>
  <si>
    <t>SERVIÇO: Tomada dupla padrão brasileiro linha branca, NBR 14136 2 polos + terra 10A/250V, com placa 4x2"</t>
  </si>
  <si>
    <t>REFERÊNCIA: DER-ES 180201</t>
  </si>
  <si>
    <t>010115</t>
  </si>
  <si>
    <t>ELETRICISTA (OFICIAL - SINDUSCON) (LABOR)</t>
  </si>
  <si>
    <t>045525</t>
  </si>
  <si>
    <t>ESPELHO 4X2", LINHA BRANCA (LABOR)</t>
  </si>
  <si>
    <t>TOMADA (MODULO) PAD BRAS 2 P+T 10A/250V NBR 14136 S/ ESPELH (LABOR)</t>
  </si>
  <si>
    <t>COMP-06</t>
  </si>
  <si>
    <t>SERVIÇO: Ventilador de parede, 60 cm, bivolt, 200 a 210 watts</t>
  </si>
  <si>
    <t>REFERÊNCIA: DER-ES 180702</t>
  </si>
  <si>
    <t>COTAÇÃO 01</t>
  </si>
  <si>
    <t>SERVIÇO: Saboneteira plástica tipo dispenser para sabonete líquido com reservatório 800 a 1500 ml, incluso fixação</t>
  </si>
  <si>
    <t>REFERÊNCIA: SINAPI-ES 95547</t>
  </si>
  <si>
    <t>SINAPI-ES</t>
  </si>
  <si>
    <t>11758</t>
  </si>
  <si>
    <t>SABONETEIRA PLASTICA TIPO DISPENSER PARA SABONETE LIQUIDO COM RESERVATORIO 800 A 1500 ML</t>
  </si>
  <si>
    <t>SERVIÇO: Papeleira de parede em metal cromado sem tampa, incluso fixação</t>
  </si>
  <si>
    <t xml:space="preserve">REFERÊNCIA: SINAPI-ES 95544 </t>
  </si>
  <si>
    <t>PAPELEIRA DE PAREDE EM METAL CROMADO SEM TAMPA</t>
  </si>
  <si>
    <t>SERVIÇO: Porta papel toalha plástica tipo dispenser, capacidade para aproximadamente 750 folhas, incluso fixação</t>
  </si>
  <si>
    <t>COTAÇÃO 02</t>
  </si>
  <si>
    <t>Porta papel toalha plástica tipo dispenser, capacidade para aproximadamente 750 folha</t>
  </si>
  <si>
    <t>COTAÇÕES</t>
  </si>
  <si>
    <t>NÚMERO</t>
  </si>
  <si>
    <t>FORNECEDOR 1</t>
  </si>
  <si>
    <t>CONTATO</t>
  </si>
  <si>
    <t>PREÇO</t>
  </si>
  <si>
    <t xml:space="preserve">DATA </t>
  </si>
  <si>
    <t>FORNECEDOR 2</t>
  </si>
  <si>
    <t>DATA</t>
  </si>
  <si>
    <t>FORNECEDOR 3</t>
  </si>
  <si>
    <t>MÉDIA</t>
  </si>
  <si>
    <t>OBSERVAÇÕES</t>
  </si>
  <si>
    <t>Ventilador de parede, 60 cm, Bivolt, 200W a 210W</t>
  </si>
  <si>
    <t>Amazon</t>
  </si>
  <si>
    <t>https://www.amazon.com.br/Ventilador-Oscilante-Parede-Premium-Ventisol/dp/B074FJR64H/ref=asc_df_B074FJR64H/?tag=googleshopp00-20&amp;linkCode=df0&amp;hvadid=379799985272&amp;hvpos=&amp;hvnetw=g&amp;hvrand=10235103681093124624&amp;hvpone=&amp;hvptwo=&amp;hvqmt=&amp;hvdev=c&amp;hvdvcmdl=&amp;hvlocint=&amp;hvlocphy=1031764&amp;hvtargid=pla-812316002343&amp;th=1</t>
  </si>
  <si>
    <t>Shoptime</t>
  </si>
  <si>
    <t>https://www.shoptime.com.br/produto/19669838?pfm_carac=Os%20itens%20mais%20queridos%20da%20categoria&amp;pfm_index=1&amp;pfm_page=product&amp;pfm_pos=item_page.history&amp;pfm_type=vit_recommendation&amp;DCSext.recom=RR_item_page.history-mars_TopVisitsCategory:P:1:&amp;nm_origem=rec_item_page.history-mars_TopVisitsCategory:P:1:&amp;nm_ranking_rec=2</t>
  </si>
  <si>
    <t>Fanlux</t>
  </si>
  <si>
    <t>https://www.fanlux.com.br/ventiladores/ventiladores-de-parede/ventilador-de-parede-tex6-60cm-bivolt-210w-ventex?parceiro=3021&amp;variant_id=4929</t>
  </si>
  <si>
    <t>Não foi considerado frete</t>
  </si>
  <si>
    <t>Porta papel toalha plástica tipo dispenser, capacidade para aproximadamente 750 folhas</t>
  </si>
  <si>
    <t>Kalunga</t>
  </si>
  <si>
    <t>https://www.kalunga.com.br/prod/dispenser-papel-toalha-interfolhado-branco-c19533-premisse-cx-1-un/324175?pcID=39&amp;gclid=Cj0KCQjwqrb7BRDlARIsACwGad6HO2dT5IOnuzBk8d55FZvxHn7u8z-LvSHzV70iwJALgCLUeG6uVL4aAqcFEALw_wcB</t>
  </si>
  <si>
    <t>CRONOGRAMA FÍSICO-FINANCEIRO</t>
  </si>
  <si>
    <t xml:space="preserve">Demolição de alvenaria </t>
  </si>
  <si>
    <t>SUB-TOTAL 16</t>
  </si>
  <si>
    <t>5.1.1</t>
  </si>
  <si>
    <t>7.1.1</t>
  </si>
  <si>
    <t>20.1</t>
  </si>
  <si>
    <t>20.1.1</t>
  </si>
  <si>
    <t>20.1.2</t>
  </si>
  <si>
    <t>20.1.3</t>
  </si>
  <si>
    <t>19</t>
  </si>
  <si>
    <t>20</t>
  </si>
  <si>
    <t>060101</t>
  </si>
  <si>
    <t>061301</t>
  </si>
  <si>
    <t>NOV/22</t>
  </si>
  <si>
    <t>Data: 01 de março de 2023</t>
  </si>
  <si>
    <t>DATA-BASE: NOV/2022</t>
  </si>
  <si>
    <t>SERVENTE (AUXILIAR DE OBRAS - SINDUSCON)
(LABOR)</t>
  </si>
  <si>
    <t>010146</t>
  </si>
  <si>
    <t>TELHADISTA - (OFICIAL - SINDUSCON) (LABOR)</t>
  </si>
  <si>
    <t>010150</t>
  </si>
  <si>
    <t>MONTADOR (SINTRACONST) (LABOR)</t>
  </si>
  <si>
    <t>010130</t>
  </si>
  <si>
    <t>045520</t>
  </si>
  <si>
    <t>AJUDANTE (AJUDANTE PRATICO - SINDUSCON)
(LABOR)</t>
  </si>
  <si>
    <t>SERVENTE (AUXILIAR DE OBRAS - SINDUSCON) (LABOR)</t>
  </si>
  <si>
    <t>11703</t>
  </si>
  <si>
    <t>https://www.amazon.com.br/Dispenser-Toalha-Interfolhas-dobras-PREMISSE/dp/B07CT1VX8W/ref=asc_df_B07CT1VX8W/?tag=googleshopp00-20&amp;linkCode=df0&amp;hvadid=379817839910&amp;hvpos=&amp;hvnetw=g&amp;hvrand=13629527481564061716&amp;hvpone=&amp;hvptwo=&amp;hvqmt=&amp;hvdev=c&amp;hvdvcmdl=&amp;hvlocint=&amp;hvlocphy=1031764&amp;hvtargid=pla-865851585567&amp;psc=1</t>
  </si>
  <si>
    <t>Magalu</t>
  </si>
  <si>
    <t>https://www.magazineluiza.com.br/dispensador-papel-toalha-velox-branco-premisse/p/cb658h360a/pi/dept/?&amp;seller_id=balaroti&amp;utm_source=google&amp;utm_medium=pla&amp;utm_campaign=&amp;partner_id=68055&amp;gclid=CjwKCAiAr4GgBhBFEiwAgwORrQSL32zyiDCm8GlKfh1ppBXbW6OoF65mYV7FkxDqWfNrLa4haK4imxoCx28QAvD_BwE&amp;gclsrc=aw.ds</t>
  </si>
  <si>
    <t>ANEL DE VEDAÇÃO AZUL PARA BACIA SANITARIA
(LABOR)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</si>
</sst>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 #,##0.00_-;\-&quot;R$&quot;\ * #,##0.00_-;_-&quot;R$&quot;\ * &quot;-&quot;??_-;_-@_-"/>
    <numFmt numFmtId="43" formatCode="_-* #,##0.00_-;\-* #,##0.00_-;_-* &quot;-&quot;??_-;_-@_-"/>
    <numFmt numFmtId="164" formatCode="_-[$R$-416]\ * #,##0.00_-;\-[$R$-416]\ * #,##0.00_-;_-[$R$-416]\ * &quot;-&quot;??_-;_-@_-"/>
    <numFmt numFmtId="165" formatCode="0.000"/>
    <numFmt numFmtId="166" formatCode="&quot;R$ &quot;#,##0.00"/>
    <numFmt numFmtId="167" formatCode="_(* #,##0.00_);_(* \(#,##0.00\);_(* &quot;-&quot;??_);_(@_)"/>
    <numFmt numFmtId="168" formatCode="_(&quot;R$ &quot;* #,##0.00_);_(&quot;R$ &quot;* \(#,##0.00\);_(&quot;R$ &quot;* &quot;-&quot;??_);_(@_)"/>
    <numFmt numFmtId="169" formatCode="&quot;R$ &quot;#,##0.000"/>
    <numFmt numFmtId="170" formatCode="0.0000"/>
    <numFmt numFmtId="171" formatCode="&quot;R$&quot;\ #,##0.00"/>
    <numFmt numFmtId="172" formatCode="#,##0.000"/>
    <numFmt numFmtId="173" formatCode="_(* #,##0.000_);_(* \(#,##0.000\);_(* &quot;-&quot;??_);_(@_)"/>
  </numFmts>
  <fonts count="4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b/>
      <sz val="10"/>
      <color theme="1"/>
      <name val="Arial"/>
      <family val="2"/>
    </font>
    <font>
      <sz val="10"/>
      <color indexed="8"/>
      <name val="Arial"/>
      <family val="2"/>
    </font>
    <font>
      <b/>
      <u/>
      <sz val="10"/>
      <name val="Arial"/>
      <family val="2"/>
    </font>
    <font>
      <i/>
      <sz val="10"/>
      <color theme="1"/>
      <name val="Arial"/>
      <family val="2"/>
    </font>
    <font>
      <b/>
      <i/>
      <sz val="10"/>
      <color theme="1"/>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sz val="10"/>
      <name val="Arial"/>
    </font>
    <font>
      <sz val="13"/>
      <color theme="1"/>
      <name val="Arial"/>
      <family val="2"/>
    </font>
    <font>
      <b/>
      <sz val="13"/>
      <name val="Arial"/>
      <family val="2"/>
    </font>
    <font>
      <sz val="13"/>
      <name val="Arial"/>
      <family val="2"/>
    </font>
    <font>
      <i/>
      <sz val="10"/>
      <color theme="1"/>
      <name val="Arial"/>
    </font>
    <font>
      <sz val="10"/>
      <color theme="1"/>
      <name val="Arial"/>
    </font>
    <font>
      <b/>
      <i/>
      <sz val="10"/>
      <color theme="1"/>
      <name val="Arial"/>
    </font>
    <font>
      <sz val="8"/>
      <name val="Calibri"/>
      <family val="2"/>
      <scheme val="minor"/>
    </font>
    <font>
      <b/>
      <sz val="10"/>
      <color theme="1"/>
      <name val="Arial"/>
    </font>
    <font>
      <b/>
      <sz val="10"/>
      <name val="Arial"/>
    </font>
    <font>
      <b/>
      <i/>
      <u/>
      <sz val="10"/>
      <color theme="1"/>
      <name val="Arial"/>
    </font>
    <font>
      <b/>
      <i/>
      <u/>
      <sz val="10"/>
      <color theme="1"/>
      <name val="Arial"/>
      <family val="2"/>
    </font>
    <font>
      <u/>
      <sz val="11"/>
      <color theme="10"/>
      <name val="Calibri"/>
      <family val="2"/>
      <scheme val="minor"/>
    </font>
    <font>
      <b/>
      <sz val="11"/>
      <color indexed="8"/>
      <name val="Calibri"/>
    </font>
    <font>
      <sz val="11"/>
      <color theme="1"/>
      <name val="Calibri"/>
    </font>
    <font>
      <sz val="11"/>
      <color rgb="FF000000"/>
      <name val="Calibri"/>
      <family val="2"/>
    </font>
    <font>
      <sz val="10"/>
      <color rgb="FF000000"/>
      <name val="Arial"/>
      <family val="2"/>
    </font>
    <font>
      <sz val="16"/>
      <name val="Arial"/>
      <family val="2"/>
    </font>
    <font>
      <b/>
      <sz val="16"/>
      <name val="Arial"/>
      <family val="2"/>
    </font>
    <font>
      <sz val="16"/>
      <color theme="1"/>
      <name val="Calibri"/>
      <family val="2"/>
      <scheme val="minor"/>
    </font>
    <font>
      <u/>
      <sz val="16"/>
      <color theme="10"/>
      <name val="Calibri"/>
      <family val="2"/>
      <scheme val="minor"/>
    </font>
    <font>
      <u/>
      <sz val="16"/>
      <color indexed="12"/>
      <name val="Arial"/>
      <family val="2"/>
    </font>
  </fonts>
  <fills count="15">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
      <patternFill patternType="solid">
        <fgColor rgb="FFFFFFFF"/>
        <bgColor indexed="64"/>
      </patternFill>
    </fill>
    <fill>
      <patternFill patternType="solid">
        <fgColor rgb="FFFFFFFF"/>
        <bgColor rgb="FF000000"/>
      </patternFill>
    </fill>
    <fill>
      <patternFill patternType="solid">
        <fgColor rgb="FFFFFF99"/>
        <bgColor rgb="FF000000"/>
      </patternFill>
    </fill>
  </fills>
  <borders count="4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indexed="64"/>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rgb="FF000000"/>
      </bottom>
      <diagonal/>
    </border>
    <border>
      <left style="thin">
        <color rgb="FF000000"/>
      </left>
      <right style="thin">
        <color rgb="FF000000"/>
      </right>
      <top/>
      <bottom/>
      <diagonal/>
    </border>
    <border>
      <left style="thin">
        <color indexed="64"/>
      </left>
      <right style="thin">
        <color indexed="64"/>
      </right>
      <top style="hair">
        <color indexed="64"/>
      </top>
      <bottom/>
      <diagonal/>
    </border>
  </borders>
  <cellStyleXfs count="27">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6" fillId="0" borderId="0" applyFont="0" applyFill="0" applyBorder="0" applyAlignment="0" applyProtection="0"/>
    <xf numFmtId="0" fontId="4" fillId="0" borderId="0"/>
    <xf numFmtId="167" fontId="4" fillId="0" borderId="0" applyFont="0" applyFill="0" applyBorder="0" applyAlignment="0" applyProtection="0"/>
    <xf numFmtId="44" fontId="4" fillId="0" borderId="0" applyFont="0" applyFill="0" applyBorder="0" applyAlignment="0" applyProtection="0"/>
    <xf numFmtId="0" fontId="18" fillId="0" borderId="0"/>
    <xf numFmtId="0" fontId="19" fillId="0" borderId="0" applyNumberFormat="0" applyFill="0" applyBorder="0" applyAlignment="0" applyProtection="0">
      <alignment vertical="top"/>
      <protection locked="0"/>
    </xf>
    <xf numFmtId="0" fontId="20"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xf numFmtId="0" fontId="32" fillId="0" borderId="0" applyNumberFormat="0" applyFill="0" applyBorder="0" applyAlignment="0" applyProtection="0"/>
  </cellStyleXfs>
  <cellXfs count="633">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0" fontId="3" fillId="3" borderId="9" xfId="0" applyFont="1" applyFill="1" applyBorder="1" applyAlignment="1">
      <alignment horizontal="center" vertical="center"/>
    </xf>
    <xf numFmtId="43" fontId="3" fillId="3" borderId="9" xfId="1" applyFont="1" applyFill="1" applyBorder="1" applyAlignment="1">
      <alignment horizontal="center" vertical="center"/>
    </xf>
    <xf numFmtId="0" fontId="3" fillId="3" borderId="9" xfId="0" applyFont="1" applyFill="1" applyBorder="1" applyAlignment="1">
      <alignment horizontal="justify" vertical="center" wrapText="1"/>
    </xf>
    <xf numFmtId="164" fontId="4" fillId="0" borderId="9" xfId="1" applyNumberFormat="1" applyFont="1" applyFill="1" applyBorder="1" applyAlignment="1">
      <alignment horizontal="right" vertical="center"/>
    </xf>
    <xf numFmtId="0" fontId="3" fillId="3" borderId="9" xfId="0" quotePrefix="1" applyFont="1" applyFill="1" applyBorder="1" applyAlignment="1">
      <alignment horizontal="center" vertical="center"/>
    </xf>
    <xf numFmtId="0" fontId="3" fillId="0" borderId="9" xfId="0" quotePrefix="1" applyFont="1" applyBorder="1" applyAlignment="1">
      <alignment horizontal="center" vertical="center"/>
    </xf>
    <xf numFmtId="0" fontId="3" fillId="0" borderId="9" xfId="0" applyFont="1" applyBorder="1" applyAlignment="1">
      <alignment horizontal="center" vertical="center"/>
    </xf>
    <xf numFmtId="0" fontId="2" fillId="0" borderId="0" xfId="0" applyFont="1"/>
    <xf numFmtId="0" fontId="2" fillId="0" borderId="0" xfId="0" applyFont="1" applyAlignment="1">
      <alignment vertical="center"/>
    </xf>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wrapText="1"/>
    </xf>
    <xf numFmtId="0" fontId="5" fillId="0" borderId="9" xfId="0" applyFont="1" applyBorder="1" applyAlignment="1">
      <alignment horizontal="center" vertical="center"/>
    </xf>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164" fontId="4" fillId="0" borderId="9" xfId="2" applyNumberFormat="1" applyFont="1" applyFill="1" applyBorder="1" applyAlignment="1">
      <alignment horizontal="center" vertical="center"/>
    </xf>
    <xf numFmtId="0" fontId="3" fillId="2" borderId="5" xfId="0" applyFont="1" applyFill="1" applyBorder="1" applyAlignment="1">
      <alignment horizontal="center" vertical="center" wrapText="1"/>
    </xf>
    <xf numFmtId="0" fontId="5" fillId="0" borderId="0" xfId="0" applyFont="1" applyAlignment="1">
      <alignment horizontal="center" vertical="center"/>
    </xf>
    <xf numFmtId="0" fontId="3" fillId="3" borderId="9" xfId="0" applyFont="1" applyFill="1" applyBorder="1" applyAlignment="1">
      <alignment horizontal="right" vertical="center" wrapText="1"/>
    </xf>
    <xf numFmtId="0" fontId="2" fillId="0" borderId="9" xfId="0" applyFont="1" applyBorder="1"/>
    <xf numFmtId="2" fontId="6" fillId="4" borderId="0" xfId="7" applyFont="1" applyFill="1">
      <alignment vertical="center"/>
    </xf>
    <xf numFmtId="0" fontId="4" fillId="0" borderId="0" xfId="5"/>
    <xf numFmtId="0" fontId="2" fillId="0" borderId="0" xfId="0" applyFont="1" applyAlignment="1">
      <alignment horizontal="left" vertical="center"/>
    </xf>
    <xf numFmtId="0" fontId="4" fillId="4" borderId="9" xfId="6" applyFill="1" applyBorder="1"/>
    <xf numFmtId="0" fontId="3" fillId="4" borderId="9" xfId="6" applyFont="1" applyFill="1" applyBorder="1" applyAlignment="1">
      <alignment horizontal="center" vertical="center" wrapText="1"/>
    </xf>
    <xf numFmtId="10" fontId="4" fillId="0" borderId="0" xfId="5" applyNumberFormat="1"/>
    <xf numFmtId="49" fontId="3" fillId="4" borderId="0" xfId="7" applyNumberFormat="1" applyFont="1" applyFill="1" applyAlignment="1">
      <alignment horizontal="left" vertical="top" wrapText="1"/>
    </xf>
    <xf numFmtId="49" fontId="3" fillId="4" borderId="15" xfId="7" applyNumberFormat="1" applyFont="1" applyFill="1" applyBorder="1" applyAlignment="1">
      <alignment horizontal="left" vertical="top" wrapText="1"/>
    </xf>
    <xf numFmtId="49" fontId="3" fillId="4" borderId="15"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15" xfId="7" applyNumberFormat="1" applyFont="1" applyFill="1" applyBorder="1" applyAlignment="1">
      <alignment horizontal="right" wrapText="1"/>
    </xf>
    <xf numFmtId="0" fontId="4" fillId="4" borderId="0" xfId="8" applyFill="1" applyAlignment="1">
      <alignment horizontal="left" vertical="top" wrapText="1"/>
    </xf>
    <xf numFmtId="0" fontId="4" fillId="4" borderId="16" xfId="8" applyFill="1" applyBorder="1" applyAlignment="1">
      <alignment horizontal="left" vertical="top" wrapText="1"/>
    </xf>
    <xf numFmtId="49" fontId="3" fillId="4" borderId="17" xfId="7" applyNumberFormat="1" applyFont="1" applyFill="1" applyBorder="1" applyAlignment="1">
      <alignment horizontal="left" vertical="top" wrapText="1"/>
    </xf>
    <xf numFmtId="0" fontId="4" fillId="4" borderId="18" xfId="8" applyFill="1" applyBorder="1" applyAlignment="1">
      <alignment horizontal="left" vertical="top" wrapText="1"/>
    </xf>
    <xf numFmtId="0" fontId="4" fillId="4" borderId="19" xfId="8" applyFill="1" applyBorder="1" applyAlignment="1">
      <alignment horizontal="left" vertical="top" wrapText="1"/>
    </xf>
    <xf numFmtId="49" fontId="3" fillId="4" borderId="15" xfId="7" applyNumberFormat="1" applyFont="1" applyFill="1" applyBorder="1" applyAlignment="1">
      <alignment vertical="top" wrapText="1"/>
    </xf>
    <xf numFmtId="0" fontId="4" fillId="4" borderId="17" xfId="5" applyFill="1" applyBorder="1"/>
    <xf numFmtId="0" fontId="3" fillId="4" borderId="9" xfId="6" applyFont="1" applyFill="1" applyBorder="1"/>
    <xf numFmtId="10" fontId="4" fillId="4" borderId="9" xfId="6" applyNumberFormat="1" applyFill="1" applyBorder="1"/>
    <xf numFmtId="10" fontId="4" fillId="0" borderId="9" xfId="6" applyNumberFormat="1" applyBorder="1" applyAlignment="1">
      <alignment horizontal="center"/>
    </xf>
    <xf numFmtId="10" fontId="3" fillId="0" borderId="9" xfId="6" applyNumberFormat="1" applyFont="1" applyBorder="1" applyAlignment="1">
      <alignment horizontal="center"/>
    </xf>
    <xf numFmtId="10" fontId="4" fillId="4" borderId="9" xfId="6" applyNumberFormat="1" applyFill="1" applyBorder="1" applyAlignment="1">
      <alignment horizontal="center"/>
    </xf>
    <xf numFmtId="10" fontId="3" fillId="4" borderId="9"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16" xfId="7" applyFont="1" applyFill="1" applyBorder="1" applyAlignment="1">
      <alignment vertical="top" wrapText="1"/>
    </xf>
    <xf numFmtId="4" fontId="3" fillId="4" borderId="0" xfId="7" applyNumberFormat="1" applyFont="1" applyFill="1" applyAlignment="1">
      <alignment wrapText="1"/>
    </xf>
    <xf numFmtId="2" fontId="3" fillId="4" borderId="16" xfId="7" applyFont="1" applyFill="1" applyBorder="1" applyAlignment="1">
      <alignment wrapText="1"/>
    </xf>
    <xf numFmtId="4" fontId="3" fillId="4" borderId="0" xfId="8" applyNumberFormat="1" applyFont="1" applyFill="1" applyAlignment="1">
      <alignment vertical="top" wrapText="1"/>
    </xf>
    <xf numFmtId="0" fontId="3" fillId="4" borderId="16" xfId="8" applyFont="1" applyFill="1" applyBorder="1" applyAlignment="1">
      <alignment vertical="top" wrapText="1"/>
    </xf>
    <xf numFmtId="44" fontId="2" fillId="0" borderId="9" xfId="2" applyFont="1" applyBorder="1" applyAlignment="1">
      <alignment horizontal="center" vertical="center"/>
    </xf>
    <xf numFmtId="44" fontId="3" fillId="3" borderId="9" xfId="2" applyFont="1" applyFill="1" applyBorder="1" applyAlignment="1">
      <alignment horizontal="center" vertical="center"/>
    </xf>
    <xf numFmtId="0" fontId="2" fillId="3" borderId="9" xfId="0" applyFont="1" applyFill="1" applyBorder="1"/>
    <xf numFmtId="0" fontId="5" fillId="3" borderId="9" xfId="0" applyFont="1" applyFill="1" applyBorder="1" applyAlignment="1">
      <alignment horizontal="center" vertical="center"/>
    </xf>
    <xf numFmtId="0" fontId="2" fillId="3" borderId="9" xfId="0" applyFont="1" applyFill="1" applyBorder="1" applyAlignment="1">
      <alignment horizontal="center" vertical="center"/>
    </xf>
    <xf numFmtId="0" fontId="8" fillId="0" borderId="9" xfId="0" applyFont="1" applyBorder="1" applyAlignment="1">
      <alignment horizontal="right" vertical="center" wrapText="1"/>
    </xf>
    <xf numFmtId="2" fontId="2" fillId="0" borderId="9" xfId="0" applyNumberFormat="1" applyFont="1" applyBorder="1" applyAlignment="1">
      <alignment horizontal="center" vertical="center"/>
    </xf>
    <xf numFmtId="2" fontId="5" fillId="0" borderId="9" xfId="0" applyNumberFormat="1" applyFont="1" applyBorder="1" applyAlignment="1">
      <alignment horizontal="center" vertical="center"/>
    </xf>
    <xf numFmtId="0" fontId="9" fillId="5" borderId="9" xfId="0" applyFont="1" applyFill="1" applyBorder="1" applyAlignment="1">
      <alignment horizontal="right" vertical="center"/>
    </xf>
    <xf numFmtId="2" fontId="5" fillId="5" borderId="9" xfId="0" applyNumberFormat="1" applyFont="1" applyFill="1" applyBorder="1" applyAlignment="1">
      <alignment horizontal="center" vertical="center"/>
    </xf>
    <xf numFmtId="4" fontId="2" fillId="2" borderId="9" xfId="0" applyNumberFormat="1" applyFont="1" applyFill="1" applyBorder="1" applyAlignment="1">
      <alignment horizontal="center" vertical="center" wrapText="1"/>
    </xf>
    <xf numFmtId="4" fontId="2" fillId="0" borderId="9" xfId="0" applyNumberFormat="1" applyFont="1" applyBorder="1" applyAlignment="1">
      <alignment horizontal="center" vertical="center" wrapText="1"/>
    </xf>
    <xf numFmtId="164" fontId="3" fillId="3" borderId="9" xfId="0" applyNumberFormat="1" applyFont="1" applyFill="1" applyBorder="1" applyAlignment="1">
      <alignment horizontal="center" vertical="center"/>
    </xf>
    <xf numFmtId="0" fontId="2" fillId="0" borderId="9" xfId="0" applyFont="1" applyBorder="1" applyAlignment="1">
      <alignment horizontal="center"/>
    </xf>
    <xf numFmtId="4" fontId="2" fillId="0" borderId="9" xfId="0" applyNumberFormat="1" applyFont="1" applyBorder="1" applyAlignment="1">
      <alignment horizontal="center"/>
    </xf>
    <xf numFmtId="2" fontId="2" fillId="0" borderId="9" xfId="0" applyNumberFormat="1" applyFont="1" applyBorder="1" applyAlignment="1">
      <alignment horizontal="center"/>
    </xf>
    <xf numFmtId="17" fontId="13" fillId="2" borderId="9" xfId="9" applyNumberFormat="1" applyFont="1" applyFill="1" applyBorder="1" applyAlignment="1">
      <alignment horizontal="center" vertical="center" wrapText="1"/>
    </xf>
    <xf numFmtId="1" fontId="14" fillId="2" borderId="9" xfId="9" applyNumberFormat="1" applyFont="1" applyFill="1" applyBorder="1" applyAlignment="1">
      <alignment horizontal="center" vertical="center"/>
    </xf>
    <xf numFmtId="165" fontId="14" fillId="2" borderId="9" xfId="9" applyNumberFormat="1" applyFont="1" applyFill="1" applyBorder="1" applyAlignment="1">
      <alignment horizontal="center" vertical="center"/>
    </xf>
    <xf numFmtId="166" fontId="14" fillId="2" borderId="9" xfId="9" applyNumberFormat="1" applyFont="1" applyFill="1" applyBorder="1" applyAlignment="1">
      <alignment vertical="center"/>
    </xf>
    <xf numFmtId="0" fontId="14" fillId="2" borderId="9" xfId="9" applyFont="1" applyFill="1" applyBorder="1" applyAlignment="1">
      <alignment vertical="center"/>
    </xf>
    <xf numFmtId="1" fontId="16" fillId="2" borderId="9" xfId="9" applyNumberFormat="1" applyFont="1" applyFill="1" applyBorder="1" applyAlignment="1">
      <alignment horizontal="center" vertical="center" wrapText="1"/>
    </xf>
    <xf numFmtId="165" fontId="17" fillId="2" borderId="9" xfId="9" applyNumberFormat="1" applyFont="1" applyFill="1" applyBorder="1" applyAlignment="1">
      <alignment horizontal="center" vertical="center" wrapText="1"/>
    </xf>
    <xf numFmtId="1" fontId="1" fillId="2" borderId="9" xfId="9" applyNumberFormat="1" applyFill="1" applyBorder="1" applyAlignment="1">
      <alignment horizontal="center" vertical="center" wrapText="1"/>
    </xf>
    <xf numFmtId="49" fontId="1" fillId="2" borderId="9" xfId="9" applyNumberFormat="1" applyFill="1" applyBorder="1" applyAlignment="1">
      <alignment vertical="center"/>
    </xf>
    <xf numFmtId="4" fontId="1" fillId="2" borderId="9" xfId="9" applyNumberFormat="1" applyFill="1" applyBorder="1" applyAlignment="1">
      <alignment horizontal="right" vertical="center" wrapText="1"/>
    </xf>
    <xf numFmtId="166" fontId="1" fillId="2" borderId="9" xfId="9" applyNumberFormat="1" applyFill="1" applyBorder="1" applyAlignment="1">
      <alignment horizontal="right" vertical="center" wrapText="1"/>
    </xf>
    <xf numFmtId="167" fontId="12" fillId="2" borderId="9" xfId="9" applyNumberFormat="1" applyFont="1" applyFill="1" applyBorder="1" applyAlignment="1">
      <alignment horizontal="right" vertical="center"/>
    </xf>
    <xf numFmtId="165" fontId="1" fillId="2" borderId="9" xfId="9" applyNumberForma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167" fontId="1" fillId="0" borderId="9" xfId="9" applyNumberFormat="1" applyBorder="1" applyAlignment="1">
      <alignment vertical="center"/>
    </xf>
    <xf numFmtId="43" fontId="1" fillId="0" borderId="9" xfId="9" applyNumberFormat="1" applyBorder="1" applyAlignment="1">
      <alignment vertical="center"/>
    </xf>
    <xf numFmtId="43" fontId="12" fillId="2" borderId="9" xfId="9" applyNumberFormat="1" applyFont="1" applyFill="1" applyBorder="1" applyAlignment="1">
      <alignment horizontal="right" vertical="center"/>
    </xf>
    <xf numFmtId="49" fontId="17" fillId="2" borderId="9" xfId="9" applyNumberFormat="1" applyFont="1" applyFill="1" applyBorder="1" applyAlignment="1">
      <alignment horizontal="center" vertical="center" wrapText="1"/>
    </xf>
    <xf numFmtId="4" fontId="17" fillId="2" borderId="9" xfId="9" applyNumberFormat="1" applyFont="1" applyFill="1" applyBorder="1" applyAlignment="1">
      <alignment horizontal="right" vertical="center" wrapText="1"/>
    </xf>
    <xf numFmtId="1" fontId="15" fillId="2" borderId="9" xfId="9" applyNumberFormat="1" applyFont="1" applyFill="1" applyBorder="1" applyAlignment="1">
      <alignment horizontal="center" vertical="center" wrapText="1"/>
    </xf>
    <xf numFmtId="166" fontId="15" fillId="2" borderId="9" xfId="9" applyNumberFormat="1" applyFont="1" applyFill="1" applyBorder="1" applyAlignment="1">
      <alignment horizontal="center" vertical="center" wrapText="1"/>
    </xf>
    <xf numFmtId="165" fontId="15" fillId="2" borderId="9" xfId="9" applyNumberFormat="1" applyFont="1" applyFill="1" applyBorder="1" applyAlignment="1">
      <alignment horizontal="center" vertical="center" wrapText="1"/>
    </xf>
    <xf numFmtId="4" fontId="15" fillId="2" borderId="9" xfId="9" applyNumberFormat="1" applyFont="1" applyFill="1" applyBorder="1" applyAlignment="1">
      <alignment vertical="center" wrapText="1"/>
    </xf>
    <xf numFmtId="166" fontId="15" fillId="2" borderId="9" xfId="9" applyNumberFormat="1" applyFont="1" applyFill="1" applyBorder="1" applyAlignment="1">
      <alignment vertical="center" wrapText="1"/>
    </xf>
    <xf numFmtId="166" fontId="12" fillId="2" borderId="9" xfId="9" applyNumberFormat="1" applyFont="1" applyFill="1" applyBorder="1" applyAlignment="1">
      <alignment vertical="center" wrapText="1"/>
    </xf>
    <xf numFmtId="167" fontId="14" fillId="2" borderId="9"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167" fontId="12" fillId="2" borderId="9" xfId="9" applyNumberFormat="1" applyFont="1" applyFill="1" applyBorder="1" applyAlignment="1">
      <alignment vertical="center"/>
    </xf>
    <xf numFmtId="169" fontId="1" fillId="2" borderId="9" xfId="9" applyNumberFormat="1" applyFill="1" applyBorder="1" applyAlignment="1">
      <alignment horizontal="right" vertical="center" wrapText="1"/>
    </xf>
    <xf numFmtId="170" fontId="17" fillId="2" borderId="9" xfId="9"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2" fontId="17" fillId="2" borderId="9" xfId="9" applyNumberFormat="1" applyFont="1" applyFill="1" applyBorder="1" applyAlignment="1">
      <alignment horizontal="center" vertical="center" wrapText="1"/>
    </xf>
    <xf numFmtId="0" fontId="2" fillId="0" borderId="12" xfId="0" applyFont="1" applyBorder="1" applyAlignment="1">
      <alignment vertical="center" wrapText="1"/>
    </xf>
    <xf numFmtId="0" fontId="9" fillId="0" borderId="9" xfId="0" applyFont="1" applyBorder="1" applyAlignment="1">
      <alignment horizontal="right" vertical="center"/>
    </xf>
    <xf numFmtId="2" fontId="8" fillId="0" borderId="9" xfId="0" applyNumberFormat="1" applyFont="1" applyBorder="1" applyAlignment="1">
      <alignment horizontal="right" vertical="center" wrapText="1"/>
    </xf>
    <xf numFmtId="0" fontId="0" fillId="0" borderId="0" xfId="0" applyAlignment="1">
      <alignment wrapText="1"/>
    </xf>
    <xf numFmtId="0" fontId="12" fillId="2" borderId="9" xfId="9" applyFont="1" applyFill="1" applyBorder="1" applyAlignment="1">
      <alignment horizontal="right" vertical="center"/>
    </xf>
    <xf numFmtId="49" fontId="1" fillId="2" borderId="9" xfId="9" applyNumberFormat="1" applyFill="1" applyBorder="1" applyAlignment="1">
      <alignment horizontal="center" vertical="center" wrapText="1"/>
    </xf>
    <xf numFmtId="0" fontId="14" fillId="2" borderId="9" xfId="9" applyFont="1" applyFill="1" applyBorder="1" applyAlignment="1">
      <alignment horizontal="center" vertical="center"/>
    </xf>
    <xf numFmtId="0" fontId="12" fillId="2" borderId="9" xfId="9" applyFont="1" applyFill="1" applyBorder="1" applyAlignment="1">
      <alignment horizontal="center" vertical="center" wrapText="1"/>
    </xf>
    <xf numFmtId="0" fontId="2" fillId="0" borderId="9" xfId="0" applyFont="1" applyBorder="1" applyAlignment="1">
      <alignment horizontal="right" vertical="center" wrapText="1"/>
    </xf>
    <xf numFmtId="0" fontId="2" fillId="0" borderId="0" xfId="0" applyFont="1" applyAlignment="1">
      <alignment horizontal="center"/>
    </xf>
    <xf numFmtId="44" fontId="2" fillId="0" borderId="9" xfId="2" applyFont="1" applyFill="1" applyBorder="1" applyAlignment="1">
      <alignment horizontal="center" vertical="center"/>
    </xf>
    <xf numFmtId="0" fontId="2" fillId="0" borderId="9" xfId="0" applyFont="1" applyBorder="1" applyAlignment="1">
      <alignment horizontal="left" vertical="center" wrapText="1"/>
    </xf>
    <xf numFmtId="0" fontId="4" fillId="0" borderId="9" xfId="0" applyFont="1" applyBorder="1" applyAlignment="1">
      <alignment horizontal="center" vertical="center"/>
    </xf>
    <xf numFmtId="0" fontId="2" fillId="3" borderId="9" xfId="0" applyFont="1" applyFill="1" applyBorder="1" applyAlignment="1">
      <alignment horizontal="center"/>
    </xf>
    <xf numFmtId="0" fontId="4" fillId="4" borderId="11" xfId="6" applyFill="1" applyBorder="1"/>
    <xf numFmtId="0" fontId="3" fillId="2" borderId="0" xfId="0" applyFont="1" applyFill="1" applyAlignment="1">
      <alignment horizontal="left" vertical="center" wrapText="1"/>
    </xf>
    <xf numFmtId="0" fontId="0" fillId="0" borderId="9" xfId="9" applyFont="1" applyBorder="1" applyAlignment="1">
      <alignment vertical="center"/>
    </xf>
    <xf numFmtId="0" fontId="3" fillId="0" borderId="9" xfId="0" applyFont="1" applyBorder="1" applyAlignment="1">
      <alignment horizontal="center" vertical="top" wrapText="1"/>
    </xf>
    <xf numFmtId="0" fontId="4" fillId="0" borderId="9" xfId="0" applyFont="1" applyBorder="1" applyAlignment="1">
      <alignment horizontal="left" vertical="top" wrapText="1"/>
    </xf>
    <xf numFmtId="10" fontId="4" fillId="0" borderId="9" xfId="4" applyNumberFormat="1" applyFont="1" applyFill="1" applyBorder="1" applyAlignment="1">
      <alignment horizontal="center" vertical="top" wrapText="1"/>
    </xf>
    <xf numFmtId="10" fontId="3" fillId="0" borderId="9" xfId="4" applyNumberFormat="1" applyFont="1" applyFill="1" applyBorder="1" applyAlignment="1">
      <alignment horizontal="center" vertical="top" wrapText="1"/>
    </xf>
    <xf numFmtId="0" fontId="3" fillId="0" borderId="9" xfId="0" applyFont="1" applyBorder="1" applyAlignment="1">
      <alignment horizontal="left" vertical="top" wrapText="1" indent="5"/>
    </xf>
    <xf numFmtId="9" fontId="3" fillId="0" borderId="9" xfId="4" applyFont="1" applyFill="1" applyBorder="1" applyAlignment="1">
      <alignment horizontal="left" vertical="top" wrapText="1" indent="1"/>
    </xf>
    <xf numFmtId="9" fontId="4" fillId="0" borderId="9" xfId="4" applyFont="1" applyFill="1" applyBorder="1" applyAlignment="1">
      <alignment horizontal="center" vertical="top" wrapText="1"/>
    </xf>
    <xf numFmtId="10" fontId="3" fillId="0" borderId="9" xfId="4" applyNumberFormat="1" applyFont="1" applyFill="1" applyBorder="1" applyAlignment="1">
      <alignment horizontal="left" vertical="top" wrapText="1" indent="1"/>
    </xf>
    <xf numFmtId="0" fontId="3" fillId="0" borderId="9" xfId="0" applyFont="1" applyBorder="1" applyAlignment="1">
      <alignment horizontal="left" vertical="top" wrapText="1" indent="4"/>
    </xf>
    <xf numFmtId="10" fontId="4" fillId="0" borderId="9" xfId="4" applyNumberFormat="1" applyFont="1" applyFill="1" applyBorder="1" applyAlignment="1">
      <alignment horizontal="center" vertical="center" wrapText="1"/>
    </xf>
    <xf numFmtId="9" fontId="4" fillId="0" borderId="9" xfId="4" applyFont="1" applyFill="1" applyBorder="1" applyAlignment="1">
      <alignment horizontal="center" vertical="center" wrapText="1"/>
    </xf>
    <xf numFmtId="0" fontId="3" fillId="0" borderId="9" xfId="0" applyFont="1" applyBorder="1" applyAlignment="1">
      <alignment horizontal="left" vertical="top" wrapText="1" indent="8"/>
    </xf>
    <xf numFmtId="9" fontId="3" fillId="0" borderId="9" xfId="4" applyFont="1" applyFill="1" applyBorder="1" applyAlignment="1">
      <alignment horizontal="center" vertical="top" wrapText="1"/>
    </xf>
    <xf numFmtId="0" fontId="2" fillId="0" borderId="9" xfId="0" applyFont="1" applyBorder="1" applyAlignment="1">
      <alignment horizontal="left" vertical="top" wrapText="1"/>
    </xf>
    <xf numFmtId="0" fontId="3" fillId="0" borderId="9" xfId="0" applyFont="1" applyBorder="1" applyAlignment="1">
      <alignment horizontal="left" vertical="top" wrapText="1" indent="11"/>
    </xf>
    <xf numFmtId="43" fontId="3" fillId="2" borderId="0" xfId="1" applyFont="1" applyFill="1" applyBorder="1" applyAlignment="1">
      <alignment horizontal="center" vertical="center" wrapText="1"/>
    </xf>
    <xf numFmtId="0" fontId="3" fillId="2" borderId="0" xfId="1" applyNumberFormat="1" applyFont="1" applyFill="1" applyBorder="1" applyAlignment="1">
      <alignment horizontal="right" vertical="center" wrapText="1"/>
    </xf>
    <xf numFmtId="49" fontId="3" fillId="2" borderId="5" xfId="1" applyNumberFormat="1" applyFont="1" applyFill="1" applyBorder="1" applyAlignment="1">
      <alignment horizontal="left" vertical="center" wrapText="1"/>
    </xf>
    <xf numFmtId="0" fontId="4" fillId="4" borderId="0" xfId="6" applyFill="1"/>
    <xf numFmtId="2" fontId="3" fillId="4" borderId="0" xfId="7" applyFont="1" applyFill="1" applyAlignment="1">
      <alignment vertical="top" wrapText="1"/>
    </xf>
    <xf numFmtId="10" fontId="3" fillId="2" borderId="0" xfId="1" applyNumberFormat="1" applyFont="1" applyFill="1" applyBorder="1" applyAlignment="1">
      <alignment horizontal="left" vertical="center" wrapText="1"/>
    </xf>
    <xf numFmtId="0" fontId="3" fillId="2" borderId="5" xfId="1" applyNumberFormat="1" applyFont="1" applyFill="1" applyBorder="1" applyAlignment="1">
      <alignment horizontal="right" vertical="center" wrapText="1"/>
    </xf>
    <xf numFmtId="0" fontId="4" fillId="4" borderId="4" xfId="6" applyFill="1" applyBorder="1"/>
    <xf numFmtId="0" fontId="4" fillId="4" borderId="5" xfId="6" applyFill="1" applyBorder="1"/>
    <xf numFmtId="2" fontId="4" fillId="4" borderId="0" xfId="6" applyNumberFormat="1" applyFill="1"/>
    <xf numFmtId="0" fontId="3" fillId="4" borderId="0" xfId="6" applyFont="1" applyFill="1" applyAlignment="1">
      <alignment horizontal="right"/>
    </xf>
    <xf numFmtId="10" fontId="3" fillId="4" borderId="0" xfId="6" applyNumberFormat="1" applyFont="1" applyFill="1" applyAlignment="1">
      <alignment horizontal="center"/>
    </xf>
    <xf numFmtId="10" fontId="4" fillId="4" borderId="0" xfId="4" applyNumberFormat="1" applyFont="1" applyFill="1" applyBorder="1"/>
    <xf numFmtId="49" fontId="3" fillId="4" borderId="4" xfId="7" applyNumberFormat="1" applyFont="1" applyFill="1" applyBorder="1" applyAlignment="1">
      <alignment horizontal="left" vertical="top"/>
    </xf>
    <xf numFmtId="2" fontId="3" fillId="4" borderId="5" xfId="7" applyFont="1" applyFill="1" applyBorder="1" applyAlignment="1">
      <alignment vertical="top" wrapText="1"/>
    </xf>
    <xf numFmtId="49" fontId="3" fillId="4" borderId="4" xfId="7" applyNumberFormat="1" applyFont="1" applyFill="1" applyBorder="1" applyAlignment="1">
      <alignment horizontal="left" vertical="top" wrapText="1"/>
    </xf>
    <xf numFmtId="49" fontId="3" fillId="4" borderId="4" xfId="7" applyNumberFormat="1" applyFont="1" applyFill="1" applyBorder="1" applyAlignment="1">
      <alignment horizontal="right" vertical="top" wrapText="1"/>
    </xf>
    <xf numFmtId="49" fontId="3" fillId="4" borderId="0" xfId="7" applyNumberFormat="1" applyFont="1" applyFill="1" applyAlignment="1">
      <alignment horizontal="left"/>
    </xf>
    <xf numFmtId="0" fontId="5" fillId="0" borderId="4" xfId="0" applyFont="1" applyBorder="1" applyAlignment="1">
      <alignment horizontal="center" vertical="center"/>
    </xf>
    <xf numFmtId="0" fontId="8" fillId="0" borderId="9" xfId="0" applyFont="1" applyBorder="1" applyAlignment="1">
      <alignment vertical="center" wrapText="1"/>
    </xf>
    <xf numFmtId="4" fontId="21" fillId="2" borderId="1" xfId="0" applyNumberFormat="1" applyFont="1" applyFill="1" applyBorder="1" applyAlignment="1">
      <alignment horizontal="center" vertical="center"/>
    </xf>
    <xf numFmtId="4" fontId="23" fillId="4" borderId="2" xfId="16" applyNumberFormat="1" applyFont="1" applyFill="1" applyBorder="1" applyAlignment="1">
      <alignment horizontal="center" vertical="center"/>
    </xf>
    <xf numFmtId="4" fontId="23" fillId="0" borderId="0" xfId="16" applyNumberFormat="1" applyFont="1" applyAlignment="1">
      <alignment horizontal="center" vertical="center"/>
    </xf>
    <xf numFmtId="4" fontId="21" fillId="2" borderId="4" xfId="0" applyNumberFormat="1" applyFont="1" applyFill="1" applyBorder="1" applyAlignment="1">
      <alignment horizontal="center" vertical="center"/>
    </xf>
    <xf numFmtId="0" fontId="22" fillId="2" borderId="0" xfId="0" applyFont="1" applyFill="1" applyAlignment="1">
      <alignment horizontal="center" vertical="center" wrapText="1"/>
    </xf>
    <xf numFmtId="4" fontId="21" fillId="2" borderId="0" xfId="0" applyNumberFormat="1" applyFont="1" applyFill="1" applyAlignment="1">
      <alignment horizontal="center" vertical="center" wrapText="1"/>
    </xf>
    <xf numFmtId="4" fontId="23" fillId="4" borderId="0" xfId="16" applyNumberFormat="1" applyFont="1" applyFill="1" applyAlignment="1">
      <alignment horizontal="center" vertical="center"/>
    </xf>
    <xf numFmtId="0" fontId="22" fillId="2" borderId="0" xfId="1" applyNumberFormat="1" applyFont="1" applyFill="1" applyBorder="1" applyAlignment="1">
      <alignment horizontal="center" vertical="center" wrapText="1"/>
    </xf>
    <xf numFmtId="10" fontId="22" fillId="2" borderId="0" xfId="1" applyNumberFormat="1" applyFont="1" applyFill="1" applyBorder="1" applyAlignment="1">
      <alignment horizontal="center" vertical="center" wrapText="1"/>
    </xf>
    <xf numFmtId="0" fontId="23" fillId="4" borderId="0" xfId="16" applyFont="1" applyFill="1" applyAlignment="1">
      <alignment horizontal="center" vertical="center"/>
    </xf>
    <xf numFmtId="43" fontId="22" fillId="2" borderId="0" xfId="1" applyFont="1" applyFill="1" applyBorder="1" applyAlignment="1">
      <alignment horizontal="center" vertical="center" wrapText="1"/>
    </xf>
    <xf numFmtId="0" fontId="21" fillId="0" borderId="0" xfId="0" applyFont="1"/>
    <xf numFmtId="0" fontId="22" fillId="2" borderId="0" xfId="1" applyNumberFormat="1" applyFont="1" applyFill="1" applyBorder="1" applyAlignment="1">
      <alignment horizontal="right" vertical="center" wrapText="1"/>
    </xf>
    <xf numFmtId="49" fontId="22" fillId="2" borderId="0" xfId="1" applyNumberFormat="1" applyFont="1" applyFill="1" applyBorder="1" applyAlignment="1">
      <alignment horizontal="left" vertical="center" wrapText="1"/>
    </xf>
    <xf numFmtId="3" fontId="22" fillId="9" borderId="12" xfId="12" applyNumberFormat="1" applyFont="1" applyFill="1" applyBorder="1" applyAlignment="1">
      <alignment horizontal="center" vertical="center"/>
    </xf>
    <xf numFmtId="0" fontId="23" fillId="10" borderId="12" xfId="16" applyFont="1" applyFill="1" applyBorder="1" applyAlignment="1">
      <alignment horizontal="left" vertical="center"/>
    </xf>
    <xf numFmtId="10" fontId="22" fillId="10" borderId="24" xfId="17" applyNumberFormat="1" applyFont="1" applyFill="1" applyBorder="1" applyAlignment="1">
      <alignment horizontal="center" vertical="center"/>
    </xf>
    <xf numFmtId="0" fontId="23" fillId="0" borderId="27" xfId="16" applyFont="1" applyBorder="1" applyAlignment="1">
      <alignment horizontal="left" vertical="center"/>
    </xf>
    <xf numFmtId="44" fontId="22" fillId="0" borderId="27" xfId="2" applyFont="1" applyBorder="1" applyAlignment="1">
      <alignment horizontal="center" vertical="center"/>
    </xf>
    <xf numFmtId="10" fontId="22" fillId="10" borderId="12" xfId="17" applyNumberFormat="1" applyFont="1" applyFill="1" applyBorder="1" applyAlignment="1">
      <alignment horizontal="center" vertical="center"/>
    </xf>
    <xf numFmtId="10" fontId="22" fillId="10" borderId="24" xfId="16" applyNumberFormat="1" applyFont="1" applyFill="1" applyBorder="1" applyAlignment="1">
      <alignment horizontal="center" vertical="center"/>
    </xf>
    <xf numFmtId="10" fontId="22" fillId="11" borderId="13" xfId="17" applyNumberFormat="1" applyFont="1" applyFill="1" applyBorder="1" applyAlignment="1">
      <alignment horizontal="center" vertical="center"/>
    </xf>
    <xf numFmtId="10" fontId="22" fillId="11" borderId="9" xfId="16" applyNumberFormat="1" applyFont="1" applyFill="1" applyBorder="1" applyAlignment="1">
      <alignment horizontal="center" vertical="center"/>
    </xf>
    <xf numFmtId="0" fontId="24" fillId="0" borderId="9" xfId="0" applyFont="1" applyBorder="1" applyAlignment="1">
      <alignment horizontal="right" vertical="center" wrapText="1"/>
    </xf>
    <xf numFmtId="2" fontId="24" fillId="0" borderId="9" xfId="0" applyNumberFormat="1" applyFont="1" applyBorder="1" applyAlignment="1">
      <alignment horizontal="right" vertical="center" wrapText="1"/>
    </xf>
    <xf numFmtId="0" fontId="20" fillId="0" borderId="9" xfId="0" applyFont="1" applyBorder="1" applyAlignment="1">
      <alignment horizontal="center" vertical="center"/>
    </xf>
    <xf numFmtId="164" fontId="20" fillId="0" borderId="9" xfId="1" applyNumberFormat="1" applyFont="1" applyBorder="1" applyAlignment="1">
      <alignment horizontal="right" vertical="center"/>
    </xf>
    <xf numFmtId="0" fontId="2" fillId="0" borderId="29" xfId="0" applyFont="1" applyBorder="1"/>
    <xf numFmtId="2" fontId="2" fillId="0" borderId="10" xfId="0" applyNumberFormat="1" applyFont="1" applyBorder="1" applyAlignment="1">
      <alignment horizontal="center"/>
    </xf>
    <xf numFmtId="2" fontId="2" fillId="0" borderId="12" xfId="0" applyNumberFormat="1" applyFont="1" applyBorder="1" applyAlignment="1">
      <alignment horizontal="center"/>
    </xf>
    <xf numFmtId="0" fontId="9" fillId="5" borderId="13" xfId="0" applyFont="1" applyFill="1" applyBorder="1" applyAlignment="1">
      <alignment horizontal="right" vertical="center"/>
    </xf>
    <xf numFmtId="2" fontId="5" fillId="5" borderId="13" xfId="0" applyNumberFormat="1" applyFont="1" applyFill="1" applyBorder="1" applyAlignment="1">
      <alignment horizontal="center" vertical="center"/>
    </xf>
    <xf numFmtId="0" fontId="9" fillId="0" borderId="13" xfId="0" applyFont="1" applyBorder="1" applyAlignment="1">
      <alignment horizontal="right" vertical="center"/>
    </xf>
    <xf numFmtId="2" fontId="5" fillId="0" borderId="13" xfId="0" applyNumberFormat="1" applyFont="1" applyBorder="1" applyAlignment="1">
      <alignment horizontal="center" vertical="center"/>
    </xf>
    <xf numFmtId="0" fontId="3" fillId="3" borderId="9" xfId="0" applyFont="1" applyFill="1" applyBorder="1" applyAlignment="1">
      <alignment horizontal="left" vertical="center"/>
    </xf>
    <xf numFmtId="4" fontId="2" fillId="2" borderId="12" xfId="0" applyNumberFormat="1" applyFont="1" applyFill="1" applyBorder="1" applyAlignment="1">
      <alignment horizontal="center" vertical="center" wrapText="1"/>
    </xf>
    <xf numFmtId="4" fontId="2" fillId="2" borderId="13" xfId="0" applyNumberFormat="1" applyFont="1" applyFill="1" applyBorder="1" applyAlignment="1">
      <alignment horizontal="center" vertical="center" wrapText="1"/>
    </xf>
    <xf numFmtId="2" fontId="2" fillId="0" borderId="13" xfId="0" applyNumberFormat="1" applyFont="1" applyBorder="1" applyAlignment="1">
      <alignment horizontal="center" vertical="center"/>
    </xf>
    <xf numFmtId="0" fontId="4" fillId="0" borderId="9" xfId="0" applyFont="1" applyBorder="1" applyAlignment="1">
      <alignment horizontal="left" vertical="center" wrapText="1"/>
    </xf>
    <xf numFmtId="164" fontId="20" fillId="0" borderId="9" xfId="2" applyNumberFormat="1" applyFont="1" applyBorder="1" applyAlignment="1">
      <alignment horizontal="center" vertical="center"/>
    </xf>
    <xf numFmtId="2" fontId="2" fillId="0" borderId="29" xfId="0" applyNumberFormat="1" applyFont="1" applyBorder="1" applyAlignment="1">
      <alignment horizontal="center"/>
    </xf>
    <xf numFmtId="2" fontId="2" fillId="0" borderId="11" xfId="0" applyNumberFormat="1" applyFont="1" applyBorder="1" applyAlignment="1">
      <alignment horizontal="center"/>
    </xf>
    <xf numFmtId="0" fontId="2" fillId="0" borderId="30" xfId="0" applyFont="1" applyBorder="1"/>
    <xf numFmtId="44" fontId="25" fillId="0" borderId="9" xfId="2" applyFont="1" applyBorder="1" applyAlignment="1">
      <alignment horizontal="center" vertical="center"/>
    </xf>
    <xf numFmtId="0" fontId="25" fillId="0" borderId="0" xfId="0" applyFont="1"/>
    <xf numFmtId="0" fontId="26" fillId="0" borderId="10" xfId="0" applyFont="1" applyBorder="1" applyAlignment="1">
      <alignment horizontal="right" vertical="center" wrapText="1"/>
    </xf>
    <xf numFmtId="0" fontId="2" fillId="0" borderId="12" xfId="0" applyFont="1" applyBorder="1" applyAlignment="1">
      <alignment horizontal="center" vertical="center"/>
    </xf>
    <xf numFmtId="4" fontId="2" fillId="0" borderId="12" xfId="0" applyNumberFormat="1" applyFont="1" applyBorder="1" applyAlignment="1">
      <alignment horizontal="center" vertical="center" wrapText="1"/>
    </xf>
    <xf numFmtId="0" fontId="2" fillId="0" borderId="13" xfId="0" applyFont="1" applyBorder="1" applyAlignment="1">
      <alignment horizontal="center" vertical="center"/>
    </xf>
    <xf numFmtId="2" fontId="2" fillId="0" borderId="13" xfId="0" applyNumberFormat="1" applyFont="1" applyBorder="1" applyAlignment="1">
      <alignment horizontal="center"/>
    </xf>
    <xf numFmtId="0" fontId="2" fillId="0" borderId="20" xfId="0" applyFont="1" applyBorder="1" applyAlignment="1">
      <alignment horizontal="center" vertical="center"/>
    </xf>
    <xf numFmtId="0" fontId="2" fillId="0" borderId="29" xfId="0" applyFont="1" applyBorder="1" applyAlignment="1">
      <alignment horizontal="center"/>
    </xf>
    <xf numFmtId="2" fontId="2" fillId="0" borderId="29" xfId="0" applyNumberFormat="1" applyFont="1" applyBorder="1" applyAlignment="1">
      <alignment horizontal="center" vertical="center"/>
    </xf>
    <xf numFmtId="4" fontId="2" fillId="2" borderId="29" xfId="0" applyNumberFormat="1" applyFont="1" applyFill="1" applyBorder="1" applyAlignment="1">
      <alignment horizontal="center" vertical="center" wrapText="1"/>
    </xf>
    <xf numFmtId="0" fontId="8" fillId="0" borderId="13" xfId="0" applyFont="1" applyBorder="1" applyAlignment="1">
      <alignment vertical="center" wrapText="1"/>
    </xf>
    <xf numFmtId="2" fontId="2" fillId="0" borderId="0" xfId="0" applyNumberFormat="1" applyFont="1"/>
    <xf numFmtId="0" fontId="9" fillId="0" borderId="29" xfId="0" applyFont="1" applyBorder="1" applyAlignment="1">
      <alignment horizontal="right" vertical="center"/>
    </xf>
    <xf numFmtId="2" fontId="2" fillId="0" borderId="6" xfId="0" applyNumberFormat="1" applyFont="1" applyBorder="1" applyAlignment="1">
      <alignment horizontal="center"/>
    </xf>
    <xf numFmtId="0" fontId="8" fillId="0" borderId="29" xfId="0" applyFont="1" applyBorder="1" applyAlignment="1">
      <alignment horizontal="right"/>
    </xf>
    <xf numFmtId="0" fontId="3" fillId="0" borderId="9" xfId="0" applyFont="1" applyBorder="1" applyAlignment="1">
      <alignment horizontal="left" vertical="center"/>
    </xf>
    <xf numFmtId="49" fontId="4" fillId="0" borderId="9" xfId="0" applyNumberFormat="1" applyFont="1" applyBorder="1" applyAlignment="1">
      <alignment horizontal="center" vertical="center"/>
    </xf>
    <xf numFmtId="0" fontId="3" fillId="3" borderId="9" xfId="0" applyFont="1" applyFill="1" applyBorder="1" applyAlignment="1">
      <alignment horizontal="center" vertical="center" wrapText="1"/>
    </xf>
    <xf numFmtId="172" fontId="2" fillId="2" borderId="9" xfId="0" applyNumberFormat="1" applyFont="1" applyFill="1" applyBorder="1" applyAlignment="1">
      <alignment horizontal="center" vertical="center" wrapText="1"/>
    </xf>
    <xf numFmtId="4" fontId="2" fillId="2" borderId="10" xfId="0" applyNumberFormat="1" applyFont="1" applyFill="1" applyBorder="1" applyAlignment="1">
      <alignment horizontal="center" vertical="center" wrapText="1"/>
    </xf>
    <xf numFmtId="0" fontId="9" fillId="5" borderId="12" xfId="0" applyFont="1" applyFill="1" applyBorder="1" applyAlignment="1">
      <alignment horizontal="right" vertical="center"/>
    </xf>
    <xf numFmtId="2" fontId="5" fillId="5" borderId="20" xfId="0" applyNumberFormat="1" applyFont="1" applyFill="1" applyBorder="1" applyAlignment="1">
      <alignment horizontal="center" vertical="center"/>
    </xf>
    <xf numFmtId="4" fontId="2" fillId="2" borderId="6" xfId="0" applyNumberFormat="1" applyFont="1" applyFill="1" applyBorder="1" applyAlignment="1">
      <alignment horizontal="center" vertical="center" wrapText="1"/>
    </xf>
    <xf numFmtId="4" fontId="2" fillId="2" borderId="31" xfId="0" applyNumberFormat="1" applyFont="1" applyFill="1" applyBorder="1" applyAlignment="1">
      <alignment horizontal="center" vertical="center" wrapText="1"/>
    </xf>
    <xf numFmtId="0" fontId="2" fillId="0" borderId="31" xfId="0" applyFont="1" applyBorder="1"/>
    <xf numFmtId="4" fontId="2" fillId="2" borderId="30" xfId="0" applyNumberFormat="1" applyFont="1" applyFill="1" applyBorder="1" applyAlignment="1">
      <alignment horizontal="center" vertical="center" wrapText="1"/>
    </xf>
    <xf numFmtId="2" fontId="5" fillId="5" borderId="12" xfId="0" applyNumberFormat="1" applyFont="1" applyFill="1" applyBorder="1" applyAlignment="1">
      <alignment horizontal="center" vertical="center"/>
    </xf>
    <xf numFmtId="2" fontId="2" fillId="0" borderId="30" xfId="0" applyNumberFormat="1" applyFont="1" applyBorder="1" applyAlignment="1">
      <alignment horizontal="center"/>
    </xf>
    <xf numFmtId="4" fontId="2" fillId="2" borderId="1" xfId="0" applyNumberFormat="1" applyFont="1" applyFill="1" applyBorder="1" applyAlignment="1">
      <alignment horizontal="center" vertical="center" wrapText="1"/>
    </xf>
    <xf numFmtId="2" fontId="5" fillId="0" borderId="12" xfId="0" applyNumberFormat="1" applyFont="1" applyBorder="1" applyAlignment="1">
      <alignment horizontal="center" vertical="center"/>
    </xf>
    <xf numFmtId="4" fontId="2" fillId="2" borderId="33" xfId="0" applyNumberFormat="1" applyFont="1" applyFill="1" applyBorder="1" applyAlignment="1">
      <alignment horizontal="center" vertical="center" wrapText="1"/>
    </xf>
    <xf numFmtId="4" fontId="2" fillId="2" borderId="11" xfId="0" applyNumberFormat="1" applyFont="1" applyFill="1" applyBorder="1" applyAlignment="1">
      <alignment horizontal="center" vertical="center" wrapText="1"/>
    </xf>
    <xf numFmtId="44" fontId="14" fillId="2" borderId="9" xfId="9" applyNumberFormat="1" applyFont="1" applyFill="1" applyBorder="1" applyAlignment="1">
      <alignment vertical="center"/>
    </xf>
    <xf numFmtId="44" fontId="12" fillId="2" borderId="9" xfId="9" applyNumberFormat="1" applyFont="1" applyFill="1" applyBorder="1" applyAlignment="1">
      <alignment vertical="center"/>
    </xf>
    <xf numFmtId="44" fontId="17" fillId="2" borderId="9" xfId="9" applyNumberFormat="1" applyFont="1" applyFill="1" applyBorder="1" applyAlignment="1">
      <alignment horizontal="right" vertical="center" wrapText="1"/>
    </xf>
    <xf numFmtId="44" fontId="12" fillId="2" borderId="9" xfId="9" applyNumberFormat="1" applyFont="1" applyFill="1" applyBorder="1" applyAlignment="1">
      <alignment vertical="center" wrapText="1"/>
    </xf>
    <xf numFmtId="44" fontId="1" fillId="2" borderId="9" xfId="9" applyNumberFormat="1" applyFill="1" applyBorder="1" applyAlignment="1">
      <alignment horizontal="right" vertical="center" wrapText="1"/>
    </xf>
    <xf numFmtId="44" fontId="12" fillId="2" borderId="9" xfId="9" applyNumberFormat="1" applyFont="1" applyFill="1" applyBorder="1" applyAlignment="1">
      <alignment horizontal="right" vertical="center"/>
    </xf>
    <xf numFmtId="2" fontId="2" fillId="0" borderId="20" xfId="0" applyNumberFormat="1" applyFont="1" applyBorder="1" applyAlignment="1">
      <alignment horizontal="center" vertical="center"/>
    </xf>
    <xf numFmtId="2" fontId="2" fillId="0" borderId="4" xfId="0" applyNumberFormat="1" applyFont="1" applyBorder="1" applyAlignment="1">
      <alignment horizontal="center"/>
    </xf>
    <xf numFmtId="0" fontId="2" fillId="0" borderId="34" xfId="0" applyFont="1" applyBorder="1"/>
    <xf numFmtId="4" fontId="2" fillId="2" borderId="35" xfId="0" applyNumberFormat="1" applyFont="1" applyFill="1" applyBorder="1" applyAlignment="1">
      <alignment horizontal="center" vertical="center"/>
    </xf>
    <xf numFmtId="4" fontId="2" fillId="2" borderId="39" xfId="0" applyNumberFormat="1" applyFont="1" applyFill="1" applyBorder="1" applyAlignment="1">
      <alignment horizontal="center" vertical="center"/>
    </xf>
    <xf numFmtId="0" fontId="3" fillId="2" borderId="40" xfId="0" applyFont="1" applyFill="1" applyBorder="1" applyAlignment="1">
      <alignment horizontal="center" vertical="center" wrapText="1"/>
    </xf>
    <xf numFmtId="4" fontId="2" fillId="2" borderId="32" xfId="0" applyNumberFormat="1" applyFont="1" applyFill="1" applyBorder="1" applyAlignment="1">
      <alignment horizontal="center" vertical="center"/>
    </xf>
    <xf numFmtId="43" fontId="3" fillId="2" borderId="42" xfId="1" applyFont="1" applyFill="1" applyBorder="1" applyAlignment="1">
      <alignment horizontal="right" vertical="center" wrapText="1"/>
    </xf>
    <xf numFmtId="10" fontId="3" fillId="2" borderId="42" xfId="1" applyNumberFormat="1" applyFont="1" applyFill="1" applyBorder="1" applyAlignment="1">
      <alignment horizontal="left" vertical="center" wrapText="1"/>
    </xf>
    <xf numFmtId="49" fontId="3" fillId="2" borderId="43" xfId="1" applyNumberFormat="1" applyFont="1" applyFill="1" applyBorder="1" applyAlignment="1">
      <alignment horizontal="left" vertical="center" wrapText="1"/>
    </xf>
    <xf numFmtId="2" fontId="25" fillId="0" borderId="9" xfId="0" applyNumberFormat="1" applyFont="1" applyBorder="1" applyAlignment="1">
      <alignment horizontal="center" vertical="center"/>
    </xf>
    <xf numFmtId="0" fontId="25" fillId="0" borderId="9" xfId="0" applyFont="1" applyBorder="1" applyAlignment="1">
      <alignment horizontal="center" vertical="center"/>
    </xf>
    <xf numFmtId="0" fontId="25" fillId="0" borderId="9" xfId="0" applyFont="1" applyBorder="1" applyAlignment="1">
      <alignment vertical="center" wrapText="1"/>
    </xf>
    <xf numFmtId="0" fontId="28" fillId="0" borderId="9" xfId="0" applyFont="1" applyBorder="1" applyAlignment="1">
      <alignment vertical="center" wrapText="1"/>
    </xf>
    <xf numFmtId="4" fontId="25" fillId="2" borderId="9" xfId="0" applyNumberFormat="1" applyFont="1" applyFill="1" applyBorder="1" applyAlignment="1">
      <alignment horizontal="center" vertical="center" wrapText="1"/>
    </xf>
    <xf numFmtId="4" fontId="25" fillId="0" borderId="9" xfId="0" applyNumberFormat="1" applyFont="1" applyBorder="1" applyAlignment="1">
      <alignment horizontal="center" vertical="center" wrapText="1"/>
    </xf>
    <xf numFmtId="2" fontId="25" fillId="0" borderId="9" xfId="0" applyNumberFormat="1" applyFont="1" applyBorder="1" applyAlignment="1">
      <alignment horizontal="center"/>
    </xf>
    <xf numFmtId="0" fontId="25" fillId="0" borderId="9" xfId="0" applyFont="1" applyBorder="1"/>
    <xf numFmtId="0" fontId="25" fillId="0" borderId="9" xfId="0" applyFont="1" applyBorder="1" applyAlignment="1">
      <alignment horizontal="center"/>
    </xf>
    <xf numFmtId="0" fontId="26" fillId="0" borderId="9" xfId="0" applyFont="1" applyBorder="1" applyAlignment="1">
      <alignment horizontal="right" vertical="center"/>
    </xf>
    <xf numFmtId="2" fontId="28" fillId="0" borderId="9" xfId="0" applyNumberFormat="1" applyFont="1" applyBorder="1" applyAlignment="1">
      <alignment horizontal="center" vertical="center"/>
    </xf>
    <xf numFmtId="2" fontId="25" fillId="0" borderId="12" xfId="0" applyNumberFormat="1" applyFont="1" applyBorder="1" applyAlignment="1">
      <alignment horizontal="center"/>
    </xf>
    <xf numFmtId="2" fontId="25" fillId="0" borderId="10" xfId="0" applyNumberFormat="1" applyFont="1" applyBorder="1" applyAlignment="1">
      <alignment horizontal="center"/>
    </xf>
    <xf numFmtId="0" fontId="25" fillId="0" borderId="29" xfId="0" applyFont="1" applyBorder="1"/>
    <xf numFmtId="0" fontId="26" fillId="5" borderId="13" xfId="0" applyFont="1" applyFill="1" applyBorder="1" applyAlignment="1">
      <alignment horizontal="right" vertical="center"/>
    </xf>
    <xf numFmtId="2" fontId="28" fillId="5" borderId="13" xfId="0" applyNumberFormat="1" applyFont="1" applyFill="1" applyBorder="1" applyAlignment="1">
      <alignment horizontal="center" vertical="center"/>
    </xf>
    <xf numFmtId="0" fontId="25" fillId="0" borderId="9" xfId="0" applyFont="1" applyBorder="1" applyAlignment="1">
      <alignment horizontal="right" vertical="center" wrapText="1"/>
    </xf>
    <xf numFmtId="0" fontId="25" fillId="12" borderId="0" xfId="0" applyFont="1" applyFill="1"/>
    <xf numFmtId="0" fontId="29" fillId="12" borderId="9" xfId="0" applyFont="1" applyFill="1" applyBorder="1" applyAlignment="1">
      <alignment horizontal="center" vertical="center"/>
    </xf>
    <xf numFmtId="0" fontId="29" fillId="12" borderId="9" xfId="0" applyFont="1" applyFill="1" applyBorder="1" applyAlignment="1">
      <alignment horizontal="left" vertical="center"/>
    </xf>
    <xf numFmtId="49" fontId="20" fillId="0" borderId="9" xfId="0" applyNumberFormat="1" applyFont="1" applyBorder="1" applyAlignment="1">
      <alignment horizontal="center" vertical="center"/>
    </xf>
    <xf numFmtId="0" fontId="20" fillId="0" borderId="9" xfId="0" applyFont="1" applyBorder="1" applyAlignment="1">
      <alignment horizontal="left" vertical="center" wrapText="1"/>
    </xf>
    <xf numFmtId="2" fontId="2" fillId="0" borderId="12" xfId="0" applyNumberFormat="1" applyFont="1" applyBorder="1" applyAlignment="1">
      <alignment horizontal="center" vertical="center"/>
    </xf>
    <xf numFmtId="2" fontId="24" fillId="0" borderId="10" xfId="0" applyNumberFormat="1" applyFont="1" applyBorder="1" applyAlignment="1">
      <alignment horizontal="right" vertical="center" wrapText="1"/>
    </xf>
    <xf numFmtId="2" fontId="2" fillId="0" borderId="6" xfId="0" applyNumberFormat="1" applyFont="1" applyBorder="1" applyAlignment="1">
      <alignment horizontal="center" vertical="center"/>
    </xf>
    <xf numFmtId="2" fontId="2" fillId="0" borderId="8" xfId="0" applyNumberFormat="1" applyFont="1" applyBorder="1" applyAlignment="1">
      <alignment horizontal="center" vertical="center"/>
    </xf>
    <xf numFmtId="2" fontId="2" fillId="0" borderId="31" xfId="0" applyNumberFormat="1" applyFont="1" applyBorder="1" applyAlignment="1">
      <alignment horizontal="center" vertical="center"/>
    </xf>
    <xf numFmtId="2" fontId="26" fillId="0" borderId="10" xfId="0" applyNumberFormat="1" applyFont="1" applyBorder="1" applyAlignment="1">
      <alignment horizontal="right" vertical="center" wrapText="1"/>
    </xf>
    <xf numFmtId="2" fontId="25" fillId="0" borderId="29" xfId="0" applyNumberFormat="1" applyFont="1" applyBorder="1" applyAlignment="1">
      <alignment horizontal="center"/>
    </xf>
    <xf numFmtId="2" fontId="25" fillId="0" borderId="11" xfId="0" applyNumberFormat="1" applyFont="1" applyBorder="1" applyAlignment="1">
      <alignment horizontal="center"/>
    </xf>
    <xf numFmtId="0" fontId="9" fillId="0" borderId="12" xfId="0" applyFont="1" applyBorder="1" applyAlignment="1">
      <alignment horizontal="right" vertical="center"/>
    </xf>
    <xf numFmtId="0" fontId="26" fillId="5" borderId="9" xfId="0" applyFont="1" applyFill="1" applyBorder="1" applyAlignment="1">
      <alignment horizontal="right" vertical="center"/>
    </xf>
    <xf numFmtId="2" fontId="28" fillId="5" borderId="9" xfId="0" applyNumberFormat="1" applyFont="1" applyFill="1" applyBorder="1" applyAlignment="1">
      <alignment horizontal="center" vertical="center"/>
    </xf>
    <xf numFmtId="169" fontId="12" fillId="2" borderId="9" xfId="9" applyNumberFormat="1" applyFont="1" applyFill="1" applyBorder="1" applyAlignment="1">
      <alignment vertical="center" wrapText="1"/>
    </xf>
    <xf numFmtId="173" fontId="14" fillId="2" borderId="9" xfId="9" applyNumberFormat="1" applyFont="1" applyFill="1" applyBorder="1" applyAlignment="1">
      <alignment vertical="center"/>
    </xf>
    <xf numFmtId="0" fontId="25" fillId="0" borderId="9" xfId="0" applyFont="1" applyBorder="1" applyAlignment="1">
      <alignment horizontal="left" vertical="center" wrapText="1"/>
    </xf>
    <xf numFmtId="4" fontId="2" fillId="2" borderId="42" xfId="0" applyNumberFormat="1" applyFont="1" applyFill="1" applyBorder="1" applyAlignment="1">
      <alignment horizontal="center" vertical="center" wrapText="1"/>
    </xf>
    <xf numFmtId="43" fontId="3" fillId="2" borderId="42" xfId="1" applyFont="1" applyFill="1" applyBorder="1" applyAlignment="1">
      <alignment horizontal="center" vertical="center" wrapText="1"/>
    </xf>
    <xf numFmtId="10" fontId="3" fillId="2" borderId="42" xfId="1" applyNumberFormat="1" applyFont="1" applyFill="1" applyBorder="1" applyAlignment="1">
      <alignment horizontal="center" vertical="center" wrapText="1"/>
    </xf>
    <xf numFmtId="0" fontId="5" fillId="0" borderId="13" xfId="0" applyFont="1" applyBorder="1" applyAlignment="1">
      <alignment horizontal="center" vertical="center"/>
    </xf>
    <xf numFmtId="4" fontId="5" fillId="2" borderId="13" xfId="0" applyNumberFormat="1" applyFont="1" applyFill="1" applyBorder="1" applyAlignment="1">
      <alignment horizontal="center" vertical="center" wrapText="1"/>
    </xf>
    <xf numFmtId="4" fontId="5" fillId="0" borderId="13" xfId="0" applyNumberFormat="1" applyFont="1" applyBorder="1" applyAlignment="1">
      <alignment horizontal="center" vertical="center" wrapText="1"/>
    </xf>
    <xf numFmtId="0" fontId="4" fillId="0" borderId="9" xfId="0" applyFont="1" applyBorder="1" applyAlignment="1">
      <alignment vertical="center" wrapText="1"/>
    </xf>
    <xf numFmtId="4" fontId="4" fillId="0" borderId="9" xfId="0" applyNumberFormat="1" applyFont="1" applyBorder="1" applyAlignment="1">
      <alignment horizontal="center" vertical="center" wrapText="1"/>
    </xf>
    <xf numFmtId="4" fontId="2" fillId="0" borderId="11" xfId="0" applyNumberFormat="1" applyFont="1" applyBorder="1" applyAlignment="1">
      <alignment horizontal="center" vertical="center" wrapText="1"/>
    </xf>
    <xf numFmtId="4" fontId="2" fillId="2" borderId="34" xfId="0" applyNumberFormat="1" applyFont="1" applyFill="1" applyBorder="1" applyAlignment="1">
      <alignment horizontal="center" vertical="center" wrapText="1"/>
    </xf>
    <xf numFmtId="0" fontId="29" fillId="3" borderId="9" xfId="0" applyFont="1" applyFill="1" applyBorder="1" applyAlignment="1">
      <alignment horizontal="center" vertical="center"/>
    </xf>
    <xf numFmtId="0" fontId="29" fillId="3" borderId="9" xfId="0" applyFont="1" applyFill="1" applyBorder="1" applyAlignment="1">
      <alignment horizontal="right" vertical="center" wrapText="1"/>
    </xf>
    <xf numFmtId="44" fontId="29" fillId="3" borderId="9" xfId="2" applyFont="1" applyFill="1" applyBorder="1" applyAlignment="1">
      <alignment horizontal="center" vertical="center"/>
    </xf>
    <xf numFmtId="4" fontId="25" fillId="0" borderId="9" xfId="0" applyNumberFormat="1" applyFont="1" applyBorder="1" applyAlignment="1">
      <alignment horizontal="center"/>
    </xf>
    <xf numFmtId="0" fontId="3" fillId="3" borderId="12" xfId="0" applyFont="1" applyFill="1" applyBorder="1" applyAlignment="1">
      <alignment horizontal="center" vertical="center"/>
    </xf>
    <xf numFmtId="0" fontId="8" fillId="0" borderId="12" xfId="0" applyFont="1" applyBorder="1" applyAlignment="1">
      <alignment horizontal="right" vertical="center" wrapText="1"/>
    </xf>
    <xf numFmtId="4" fontId="25" fillId="2" borderId="10" xfId="0" applyNumberFormat="1" applyFont="1" applyFill="1" applyBorder="1" applyAlignment="1">
      <alignment horizontal="center" vertical="center" wrapText="1"/>
    </xf>
    <xf numFmtId="2" fontId="30" fillId="0" borderId="9" xfId="0" applyNumberFormat="1" applyFont="1" applyBorder="1" applyAlignment="1">
      <alignment horizontal="right" vertical="center" wrapText="1"/>
    </xf>
    <xf numFmtId="0" fontId="24" fillId="0" borderId="9" xfId="0" applyFont="1" applyBorder="1" applyAlignment="1">
      <alignment horizontal="center" wrapText="1"/>
    </xf>
    <xf numFmtId="0" fontId="3" fillId="0" borderId="9" xfId="0" applyFont="1" applyBorder="1" applyAlignment="1">
      <alignment horizontal="left" vertical="center" wrapText="1"/>
    </xf>
    <xf numFmtId="0" fontId="29" fillId="0" borderId="9" xfId="0" applyFont="1" applyBorder="1" applyAlignment="1">
      <alignment horizontal="center" vertical="center"/>
    </xf>
    <xf numFmtId="0" fontId="29" fillId="0" borderId="9" xfId="0" applyFont="1" applyBorder="1" applyAlignment="1">
      <alignment horizontal="left" vertical="center"/>
    </xf>
    <xf numFmtId="2" fontId="28" fillId="5" borderId="20" xfId="0" applyNumberFormat="1" applyFont="1" applyFill="1" applyBorder="1" applyAlignment="1">
      <alignment horizontal="center" vertical="center"/>
    </xf>
    <xf numFmtId="0" fontId="26" fillId="5" borderId="12" xfId="0" applyFont="1" applyFill="1" applyBorder="1" applyAlignment="1">
      <alignment horizontal="right" vertical="center"/>
    </xf>
    <xf numFmtId="4" fontId="25" fillId="2" borderId="29"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29" fillId="0" borderId="9" xfId="0" quotePrefix="1" applyFont="1" applyBorder="1" applyAlignment="1">
      <alignment horizontal="center" vertical="center"/>
    </xf>
    <xf numFmtId="0" fontId="3" fillId="0" borderId="29" xfId="0" applyFont="1" applyBorder="1" applyAlignment="1">
      <alignment horizontal="justify" vertical="center" wrapText="1"/>
    </xf>
    <xf numFmtId="4" fontId="25" fillId="2" borderId="12" xfId="0" applyNumberFormat="1" applyFont="1" applyFill="1" applyBorder="1" applyAlignment="1">
      <alignment horizontal="center" vertical="center" wrapText="1"/>
    </xf>
    <xf numFmtId="4" fontId="25" fillId="0" borderId="12" xfId="0" applyNumberFormat="1" applyFont="1" applyBorder="1" applyAlignment="1">
      <alignment horizontal="center" vertical="center" wrapText="1"/>
    </xf>
    <xf numFmtId="2" fontId="2" fillId="0" borderId="31" xfId="0" applyNumberFormat="1" applyFont="1" applyBorder="1" applyAlignment="1">
      <alignment horizontal="center"/>
    </xf>
    <xf numFmtId="2" fontId="4" fillId="0" borderId="29" xfId="0" applyNumberFormat="1" applyFont="1" applyBorder="1" applyAlignment="1">
      <alignment horizontal="center" vertical="center" wrapText="1"/>
    </xf>
    <xf numFmtId="4" fontId="25" fillId="2" borderId="31" xfId="0" applyNumberFormat="1" applyFont="1" applyFill="1" applyBorder="1" applyAlignment="1">
      <alignment horizontal="center" vertical="center" wrapText="1"/>
    </xf>
    <xf numFmtId="4" fontId="25" fillId="2" borderId="6" xfId="0" applyNumberFormat="1" applyFont="1" applyFill="1" applyBorder="1" applyAlignment="1">
      <alignment horizontal="center" vertical="center" wrapText="1"/>
    </xf>
    <xf numFmtId="0" fontId="29" fillId="0" borderId="29" xfId="0" applyFont="1" applyBorder="1" applyAlignment="1">
      <alignment horizontal="justify" vertical="center" wrapText="1"/>
    </xf>
    <xf numFmtId="0" fontId="29" fillId="0" borderId="10" xfId="0" applyFont="1" applyBorder="1" applyAlignment="1">
      <alignment horizontal="justify" vertical="center" wrapText="1"/>
    </xf>
    <xf numFmtId="0" fontId="29" fillId="0" borderId="9" xfId="0" applyFont="1" applyBorder="1" applyAlignment="1">
      <alignment horizontal="justify" vertical="center" wrapText="1"/>
    </xf>
    <xf numFmtId="4" fontId="4" fillId="0" borderId="29" xfId="0" applyNumberFormat="1" applyFont="1" applyBorder="1" applyAlignment="1">
      <alignment horizontal="center" vertical="center" wrapText="1"/>
    </xf>
    <xf numFmtId="2" fontId="25" fillId="0" borderId="12" xfId="0" applyNumberFormat="1" applyFont="1" applyBorder="1" applyAlignment="1">
      <alignment horizontal="center" vertical="center"/>
    </xf>
    <xf numFmtId="4" fontId="25" fillId="0" borderId="29" xfId="0" applyNumberFormat="1" applyFont="1" applyBorder="1" applyAlignment="1">
      <alignment horizontal="center" vertical="center" wrapText="1"/>
    </xf>
    <xf numFmtId="4" fontId="25" fillId="2" borderId="14" xfId="0" applyNumberFormat="1" applyFont="1" applyFill="1" applyBorder="1" applyAlignment="1">
      <alignment horizontal="center" vertical="center" wrapText="1"/>
    </xf>
    <xf numFmtId="44" fontId="3" fillId="0" borderId="9" xfId="2" applyFont="1" applyFill="1" applyBorder="1" applyAlignment="1">
      <alignment horizontal="center" vertical="center"/>
    </xf>
    <xf numFmtId="0" fontId="3" fillId="3" borderId="12" xfId="0" applyFont="1" applyFill="1" applyBorder="1" applyAlignment="1">
      <alignment horizontal="right" vertical="center" wrapText="1"/>
    </xf>
    <xf numFmtId="0" fontId="5" fillId="0" borderId="29" xfId="0" applyFont="1" applyBorder="1"/>
    <xf numFmtId="44" fontId="4" fillId="0" borderId="9" xfId="2" applyFont="1" applyFill="1" applyBorder="1" applyAlignment="1">
      <alignment horizontal="center" vertical="center"/>
    </xf>
    <xf numFmtId="0" fontId="5" fillId="0" borderId="9" xfId="0" applyFont="1" applyBorder="1" applyAlignment="1">
      <alignment horizontal="left" vertical="center" wrapText="1"/>
    </xf>
    <xf numFmtId="2" fontId="25" fillId="0" borderId="9" xfId="0" applyNumberFormat="1" applyFont="1" applyBorder="1" applyAlignment="1">
      <alignment horizontal="left" vertical="center" wrapText="1"/>
    </xf>
    <xf numFmtId="0" fontId="8" fillId="0" borderId="12" xfId="0" applyFont="1" applyBorder="1" applyAlignment="1">
      <alignment vertical="center" wrapText="1"/>
    </xf>
    <xf numFmtId="2" fontId="25" fillId="0" borderId="13" xfId="0" applyNumberFormat="1" applyFont="1" applyBorder="1" applyAlignment="1">
      <alignment horizontal="left" vertical="center" wrapText="1"/>
    </xf>
    <xf numFmtId="4" fontId="2" fillId="0" borderId="13" xfId="0" applyNumberFormat="1" applyFont="1" applyBorder="1" applyAlignment="1">
      <alignment horizontal="center" vertical="center" wrapText="1"/>
    </xf>
    <xf numFmtId="0" fontId="2" fillId="0" borderId="29" xfId="0" applyFont="1" applyBorder="1" applyAlignment="1">
      <alignment vertical="center"/>
    </xf>
    <xf numFmtId="0" fontId="2" fillId="0" borderId="29" xfId="0" applyFont="1" applyBorder="1" applyAlignment="1">
      <alignment horizontal="center" vertical="center"/>
    </xf>
    <xf numFmtId="0" fontId="5" fillId="0" borderId="29" xfId="0" applyFont="1" applyBorder="1" applyAlignment="1">
      <alignment horizontal="center" vertical="center"/>
    </xf>
    <xf numFmtId="0" fontId="26" fillId="0" borderId="12" xfId="0" applyFont="1" applyBorder="1" applyAlignment="1">
      <alignment horizontal="right" vertical="center"/>
    </xf>
    <xf numFmtId="0" fontId="8" fillId="0" borderId="29" xfId="0" applyFont="1" applyBorder="1" applyAlignment="1">
      <alignment horizontal="right" vertical="center" wrapText="1"/>
    </xf>
    <xf numFmtId="4" fontId="2" fillId="0" borderId="29" xfId="0" applyNumberFormat="1" applyFont="1" applyBorder="1" applyAlignment="1">
      <alignment horizontal="center" vertical="center" wrapText="1"/>
    </xf>
    <xf numFmtId="2" fontId="5" fillId="0" borderId="29" xfId="0" applyNumberFormat="1" applyFont="1" applyBorder="1" applyAlignment="1">
      <alignment horizontal="center" vertical="center"/>
    </xf>
    <xf numFmtId="0" fontId="3" fillId="3" borderId="13" xfId="0" applyFont="1" applyFill="1" applyBorder="1" applyAlignment="1">
      <alignment horizontal="center" vertical="center" wrapText="1"/>
    </xf>
    <xf numFmtId="0" fontId="3" fillId="3" borderId="13" xfId="0" applyFont="1" applyFill="1" applyBorder="1" applyAlignment="1">
      <alignment horizontal="justify" vertical="center" wrapText="1"/>
    </xf>
    <xf numFmtId="0" fontId="31" fillId="0" borderId="29" xfId="0" applyFont="1" applyBorder="1" applyAlignment="1">
      <alignment horizontal="right" vertical="center" wrapText="1"/>
    </xf>
    <xf numFmtId="2" fontId="25" fillId="0" borderId="13" xfId="0" applyNumberFormat="1" applyFont="1" applyBorder="1" applyAlignment="1">
      <alignment horizontal="center"/>
    </xf>
    <xf numFmtId="2" fontId="24" fillId="0" borderId="12" xfId="0" applyNumberFormat="1" applyFont="1" applyBorder="1" applyAlignment="1">
      <alignment horizontal="right" vertical="center" wrapText="1"/>
    </xf>
    <xf numFmtId="49" fontId="3" fillId="0" borderId="9" xfId="0" applyNumberFormat="1" applyFont="1" applyBorder="1" applyAlignment="1">
      <alignment horizontal="center" vertical="center"/>
    </xf>
    <xf numFmtId="164" fontId="20" fillId="0" borderId="9" xfId="2" applyNumberFormat="1" applyFont="1" applyFill="1" applyBorder="1" applyAlignment="1">
      <alignment horizontal="center" vertical="center"/>
    </xf>
    <xf numFmtId="164" fontId="20" fillId="0" borderId="9" xfId="1" applyNumberFormat="1" applyFont="1" applyFill="1" applyBorder="1" applyAlignment="1">
      <alignment horizontal="right" vertical="center"/>
    </xf>
    <xf numFmtId="4" fontId="25" fillId="2" borderId="34" xfId="0" applyNumberFormat="1" applyFont="1" applyFill="1" applyBorder="1" applyAlignment="1">
      <alignment horizontal="center" vertical="center" wrapText="1"/>
    </xf>
    <xf numFmtId="0" fontId="28" fillId="0" borderId="9" xfId="0" applyFont="1" applyBorder="1" applyAlignment="1">
      <alignment horizontal="center" vertical="center"/>
    </xf>
    <xf numFmtId="17" fontId="33" fillId="2" borderId="9" xfId="9" applyNumberFormat="1" applyFont="1" applyFill="1" applyBorder="1" applyAlignment="1">
      <alignment horizontal="center" vertical="center" wrapText="1"/>
    </xf>
    <xf numFmtId="49" fontId="0" fillId="2" borderId="9" xfId="9" applyNumberFormat="1" applyFont="1" applyFill="1" applyBorder="1" applyAlignment="1">
      <alignment vertical="center"/>
    </xf>
    <xf numFmtId="165" fontId="34" fillId="2" borderId="9" xfId="9" applyNumberFormat="1" applyFont="1" applyFill="1" applyBorder="1" applyAlignment="1">
      <alignment horizontal="center" vertical="center" wrapText="1"/>
    </xf>
    <xf numFmtId="44" fontId="0" fillId="2" borderId="9" xfId="9" applyNumberFormat="1" applyFont="1" applyFill="1" applyBorder="1" applyAlignment="1">
      <alignment horizontal="right" vertical="center" wrapText="1"/>
    </xf>
    <xf numFmtId="49" fontId="34" fillId="2" borderId="9" xfId="9" applyNumberFormat="1" applyFont="1" applyFill="1" applyBorder="1" applyAlignment="1">
      <alignment horizontal="center" vertical="center" wrapText="1"/>
    </xf>
    <xf numFmtId="2" fontId="34" fillId="2" borderId="9" xfId="9" applyNumberFormat="1" applyFont="1" applyFill="1" applyBorder="1" applyAlignment="1">
      <alignment horizontal="center" vertical="center" wrapText="1"/>
    </xf>
    <xf numFmtId="44" fontId="34" fillId="2" borderId="9" xfId="9" applyNumberFormat="1" applyFont="1" applyFill="1" applyBorder="1" applyAlignment="1">
      <alignment horizontal="right" vertical="center" wrapText="1"/>
    </xf>
    <xf numFmtId="1" fontId="0" fillId="2" borderId="9" xfId="9" applyNumberFormat="1" applyFont="1" applyFill="1" applyBorder="1" applyAlignment="1">
      <alignment horizontal="center" vertical="center" wrapText="1"/>
    </xf>
    <xf numFmtId="165" fontId="0" fillId="2" borderId="9" xfId="9" applyNumberFormat="1" applyFont="1" applyFill="1" applyBorder="1" applyAlignment="1">
      <alignment horizontal="center" vertical="center" wrapText="1"/>
    </xf>
    <xf numFmtId="4" fontId="0" fillId="2" borderId="9" xfId="9" applyNumberFormat="1" applyFont="1" applyFill="1" applyBorder="1" applyAlignment="1">
      <alignment horizontal="right" vertical="center" wrapText="1"/>
    </xf>
    <xf numFmtId="166" fontId="0" fillId="2" borderId="9" xfId="9" applyNumberFormat="1" applyFont="1" applyFill="1" applyBorder="1" applyAlignment="1">
      <alignment horizontal="right" vertical="center" wrapText="1"/>
    </xf>
    <xf numFmtId="0" fontId="0" fillId="0" borderId="9" xfId="9" applyFont="1" applyBorder="1" applyAlignment="1">
      <alignment horizontal="center" vertical="center"/>
    </xf>
    <xf numFmtId="167" fontId="0" fillId="0" borderId="9" xfId="9" applyNumberFormat="1" applyFont="1" applyBorder="1" applyAlignment="1">
      <alignment vertical="center"/>
    </xf>
    <xf numFmtId="43" fontId="0" fillId="0" borderId="9" xfId="9" applyNumberFormat="1" applyFont="1" applyBorder="1" applyAlignment="1">
      <alignment vertical="center"/>
    </xf>
    <xf numFmtId="0" fontId="0" fillId="0" borderId="0" xfId="9" applyFont="1" applyAlignment="1">
      <alignment horizontal="center" vertical="center"/>
    </xf>
    <xf numFmtId="0" fontId="0" fillId="0" borderId="0" xfId="9" applyFont="1" applyAlignment="1">
      <alignment vertical="center"/>
    </xf>
    <xf numFmtId="4" fontId="25" fillId="2" borderId="13" xfId="0" applyNumberFormat="1" applyFont="1" applyFill="1" applyBorder="1" applyAlignment="1">
      <alignment horizontal="center" vertical="center" wrapText="1"/>
    </xf>
    <xf numFmtId="0" fontId="26" fillId="0" borderId="13" xfId="0" applyFont="1" applyBorder="1" applyAlignment="1">
      <alignment horizontal="right" vertical="center"/>
    </xf>
    <xf numFmtId="4" fontId="8" fillId="2" borderId="13" xfId="0" applyNumberFormat="1" applyFont="1" applyFill="1" applyBorder="1" applyAlignment="1">
      <alignment horizontal="center" vertical="center" wrapText="1"/>
    </xf>
    <xf numFmtId="0" fontId="35" fillId="13" borderId="9" xfId="0" applyFont="1" applyFill="1" applyBorder="1" applyAlignment="1">
      <alignment horizontal="center" vertical="center"/>
    </xf>
    <xf numFmtId="0" fontId="8" fillId="0" borderId="29" xfId="0" applyFont="1" applyBorder="1" applyAlignment="1">
      <alignment vertical="center" wrapText="1"/>
    </xf>
    <xf numFmtId="0" fontId="2" fillId="0" borderId="12" xfId="0" applyFont="1" applyBorder="1"/>
    <xf numFmtId="0" fontId="8" fillId="0" borderId="13" xfId="0" applyFont="1" applyBorder="1" applyAlignment="1">
      <alignment horizontal="right" vertical="center" wrapText="1"/>
    </xf>
    <xf numFmtId="0" fontId="29" fillId="3" borderId="9" xfId="0" quotePrefix="1" applyFont="1" applyFill="1" applyBorder="1" applyAlignment="1">
      <alignment horizontal="center" vertical="center"/>
    </xf>
    <xf numFmtId="0" fontId="29" fillId="3" borderId="12" xfId="0" applyFont="1" applyFill="1" applyBorder="1" applyAlignment="1">
      <alignment horizontal="center" vertical="center"/>
    </xf>
    <xf numFmtId="0" fontId="29" fillId="3" borderId="12" xfId="0" applyFont="1" applyFill="1" applyBorder="1" applyAlignment="1">
      <alignment horizontal="right" vertical="center" wrapText="1"/>
    </xf>
    <xf numFmtId="164" fontId="29" fillId="3" borderId="9" xfId="0" applyNumberFormat="1" applyFont="1" applyFill="1" applyBorder="1" applyAlignment="1">
      <alignment horizontal="center" vertical="center"/>
    </xf>
    <xf numFmtId="0" fontId="3" fillId="14" borderId="11" xfId="0" applyFont="1" applyFill="1" applyBorder="1"/>
    <xf numFmtId="0" fontId="3" fillId="14" borderId="11" xfId="0" applyFont="1" applyFill="1" applyBorder="1" applyAlignment="1">
      <alignment wrapText="1"/>
    </xf>
    <xf numFmtId="0" fontId="36" fillId="0" borderId="0" xfId="0" applyFont="1"/>
    <xf numFmtId="0" fontId="3" fillId="14" borderId="9" xfId="0" applyFont="1" applyFill="1" applyBorder="1" applyAlignment="1">
      <alignment horizontal="center"/>
    </xf>
    <xf numFmtId="49" fontId="5" fillId="0" borderId="9" xfId="0" applyNumberFormat="1" applyFont="1" applyBorder="1" applyAlignment="1">
      <alignment horizontal="center" vertical="center"/>
    </xf>
    <xf numFmtId="164" fontId="2" fillId="0" borderId="0" xfId="0" applyNumberFormat="1" applyFont="1"/>
    <xf numFmtId="0" fontId="3" fillId="0" borderId="9" xfId="0" applyFont="1" applyBorder="1" applyAlignment="1">
      <alignment horizontal="justify" vertical="center" wrapText="1"/>
    </xf>
    <xf numFmtId="49" fontId="3" fillId="0" borderId="9" xfId="0" quotePrefix="1" applyNumberFormat="1" applyFont="1" applyBorder="1" applyAlignment="1">
      <alignment horizontal="center" vertical="center"/>
    </xf>
    <xf numFmtId="2" fontId="24" fillId="0" borderId="13" xfId="0" applyNumberFormat="1" applyFont="1" applyBorder="1" applyAlignment="1">
      <alignment horizontal="right" vertical="center" wrapText="1"/>
    </xf>
    <xf numFmtId="0" fontId="25" fillId="0" borderId="12" xfId="0" applyFont="1" applyBorder="1" applyAlignment="1">
      <alignment horizontal="center" vertical="center"/>
    </xf>
    <xf numFmtId="0" fontId="3" fillId="14" borderId="11" xfId="0" applyFont="1" applyFill="1" applyBorder="1" applyAlignment="1">
      <alignment horizontal="center"/>
    </xf>
    <xf numFmtId="10" fontId="23" fillId="10" borderId="12" xfId="4" applyNumberFormat="1" applyFont="1" applyFill="1" applyBorder="1" applyAlignment="1"/>
    <xf numFmtId="44" fontId="23" fillId="0" borderId="27" xfId="2" applyFont="1" applyBorder="1" applyAlignment="1"/>
    <xf numFmtId="4" fontId="23" fillId="0" borderId="0" xfId="16" applyNumberFormat="1" applyFont="1"/>
    <xf numFmtId="44" fontId="23" fillId="0" borderId="27" xfId="2" applyFont="1" applyBorder="1" applyAlignment="1">
      <alignment horizontal="center" vertical="center"/>
    </xf>
    <xf numFmtId="10" fontId="22" fillId="11" borderId="8" xfId="17" applyNumberFormat="1" applyFont="1" applyFill="1" applyBorder="1" applyAlignment="1">
      <alignment horizontal="center" vertical="center"/>
    </xf>
    <xf numFmtId="10" fontId="22" fillId="11" borderId="11" xfId="16" applyNumberFormat="1" applyFont="1" applyFill="1" applyBorder="1" applyAlignment="1">
      <alignment horizontal="center" vertical="center"/>
    </xf>
    <xf numFmtId="44" fontId="23" fillId="0" borderId="46" xfId="2" applyFont="1" applyBorder="1" applyAlignment="1"/>
    <xf numFmtId="44" fontId="22" fillId="11" borderId="11" xfId="2" applyFont="1" applyFill="1" applyBorder="1" applyAlignment="1">
      <alignment vertical="center"/>
    </xf>
    <xf numFmtId="44" fontId="22" fillId="11" borderId="9" xfId="2" applyFont="1" applyFill="1" applyBorder="1" applyAlignment="1">
      <alignment vertical="center"/>
    </xf>
    <xf numFmtId="2" fontId="25" fillId="0" borderId="13" xfId="0" applyNumberFormat="1" applyFont="1" applyBorder="1" applyAlignment="1">
      <alignment horizontal="center" vertical="center"/>
    </xf>
    <xf numFmtId="4" fontId="8" fillId="2" borderId="9" xfId="0" applyNumberFormat="1" applyFont="1" applyFill="1" applyBorder="1" applyAlignment="1">
      <alignment horizontal="center" vertical="center" wrapText="1"/>
    </xf>
    <xf numFmtId="0" fontId="2" fillId="0" borderId="0" xfId="0" applyFont="1" applyAlignment="1">
      <alignment horizontal="center" indent="1"/>
    </xf>
    <xf numFmtId="0" fontId="2" fillId="0" borderId="10" xfId="0" applyFont="1" applyBorder="1" applyAlignment="1">
      <alignment horizontal="center" vertical="center"/>
    </xf>
    <xf numFmtId="4" fontId="2" fillId="2" borderId="8" xfId="0" applyNumberFormat="1" applyFont="1" applyFill="1" applyBorder="1" applyAlignment="1">
      <alignment horizontal="center" vertical="center" wrapText="1"/>
    </xf>
    <xf numFmtId="2" fontId="30" fillId="0" borderId="12" xfId="0" applyNumberFormat="1" applyFont="1" applyBorder="1" applyAlignment="1">
      <alignment horizontal="right" vertical="center" wrapText="1"/>
    </xf>
    <xf numFmtId="0" fontId="2" fillId="0" borderId="30" xfId="0" applyFont="1" applyBorder="1" applyAlignment="1">
      <alignment horizontal="center" vertical="center"/>
    </xf>
    <xf numFmtId="4" fontId="2" fillId="2" borderId="38" xfId="0" applyNumberFormat="1" applyFont="1" applyFill="1" applyBorder="1" applyAlignment="1">
      <alignment horizontal="center" vertical="center" wrapText="1"/>
    </xf>
    <xf numFmtId="0" fontId="30" fillId="0" borderId="30" xfId="0" applyFont="1" applyBorder="1" applyAlignment="1">
      <alignment horizontal="right" vertical="center" wrapText="1"/>
    </xf>
    <xf numFmtId="4" fontId="2" fillId="2" borderId="35" xfId="0" applyNumberFormat="1" applyFont="1" applyFill="1" applyBorder="1" applyAlignment="1">
      <alignment horizontal="center" vertical="center" wrapText="1"/>
    </xf>
    <xf numFmtId="2" fontId="24" fillId="0" borderId="29" xfId="0" applyNumberFormat="1" applyFont="1" applyBorder="1" applyAlignment="1">
      <alignment horizontal="right" vertical="center" wrapText="1"/>
    </xf>
    <xf numFmtId="2" fontId="30" fillId="0" borderId="13" xfId="0" applyNumberFormat="1" applyFont="1" applyBorder="1" applyAlignment="1">
      <alignment horizontal="right" vertical="center" wrapText="1"/>
    </xf>
    <xf numFmtId="0" fontId="25" fillId="0" borderId="12" xfId="0" applyFont="1" applyBorder="1"/>
    <xf numFmtId="2" fontId="28" fillId="5" borderId="12" xfId="0" applyNumberFormat="1" applyFont="1" applyFill="1" applyBorder="1" applyAlignment="1">
      <alignment horizontal="center" vertical="center"/>
    </xf>
    <xf numFmtId="0" fontId="25" fillId="0" borderId="10" xfId="0" applyFont="1" applyBorder="1"/>
    <xf numFmtId="0" fontId="25" fillId="0" borderId="29" xfId="0" applyFont="1" applyBorder="1" applyAlignment="1">
      <alignment horizontal="center"/>
    </xf>
    <xf numFmtId="0" fontId="30" fillId="0" borderId="9" xfId="0" applyFont="1" applyBorder="1" applyAlignment="1">
      <alignment horizontal="right" vertical="center" wrapText="1"/>
    </xf>
    <xf numFmtId="2" fontId="8" fillId="0" borderId="13" xfId="0" applyNumberFormat="1" applyFont="1" applyBorder="1" applyAlignment="1">
      <alignment horizontal="right" vertical="center" wrapText="1"/>
    </xf>
    <xf numFmtId="4" fontId="2" fillId="2" borderId="20" xfId="0" applyNumberFormat="1" applyFont="1" applyFill="1" applyBorder="1" applyAlignment="1">
      <alignment horizontal="center" vertical="center" wrapText="1"/>
    </xf>
    <xf numFmtId="0" fontId="9" fillId="5" borderId="4" xfId="0" applyFont="1" applyFill="1" applyBorder="1" applyAlignment="1">
      <alignment horizontal="right" vertical="center"/>
    </xf>
    <xf numFmtId="2" fontId="5" fillId="5" borderId="31" xfId="0" applyNumberFormat="1" applyFont="1" applyFill="1" applyBorder="1" applyAlignment="1">
      <alignment horizontal="center" vertical="center"/>
    </xf>
    <xf numFmtId="0" fontId="9" fillId="0" borderId="9" xfId="0" applyFont="1" applyBorder="1" applyAlignment="1">
      <alignment horizontal="right" vertical="center" wrapText="1"/>
    </xf>
    <xf numFmtId="0" fontId="8" fillId="0" borderId="9" xfId="0" applyFont="1" applyBorder="1" applyAlignment="1">
      <alignment horizontal="right"/>
    </xf>
    <xf numFmtId="0" fontId="5" fillId="0" borderId="29" xfId="0" applyFont="1" applyBorder="1" applyAlignment="1">
      <alignment horizontal="center"/>
    </xf>
    <xf numFmtId="0" fontId="39" fillId="0" borderId="0" xfId="0" applyFont="1"/>
    <xf numFmtId="1" fontId="37" fillId="2" borderId="9" xfId="0" applyNumberFormat="1" applyFont="1" applyFill="1" applyBorder="1" applyAlignment="1">
      <alignment horizontal="center" vertical="center"/>
    </xf>
    <xf numFmtId="2" fontId="37" fillId="2" borderId="9" xfId="0" applyNumberFormat="1" applyFont="1" applyFill="1" applyBorder="1" applyAlignment="1">
      <alignment horizontal="center" vertical="center" wrapText="1"/>
    </xf>
    <xf numFmtId="2" fontId="40" fillId="2" borderId="9" xfId="26" applyNumberFormat="1" applyFont="1" applyFill="1" applyBorder="1" applyAlignment="1" applyProtection="1">
      <alignment horizontal="center" vertical="center" wrapText="1"/>
    </xf>
    <xf numFmtId="44" fontId="37" fillId="2" borderId="9" xfId="2" applyFont="1" applyFill="1" applyBorder="1" applyAlignment="1">
      <alignment horizontal="center" vertical="center"/>
    </xf>
    <xf numFmtId="14" fontId="37" fillId="2" borderId="9" xfId="0" applyNumberFormat="1" applyFont="1" applyFill="1" applyBorder="1" applyAlignment="1">
      <alignment horizontal="center" vertical="center"/>
    </xf>
    <xf numFmtId="2" fontId="37" fillId="2" borderId="9" xfId="0" applyNumberFormat="1" applyFont="1" applyFill="1" applyBorder="1" applyAlignment="1">
      <alignment horizontal="center" vertical="center"/>
    </xf>
    <xf numFmtId="171" fontId="37" fillId="2" borderId="9" xfId="0" applyNumberFormat="1" applyFont="1" applyFill="1" applyBorder="1" applyAlignment="1">
      <alignment horizontal="center" vertical="center"/>
    </xf>
    <xf numFmtId="164" fontId="37" fillId="2" borderId="9" xfId="0" applyNumberFormat="1" applyFont="1" applyFill="1" applyBorder="1" applyAlignment="1">
      <alignment horizontal="center" vertical="center"/>
    </xf>
    <xf numFmtId="2" fontId="41" fillId="2" borderId="9" xfId="15" applyNumberFormat="1" applyFont="1" applyFill="1" applyBorder="1" applyAlignment="1" applyProtection="1">
      <alignment horizontal="center" vertical="center" wrapText="1"/>
    </xf>
    <xf numFmtId="49" fontId="2" fillId="0" borderId="9" xfId="0" applyNumberFormat="1" applyFont="1" applyBorder="1" applyAlignment="1">
      <alignment horizontal="center" vertical="center"/>
    </xf>
    <xf numFmtId="44" fontId="25" fillId="0" borderId="9" xfId="2" applyFont="1" applyFill="1" applyBorder="1" applyAlignment="1">
      <alignment horizontal="center" vertical="center"/>
    </xf>
    <xf numFmtId="49" fontId="28" fillId="0" borderId="9" xfId="0" applyNumberFormat="1" applyFont="1" applyBorder="1" applyAlignment="1">
      <alignment horizontal="center" vertical="center"/>
    </xf>
    <xf numFmtId="49" fontId="25" fillId="0" borderId="9" xfId="0" applyNumberFormat="1" applyFont="1" applyBorder="1" applyAlignment="1">
      <alignment horizontal="center" vertical="center"/>
    </xf>
    <xf numFmtId="10" fontId="2" fillId="0" borderId="0" xfId="4" applyNumberFormat="1" applyFont="1" applyFill="1"/>
    <xf numFmtId="0" fontId="4" fillId="0" borderId="9" xfId="0" quotePrefix="1" applyFont="1" applyBorder="1" applyAlignment="1">
      <alignment horizontal="center" vertical="center"/>
    </xf>
    <xf numFmtId="2" fontId="4" fillId="0" borderId="9" xfId="0" applyNumberFormat="1" applyFont="1" applyBorder="1" applyAlignment="1">
      <alignment horizontal="center" vertical="center"/>
    </xf>
    <xf numFmtId="0" fontId="20" fillId="0" borderId="9" xfId="0" quotePrefix="1" applyFont="1" applyBorder="1" applyAlignment="1">
      <alignment horizontal="center" vertical="center"/>
    </xf>
    <xf numFmtId="0" fontId="4" fillId="0" borderId="9" xfId="0" applyFont="1" applyBorder="1" applyAlignment="1">
      <alignment horizontal="left" vertical="center"/>
    </xf>
    <xf numFmtId="49" fontId="29" fillId="0" borderId="9" xfId="0" applyNumberFormat="1" applyFont="1" applyBorder="1" applyAlignment="1">
      <alignment horizontal="center" vertical="center"/>
    </xf>
    <xf numFmtId="0" fontId="3" fillId="0" borderId="10" xfId="0" quotePrefix="1" applyFont="1" applyBorder="1" applyAlignment="1">
      <alignment horizontal="center" vertical="center"/>
    </xf>
    <xf numFmtId="0" fontId="3" fillId="0" borderId="11" xfId="0" applyFont="1" applyBorder="1" applyAlignment="1">
      <alignment horizontal="center" vertical="center"/>
    </xf>
    <xf numFmtId="164" fontId="3" fillId="0" borderId="9" xfId="0" applyNumberFormat="1" applyFont="1" applyBorder="1" applyAlignment="1">
      <alignment horizontal="center" vertical="center"/>
    </xf>
    <xf numFmtId="0" fontId="4" fillId="0" borderId="13" xfId="0" applyFont="1" applyBorder="1" applyAlignment="1">
      <alignment horizontal="left" vertical="center" wrapText="1"/>
    </xf>
    <xf numFmtId="49" fontId="29" fillId="0" borderId="9" xfId="0" quotePrefix="1" applyNumberFormat="1" applyFont="1" applyBorder="1" applyAlignment="1">
      <alignment horizontal="center" vertic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1" xfId="0" applyFont="1" applyBorder="1"/>
    <xf numFmtId="0" fontId="3" fillId="0" borderId="11" xfId="0" applyFont="1" applyBorder="1" applyAlignment="1">
      <alignment wrapText="1"/>
    </xf>
    <xf numFmtId="0" fontId="5" fillId="0" borderId="0" xfId="0" applyFont="1"/>
    <xf numFmtId="0" fontId="2" fillId="0" borderId="2" xfId="0" applyFont="1" applyBorder="1" applyAlignment="1">
      <alignment horizontal="right" vertical="center"/>
    </xf>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25" fillId="0" borderId="12" xfId="0" applyFont="1" applyBorder="1" applyAlignment="1">
      <alignment horizontal="center" vertical="center"/>
    </xf>
    <xf numFmtId="0" fontId="25" fillId="0" borderId="13" xfId="0" applyFont="1" applyBorder="1" applyAlignment="1">
      <alignment horizontal="center" vertical="center"/>
    </xf>
    <xf numFmtId="0" fontId="8" fillId="0" borderId="12" xfId="0" applyFont="1" applyBorder="1" applyAlignment="1">
      <alignment horizontal="right" vertical="center" wrapText="1"/>
    </xf>
    <xf numFmtId="0" fontId="8" fillId="0" borderId="44" xfId="0" applyFont="1" applyBorder="1" applyAlignment="1">
      <alignment horizontal="right" vertical="center" wrapText="1"/>
    </xf>
    <xf numFmtId="0" fontId="8" fillId="0" borderId="13" xfId="0" applyFont="1" applyBorder="1" applyAlignment="1">
      <alignment horizontal="right" vertical="center" wrapText="1"/>
    </xf>
    <xf numFmtId="4" fontId="25" fillId="2" borderId="12" xfId="0" applyNumberFormat="1" applyFont="1" applyFill="1" applyBorder="1" applyAlignment="1">
      <alignment horizontal="center" vertical="center" wrapText="1"/>
    </xf>
    <xf numFmtId="4" fontId="25" fillId="2" borderId="20" xfId="0" applyNumberFormat="1" applyFont="1" applyFill="1" applyBorder="1" applyAlignment="1">
      <alignment horizontal="center" vertical="center" wrapText="1"/>
    </xf>
    <xf numFmtId="4" fontId="25" fillId="2" borderId="13" xfId="0" applyNumberFormat="1" applyFont="1" applyFill="1" applyBorder="1" applyAlignment="1">
      <alignment horizontal="center" vertical="center" wrapText="1"/>
    </xf>
    <xf numFmtId="2" fontId="24" fillId="0" borderId="12" xfId="0" applyNumberFormat="1" applyFont="1" applyBorder="1" applyAlignment="1">
      <alignment horizontal="right" vertical="center" wrapText="1"/>
    </xf>
    <xf numFmtId="2" fontId="24" fillId="0" borderId="13" xfId="0" applyNumberFormat="1" applyFont="1" applyBorder="1" applyAlignment="1">
      <alignment horizontal="right" vertical="center" wrapText="1"/>
    </xf>
    <xf numFmtId="2" fontId="25" fillId="0" borderId="12" xfId="0" applyNumberFormat="1" applyFont="1" applyBorder="1" applyAlignment="1">
      <alignment horizontal="center" vertical="center"/>
    </xf>
    <xf numFmtId="2" fontId="25" fillId="0" borderId="20" xfId="0" applyNumberFormat="1" applyFont="1" applyBorder="1" applyAlignment="1">
      <alignment horizontal="center" vertical="center"/>
    </xf>
    <xf numFmtId="2" fontId="25" fillId="0" borderId="13" xfId="0" applyNumberFormat="1" applyFont="1" applyBorder="1" applyAlignment="1">
      <alignment horizontal="center" vertical="center"/>
    </xf>
    <xf numFmtId="0" fontId="3" fillId="2" borderId="37" xfId="0" applyFont="1" applyFill="1" applyBorder="1" applyAlignment="1">
      <alignment horizontal="center" vertical="center" wrapText="1"/>
    </xf>
    <xf numFmtId="0" fontId="3" fillId="2" borderId="42" xfId="0" applyFont="1" applyFill="1" applyBorder="1" applyAlignment="1">
      <alignment horizontal="left" vertical="center" wrapText="1"/>
    </xf>
    <xf numFmtId="0" fontId="3" fillId="2" borderId="42" xfId="1" applyNumberFormat="1" applyFont="1" applyFill="1" applyBorder="1" applyAlignment="1">
      <alignment horizontal="center" vertical="center" wrapText="1"/>
    </xf>
    <xf numFmtId="2" fontId="24" fillId="0" borderId="20" xfId="0" applyNumberFormat="1" applyFont="1" applyBorder="1" applyAlignment="1">
      <alignment horizontal="right" vertical="center" wrapText="1"/>
    </xf>
    <xf numFmtId="0" fontId="22" fillId="9" borderId="9" xfId="16" applyFont="1" applyFill="1" applyBorder="1" applyAlignment="1">
      <alignment horizontal="center" vertical="center"/>
    </xf>
    <xf numFmtId="49" fontId="22" fillId="0" borderId="21" xfId="16" applyNumberFormat="1" applyFont="1" applyBorder="1" applyAlignment="1">
      <alignment horizontal="center" vertical="center"/>
    </xf>
    <xf numFmtId="49" fontId="22" fillId="0" borderId="25" xfId="16" applyNumberFormat="1" applyFont="1" applyBorder="1" applyAlignment="1">
      <alignment horizontal="center" vertical="center"/>
    </xf>
    <xf numFmtId="4" fontId="22" fillId="0" borderId="22" xfId="16" applyNumberFormat="1" applyFont="1" applyBorder="1" applyAlignment="1">
      <alignment horizontal="center" vertical="center" wrapText="1"/>
    </xf>
    <xf numFmtId="4" fontId="22" fillId="0" borderId="26" xfId="16" applyNumberFormat="1" applyFont="1" applyBorder="1" applyAlignment="1">
      <alignment horizontal="center" vertical="center" wrapText="1"/>
    </xf>
    <xf numFmtId="0" fontId="22" fillId="2" borderId="1"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22" fillId="2" borderId="4" xfId="0" applyFont="1" applyFill="1" applyBorder="1" applyAlignment="1">
      <alignment horizontal="left" vertical="center" wrapText="1"/>
    </xf>
    <xf numFmtId="0" fontId="22" fillId="2" borderId="0" xfId="0" applyFont="1" applyFill="1" applyAlignment="1">
      <alignment horizontal="left" vertical="center" wrapText="1"/>
    </xf>
    <xf numFmtId="0" fontId="22" fillId="2" borderId="0" xfId="1" applyNumberFormat="1" applyFont="1" applyFill="1" applyBorder="1" applyAlignment="1">
      <alignment horizontal="center" vertical="center" wrapText="1"/>
    </xf>
    <xf numFmtId="0" fontId="22" fillId="9" borderId="12" xfId="16" applyFont="1" applyFill="1" applyBorder="1" applyAlignment="1">
      <alignment horizontal="center" vertical="center"/>
    </xf>
    <xf numFmtId="0" fontId="22" fillId="9" borderId="20" xfId="16" applyFont="1" applyFill="1" applyBorder="1" applyAlignment="1">
      <alignment horizontal="center" vertical="center"/>
    </xf>
    <xf numFmtId="2" fontId="22" fillId="0" borderId="21" xfId="16" applyNumberFormat="1" applyFont="1" applyBorder="1" applyAlignment="1">
      <alignment horizontal="center" vertical="center"/>
    </xf>
    <xf numFmtId="2" fontId="22" fillId="0" borderId="25" xfId="16" applyNumberFormat="1" applyFont="1" applyBorder="1" applyAlignment="1">
      <alignment horizontal="center" vertical="center"/>
    </xf>
    <xf numFmtId="167" fontId="22" fillId="9" borderId="1" xfId="12" applyFont="1" applyFill="1" applyBorder="1" applyAlignment="1">
      <alignment horizontal="center" vertical="center"/>
    </xf>
    <xf numFmtId="167" fontId="22" fillId="9" borderId="3" xfId="12" applyFont="1" applyFill="1" applyBorder="1" applyAlignment="1">
      <alignment horizontal="center" vertical="center"/>
    </xf>
    <xf numFmtId="167" fontId="22" fillId="9" borderId="6" xfId="12" applyFont="1" applyFill="1" applyBorder="1" applyAlignment="1">
      <alignment horizontal="center" vertical="center"/>
    </xf>
    <xf numFmtId="167" fontId="22" fillId="9" borderId="8" xfId="12" applyFont="1" applyFill="1" applyBorder="1" applyAlignment="1">
      <alignment horizontal="center" vertical="center"/>
    </xf>
    <xf numFmtId="4" fontId="22" fillId="0" borderId="23" xfId="16" applyNumberFormat="1" applyFont="1" applyBorder="1" applyAlignment="1">
      <alignment horizontal="center" vertical="center" wrapText="1"/>
    </xf>
    <xf numFmtId="4" fontId="22" fillId="0" borderId="28" xfId="16" applyNumberFormat="1" applyFont="1" applyBorder="1" applyAlignment="1">
      <alignment horizontal="center" vertical="center" wrapText="1"/>
    </xf>
    <xf numFmtId="0" fontId="22" fillId="11" borderId="6" xfId="16" applyFont="1" applyFill="1" applyBorder="1" applyAlignment="1">
      <alignment horizontal="center" vertical="center"/>
    </xf>
    <xf numFmtId="0" fontId="22" fillId="11" borderId="7" xfId="16" applyFont="1" applyFill="1" applyBorder="1" applyAlignment="1">
      <alignment horizontal="center" vertical="center"/>
    </xf>
    <xf numFmtId="171" fontId="22" fillId="11" borderId="30" xfId="12" applyNumberFormat="1" applyFont="1" applyFill="1" applyBorder="1" applyAlignment="1">
      <alignment horizontal="center" vertical="center"/>
    </xf>
    <xf numFmtId="171" fontId="22" fillId="11" borderId="45" xfId="12" applyNumberFormat="1" applyFont="1" applyFill="1" applyBorder="1" applyAlignment="1">
      <alignment horizontal="center" vertical="center"/>
    </xf>
    <xf numFmtId="171" fontId="22" fillId="11" borderId="31" xfId="12" applyNumberFormat="1" applyFont="1" applyFill="1" applyBorder="1" applyAlignment="1">
      <alignment horizontal="center" vertical="center"/>
    </xf>
    <xf numFmtId="0" fontId="22" fillId="11" borderId="10" xfId="16" applyFont="1" applyFill="1" applyBorder="1" applyAlignment="1">
      <alignment horizontal="center" vertical="center"/>
    </xf>
    <xf numFmtId="0" fontId="22" fillId="11" borderId="14" xfId="16" applyFont="1" applyFill="1" applyBorder="1" applyAlignment="1">
      <alignment horizontal="center" vertical="center"/>
    </xf>
    <xf numFmtId="0" fontId="3" fillId="4" borderId="0" xfId="8" applyFont="1" applyFill="1" applyAlignment="1">
      <alignment horizontal="left" vertical="top" wrapText="1"/>
    </xf>
    <xf numFmtId="0" fontId="3" fillId="4" borderId="16" xfId="8" applyFont="1" applyFill="1" applyBorder="1" applyAlignment="1">
      <alignment horizontal="left" vertical="top" wrapText="1"/>
    </xf>
    <xf numFmtId="0" fontId="3" fillId="4" borderId="18" xfId="8" applyFont="1" applyFill="1" applyBorder="1" applyAlignment="1">
      <alignment horizontal="left" vertical="top" wrapText="1"/>
    </xf>
    <xf numFmtId="0" fontId="3" fillId="4" borderId="19" xfId="8" applyFont="1" applyFill="1" applyBorder="1" applyAlignment="1">
      <alignment horizontal="left" vertical="top" wrapText="1"/>
    </xf>
    <xf numFmtId="0" fontId="3" fillId="4" borderId="0" xfId="8" applyFont="1" applyFill="1" applyAlignment="1">
      <alignment horizontal="center" vertical="top" wrapText="1"/>
    </xf>
    <xf numFmtId="0" fontId="4" fillId="4" borderId="0" xfId="8" applyFill="1" applyAlignment="1">
      <alignment horizontal="left" vertical="top" wrapText="1"/>
    </xf>
    <xf numFmtId="0" fontId="4" fillId="4" borderId="16" xfId="8" applyFill="1" applyBorder="1" applyAlignment="1">
      <alignment horizontal="left" vertical="top" wrapText="1"/>
    </xf>
    <xf numFmtId="0" fontId="3" fillId="4" borderId="10" xfId="6" applyFont="1" applyFill="1" applyBorder="1" applyAlignment="1">
      <alignment horizontal="right"/>
    </xf>
    <xf numFmtId="0" fontId="3" fillId="4" borderId="11" xfId="6" applyFont="1" applyFill="1" applyBorder="1" applyAlignment="1">
      <alignment horizontal="right"/>
    </xf>
    <xf numFmtId="0" fontId="3" fillId="4" borderId="10" xfId="6" applyFont="1" applyFill="1" applyBorder="1" applyAlignment="1">
      <alignment horizontal="center"/>
    </xf>
    <xf numFmtId="0" fontId="3" fillId="4" borderId="11" xfId="6" applyFont="1" applyFill="1" applyBorder="1" applyAlignment="1">
      <alignment horizontal="center"/>
    </xf>
    <xf numFmtId="49" fontId="3" fillId="4" borderId="0" xfId="7" applyNumberFormat="1" applyFont="1" applyFill="1" applyAlignment="1">
      <alignment horizontal="center"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center" wrapText="1"/>
    </xf>
    <xf numFmtId="49" fontId="3" fillId="4" borderId="4" xfId="7" applyNumberFormat="1" applyFont="1" applyFill="1" applyBorder="1" applyAlignment="1">
      <alignment horizontal="center" vertical="center" wrapText="1"/>
    </xf>
    <xf numFmtId="49" fontId="3" fillId="4" borderId="0" xfId="7" applyNumberFormat="1" applyFont="1" applyFill="1" applyAlignment="1">
      <alignment horizontal="center" vertical="center" wrapText="1"/>
    </xf>
    <xf numFmtId="49" fontId="3" fillId="4" borderId="5" xfId="7" applyNumberFormat="1" applyFont="1" applyFill="1" applyBorder="1" applyAlignment="1">
      <alignment horizontal="center" vertical="center" wrapText="1"/>
    </xf>
    <xf numFmtId="49" fontId="3" fillId="4" borderId="4" xfId="7" applyNumberFormat="1" applyFont="1" applyFill="1" applyBorder="1" applyAlignment="1">
      <alignment horizontal="left" vertical="top" wrapText="1"/>
    </xf>
    <xf numFmtId="49" fontId="3" fillId="4" borderId="0" xfId="7" applyNumberFormat="1" applyFont="1" applyFill="1" applyAlignment="1">
      <alignment horizontal="left" vertical="top" wrapText="1"/>
    </xf>
    <xf numFmtId="49" fontId="3" fillId="4" borderId="5" xfId="7" applyNumberFormat="1" applyFont="1" applyFill="1" applyBorder="1" applyAlignment="1">
      <alignment horizontal="left" vertical="top" wrapText="1"/>
    </xf>
    <xf numFmtId="49" fontId="3" fillId="4" borderId="6" xfId="7" applyNumberFormat="1" applyFont="1" applyFill="1" applyBorder="1" applyAlignment="1">
      <alignment horizontal="left" vertical="top" wrapText="1"/>
    </xf>
    <xf numFmtId="49" fontId="3" fillId="4" borderId="7" xfId="7" applyNumberFormat="1" applyFont="1" applyFill="1" applyBorder="1" applyAlignment="1">
      <alignment horizontal="left" vertical="top" wrapText="1"/>
    </xf>
    <xf numFmtId="49" fontId="3" fillId="4" borderId="8" xfId="7" applyNumberFormat="1" applyFont="1" applyFill="1" applyBorder="1" applyAlignment="1">
      <alignment horizontal="left" vertical="top" wrapText="1"/>
    </xf>
    <xf numFmtId="0" fontId="3" fillId="2" borderId="36"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40" xfId="1" applyNumberFormat="1" applyFont="1" applyFill="1" applyBorder="1" applyAlignment="1">
      <alignment horizontal="center" vertical="center" wrapText="1"/>
    </xf>
    <xf numFmtId="0" fontId="3" fillId="2" borderId="41" xfId="0" applyFont="1" applyFill="1" applyBorder="1" applyAlignment="1">
      <alignment horizontal="left" vertical="center" wrapText="1"/>
    </xf>
    <xf numFmtId="0" fontId="3" fillId="2" borderId="42" xfId="1" applyNumberFormat="1" applyFont="1" applyFill="1" applyBorder="1" applyAlignment="1">
      <alignment horizontal="right" vertical="center" wrapText="1"/>
    </xf>
    <xf numFmtId="0" fontId="4" fillId="4" borderId="10" xfId="6" applyFill="1" applyBorder="1" applyAlignment="1">
      <alignment horizontal="left"/>
    </xf>
    <xf numFmtId="0" fontId="4" fillId="4" borderId="11" xfId="6" applyFill="1" applyBorder="1" applyAlignment="1">
      <alignment horizontal="left"/>
    </xf>
    <xf numFmtId="0" fontId="3" fillId="0" borderId="9" xfId="0" applyFont="1" applyBorder="1" applyAlignment="1">
      <alignment horizontal="center" vertical="top" wrapText="1"/>
    </xf>
    <xf numFmtId="0" fontId="3" fillId="0" borderId="9" xfId="0" applyFont="1" applyBorder="1" applyAlignment="1">
      <alignment horizontal="left" vertical="top" wrapText="1" indent="4"/>
    </xf>
    <xf numFmtId="0" fontId="3" fillId="0" borderId="9" xfId="0" applyFont="1" applyBorder="1" applyAlignment="1">
      <alignment horizontal="left" vertical="top" wrapText="1" indent="8"/>
    </xf>
    <xf numFmtId="0" fontId="3" fillId="0" borderId="9" xfId="0" applyFont="1" applyBorder="1" applyAlignment="1">
      <alignment horizontal="left" vertical="top" wrapText="1" indent="11"/>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1" xfId="0" applyFont="1" applyFill="1" applyBorder="1" applyAlignment="1">
      <alignment horizontal="left" vertical="center" wrapText="1"/>
    </xf>
    <xf numFmtId="4" fontId="2" fillId="2" borderId="12" xfId="0" applyNumberFormat="1" applyFont="1" applyFill="1" applyBorder="1" applyAlignment="1">
      <alignment horizontal="center" vertical="center"/>
    </xf>
    <xf numFmtId="4" fontId="2" fillId="2" borderId="20" xfId="0" applyNumberFormat="1" applyFont="1" applyFill="1" applyBorder="1" applyAlignment="1">
      <alignment horizontal="center" vertical="center"/>
    </xf>
    <xf numFmtId="4" fontId="2" fillId="2" borderId="13" xfId="0" applyNumberFormat="1" applyFont="1" applyFill="1" applyBorder="1" applyAlignment="1">
      <alignment horizontal="center" vertical="center"/>
    </xf>
    <xf numFmtId="0" fontId="5" fillId="0" borderId="9" xfId="0" applyFont="1" applyBorder="1" applyAlignment="1">
      <alignment horizontal="center" vertical="center"/>
    </xf>
    <xf numFmtId="0" fontId="3" fillId="0" borderId="9" xfId="0" applyFont="1" applyBorder="1" applyAlignment="1">
      <alignment horizontal="left" vertical="top" wrapText="1" indent="5"/>
    </xf>
    <xf numFmtId="0" fontId="12" fillId="2" borderId="9" xfId="9" applyFont="1" applyFill="1" applyBorder="1" applyAlignment="1">
      <alignment horizontal="center" vertical="center"/>
    </xf>
    <xf numFmtId="0" fontId="11" fillId="2" borderId="9" xfId="9" applyFont="1" applyFill="1" applyBorder="1" applyAlignment="1">
      <alignment horizontal="center" vertical="center" wrapText="1"/>
    </xf>
    <xf numFmtId="0" fontId="12" fillId="2" borderId="9" xfId="9" applyFont="1" applyFill="1" applyBorder="1" applyAlignment="1">
      <alignment horizontal="center" vertical="center" wrapText="1"/>
    </xf>
    <xf numFmtId="1" fontId="14"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2" fontId="15" fillId="2" borderId="9" xfId="9" applyNumberFormat="1" applyFont="1" applyFill="1" applyBorder="1" applyAlignment="1">
      <alignment horizontal="center" vertical="center" wrapText="1"/>
    </xf>
    <xf numFmtId="1" fontId="10" fillId="2" borderId="9" xfId="9" applyNumberFormat="1" applyFont="1" applyFill="1" applyBorder="1" applyAlignment="1">
      <alignment horizontal="center" vertical="center"/>
    </xf>
    <xf numFmtId="0" fontId="14" fillId="2" borderId="9" xfId="9" applyFont="1" applyFill="1" applyBorder="1" applyAlignment="1">
      <alignment horizontal="center" vertical="center"/>
    </xf>
    <xf numFmtId="49" fontId="0" fillId="2" borderId="9" xfId="9" applyNumberFormat="1" applyFont="1" applyFill="1" applyBorder="1" applyAlignment="1">
      <alignment horizontal="left" vertical="center" wrapText="1"/>
    </xf>
    <xf numFmtId="49" fontId="1" fillId="2" borderId="9" xfId="9" applyNumberFormat="1" applyFill="1" applyBorder="1" applyAlignment="1">
      <alignment horizontal="left" vertical="center"/>
    </xf>
    <xf numFmtId="49" fontId="0" fillId="2" borderId="9" xfId="9" applyNumberFormat="1" applyFont="1" applyFill="1" applyBorder="1" applyAlignment="1">
      <alignment horizontal="left" vertical="center"/>
    </xf>
    <xf numFmtId="0" fontId="12" fillId="2" borderId="9" xfId="9" applyFont="1" applyFill="1" applyBorder="1" applyAlignment="1">
      <alignment horizontal="right" vertical="center"/>
    </xf>
    <xf numFmtId="49" fontId="17" fillId="2" borderId="9" xfId="9" applyNumberFormat="1" applyFont="1" applyFill="1" applyBorder="1" applyAlignment="1">
      <alignment horizontal="left" vertical="center" wrapText="1"/>
    </xf>
    <xf numFmtId="49" fontId="17" fillId="2" borderId="10" xfId="9" applyNumberFormat="1" applyFont="1" applyFill="1" applyBorder="1" applyAlignment="1">
      <alignment horizontal="left" vertical="center" wrapText="1"/>
    </xf>
    <xf numFmtId="49" fontId="17" fillId="2" borderId="14" xfId="9" applyNumberFormat="1" applyFont="1" applyFill="1" applyBorder="1" applyAlignment="1">
      <alignment horizontal="left" vertical="center" wrapText="1"/>
    </xf>
    <xf numFmtId="49" fontId="17" fillId="2" borderId="11" xfId="9" applyNumberFormat="1" applyFont="1" applyFill="1" applyBorder="1" applyAlignment="1">
      <alignment horizontal="left" vertical="center" wrapText="1"/>
    </xf>
    <xf numFmtId="0" fontId="14" fillId="2" borderId="9" xfId="9" applyFont="1" applyFill="1" applyBorder="1" applyAlignment="1">
      <alignment horizontal="right" vertical="center"/>
    </xf>
    <xf numFmtId="49" fontId="1" fillId="2" borderId="9" xfId="9" applyNumberFormat="1" applyFill="1" applyBorder="1" applyAlignment="1">
      <alignment horizontal="center" vertical="center" wrapText="1"/>
    </xf>
    <xf numFmtId="0" fontId="1" fillId="0" borderId="10" xfId="9" applyBorder="1" applyAlignment="1">
      <alignment horizontal="left" vertical="center" wrapText="1"/>
    </xf>
    <xf numFmtId="0" fontId="1" fillId="0" borderId="14" xfId="9" applyBorder="1" applyAlignment="1">
      <alignment horizontal="left" vertical="center"/>
    </xf>
    <xf numFmtId="0" fontId="1" fillId="0" borderId="11" xfId="9" applyBorder="1" applyAlignment="1">
      <alignment horizontal="left" vertical="center"/>
    </xf>
    <xf numFmtId="0" fontId="14" fillId="2" borderId="10" xfId="9" applyFont="1" applyFill="1" applyBorder="1" applyAlignment="1">
      <alignment horizontal="center" vertical="center"/>
    </xf>
    <xf numFmtId="0" fontId="14" fillId="2" borderId="14" xfId="9" applyFont="1" applyFill="1" applyBorder="1" applyAlignment="1">
      <alignment horizontal="center" vertical="center"/>
    </xf>
    <xf numFmtId="0" fontId="14" fillId="2" borderId="11" xfId="9" applyFont="1" applyFill="1" applyBorder="1" applyAlignment="1">
      <alignment horizontal="center" vertical="center"/>
    </xf>
    <xf numFmtId="0" fontId="1" fillId="0" borderId="10" xfId="9" applyBorder="1" applyAlignment="1">
      <alignment horizontal="left" vertical="center"/>
    </xf>
    <xf numFmtId="49" fontId="1" fillId="2" borderId="9" xfId="9" applyNumberFormat="1" applyFill="1" applyBorder="1" applyAlignment="1">
      <alignment horizontal="left" vertical="center" wrapText="1"/>
    </xf>
    <xf numFmtId="166" fontId="15" fillId="2" borderId="9" xfId="9" applyNumberFormat="1" applyFont="1" applyFill="1" applyBorder="1" applyAlignment="1">
      <alignment horizontal="left" vertical="center" wrapText="1"/>
    </xf>
    <xf numFmtId="49" fontId="0" fillId="2" borderId="9" xfId="9" applyNumberFormat="1" applyFont="1" applyFill="1" applyBorder="1" applyAlignment="1">
      <alignment horizontal="center" vertical="center" wrapText="1"/>
    </xf>
    <xf numFmtId="0" fontId="0" fillId="0" borderId="10" xfId="9" applyFont="1" applyBorder="1" applyAlignment="1">
      <alignment horizontal="left" vertical="center"/>
    </xf>
    <xf numFmtId="0" fontId="0" fillId="0" borderId="14" xfId="9" applyFont="1" applyBorder="1" applyAlignment="1">
      <alignment horizontal="left" vertical="center"/>
    </xf>
    <xf numFmtId="0" fontId="0" fillId="0" borderId="11" xfId="9" applyFont="1" applyBorder="1" applyAlignment="1">
      <alignment horizontal="left" vertical="center"/>
    </xf>
    <xf numFmtId="49" fontId="34" fillId="2" borderId="9" xfId="9" applyNumberFormat="1" applyFont="1" applyFill="1" applyBorder="1" applyAlignment="1">
      <alignment horizontal="left" vertical="center" wrapText="1"/>
    </xf>
    <xf numFmtId="2" fontId="38" fillId="8" borderId="12" xfId="14" applyNumberFormat="1" applyFont="1" applyFill="1" applyBorder="1" applyAlignment="1">
      <alignment horizontal="center" vertical="center"/>
    </xf>
    <xf numFmtId="2" fontId="38" fillId="8" borderId="13" xfId="14" applyNumberFormat="1" applyFont="1" applyFill="1" applyBorder="1" applyAlignment="1">
      <alignment horizontal="center" vertical="center"/>
    </xf>
    <xf numFmtId="2" fontId="37" fillId="2" borderId="12" xfId="0" applyNumberFormat="1" applyFont="1" applyFill="1" applyBorder="1" applyAlignment="1">
      <alignment horizontal="center" vertical="center"/>
    </xf>
    <xf numFmtId="2" fontId="37" fillId="2" borderId="20" xfId="0" applyNumberFormat="1" applyFont="1" applyFill="1" applyBorder="1" applyAlignment="1">
      <alignment horizontal="center" vertical="center"/>
    </xf>
    <xf numFmtId="0" fontId="38" fillId="2" borderId="9" xfId="0" applyFont="1" applyFill="1" applyBorder="1" applyAlignment="1">
      <alignment horizontal="left" vertical="center" wrapText="1"/>
    </xf>
    <xf numFmtId="0" fontId="38" fillId="2" borderId="10" xfId="0" applyFont="1" applyFill="1" applyBorder="1" applyAlignment="1">
      <alignment horizontal="left" vertical="center" wrapText="1"/>
    </xf>
    <xf numFmtId="0" fontId="38" fillId="2" borderId="14" xfId="0" applyFont="1" applyFill="1" applyBorder="1" applyAlignment="1">
      <alignment horizontal="left" vertical="center" wrapText="1"/>
    </xf>
    <xf numFmtId="14" fontId="38" fillId="6" borderId="12" xfId="1" applyNumberFormat="1" applyFont="1" applyFill="1" applyBorder="1" applyAlignment="1">
      <alignment horizontal="center" vertical="center" wrapText="1"/>
    </xf>
    <xf numFmtId="14" fontId="38" fillId="6" borderId="13" xfId="1" applyNumberFormat="1" applyFont="1" applyFill="1" applyBorder="1" applyAlignment="1">
      <alignment horizontal="center" vertical="center" wrapText="1"/>
    </xf>
    <xf numFmtId="2" fontId="38" fillId="7" borderId="12" xfId="14" applyNumberFormat="1" applyFont="1" applyFill="1" applyBorder="1" applyAlignment="1">
      <alignment horizontal="center" vertical="center"/>
    </xf>
    <xf numFmtId="2" fontId="38" fillId="7" borderId="13" xfId="14" applyNumberFormat="1" applyFont="1" applyFill="1" applyBorder="1" applyAlignment="1">
      <alignment horizontal="center" vertical="center"/>
    </xf>
    <xf numFmtId="2" fontId="38" fillId="7" borderId="12" xfId="1" applyNumberFormat="1" applyFont="1" applyFill="1" applyBorder="1" applyAlignment="1">
      <alignment horizontal="center" vertical="center" wrapText="1"/>
    </xf>
    <xf numFmtId="2" fontId="38" fillId="7" borderId="13" xfId="1" applyNumberFormat="1" applyFont="1" applyFill="1" applyBorder="1" applyAlignment="1">
      <alignment horizontal="center" vertical="center" wrapText="1"/>
    </xf>
    <xf numFmtId="2" fontId="38" fillId="3" borderId="9" xfId="14" applyNumberFormat="1" applyFont="1" applyFill="1" applyBorder="1" applyAlignment="1">
      <alignment horizontal="center" vertical="center" wrapText="1"/>
    </xf>
    <xf numFmtId="2" fontId="38" fillId="3" borderId="12" xfId="14" applyNumberFormat="1" applyFont="1" applyFill="1" applyBorder="1" applyAlignment="1">
      <alignment horizontal="center" vertical="center" wrapText="1"/>
    </xf>
    <xf numFmtId="2" fontId="38" fillId="3" borderId="13" xfId="14" applyNumberFormat="1" applyFont="1" applyFill="1" applyBorder="1" applyAlignment="1">
      <alignment horizontal="center" vertical="center" wrapText="1"/>
    </xf>
    <xf numFmtId="2" fontId="38" fillId="6" borderId="12" xfId="14" applyNumberFormat="1" applyFont="1" applyFill="1" applyBorder="1" applyAlignment="1">
      <alignment horizontal="center" vertical="center"/>
    </xf>
    <xf numFmtId="2" fontId="38" fillId="6" borderId="13" xfId="14" applyNumberFormat="1" applyFont="1" applyFill="1" applyBorder="1" applyAlignment="1">
      <alignment horizontal="center" vertical="center"/>
    </xf>
    <xf numFmtId="2" fontId="38" fillId="6" borderId="12" xfId="1" applyNumberFormat="1" applyFont="1" applyFill="1" applyBorder="1" applyAlignment="1">
      <alignment horizontal="center" vertical="center" wrapText="1"/>
    </xf>
    <xf numFmtId="2" fontId="38" fillId="6" borderId="13" xfId="1" applyNumberFormat="1" applyFont="1" applyFill="1" applyBorder="1" applyAlignment="1">
      <alignment horizontal="center" vertical="center" wrapText="1"/>
    </xf>
    <xf numFmtId="2" fontId="38" fillId="8" borderId="12" xfId="14" applyNumberFormat="1" applyFont="1" applyFill="1" applyBorder="1" applyAlignment="1">
      <alignment horizontal="center" vertical="center" wrapText="1"/>
    </xf>
    <xf numFmtId="2" fontId="38" fillId="8" borderId="13" xfId="14" applyNumberFormat="1" applyFont="1" applyFill="1" applyBorder="1" applyAlignment="1">
      <alignment horizontal="center" vertical="center" wrapText="1"/>
    </xf>
    <xf numFmtId="14" fontId="38" fillId="8" borderId="12" xfId="1" applyNumberFormat="1" applyFont="1" applyFill="1" applyBorder="1" applyAlignment="1">
      <alignment horizontal="center" vertical="center" wrapText="1"/>
    </xf>
    <xf numFmtId="14" fontId="38" fillId="8" borderId="13" xfId="1" applyNumberFormat="1" applyFont="1" applyFill="1" applyBorder="1" applyAlignment="1">
      <alignment horizontal="center" vertical="center" wrapText="1"/>
    </xf>
    <xf numFmtId="2" fontId="38" fillId="3" borderId="12" xfId="14" applyNumberFormat="1" applyFont="1" applyFill="1" applyBorder="1" applyAlignment="1">
      <alignment horizontal="center" vertical="center"/>
    </xf>
    <xf numFmtId="2" fontId="38" fillId="3" borderId="13" xfId="14" applyNumberFormat="1" applyFont="1" applyFill="1" applyBorder="1" applyAlignment="1">
      <alignment horizontal="center" vertical="center"/>
    </xf>
    <xf numFmtId="2" fontId="38" fillId="3" borderId="9" xfId="14" applyNumberFormat="1" applyFont="1" applyFill="1" applyBorder="1" applyAlignment="1">
      <alignment horizontal="center" vertical="center"/>
    </xf>
    <xf numFmtId="0" fontId="4" fillId="0" borderId="9" xfId="0" applyFont="1" applyFill="1" applyBorder="1" applyAlignment="1">
      <alignment horizontal="center" vertical="center"/>
    </xf>
    <xf numFmtId="0" fontId="20" fillId="0" borderId="9" xfId="0" applyFont="1" applyFill="1" applyBorder="1" applyAlignment="1">
      <alignment horizontal="center" vertical="center"/>
    </xf>
    <xf numFmtId="0" fontId="4" fillId="0" borderId="9" xfId="0" applyFont="1" applyFill="1" applyBorder="1" applyAlignment="1">
      <alignment horizontal="left" vertical="center" wrapText="1"/>
    </xf>
    <xf numFmtId="2" fontId="2" fillId="0" borderId="9" xfId="0" applyNumberFormat="1" applyFont="1" applyFill="1" applyBorder="1" applyAlignment="1">
      <alignment horizontal="center" vertical="center"/>
    </xf>
    <xf numFmtId="0" fontId="25" fillId="0" borderId="0" xfId="0" applyFont="1" applyFill="1"/>
    <xf numFmtId="0" fontId="2" fillId="0" borderId="0" xfId="0" applyFont="1" applyFill="1"/>
    <xf numFmtId="49" fontId="4" fillId="0" borderId="9" xfId="0" applyNumberFormat="1" applyFont="1" applyFill="1" applyBorder="1" applyAlignment="1">
      <alignment horizontal="center" vertical="center"/>
    </xf>
    <xf numFmtId="0" fontId="2" fillId="0" borderId="9" xfId="0" applyFont="1" applyFill="1" applyBorder="1" applyAlignment="1">
      <alignment horizontal="center" vertical="center"/>
    </xf>
    <xf numFmtId="2" fontId="19" fillId="2" borderId="9" xfId="15" applyNumberFormat="1" applyFill="1" applyBorder="1" applyAlignment="1" applyProtection="1">
      <alignment horizontal="center" vertical="center" wrapText="1"/>
    </xf>
    <xf numFmtId="0" fontId="20" fillId="0" borderId="9" xfId="0" applyFont="1" applyFill="1" applyBorder="1" applyAlignment="1">
      <alignment horizontal="left" vertical="center" wrapText="1"/>
    </xf>
    <xf numFmtId="0" fontId="25" fillId="0" borderId="9" xfId="0" applyFont="1" applyFill="1" applyBorder="1" applyAlignment="1">
      <alignment horizontal="center" vertical="center"/>
    </xf>
    <xf numFmtId="2" fontId="25" fillId="0" borderId="9" xfId="0" applyNumberFormat="1" applyFont="1" applyFill="1" applyBorder="1" applyAlignment="1">
      <alignment horizontal="center" vertical="center"/>
    </xf>
    <xf numFmtId="0" fontId="4" fillId="0" borderId="9" xfId="0" quotePrefix="1" applyFont="1" applyFill="1" applyBorder="1" applyAlignment="1">
      <alignment horizontal="center" vertical="center"/>
    </xf>
    <xf numFmtId="0" fontId="4" fillId="0" borderId="11" xfId="0" applyFont="1" applyFill="1" applyBorder="1"/>
    <xf numFmtId="0" fontId="36" fillId="0" borderId="11" xfId="0" applyFont="1" applyFill="1" applyBorder="1" applyAlignment="1">
      <alignment wrapText="1"/>
    </xf>
    <xf numFmtId="0" fontId="36" fillId="0" borderId="0" xfId="0" applyFont="1" applyFill="1"/>
    <xf numFmtId="0" fontId="4" fillId="0" borderId="8" xfId="0" applyFont="1" applyFill="1" applyBorder="1"/>
    <xf numFmtId="0" fontId="36" fillId="0" borderId="8" xfId="0" applyFont="1" applyFill="1" applyBorder="1" applyAlignment="1">
      <alignment wrapText="1"/>
    </xf>
    <xf numFmtId="171" fontId="0" fillId="2" borderId="9" xfId="9" applyNumberFormat="1" applyFont="1" applyFill="1" applyBorder="1" applyAlignment="1">
      <alignment horizontal="right" vertical="center" wrapText="1"/>
    </xf>
    <xf numFmtId="171" fontId="1" fillId="2" borderId="9" xfId="9" applyNumberFormat="1" applyFill="1" applyBorder="1" applyAlignment="1">
      <alignment horizontal="right" vertical="center" wrapText="1"/>
    </xf>
  </cellXfs>
  <cellStyles count="27">
    <cellStyle name="Hiperlink" xfId="15" builtinId="8"/>
    <cellStyle name="Hyperlink" xfId="26" xr:uid="{00000000-0005-0000-0000-000001000000}"/>
    <cellStyle name="Moeda" xfId="2" builtinId="4"/>
    <cellStyle name="Moeda 2" xfId="10" xr:uid="{00000000-0005-0000-0000-000003000000}"/>
    <cellStyle name="Moeda 3" xfId="13" xr:uid="{00000000-0005-0000-0000-000004000000}"/>
    <cellStyle name="Moeda 3 2" xfId="21" xr:uid="{00000000-0005-0000-0000-000005000000}"/>
    <cellStyle name="Moeda 3 3" xfId="24" xr:uid="{00000000-0005-0000-0000-000006000000}"/>
    <cellStyle name="Moeda 4" xfId="19" xr:uid="{00000000-0005-0000-0000-000007000000}"/>
    <cellStyle name="Moeda 5" xfId="23" xr:uid="{00000000-0005-0000-0000-000008000000}"/>
    <cellStyle name="Normal" xfId="0" builtinId="0"/>
    <cellStyle name="Normal 2" xfId="5" xr:uid="{00000000-0005-0000-0000-00000A000000}"/>
    <cellStyle name="Normal 2 3" xfId="11" xr:uid="{00000000-0005-0000-0000-00000B000000}"/>
    <cellStyle name="Normal 3" xfId="3" xr:uid="{00000000-0005-0000-0000-00000C000000}"/>
    <cellStyle name="Normal 4" xfId="16" xr:uid="{00000000-0005-0000-0000-00000D000000}"/>
    <cellStyle name="Normal 4 2" xfId="25" xr:uid="{00000000-0005-0000-0000-00000E000000}"/>
    <cellStyle name="Normal 6" xfId="9" xr:uid="{00000000-0005-0000-0000-00000F000000}"/>
    <cellStyle name="Normal 61 2" xfId="8" xr:uid="{00000000-0005-0000-0000-000010000000}"/>
    <cellStyle name="Normal_Composição BDI" xfId="7" xr:uid="{00000000-0005-0000-0000-000011000000}"/>
    <cellStyle name="Normal_Composição do BDI - final" xfId="6" xr:uid="{00000000-0005-0000-0000-000012000000}"/>
    <cellStyle name="Normal_Replanilhamento T-1 - 18-02-08" xfId="14" xr:uid="{00000000-0005-0000-0000-000013000000}"/>
    <cellStyle name="Porcentagem" xfId="4" builtinId="5"/>
    <cellStyle name="Porcentagem 2" xfId="17" xr:uid="{00000000-0005-0000-0000-000015000000}"/>
    <cellStyle name="Vírgula" xfId="1" builtinId="3"/>
    <cellStyle name="Vírgula 2" xfId="12" xr:uid="{00000000-0005-0000-0000-000017000000}"/>
    <cellStyle name="Vírgula 2 2" xfId="20" xr:uid="{00000000-0005-0000-0000-000018000000}"/>
    <cellStyle name="Vírgula 3" xfId="18" xr:uid="{00000000-0005-0000-0000-000019000000}"/>
    <cellStyle name="Vírgula 4" xfId="22" xr:uid="{00000000-0005-0000-0000-00001A000000}"/>
  </cellStyles>
  <dxfs count="38">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76201</xdr:colOff>
      <xdr:row>1</xdr:row>
      <xdr:rowOff>104775</xdr:rowOff>
    </xdr:from>
    <xdr:to>
      <xdr:col>0</xdr:col>
      <xdr:colOff>652865</xdr:colOff>
      <xdr:row>3</xdr:row>
      <xdr:rowOff>209550</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152401</xdr:colOff>
      <xdr:row>0</xdr:row>
      <xdr:rowOff>85726</xdr:rowOff>
    </xdr:from>
    <xdr:to>
      <xdr:col>0</xdr:col>
      <xdr:colOff>647700</xdr:colOff>
      <xdr:row>3</xdr:row>
      <xdr:rowOff>84825</xdr:rowOff>
    </xdr:to>
    <xdr:pic>
      <xdr:nvPicPr>
        <xdr:cNvPr id="2" name="Imagem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1" y="85726"/>
          <a:ext cx="495299" cy="5420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266700</xdr:colOff>
      <xdr:row>0</xdr:row>
      <xdr:rowOff>190500</xdr:rowOff>
    </xdr:from>
    <xdr:to>
      <xdr:col>0</xdr:col>
      <xdr:colOff>1162050</xdr:colOff>
      <xdr:row>3</xdr:row>
      <xdr:rowOff>57150</xdr:rowOff>
    </xdr:to>
    <xdr:pic>
      <xdr:nvPicPr>
        <xdr:cNvPr id="3" name="Imagem 2">
          <a:extLst>
            <a:ext uri="{FF2B5EF4-FFF2-40B4-BE49-F238E27FC236}">
              <a16:creationId xmlns:a16="http://schemas.microsoft.com/office/drawing/2014/main" id="{00000000-0008-0000-0200-000003000000}"/>
            </a:ext>
            <a:ext uri="{147F2762-F138-4A5C-976F-8EAC2B608ADB}">
              <a16:predDERef xmlns:a16="http://schemas.microsoft.com/office/drawing/2014/main" pre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190500"/>
          <a:ext cx="895350" cy="990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3" name="Imagem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199" y="414338"/>
          <a:ext cx="781049" cy="8643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4</xdr:row>
      <xdr:rowOff>9525</xdr:rowOff>
    </xdr:to>
    <xdr:pic>
      <xdr:nvPicPr>
        <xdr:cNvPr id="2" name="Imagem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45BD2C82-E834-493F-A13F-E6211ECD61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12A9AF42-9DD8-4278-BE4D-AF2E031111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238A7BB5-518D-4B8C-9E88-A47071FF98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1">
          <a:extLst>
            <a:ext uri="{FF2B5EF4-FFF2-40B4-BE49-F238E27FC236}">
              <a16:creationId xmlns:a16="http://schemas.microsoft.com/office/drawing/2014/main" id="{7A119E7C-D82A-4291-A5A9-8410A770CA8B}"/>
            </a:ext>
            <a:ext uri="{147F2762-F138-4A5C-976F-8EAC2B608ADB}">
              <a16:predDERef xmlns:a16="http://schemas.microsoft.com/office/drawing/2014/main" pre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09354558-0CE1-4712-9313-477B29A7E0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1">
          <a:extLst>
            <a:ext uri="{FF2B5EF4-FFF2-40B4-BE49-F238E27FC236}">
              <a16:creationId xmlns:a16="http://schemas.microsoft.com/office/drawing/2014/main" id="{CC261923-BDBA-45F0-8146-A8B39FCD2FE6}"/>
            </a:ext>
            <a:ext uri="{147F2762-F138-4A5C-976F-8EAC2B608ADB}">
              <a16:predDERef xmlns:a16="http://schemas.microsoft.com/office/drawing/2014/main" pred="{09354558-0CE1-4712-9313-477B29A7E0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C34DF64D-0354-436C-BF14-7BD7561D25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1">
          <a:extLst>
            <a:ext uri="{FF2B5EF4-FFF2-40B4-BE49-F238E27FC236}">
              <a16:creationId xmlns:a16="http://schemas.microsoft.com/office/drawing/2014/main" id="{9B64F4F6-0F2B-4D45-A572-EF7A1E254A8B}"/>
            </a:ext>
            <a:ext uri="{147F2762-F138-4A5C-976F-8EAC2B608ADB}">
              <a16:predDERef xmlns:a16="http://schemas.microsoft.com/office/drawing/2014/main" pred="{C34DF64D-0354-436C-BF14-7BD7561D25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id="{4B794F1D-1195-43F1-90E7-A2F2EFEE40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1">
          <a:extLst>
            <a:ext uri="{FF2B5EF4-FFF2-40B4-BE49-F238E27FC236}">
              <a16:creationId xmlns:a16="http://schemas.microsoft.com/office/drawing/2014/main" id="{96DE9E28-FCA1-4517-948F-A48E75DB7105}"/>
            </a:ext>
            <a:ext uri="{147F2762-F138-4A5C-976F-8EAC2B608ADB}">
              <a16:predDERef xmlns:a16="http://schemas.microsoft.com/office/drawing/2014/main" pred="{4B794F1D-1195-43F1-90E7-A2F2EFEE40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twoCellAnchor editAs="oneCell">
    <xdr:from>
      <xdr:col>0</xdr:col>
      <xdr:colOff>171238</xdr:colOff>
      <xdr:row>0</xdr:row>
      <xdr:rowOff>99154</xdr:rowOff>
    </xdr:from>
    <xdr:to>
      <xdr:col>0</xdr:col>
      <xdr:colOff>917864</xdr:colOff>
      <xdr:row>3</xdr:row>
      <xdr:rowOff>165337</xdr:rowOff>
    </xdr:to>
    <xdr:pic>
      <xdr:nvPicPr>
        <xdr:cNvPr id="2" name="Imagem 1">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238" y="99154"/>
          <a:ext cx="746626" cy="845501"/>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www.shoptime.com.br/produto/19669838?pfm_carac=Os%20itens%20mais%20queridos%20da%20categoria&amp;pfm_index=1&amp;pfm_page=product&amp;pfm_pos=item_page.history&amp;pfm_type=vit_recommendation&amp;DCSext.recom=RR_item_page.history-mars_TopVisitsCategory:P:1:&amp;nm_origem=rec_item_page.history-mars_TopVisitsCategory:P:1:&amp;nm_ranking_rec=2" TargetMode="External"/><Relationship Id="rId7" Type="http://schemas.openxmlformats.org/officeDocument/2006/relationships/drawing" Target="../drawings/drawing15.xml"/><Relationship Id="rId2" Type="http://schemas.openxmlformats.org/officeDocument/2006/relationships/hyperlink" Target="https://www.amazon.com.br/Ventilador-Oscilante-Parede-Premium-Ventisol/dp/B074FJR64H/ref=asc_df_B074FJR64H/?tag=googleshopp00-20&amp;linkCode=df0&amp;hvadid=379799985272&amp;hvpos=&amp;hvnetw=g&amp;hvrand=10235103681093124624&amp;hvpone=&amp;hvptwo=&amp;hvqmt=&amp;hvdev=c&amp;hvdvcmdl=&amp;hvlocint=&amp;hvlocphy=1031764&amp;hvtargid=pla-812316002343&amp;th=1" TargetMode="External"/><Relationship Id="rId1" Type="http://schemas.openxmlformats.org/officeDocument/2006/relationships/hyperlink" Target="https://www.kalunga.com.br/prod/dispenser-papel-toalha-interfolhado-branco-c19533-premisse-cx-1-un/324175?pcID=39&amp;gclid=Cj0KCQjwqrb7BRDlARIsACwGad6HO2dT5IOnuzBk8d55FZvxHn7u8z-LvSHzV70iwJALgCLUeG6uVL4aAqcFEALw_wcB" TargetMode="External"/><Relationship Id="rId6" Type="http://schemas.openxmlformats.org/officeDocument/2006/relationships/printerSettings" Target="../printerSettings/printerSettings15.bin"/><Relationship Id="rId5" Type="http://schemas.openxmlformats.org/officeDocument/2006/relationships/hyperlink" Target="https://www.amazon.com.br/Dispenser-Toalha-Interfolhas-dobras-PREMISSE/dp/B07CT1VX8W/ref=asc_df_B07CT1VX8W/?tag=googleshopp00-20&amp;linkCode=df0&amp;hvadid=379817839910&amp;hvpos=&amp;hvnetw=g&amp;hvrand=13629527481564061716&amp;hvpone=&amp;hvptwo=&amp;hvqmt=&amp;hvdev=c&amp;hvdvcmdl=&amp;hvlocint=&amp;hvlocphy=1031764&amp;hvtargid=pla-865851585567&amp;psc=1" TargetMode="External"/><Relationship Id="rId4" Type="http://schemas.openxmlformats.org/officeDocument/2006/relationships/hyperlink" Target="https://www.fanlux.com.br/ventiladores/ventiladores-de-parede/ventilador-de-parede-tex6-60cm-bivolt-210w-ventex?parceiro=3021&amp;variant_id=492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X179"/>
  <sheetViews>
    <sheetView view="pageBreakPreview" zoomScale="98" zoomScaleNormal="84" zoomScaleSheetLayoutView="98" workbookViewId="0">
      <selection activeCell="J179" sqref="J179"/>
    </sheetView>
  </sheetViews>
  <sheetFormatPr defaultRowHeight="12.75" x14ac:dyDescent="0.2"/>
  <cols>
    <col min="1" max="1" width="10.140625" style="13" customWidth="1"/>
    <col min="2" max="2" width="12.5703125" style="18" bestFit="1" customWidth="1"/>
    <col min="3" max="3" width="11.42578125" style="13" customWidth="1"/>
    <col min="4" max="4" width="76.28515625" style="13" customWidth="1"/>
    <col min="5" max="5" width="12" style="18" customWidth="1"/>
    <col min="6" max="6" width="12.7109375" style="18" customWidth="1"/>
    <col min="7" max="7" width="14" style="18" bestFit="1" customWidth="1"/>
    <col min="8" max="8" width="17.42578125" style="18" customWidth="1"/>
    <col min="9" max="9" width="18.85546875" style="13" bestFit="1" customWidth="1"/>
    <col min="10" max="10" width="12.28515625" style="12" bestFit="1" customWidth="1"/>
    <col min="11" max="11" width="14" style="12" customWidth="1"/>
    <col min="12" max="16384" width="9.140625" style="12"/>
  </cols>
  <sheetData>
    <row r="1" spans="1:10" ht="21" customHeight="1" x14ac:dyDescent="0.2">
      <c r="A1" s="1"/>
      <c r="B1" s="458" t="s">
        <v>0</v>
      </c>
      <c r="C1" s="459"/>
      <c r="D1" s="459"/>
      <c r="E1" s="459"/>
      <c r="F1" s="459"/>
      <c r="G1" s="459"/>
      <c r="H1" s="459"/>
      <c r="I1" s="460"/>
    </row>
    <row r="2" spans="1:10" ht="21" customHeight="1" x14ac:dyDescent="0.2">
      <c r="A2" s="2"/>
      <c r="B2" s="466" t="s">
        <v>1</v>
      </c>
      <c r="C2" s="467"/>
      <c r="D2" s="467"/>
      <c r="E2" s="4"/>
      <c r="F2" s="3"/>
      <c r="G2" s="4"/>
      <c r="H2" s="4"/>
      <c r="I2" s="21"/>
    </row>
    <row r="3" spans="1:10" ht="21" customHeight="1" x14ac:dyDescent="0.2">
      <c r="A3" s="2"/>
      <c r="B3" s="466" t="s">
        <v>2</v>
      </c>
      <c r="C3" s="467"/>
      <c r="D3" s="467"/>
      <c r="E3" s="105" t="s">
        <v>3</v>
      </c>
      <c r="F3" s="19">
        <v>1.5727</v>
      </c>
      <c r="G3" s="456" t="s">
        <v>4</v>
      </c>
      <c r="H3" s="456"/>
      <c r="I3" s="457"/>
      <c r="J3" s="4"/>
    </row>
    <row r="4" spans="1:10" ht="21" customHeight="1" x14ac:dyDescent="0.2">
      <c r="A4" s="2"/>
      <c r="B4" s="466" t="s">
        <v>5</v>
      </c>
      <c r="C4" s="467"/>
      <c r="D4" s="467"/>
      <c r="E4" s="139" t="s">
        <v>6</v>
      </c>
      <c r="F4" s="19">
        <v>0.3196</v>
      </c>
      <c r="G4" s="12"/>
      <c r="H4" s="140" t="s">
        <v>7</v>
      </c>
      <c r="I4" s="141" t="s">
        <v>888</v>
      </c>
    </row>
    <row r="5" spans="1:10" x14ac:dyDescent="0.2">
      <c r="A5" s="461" t="s">
        <v>8</v>
      </c>
      <c r="B5" s="461" t="s">
        <v>9</v>
      </c>
      <c r="C5" s="461" t="s">
        <v>10</v>
      </c>
      <c r="D5" s="461" t="s">
        <v>11</v>
      </c>
      <c r="E5" s="461" t="s">
        <v>12</v>
      </c>
      <c r="F5" s="461" t="s">
        <v>13</v>
      </c>
      <c r="G5" s="463" t="s">
        <v>14</v>
      </c>
      <c r="H5" s="464"/>
      <c r="I5" s="465"/>
    </row>
    <row r="6" spans="1:10" x14ac:dyDescent="0.2">
      <c r="A6" s="462"/>
      <c r="B6" s="462"/>
      <c r="C6" s="462"/>
      <c r="D6" s="462"/>
      <c r="E6" s="462"/>
      <c r="F6" s="462"/>
      <c r="G6" s="6" t="s">
        <v>15</v>
      </c>
      <c r="H6" s="6" t="s">
        <v>16</v>
      </c>
      <c r="I6" s="6" t="s">
        <v>17</v>
      </c>
    </row>
    <row r="7" spans="1:10" x14ac:dyDescent="0.2">
      <c r="A7" s="5">
        <v>1</v>
      </c>
      <c r="B7" s="9" t="s">
        <v>18</v>
      </c>
      <c r="C7" s="5"/>
      <c r="D7" s="7" t="s">
        <v>19</v>
      </c>
      <c r="E7" s="5"/>
      <c r="F7" s="5"/>
      <c r="G7" s="57"/>
      <c r="H7" s="57"/>
      <c r="I7" s="5"/>
    </row>
    <row r="8" spans="1:10" x14ac:dyDescent="0.2">
      <c r="A8" s="17" t="s">
        <v>20</v>
      </c>
      <c r="B8" s="385" t="s">
        <v>21</v>
      </c>
      <c r="C8" s="184" t="s">
        <v>22</v>
      </c>
      <c r="D8" s="14" t="s">
        <v>23</v>
      </c>
      <c r="E8" s="15"/>
      <c r="F8" s="62"/>
      <c r="G8" s="117"/>
      <c r="H8" s="20"/>
      <c r="I8" s="8"/>
    </row>
    <row r="9" spans="1:10" x14ac:dyDescent="0.2">
      <c r="A9" s="15" t="s">
        <v>24</v>
      </c>
      <c r="B9" s="435" t="s">
        <v>25</v>
      </c>
      <c r="C9" s="184" t="s">
        <v>22</v>
      </c>
      <c r="D9" s="16" t="s">
        <v>26</v>
      </c>
      <c r="E9" s="15" t="s">
        <v>27</v>
      </c>
      <c r="F9" s="62">
        <f>MC!J13</f>
        <v>42.9</v>
      </c>
      <c r="G9" s="117">
        <v>12.59</v>
      </c>
      <c r="H9" s="20">
        <f>TRUNC(ROUND(G9*(1+$F$4),2),2)</f>
        <v>16.61</v>
      </c>
      <c r="I9" s="8">
        <f t="shared" ref="I9:I27" si="0">TRUNC(ROUND(F9*H9,2),2)</f>
        <v>712.57</v>
      </c>
    </row>
    <row r="10" spans="1:10" x14ac:dyDescent="0.2">
      <c r="A10" s="15" t="s">
        <v>28</v>
      </c>
      <c r="B10" s="435" t="s">
        <v>29</v>
      </c>
      <c r="C10" s="184" t="s">
        <v>22</v>
      </c>
      <c r="D10" s="16" t="s">
        <v>30</v>
      </c>
      <c r="E10" s="15" t="s">
        <v>27</v>
      </c>
      <c r="F10" s="62">
        <f>MC!J20</f>
        <v>93.432400000000015</v>
      </c>
      <c r="G10" s="117">
        <v>44.96</v>
      </c>
      <c r="H10" s="20">
        <f t="shared" ref="H10:H27" si="1">TRUNC(ROUND(G10*(1+$F$4),2),2)</f>
        <v>59.33</v>
      </c>
      <c r="I10" s="8">
        <f t="shared" si="0"/>
        <v>5543.34</v>
      </c>
    </row>
    <row r="11" spans="1:10" x14ac:dyDescent="0.2">
      <c r="A11" s="15" t="s">
        <v>31</v>
      </c>
      <c r="B11" s="435" t="s">
        <v>32</v>
      </c>
      <c r="C11" s="184" t="s">
        <v>22</v>
      </c>
      <c r="D11" s="16" t="s">
        <v>33</v>
      </c>
      <c r="E11" s="15" t="s">
        <v>27</v>
      </c>
      <c r="F11" s="62">
        <f>MC!J28</f>
        <v>51.185999999999993</v>
      </c>
      <c r="G11" s="117">
        <v>8.99</v>
      </c>
      <c r="H11" s="20">
        <f t="shared" si="1"/>
        <v>11.86</v>
      </c>
      <c r="I11" s="8">
        <f t="shared" si="0"/>
        <v>607.07000000000005</v>
      </c>
    </row>
    <row r="12" spans="1:10" x14ac:dyDescent="0.2">
      <c r="A12" s="15" t="s">
        <v>34</v>
      </c>
      <c r="B12" s="435" t="s">
        <v>35</v>
      </c>
      <c r="C12" s="184" t="s">
        <v>22</v>
      </c>
      <c r="D12" s="16" t="s">
        <v>36</v>
      </c>
      <c r="E12" s="15" t="s">
        <v>37</v>
      </c>
      <c r="F12" s="62">
        <f>MC!J33</f>
        <v>0.29264300000000004</v>
      </c>
      <c r="G12" s="117">
        <v>53.96</v>
      </c>
      <c r="H12" s="20">
        <f t="shared" si="1"/>
        <v>71.209999999999994</v>
      </c>
      <c r="I12" s="8">
        <f t="shared" si="0"/>
        <v>20.84</v>
      </c>
    </row>
    <row r="13" spans="1:10" x14ac:dyDescent="0.2">
      <c r="A13" s="15" t="s">
        <v>38</v>
      </c>
      <c r="B13" s="435" t="s">
        <v>39</v>
      </c>
      <c r="C13" s="184" t="s">
        <v>22</v>
      </c>
      <c r="D13" s="16" t="s">
        <v>40</v>
      </c>
      <c r="E13" s="15" t="s">
        <v>27</v>
      </c>
      <c r="F13" s="62">
        <f>MC!J51</f>
        <v>12.1106</v>
      </c>
      <c r="G13" s="117">
        <v>14.39</v>
      </c>
      <c r="H13" s="20">
        <f t="shared" si="1"/>
        <v>18.989999999999998</v>
      </c>
      <c r="I13" s="8">
        <f t="shared" si="0"/>
        <v>229.98</v>
      </c>
    </row>
    <row r="14" spans="1:10" x14ac:dyDescent="0.2">
      <c r="A14" s="15" t="s">
        <v>41</v>
      </c>
      <c r="B14" s="435" t="s">
        <v>42</v>
      </c>
      <c r="C14" s="184" t="s">
        <v>22</v>
      </c>
      <c r="D14" s="16" t="s">
        <v>43</v>
      </c>
      <c r="E14" s="15" t="s">
        <v>27</v>
      </c>
      <c r="F14" s="62">
        <f>MC!J63</f>
        <v>470.35</v>
      </c>
      <c r="G14" s="117">
        <v>11.1</v>
      </c>
      <c r="H14" s="20">
        <f t="shared" si="1"/>
        <v>14.65</v>
      </c>
      <c r="I14" s="8">
        <f t="shared" si="0"/>
        <v>6890.63</v>
      </c>
    </row>
    <row r="15" spans="1:10" x14ac:dyDescent="0.2">
      <c r="A15" s="15" t="s">
        <v>44</v>
      </c>
      <c r="B15" s="435" t="s">
        <v>45</v>
      </c>
      <c r="C15" s="184" t="s">
        <v>22</v>
      </c>
      <c r="D15" s="16" t="s">
        <v>46</v>
      </c>
      <c r="E15" s="15" t="s">
        <v>47</v>
      </c>
      <c r="F15" s="62">
        <f>MC!J69</f>
        <v>8</v>
      </c>
      <c r="G15" s="117">
        <v>18.600000000000001</v>
      </c>
      <c r="H15" s="20">
        <f t="shared" si="1"/>
        <v>24.54</v>
      </c>
      <c r="I15" s="8">
        <f t="shared" si="0"/>
        <v>196.32</v>
      </c>
      <c r="J15" s="203"/>
    </row>
    <row r="16" spans="1:10" x14ac:dyDescent="0.2">
      <c r="A16" s="15" t="s">
        <v>48</v>
      </c>
      <c r="B16" s="435" t="s">
        <v>49</v>
      </c>
      <c r="C16" s="184" t="s">
        <v>22</v>
      </c>
      <c r="D16" s="16" t="s">
        <v>50</v>
      </c>
      <c r="E16" s="15" t="s">
        <v>27</v>
      </c>
      <c r="F16" s="62">
        <f>MC!J74</f>
        <v>0.74990000000000001</v>
      </c>
      <c r="G16" s="117">
        <v>15.85</v>
      </c>
      <c r="H16" s="20">
        <f t="shared" si="1"/>
        <v>20.92</v>
      </c>
      <c r="I16" s="8">
        <f t="shared" si="0"/>
        <v>15.69</v>
      </c>
    </row>
    <row r="17" spans="1:76" x14ac:dyDescent="0.2">
      <c r="A17" s="15" t="s">
        <v>51</v>
      </c>
      <c r="B17" s="435" t="s">
        <v>52</v>
      </c>
      <c r="C17" s="184" t="s">
        <v>22</v>
      </c>
      <c r="D17" s="16" t="s">
        <v>53</v>
      </c>
      <c r="E17" s="15" t="s">
        <v>27</v>
      </c>
      <c r="F17" s="62">
        <f>MC!J80</f>
        <v>70.180000000000007</v>
      </c>
      <c r="G17" s="117">
        <v>6.04</v>
      </c>
      <c r="H17" s="20">
        <f t="shared" si="1"/>
        <v>7.97</v>
      </c>
      <c r="I17" s="8">
        <f t="shared" si="0"/>
        <v>559.33000000000004</v>
      </c>
    </row>
    <row r="18" spans="1:76" x14ac:dyDescent="0.2">
      <c r="A18" s="15" t="s">
        <v>54</v>
      </c>
      <c r="B18" s="435" t="s">
        <v>55</v>
      </c>
      <c r="C18" s="184" t="s">
        <v>22</v>
      </c>
      <c r="D18" s="16" t="s">
        <v>56</v>
      </c>
      <c r="E18" s="15" t="s">
        <v>47</v>
      </c>
      <c r="F18" s="62">
        <f>MC!J120</f>
        <v>72</v>
      </c>
      <c r="G18" s="117">
        <v>9.84</v>
      </c>
      <c r="H18" s="20">
        <f t="shared" si="1"/>
        <v>12.98</v>
      </c>
      <c r="I18" s="8">
        <f t="shared" si="0"/>
        <v>934.56</v>
      </c>
    </row>
    <row r="19" spans="1:76" x14ac:dyDescent="0.2">
      <c r="A19" s="15" t="s">
        <v>57</v>
      </c>
      <c r="B19" s="435" t="s">
        <v>58</v>
      </c>
      <c r="C19" s="184" t="s">
        <v>22</v>
      </c>
      <c r="D19" s="16" t="s">
        <v>59</v>
      </c>
      <c r="E19" s="15" t="s">
        <v>27</v>
      </c>
      <c r="F19" s="62">
        <f>MC!J124</f>
        <v>19.151999999999997</v>
      </c>
      <c r="G19" s="117">
        <v>21.48</v>
      </c>
      <c r="H19" s="20">
        <f t="shared" si="1"/>
        <v>28.35</v>
      </c>
      <c r="I19" s="8">
        <f t="shared" si="0"/>
        <v>542.96</v>
      </c>
      <c r="K19" s="214"/>
    </row>
    <row r="20" spans="1:76" x14ac:dyDescent="0.2">
      <c r="A20" s="15" t="s">
        <v>60</v>
      </c>
      <c r="B20" s="435" t="s">
        <v>61</v>
      </c>
      <c r="C20" s="184" t="s">
        <v>22</v>
      </c>
      <c r="D20" s="16" t="s">
        <v>62</v>
      </c>
      <c r="E20" s="15" t="s">
        <v>27</v>
      </c>
      <c r="F20" s="62">
        <f>MC!J128</f>
        <v>558.07720000000006</v>
      </c>
      <c r="G20" s="117">
        <v>6.86</v>
      </c>
      <c r="H20" s="20">
        <f t="shared" si="1"/>
        <v>9.0500000000000007</v>
      </c>
      <c r="I20" s="8">
        <f t="shared" si="0"/>
        <v>5050.6000000000004</v>
      </c>
    </row>
    <row r="21" spans="1:76" x14ac:dyDescent="0.2">
      <c r="A21" s="15" t="s">
        <v>63</v>
      </c>
      <c r="B21" s="435" t="s">
        <v>64</v>
      </c>
      <c r="C21" s="184" t="s">
        <v>22</v>
      </c>
      <c r="D21" s="16" t="s">
        <v>65</v>
      </c>
      <c r="E21" s="15" t="s">
        <v>47</v>
      </c>
      <c r="F21" s="62">
        <f>MC!J132</f>
        <v>1</v>
      </c>
      <c r="G21" s="117">
        <v>13.36</v>
      </c>
      <c r="H21" s="20">
        <f t="shared" si="1"/>
        <v>17.63</v>
      </c>
      <c r="I21" s="8">
        <f t="shared" si="0"/>
        <v>17.63</v>
      </c>
    </row>
    <row r="22" spans="1:76" x14ac:dyDescent="0.2">
      <c r="A22" s="15" t="s">
        <v>66</v>
      </c>
      <c r="B22" s="435" t="s">
        <v>67</v>
      </c>
      <c r="C22" s="184" t="s">
        <v>22</v>
      </c>
      <c r="D22" s="16" t="s">
        <v>68</v>
      </c>
      <c r="E22" s="15" t="s">
        <v>47</v>
      </c>
      <c r="F22" s="62">
        <f>MC!J139</f>
        <v>6</v>
      </c>
      <c r="G22" s="117">
        <v>9.84</v>
      </c>
      <c r="H22" s="20">
        <f t="shared" si="1"/>
        <v>12.98</v>
      </c>
      <c r="I22" s="8">
        <f t="shared" si="0"/>
        <v>77.88</v>
      </c>
    </row>
    <row r="23" spans="1:76" x14ac:dyDescent="0.2">
      <c r="A23" s="15" t="s">
        <v>69</v>
      </c>
      <c r="B23" s="435" t="s">
        <v>70</v>
      </c>
      <c r="C23" s="184" t="s">
        <v>22</v>
      </c>
      <c r="D23" s="16" t="s">
        <v>71</v>
      </c>
      <c r="E23" s="15" t="s">
        <v>27</v>
      </c>
      <c r="F23" s="62">
        <f>MC!J144</f>
        <v>577.22920000000011</v>
      </c>
      <c r="G23" s="117">
        <v>26.19</v>
      </c>
      <c r="H23" s="20">
        <f t="shared" si="1"/>
        <v>34.56</v>
      </c>
      <c r="I23" s="8">
        <f t="shared" si="0"/>
        <v>19949.04</v>
      </c>
    </row>
    <row r="24" spans="1:76" x14ac:dyDescent="0.2">
      <c r="A24" s="15" t="s">
        <v>72</v>
      </c>
      <c r="B24" s="435" t="s">
        <v>73</v>
      </c>
      <c r="C24" s="184" t="s">
        <v>22</v>
      </c>
      <c r="D24" s="16" t="s">
        <v>74</v>
      </c>
      <c r="E24" s="15" t="s">
        <v>75</v>
      </c>
      <c r="F24" s="62">
        <f>MC!J151</f>
        <v>14.7</v>
      </c>
      <c r="G24" s="436">
        <v>2.23</v>
      </c>
      <c r="H24" s="20">
        <f t="shared" si="1"/>
        <v>2.94</v>
      </c>
      <c r="I24" s="8">
        <f t="shared" si="0"/>
        <v>43.22</v>
      </c>
    </row>
    <row r="25" spans="1:76" x14ac:dyDescent="0.2">
      <c r="A25" s="15" t="s">
        <v>76</v>
      </c>
      <c r="B25" s="435" t="s">
        <v>77</v>
      </c>
      <c r="C25" s="184" t="s">
        <v>22</v>
      </c>
      <c r="D25" s="16" t="s">
        <v>78</v>
      </c>
      <c r="E25" s="15" t="s">
        <v>47</v>
      </c>
      <c r="F25" s="62">
        <f>MC!J155</f>
        <v>11</v>
      </c>
      <c r="G25" s="117">
        <v>18.37</v>
      </c>
      <c r="H25" s="20">
        <f t="shared" si="1"/>
        <v>24.24</v>
      </c>
      <c r="I25" s="8">
        <f t="shared" si="0"/>
        <v>266.64</v>
      </c>
    </row>
    <row r="26" spans="1:76" x14ac:dyDescent="0.2">
      <c r="A26" s="353" t="s">
        <v>79</v>
      </c>
      <c r="B26" s="437" t="s">
        <v>80</v>
      </c>
      <c r="C26" s="184" t="s">
        <v>22</v>
      </c>
      <c r="D26" s="254" t="s">
        <v>81</v>
      </c>
      <c r="E26" s="252"/>
      <c r="F26" s="251"/>
      <c r="G26" s="436"/>
      <c r="H26" s="20"/>
      <c r="I26" s="8"/>
      <c r="J26" s="203"/>
      <c r="K26" s="203"/>
      <c r="L26" s="203"/>
      <c r="M26" s="203"/>
      <c r="N26" s="203"/>
      <c r="O26" s="203"/>
      <c r="P26" s="203"/>
      <c r="Q26" s="203"/>
      <c r="R26" s="203"/>
      <c r="S26" s="203"/>
      <c r="T26" s="203"/>
      <c r="U26" s="203"/>
      <c r="V26" s="203"/>
      <c r="W26" s="203"/>
      <c r="X26" s="203"/>
      <c r="Y26" s="203"/>
      <c r="Z26" s="203"/>
      <c r="AA26" s="203"/>
      <c r="AB26" s="203"/>
      <c r="AC26" s="203"/>
      <c r="AD26" s="203"/>
      <c r="AE26" s="203"/>
      <c r="AF26" s="203"/>
      <c r="AG26" s="203"/>
      <c r="AH26" s="203"/>
      <c r="AI26" s="203"/>
      <c r="AJ26" s="203"/>
      <c r="AK26" s="203"/>
      <c r="AL26" s="203"/>
      <c r="AM26" s="203"/>
      <c r="AN26" s="203"/>
      <c r="AO26" s="203"/>
      <c r="AP26" s="203"/>
      <c r="AQ26" s="203"/>
      <c r="AR26" s="203"/>
      <c r="AS26" s="203"/>
      <c r="AT26" s="203"/>
      <c r="AU26" s="203"/>
      <c r="AV26" s="203"/>
      <c r="AW26" s="203"/>
      <c r="AX26" s="203"/>
      <c r="AY26" s="203"/>
      <c r="AZ26" s="203"/>
      <c r="BA26" s="203"/>
      <c r="BB26" s="203"/>
      <c r="BC26" s="203"/>
      <c r="BD26" s="203"/>
      <c r="BE26" s="203"/>
      <c r="BF26" s="203"/>
      <c r="BG26" s="203"/>
      <c r="BH26" s="203"/>
      <c r="BI26" s="203"/>
      <c r="BJ26" s="203"/>
      <c r="BK26" s="203"/>
      <c r="BL26" s="203"/>
      <c r="BM26" s="203"/>
      <c r="BN26" s="203"/>
      <c r="BO26" s="203"/>
      <c r="BP26" s="203"/>
      <c r="BQ26" s="203"/>
      <c r="BR26" s="203"/>
      <c r="BS26" s="203"/>
      <c r="BT26" s="203"/>
      <c r="BU26" s="203"/>
      <c r="BV26" s="203"/>
      <c r="BW26" s="203"/>
      <c r="BX26" s="203"/>
    </row>
    <row r="27" spans="1:76" x14ac:dyDescent="0.2">
      <c r="A27" s="252" t="s">
        <v>82</v>
      </c>
      <c r="B27" s="438" t="s">
        <v>83</v>
      </c>
      <c r="C27" s="184" t="s">
        <v>22</v>
      </c>
      <c r="D27" s="253" t="s">
        <v>84</v>
      </c>
      <c r="E27" s="252" t="s">
        <v>27</v>
      </c>
      <c r="F27" s="251">
        <f>MC!J160</f>
        <v>500</v>
      </c>
      <c r="G27" s="436">
        <v>3.96</v>
      </c>
      <c r="H27" s="20">
        <f t="shared" si="1"/>
        <v>5.23</v>
      </c>
      <c r="I27" s="8">
        <f t="shared" si="0"/>
        <v>2615</v>
      </c>
      <c r="J27" s="203"/>
      <c r="K27" s="203"/>
      <c r="L27" s="203"/>
      <c r="M27" s="203"/>
      <c r="N27" s="203"/>
      <c r="O27" s="203"/>
      <c r="P27" s="203"/>
      <c r="Q27" s="203"/>
      <c r="R27" s="203"/>
      <c r="S27" s="203"/>
      <c r="T27" s="203"/>
      <c r="U27" s="203"/>
      <c r="V27" s="203"/>
      <c r="W27" s="203"/>
      <c r="X27" s="203"/>
      <c r="Y27" s="203"/>
      <c r="Z27" s="203"/>
      <c r="AA27" s="203"/>
      <c r="AB27" s="203"/>
      <c r="AC27" s="203"/>
      <c r="AD27" s="203"/>
      <c r="AE27" s="203"/>
      <c r="AF27" s="203"/>
      <c r="AG27" s="203"/>
      <c r="AH27" s="203"/>
      <c r="AI27" s="203"/>
      <c r="AJ27" s="203"/>
      <c r="AK27" s="203"/>
      <c r="AL27" s="203"/>
      <c r="AM27" s="203"/>
      <c r="AN27" s="203"/>
      <c r="AO27" s="203"/>
      <c r="AP27" s="203"/>
      <c r="AQ27" s="203"/>
      <c r="AR27" s="203"/>
      <c r="AS27" s="203"/>
      <c r="AT27" s="203"/>
      <c r="AU27" s="203"/>
      <c r="AV27" s="203"/>
      <c r="AW27" s="203"/>
      <c r="AX27" s="203"/>
      <c r="AY27" s="203"/>
      <c r="AZ27" s="203"/>
      <c r="BA27" s="203"/>
      <c r="BB27" s="203"/>
      <c r="BC27" s="203"/>
      <c r="BD27" s="203"/>
      <c r="BE27" s="203"/>
      <c r="BF27" s="203"/>
      <c r="BG27" s="203"/>
      <c r="BH27" s="203"/>
      <c r="BI27" s="203"/>
      <c r="BJ27" s="203"/>
      <c r="BK27" s="203"/>
      <c r="BL27" s="203"/>
      <c r="BM27" s="203"/>
      <c r="BN27" s="203"/>
      <c r="BO27" s="203"/>
      <c r="BP27" s="203"/>
      <c r="BQ27" s="203"/>
      <c r="BR27" s="203"/>
      <c r="BS27" s="203"/>
      <c r="BT27" s="203"/>
      <c r="BU27" s="203"/>
      <c r="BV27" s="203"/>
      <c r="BW27" s="203"/>
      <c r="BX27" s="203"/>
    </row>
    <row r="28" spans="1:76" x14ac:dyDescent="0.2">
      <c r="A28" s="9"/>
      <c r="B28" s="9"/>
      <c r="C28" s="5"/>
      <c r="D28" s="23" t="s">
        <v>85</v>
      </c>
      <c r="E28" s="5"/>
      <c r="F28" s="5"/>
      <c r="G28" s="57"/>
      <c r="H28" s="57"/>
      <c r="I28" s="68">
        <f>SUM(I8:I27)</f>
        <v>44273.3</v>
      </c>
    </row>
    <row r="29" spans="1:76" x14ac:dyDescent="0.2">
      <c r="A29" s="5">
        <v>2</v>
      </c>
      <c r="B29" s="9" t="s">
        <v>86</v>
      </c>
      <c r="C29" s="5"/>
      <c r="D29" s="7" t="s">
        <v>87</v>
      </c>
      <c r="E29" s="5"/>
      <c r="F29" s="5"/>
      <c r="G29" s="57"/>
      <c r="H29" s="57"/>
      <c r="I29" s="5"/>
    </row>
    <row r="30" spans="1:76" x14ac:dyDescent="0.2">
      <c r="A30" s="157" t="s">
        <v>88</v>
      </c>
      <c r="B30" s="10" t="s">
        <v>89</v>
      </c>
      <c r="C30" s="119" t="s">
        <v>22</v>
      </c>
      <c r="D30" s="14" t="s">
        <v>90</v>
      </c>
      <c r="E30" s="15"/>
      <c r="F30" s="15"/>
      <c r="G30" s="56"/>
      <c r="H30" s="20"/>
      <c r="I30" s="8"/>
      <c r="K30" s="386"/>
    </row>
    <row r="31" spans="1:76" x14ac:dyDescent="0.2">
      <c r="A31" s="15" t="s">
        <v>91</v>
      </c>
      <c r="B31" s="435" t="s">
        <v>92</v>
      </c>
      <c r="C31" s="119" t="s">
        <v>22</v>
      </c>
      <c r="D31" s="16" t="s">
        <v>93</v>
      </c>
      <c r="E31" s="15" t="s">
        <v>27</v>
      </c>
      <c r="F31" s="62">
        <f>MC!J166</f>
        <v>8</v>
      </c>
      <c r="G31" s="117">
        <v>242.13</v>
      </c>
      <c r="H31" s="20">
        <f>TRUNC(ROUND(G31*(1+$F$4),2),2)</f>
        <v>319.51</v>
      </c>
      <c r="I31" s="8">
        <f t="shared" ref="I31:I33" si="2">TRUNC(ROUND(F31*H31,2),2)</f>
        <v>2556.08</v>
      </c>
    </row>
    <row r="32" spans="1:76" x14ac:dyDescent="0.2">
      <c r="A32" s="15" t="s">
        <v>94</v>
      </c>
      <c r="B32" s="435" t="s">
        <v>95</v>
      </c>
      <c r="C32" s="119" t="s">
        <v>22</v>
      </c>
      <c r="D32" s="16" t="s">
        <v>96</v>
      </c>
      <c r="E32" s="15" t="s">
        <v>47</v>
      </c>
      <c r="F32" s="62">
        <f>MC!J170</f>
        <v>1</v>
      </c>
      <c r="G32" s="117">
        <v>1530</v>
      </c>
      <c r="H32" s="20">
        <f>TRUNC(ROUND(G32*(1+$F$4),2),2)</f>
        <v>2018.99</v>
      </c>
      <c r="I32" s="8">
        <f>TRUNC(ROUND(F32*H32,2),2)</f>
        <v>2018.99</v>
      </c>
    </row>
    <row r="33" spans="1:11" ht="38.25" x14ac:dyDescent="0.2">
      <c r="A33" s="15" t="s">
        <v>97</v>
      </c>
      <c r="B33" s="435" t="s">
        <v>98</v>
      </c>
      <c r="C33" s="119" t="s">
        <v>22</v>
      </c>
      <c r="D33" s="16" t="s">
        <v>99</v>
      </c>
      <c r="E33" s="15" t="s">
        <v>100</v>
      </c>
      <c r="F33" s="62">
        <f>MC!J174</f>
        <v>6</v>
      </c>
      <c r="G33" s="117">
        <v>664.25</v>
      </c>
      <c r="H33" s="20">
        <f>TRUNC(ROUND(G33*(1+$F$4),2),2)</f>
        <v>876.54</v>
      </c>
      <c r="I33" s="8">
        <f t="shared" si="2"/>
        <v>5259.24</v>
      </c>
      <c r="J33" s="439"/>
    </row>
    <row r="34" spans="1:11" x14ac:dyDescent="0.2">
      <c r="A34" s="9"/>
      <c r="B34" s="9"/>
      <c r="C34" s="5"/>
      <c r="D34" s="23" t="s">
        <v>101</v>
      </c>
      <c r="E34" s="5"/>
      <c r="F34" s="5"/>
      <c r="G34" s="57"/>
      <c r="H34" s="57"/>
      <c r="I34" s="68">
        <f>SUM(I31:I33)</f>
        <v>9834.31</v>
      </c>
    </row>
    <row r="35" spans="1:11" x14ac:dyDescent="0.2">
      <c r="A35" s="9">
        <v>3</v>
      </c>
      <c r="B35" s="9" t="s">
        <v>102</v>
      </c>
      <c r="C35" s="5"/>
      <c r="D35" s="193" t="s">
        <v>103</v>
      </c>
      <c r="E35" s="5"/>
      <c r="F35" s="5"/>
      <c r="G35" s="57"/>
      <c r="H35" s="57"/>
      <c r="I35" s="68"/>
    </row>
    <row r="36" spans="1:11" x14ac:dyDescent="0.2">
      <c r="A36" s="11" t="s">
        <v>104</v>
      </c>
      <c r="B36" s="10" t="s">
        <v>105</v>
      </c>
      <c r="C36" s="119" t="s">
        <v>22</v>
      </c>
      <c r="D36" s="218" t="s">
        <v>106</v>
      </c>
      <c r="E36" s="218"/>
      <c r="F36" s="218"/>
      <c r="G36" s="218"/>
      <c r="H36" s="218"/>
      <c r="I36" s="218"/>
      <c r="K36" s="386"/>
    </row>
    <row r="37" spans="1:11" ht="38.25" x14ac:dyDescent="0.2">
      <c r="A37" s="119" t="s">
        <v>107</v>
      </c>
      <c r="B37" s="219" t="s">
        <v>108</v>
      </c>
      <c r="C37" s="119" t="s">
        <v>22</v>
      </c>
      <c r="D37" s="197" t="s">
        <v>109</v>
      </c>
      <c r="E37" s="119" t="s">
        <v>37</v>
      </c>
      <c r="F37" s="62">
        <f>MC!J189</f>
        <v>88.870110200000013</v>
      </c>
      <c r="G37" s="117">
        <v>73.319999999999993</v>
      </c>
      <c r="H37" s="198">
        <f>TRUNC(ROUND(G37*(1+$F$4),2),2)</f>
        <v>96.75</v>
      </c>
      <c r="I37" s="185">
        <f>TRUNC(ROUND(F37*H37,2),2)</f>
        <v>8598.18</v>
      </c>
    </row>
    <row r="38" spans="1:11" x14ac:dyDescent="0.2">
      <c r="A38" s="9"/>
      <c r="B38" s="9"/>
      <c r="C38" s="5"/>
      <c r="D38" s="23" t="s">
        <v>110</v>
      </c>
      <c r="E38" s="5"/>
      <c r="F38" s="5"/>
      <c r="G38" s="57"/>
      <c r="H38" s="57"/>
      <c r="I38" s="68">
        <f>SUM(I37:I37)</f>
        <v>8598.18</v>
      </c>
    </row>
    <row r="39" spans="1:11" x14ac:dyDescent="0.2">
      <c r="A39" s="5">
        <v>4</v>
      </c>
      <c r="B39" s="9" t="s">
        <v>111</v>
      </c>
      <c r="C39" s="5"/>
      <c r="D39" s="193" t="s">
        <v>112</v>
      </c>
      <c r="E39" s="5"/>
      <c r="F39" s="5"/>
      <c r="G39" s="5"/>
      <c r="H39" s="5"/>
      <c r="I39" s="5"/>
    </row>
    <row r="40" spans="1:11" x14ac:dyDescent="0.2">
      <c r="A40" s="11" t="s">
        <v>113</v>
      </c>
      <c r="B40" s="10" t="s">
        <v>114</v>
      </c>
      <c r="C40" s="119" t="s">
        <v>22</v>
      </c>
      <c r="D40" s="14" t="s">
        <v>115</v>
      </c>
      <c r="E40" s="119"/>
      <c r="F40" s="62"/>
      <c r="G40" s="117"/>
      <c r="H40" s="119"/>
      <c r="I40" s="119"/>
    </row>
    <row r="41" spans="1:11" ht="25.5" x14ac:dyDescent="0.2">
      <c r="A41" s="119" t="s">
        <v>116</v>
      </c>
      <c r="B41" s="219" t="s">
        <v>117</v>
      </c>
      <c r="C41" s="119" t="s">
        <v>22</v>
      </c>
      <c r="D41" s="197" t="s">
        <v>118</v>
      </c>
      <c r="E41" s="119" t="s">
        <v>27</v>
      </c>
      <c r="F41" s="62">
        <f>MC!J195</f>
        <v>0.89999999999999991</v>
      </c>
      <c r="G41" s="117">
        <v>79.25</v>
      </c>
      <c r="H41" s="350">
        <f>TRUNC(ROUND(G41*(1+$F$4),2),2)</f>
        <v>104.58</v>
      </c>
      <c r="I41" s="351">
        <f>TRUNC(ROUND(F41*H41,2),2)</f>
        <v>94.12</v>
      </c>
    </row>
    <row r="42" spans="1:11" ht="25.5" x14ac:dyDescent="0.2">
      <c r="A42" s="119" t="s">
        <v>119</v>
      </c>
      <c r="B42" s="219" t="s">
        <v>120</v>
      </c>
      <c r="C42" s="119" t="s">
        <v>22</v>
      </c>
      <c r="D42" s="197" t="s">
        <v>121</v>
      </c>
      <c r="E42" s="119" t="s">
        <v>27</v>
      </c>
      <c r="F42" s="62">
        <f>MC!J199</f>
        <v>0.89999999999999991</v>
      </c>
      <c r="G42" s="117">
        <v>23.78</v>
      </c>
      <c r="H42" s="350">
        <f>TRUNC(ROUND(G42*(1+$F$4),2),2)</f>
        <v>31.38</v>
      </c>
      <c r="I42" s="351">
        <f>TRUNC(ROUND(F42*H42,2),2)</f>
        <v>28.24</v>
      </c>
    </row>
    <row r="43" spans="1:11" x14ac:dyDescent="0.2">
      <c r="A43" s="119" t="s">
        <v>122</v>
      </c>
      <c r="B43" s="219" t="s">
        <v>123</v>
      </c>
      <c r="C43" s="119" t="s">
        <v>22</v>
      </c>
      <c r="D43" s="197" t="s">
        <v>124</v>
      </c>
      <c r="E43" s="119" t="s">
        <v>27</v>
      </c>
      <c r="F43" s="62">
        <f>MC!J203</f>
        <v>0.89999999999999991</v>
      </c>
      <c r="G43" s="117">
        <v>78.88</v>
      </c>
      <c r="H43" s="350">
        <f t="shared" ref="H43:H50" si="3">TRUNC(ROUND(G43*(1+$F$4),2),2)</f>
        <v>104.09</v>
      </c>
      <c r="I43" s="351">
        <f t="shared" ref="I43:I50" si="4">TRUNC(ROUND(F43*H43,2),2)</f>
        <v>93.68</v>
      </c>
    </row>
    <row r="44" spans="1:11" ht="25.5" x14ac:dyDescent="0.2">
      <c r="A44" s="119" t="s">
        <v>125</v>
      </c>
      <c r="B44" s="219" t="s">
        <v>126</v>
      </c>
      <c r="C44" s="119" t="s">
        <v>22</v>
      </c>
      <c r="D44" s="197" t="s">
        <v>127</v>
      </c>
      <c r="E44" s="119" t="s">
        <v>27</v>
      </c>
      <c r="F44" s="62">
        <f>MC!J208</f>
        <v>0.89999999999999991</v>
      </c>
      <c r="G44" s="117">
        <v>409.5</v>
      </c>
      <c r="H44" s="350">
        <f t="shared" si="3"/>
        <v>540.38</v>
      </c>
      <c r="I44" s="351">
        <f t="shared" si="4"/>
        <v>486.34</v>
      </c>
    </row>
    <row r="45" spans="1:11" x14ac:dyDescent="0.2">
      <c r="A45" s="9"/>
      <c r="B45" s="9"/>
      <c r="C45" s="5"/>
      <c r="D45" s="23" t="s">
        <v>128</v>
      </c>
      <c r="E45" s="5"/>
      <c r="F45" s="5"/>
      <c r="G45" s="57"/>
      <c r="H45" s="57"/>
      <c r="I45" s="68">
        <f>SUM(I40:I44)</f>
        <v>702.38</v>
      </c>
    </row>
    <row r="46" spans="1:11" x14ac:dyDescent="0.2">
      <c r="A46" s="5">
        <v>5</v>
      </c>
      <c r="B46" s="9" t="s">
        <v>129</v>
      </c>
      <c r="C46" s="5"/>
      <c r="D46" s="193" t="s">
        <v>130</v>
      </c>
      <c r="E46" s="5"/>
      <c r="F46" s="5"/>
      <c r="G46" s="5"/>
      <c r="H46" s="5"/>
      <c r="I46" s="5"/>
    </row>
    <row r="47" spans="1:11" x14ac:dyDescent="0.2">
      <c r="A47" s="11" t="s">
        <v>131</v>
      </c>
      <c r="B47" s="388" t="s">
        <v>132</v>
      </c>
      <c r="C47" s="119" t="s">
        <v>22</v>
      </c>
      <c r="D47" s="14" t="s">
        <v>133</v>
      </c>
      <c r="E47" s="119"/>
      <c r="F47" s="62"/>
      <c r="G47" s="117"/>
      <c r="H47" s="198"/>
      <c r="I47" s="185"/>
    </row>
    <row r="48" spans="1:11" ht="25.5" x14ac:dyDescent="0.2">
      <c r="A48" s="119" t="s">
        <v>878</v>
      </c>
      <c r="B48" s="219" t="s">
        <v>134</v>
      </c>
      <c r="C48" s="119" t="s">
        <v>22</v>
      </c>
      <c r="D48" s="197" t="s">
        <v>135</v>
      </c>
      <c r="E48" s="119" t="s">
        <v>75</v>
      </c>
      <c r="F48" s="62">
        <f>MC!J215</f>
        <v>5.2</v>
      </c>
      <c r="G48" s="117">
        <v>9.9</v>
      </c>
      <c r="H48" s="198">
        <f>TRUNC(ROUND(G48*(1+$F$4),2),2)</f>
        <v>13.06</v>
      </c>
      <c r="I48" s="185">
        <f>TRUNC(ROUND(F48*H48,2),2)</f>
        <v>67.91</v>
      </c>
    </row>
    <row r="49" spans="1:9" ht="28.5" customHeight="1" x14ac:dyDescent="0.2">
      <c r="A49" s="11" t="s">
        <v>136</v>
      </c>
      <c r="B49" s="388" t="s">
        <v>137</v>
      </c>
      <c r="C49" s="119" t="s">
        <v>22</v>
      </c>
      <c r="D49" s="14" t="s">
        <v>138</v>
      </c>
      <c r="E49" s="119"/>
      <c r="F49" s="62"/>
      <c r="G49" s="117"/>
      <c r="H49" s="198"/>
      <c r="I49" s="185"/>
    </row>
    <row r="50" spans="1:9" ht="38.25" x14ac:dyDescent="0.2">
      <c r="A50" s="119" t="s">
        <v>139</v>
      </c>
      <c r="B50" s="219" t="s">
        <v>140</v>
      </c>
      <c r="C50" s="119" t="s">
        <v>22</v>
      </c>
      <c r="D50" s="197" t="s">
        <v>141</v>
      </c>
      <c r="E50" s="119" t="s">
        <v>27</v>
      </c>
      <c r="F50" s="62">
        <f>MC!J220</f>
        <v>0.54249999999999998</v>
      </c>
      <c r="G50" s="117">
        <v>63</v>
      </c>
      <c r="H50" s="198">
        <f t="shared" si="3"/>
        <v>83.13</v>
      </c>
      <c r="I50" s="185">
        <f t="shared" si="4"/>
        <v>45.1</v>
      </c>
    </row>
    <row r="51" spans="1:9" x14ac:dyDescent="0.2">
      <c r="A51" s="9"/>
      <c r="B51" s="9"/>
      <c r="C51" s="5"/>
      <c r="D51" s="23" t="s">
        <v>142</v>
      </c>
      <c r="E51" s="5"/>
      <c r="F51" s="5"/>
      <c r="G51" s="57"/>
      <c r="H51" s="57"/>
      <c r="I51" s="68">
        <f>SUM(I47:I50)</f>
        <v>113.00999999999999</v>
      </c>
    </row>
    <row r="52" spans="1:9" x14ac:dyDescent="0.2">
      <c r="A52" s="5">
        <v>6</v>
      </c>
      <c r="B52" s="9" t="s">
        <v>143</v>
      </c>
      <c r="C52" s="5"/>
      <c r="D52" s="193" t="s">
        <v>144</v>
      </c>
      <c r="E52" s="5"/>
      <c r="F52" s="5"/>
      <c r="G52" s="5"/>
      <c r="H52" s="5"/>
      <c r="I52" s="5"/>
    </row>
    <row r="53" spans="1:9" x14ac:dyDescent="0.2">
      <c r="A53" s="11" t="s">
        <v>145</v>
      </c>
      <c r="B53" s="10" t="s">
        <v>146</v>
      </c>
      <c r="C53" s="119" t="s">
        <v>22</v>
      </c>
      <c r="D53" s="218" t="s">
        <v>147</v>
      </c>
      <c r="E53" s="11"/>
      <c r="F53" s="11"/>
      <c r="G53" s="11"/>
      <c r="H53" s="11"/>
      <c r="I53" s="11"/>
    </row>
    <row r="54" spans="1:9" ht="25.5" x14ac:dyDescent="0.2">
      <c r="A54" s="119" t="s">
        <v>148</v>
      </c>
      <c r="B54" s="440" t="s">
        <v>886</v>
      </c>
      <c r="C54" s="119" t="s">
        <v>22</v>
      </c>
      <c r="D54" s="197" t="s">
        <v>149</v>
      </c>
      <c r="E54" s="119" t="s">
        <v>47</v>
      </c>
      <c r="F54" s="441">
        <f>MC!J226</f>
        <v>1</v>
      </c>
      <c r="G54" s="117">
        <v>418.85</v>
      </c>
      <c r="H54" s="350">
        <f t="shared" ref="H54" si="5">TRUNC(ROUND(G54*(1+$F$4),2),2)</f>
        <v>552.71</v>
      </c>
      <c r="I54" s="351">
        <f t="shared" ref="I54" si="6">TRUNC(ROUND(F54*H54,2),2)</f>
        <v>552.71</v>
      </c>
    </row>
    <row r="55" spans="1:9" ht="25.5" x14ac:dyDescent="0.2">
      <c r="A55" s="119" t="s">
        <v>150</v>
      </c>
      <c r="B55" s="219" t="s">
        <v>151</v>
      </c>
      <c r="C55" s="119" t="s">
        <v>22</v>
      </c>
      <c r="D55" s="197" t="s">
        <v>152</v>
      </c>
      <c r="E55" s="119" t="s">
        <v>47</v>
      </c>
      <c r="F55" s="62">
        <f>MC!J232</f>
        <v>3</v>
      </c>
      <c r="G55" s="117">
        <v>418.85</v>
      </c>
      <c r="H55" s="350">
        <f t="shared" ref="H55:H56" si="7">TRUNC(ROUND(G55*(1+$F$4),2),2)</f>
        <v>552.71</v>
      </c>
      <c r="I55" s="351">
        <f t="shared" ref="I55:I56" si="8">TRUNC(ROUND(F55*H55,2),2)</f>
        <v>1658.13</v>
      </c>
    </row>
    <row r="56" spans="1:9" ht="25.5" x14ac:dyDescent="0.2">
      <c r="A56" s="119" t="s">
        <v>153</v>
      </c>
      <c r="B56" s="219" t="s">
        <v>154</v>
      </c>
      <c r="C56" s="119" t="s">
        <v>22</v>
      </c>
      <c r="D56" s="197" t="s">
        <v>155</v>
      </c>
      <c r="E56" s="119" t="s">
        <v>47</v>
      </c>
      <c r="F56" s="62">
        <f>MC!J236</f>
        <v>1</v>
      </c>
      <c r="G56" s="117">
        <v>418.85</v>
      </c>
      <c r="H56" s="350">
        <f t="shared" si="7"/>
        <v>552.71</v>
      </c>
      <c r="I56" s="351">
        <f t="shared" si="8"/>
        <v>552.71</v>
      </c>
    </row>
    <row r="57" spans="1:9" ht="38.25" x14ac:dyDescent="0.2">
      <c r="A57" s="11" t="s">
        <v>156</v>
      </c>
      <c r="B57" s="10" t="s">
        <v>157</v>
      </c>
      <c r="C57" s="119" t="s">
        <v>22</v>
      </c>
      <c r="D57" s="306" t="s">
        <v>158</v>
      </c>
      <c r="E57" s="11"/>
      <c r="F57" s="11"/>
      <c r="G57" s="11"/>
      <c r="H57" s="11"/>
      <c r="I57" s="11"/>
    </row>
    <row r="58" spans="1:9" ht="38.25" x14ac:dyDescent="0.2">
      <c r="A58" s="119" t="s">
        <v>159</v>
      </c>
      <c r="B58" s="440" t="s">
        <v>887</v>
      </c>
      <c r="C58" s="119" t="s">
        <v>22</v>
      </c>
      <c r="D58" s="197" t="s">
        <v>160</v>
      </c>
      <c r="E58" s="119" t="s">
        <v>161</v>
      </c>
      <c r="F58" s="441">
        <f>MC!J241</f>
        <v>1</v>
      </c>
      <c r="G58" s="117">
        <v>1128.69</v>
      </c>
      <c r="H58" s="350">
        <f t="shared" ref="H58" si="9">TRUNC(ROUND(G58*(1+$F$4),2),2)</f>
        <v>1489.42</v>
      </c>
      <c r="I58" s="351">
        <f>TRUNC(ROUND(F58*H58,2),2)</f>
        <v>1489.42</v>
      </c>
    </row>
    <row r="59" spans="1:9" ht="38.25" x14ac:dyDescent="0.2">
      <c r="A59" s="119" t="s">
        <v>162</v>
      </c>
      <c r="B59" s="219" t="s">
        <v>163</v>
      </c>
      <c r="C59" s="119" t="s">
        <v>22</v>
      </c>
      <c r="D59" s="197" t="s">
        <v>164</v>
      </c>
      <c r="E59" s="119" t="s">
        <v>47</v>
      </c>
      <c r="F59" s="62">
        <f>MC!J247</f>
        <v>3</v>
      </c>
      <c r="G59" s="117">
        <v>1154.47</v>
      </c>
      <c r="H59" s="350">
        <f t="shared" ref="H59:H60" si="10">TRUNC(ROUND(G59*(1+$F$4),2),2)</f>
        <v>1523.44</v>
      </c>
      <c r="I59" s="351">
        <f t="shared" ref="I59:I60" si="11">TRUNC(ROUND(F59*H59,2),2)</f>
        <v>4570.32</v>
      </c>
    </row>
    <row r="60" spans="1:9" ht="38.25" x14ac:dyDescent="0.2">
      <c r="A60" s="119" t="s">
        <v>165</v>
      </c>
      <c r="B60" s="219" t="s">
        <v>166</v>
      </c>
      <c r="C60" s="119" t="s">
        <v>22</v>
      </c>
      <c r="D60" s="197" t="s">
        <v>167</v>
      </c>
      <c r="E60" s="119" t="s">
        <v>47</v>
      </c>
      <c r="F60" s="62">
        <f>MC!J251</f>
        <v>1</v>
      </c>
      <c r="G60" s="117">
        <v>1165.24</v>
      </c>
      <c r="H60" s="350">
        <f t="shared" si="10"/>
        <v>1537.65</v>
      </c>
      <c r="I60" s="351">
        <f t="shared" si="11"/>
        <v>1537.65</v>
      </c>
    </row>
    <row r="61" spans="1:9" x14ac:dyDescent="0.2">
      <c r="A61" s="9"/>
      <c r="B61" s="9"/>
      <c r="C61" s="5"/>
      <c r="D61" s="23" t="s">
        <v>168</v>
      </c>
      <c r="E61" s="5"/>
      <c r="F61" s="5"/>
      <c r="G61" s="57"/>
      <c r="H61" s="57"/>
      <c r="I61" s="68">
        <f>SUM(I54:I60)</f>
        <v>10360.94</v>
      </c>
    </row>
    <row r="62" spans="1:9" x14ac:dyDescent="0.2">
      <c r="A62" s="5">
        <v>7</v>
      </c>
      <c r="B62" s="9" t="s">
        <v>169</v>
      </c>
      <c r="C62" s="5"/>
      <c r="D62" s="193" t="s">
        <v>170</v>
      </c>
      <c r="E62" s="5"/>
      <c r="F62" s="5"/>
      <c r="G62" s="5"/>
      <c r="H62" s="5"/>
      <c r="I62" s="5"/>
    </row>
    <row r="63" spans="1:9" x14ac:dyDescent="0.2">
      <c r="A63" s="307" t="s">
        <v>171</v>
      </c>
      <c r="B63" s="313" t="s">
        <v>172</v>
      </c>
      <c r="C63" s="119" t="s">
        <v>22</v>
      </c>
      <c r="D63" s="308" t="s">
        <v>173</v>
      </c>
      <c r="E63" s="307"/>
      <c r="F63" s="307"/>
      <c r="G63" s="307"/>
      <c r="H63" s="307"/>
      <c r="I63" s="307"/>
    </row>
    <row r="64" spans="1:9" x14ac:dyDescent="0.2">
      <c r="A64" s="184" t="s">
        <v>879</v>
      </c>
      <c r="B64" s="271" t="s">
        <v>175</v>
      </c>
      <c r="C64" s="119" t="s">
        <v>22</v>
      </c>
      <c r="D64" s="272" t="s">
        <v>176</v>
      </c>
      <c r="E64" s="184" t="s">
        <v>27</v>
      </c>
      <c r="F64" s="251">
        <f>MC!J260</f>
        <v>6.5429999999999993</v>
      </c>
      <c r="G64" s="202">
        <v>374.16</v>
      </c>
      <c r="H64" s="198">
        <f>TRUNC(ROUND(G64*(1+$F$4),2),2)</f>
        <v>493.74</v>
      </c>
      <c r="I64" s="185">
        <f>TRUNC(ROUND(F64*H64,2),2)</f>
        <v>3230.54</v>
      </c>
    </row>
    <row r="65" spans="1:10" x14ac:dyDescent="0.2">
      <c r="A65" s="11" t="s">
        <v>177</v>
      </c>
      <c r="B65" s="10" t="s">
        <v>178</v>
      </c>
      <c r="C65" s="119" t="s">
        <v>22</v>
      </c>
      <c r="D65" s="218" t="s">
        <v>179</v>
      </c>
      <c r="E65" s="11"/>
      <c r="F65" s="11"/>
      <c r="G65" s="11"/>
      <c r="H65" s="11"/>
      <c r="I65" s="11"/>
    </row>
    <row r="66" spans="1:10" ht="25.5" x14ac:dyDescent="0.2">
      <c r="A66" s="119" t="s">
        <v>174</v>
      </c>
      <c r="B66" s="219" t="s">
        <v>180</v>
      </c>
      <c r="C66" s="119" t="s">
        <v>22</v>
      </c>
      <c r="D66" s="197" t="s">
        <v>181</v>
      </c>
      <c r="E66" s="119" t="s">
        <v>27</v>
      </c>
      <c r="F66" s="62">
        <f>MC!J265</f>
        <v>1.6819999999999999</v>
      </c>
      <c r="G66" s="117">
        <v>520.33000000000004</v>
      </c>
      <c r="H66" s="350">
        <f t="shared" ref="H66:H67" si="12">TRUNC(ROUND(G66*(1+$F$4),2),2)</f>
        <v>686.63</v>
      </c>
      <c r="I66" s="351">
        <f t="shared" ref="I66:I67" si="13">TRUNC(ROUND(F66*H66,2),2)</f>
        <v>1154.9100000000001</v>
      </c>
    </row>
    <row r="67" spans="1:10" ht="25.5" x14ac:dyDescent="0.2">
      <c r="A67" s="119" t="s">
        <v>182</v>
      </c>
      <c r="B67" s="219" t="s">
        <v>183</v>
      </c>
      <c r="C67" s="119" t="s">
        <v>22</v>
      </c>
      <c r="D67" s="197" t="s">
        <v>184</v>
      </c>
      <c r="E67" s="119" t="s">
        <v>27</v>
      </c>
      <c r="F67" s="62">
        <f>MC!J274</f>
        <v>6.0770999999999997</v>
      </c>
      <c r="G67" s="117">
        <v>609.38</v>
      </c>
      <c r="H67" s="350">
        <f t="shared" si="12"/>
        <v>804.14</v>
      </c>
      <c r="I67" s="351">
        <f t="shared" si="13"/>
        <v>4886.84</v>
      </c>
    </row>
    <row r="68" spans="1:10" ht="25.5" x14ac:dyDescent="0.2">
      <c r="A68" s="119" t="s">
        <v>185</v>
      </c>
      <c r="B68" s="219" t="s">
        <v>186</v>
      </c>
      <c r="C68" s="119" t="s">
        <v>22</v>
      </c>
      <c r="D68" s="197" t="s">
        <v>187</v>
      </c>
      <c r="E68" s="119" t="s">
        <v>27</v>
      </c>
      <c r="F68" s="62">
        <f>MC!J281</f>
        <v>4.8</v>
      </c>
      <c r="G68" s="117">
        <v>949.4</v>
      </c>
      <c r="H68" s="350">
        <f t="shared" ref="H68" si="14">TRUNC(ROUND(G68*(1+$F$4),2),2)</f>
        <v>1252.83</v>
      </c>
      <c r="I68" s="351">
        <f t="shared" ref="I68" si="15">TRUNC(ROUND(F68*H68,2),2)</f>
        <v>6013.58</v>
      </c>
    </row>
    <row r="69" spans="1:10" x14ac:dyDescent="0.2">
      <c r="A69" s="9"/>
      <c r="B69" s="9"/>
      <c r="C69" s="5"/>
      <c r="D69" s="23" t="s">
        <v>202</v>
      </c>
      <c r="E69" s="5"/>
      <c r="F69" s="5"/>
      <c r="G69" s="57"/>
      <c r="H69" s="57"/>
      <c r="I69" s="68">
        <f>SUM(I63:I68)</f>
        <v>15285.87</v>
      </c>
    </row>
    <row r="70" spans="1:10" x14ac:dyDescent="0.2">
      <c r="A70" s="5">
        <v>8</v>
      </c>
      <c r="B70" s="9" t="s">
        <v>188</v>
      </c>
      <c r="C70" s="5"/>
      <c r="D70" s="193" t="s">
        <v>189</v>
      </c>
      <c r="E70" s="5"/>
      <c r="F70" s="5"/>
      <c r="G70" s="5"/>
      <c r="H70" s="5"/>
      <c r="I70" s="5"/>
    </row>
    <row r="71" spans="1:10" x14ac:dyDescent="0.2">
      <c r="A71" s="11" t="s">
        <v>190</v>
      </c>
      <c r="B71" s="10" t="s">
        <v>191</v>
      </c>
      <c r="C71" s="119" t="s">
        <v>22</v>
      </c>
      <c r="D71" s="14" t="s">
        <v>192</v>
      </c>
      <c r="E71" s="119"/>
      <c r="F71" s="62"/>
      <c r="G71" s="117"/>
      <c r="H71" s="198"/>
      <c r="I71" s="185"/>
    </row>
    <row r="72" spans="1:10" x14ac:dyDescent="0.2">
      <c r="A72" s="119" t="s">
        <v>193</v>
      </c>
      <c r="B72" s="219" t="s">
        <v>194</v>
      </c>
      <c r="C72" s="119" t="s">
        <v>22</v>
      </c>
      <c r="D72" s="197" t="s">
        <v>195</v>
      </c>
      <c r="E72" s="119" t="s">
        <v>27</v>
      </c>
      <c r="F72" s="62">
        <f>MC!J293</f>
        <v>7.7591000000000001</v>
      </c>
      <c r="G72" s="117">
        <v>315.7</v>
      </c>
      <c r="H72" s="198">
        <f t="shared" ref="H72" si="16">TRUNC(ROUND(G72*(1+$F$4),2),2)</f>
        <v>416.6</v>
      </c>
      <c r="I72" s="185">
        <f t="shared" ref="I72" si="17">TRUNC(ROUND(F72*H72,2),2)</f>
        <v>3232.44</v>
      </c>
    </row>
    <row r="73" spans="1:10" x14ac:dyDescent="0.2">
      <c r="A73" s="11" t="s">
        <v>196</v>
      </c>
      <c r="B73" s="10" t="s">
        <v>197</v>
      </c>
      <c r="C73" s="119" t="s">
        <v>22</v>
      </c>
      <c r="D73" s="14" t="s">
        <v>198</v>
      </c>
      <c r="E73" s="119"/>
      <c r="F73" s="62"/>
      <c r="G73" s="117"/>
      <c r="H73" s="198"/>
      <c r="I73" s="185"/>
    </row>
    <row r="74" spans="1:10" ht="25.5" x14ac:dyDescent="0.2">
      <c r="A74" s="119" t="s">
        <v>199</v>
      </c>
      <c r="B74" s="219" t="s">
        <v>200</v>
      </c>
      <c r="C74" s="119" t="s">
        <v>22</v>
      </c>
      <c r="D74" s="197" t="s">
        <v>201</v>
      </c>
      <c r="E74" s="119" t="s">
        <v>27</v>
      </c>
      <c r="F74" s="62">
        <f>MC!J298</f>
        <v>1.26</v>
      </c>
      <c r="G74" s="117">
        <v>660.36</v>
      </c>
      <c r="H74" s="198">
        <f t="shared" ref="H74" si="18">TRUNC(ROUND(G74*(1+$F$4),2),2)</f>
        <v>871.41</v>
      </c>
      <c r="I74" s="185">
        <f t="shared" ref="I74" si="19">TRUNC(ROUND(F74*H74,2),2)</f>
        <v>1097.98</v>
      </c>
    </row>
    <row r="75" spans="1:10" x14ac:dyDescent="0.2">
      <c r="A75" s="9"/>
      <c r="B75" s="9"/>
      <c r="C75" s="5"/>
      <c r="D75" s="23" t="s">
        <v>220</v>
      </c>
      <c r="E75" s="5"/>
      <c r="F75" s="5"/>
      <c r="G75" s="57"/>
      <c r="H75" s="57"/>
      <c r="I75" s="68">
        <f>SUM(I72:I74)</f>
        <v>4330.42</v>
      </c>
    </row>
    <row r="76" spans="1:10" x14ac:dyDescent="0.2">
      <c r="A76" s="5">
        <v>9</v>
      </c>
      <c r="B76" s="9" t="s">
        <v>203</v>
      </c>
      <c r="C76" s="5"/>
      <c r="D76" s="193" t="s">
        <v>204</v>
      </c>
      <c r="E76" s="5"/>
      <c r="F76" s="5"/>
      <c r="G76" s="5"/>
      <c r="H76" s="5"/>
      <c r="I76" s="5"/>
    </row>
    <row r="77" spans="1:10" x14ac:dyDescent="0.2">
      <c r="A77" s="11" t="s">
        <v>205</v>
      </c>
      <c r="B77" s="10" t="s">
        <v>206</v>
      </c>
      <c r="C77" s="119" t="s">
        <v>22</v>
      </c>
      <c r="D77" s="218" t="s">
        <v>207</v>
      </c>
      <c r="E77" s="11"/>
      <c r="F77" s="11"/>
      <c r="G77" s="11"/>
      <c r="H77" s="11"/>
      <c r="I77" s="11"/>
    </row>
    <row r="78" spans="1:10" x14ac:dyDescent="0.2">
      <c r="A78" s="119" t="s">
        <v>208</v>
      </c>
      <c r="B78" s="442" t="s">
        <v>209</v>
      </c>
      <c r="C78" s="119" t="s">
        <v>22</v>
      </c>
      <c r="D78" s="443" t="s">
        <v>210</v>
      </c>
      <c r="E78" s="119" t="s">
        <v>75</v>
      </c>
      <c r="F78" s="62">
        <f>MC!J303</f>
        <v>23.3</v>
      </c>
      <c r="G78" s="117">
        <v>203.8</v>
      </c>
      <c r="H78" s="350">
        <f>TRUNC(ROUND(G78*(1+$F$4),2),2)</f>
        <v>268.93</v>
      </c>
      <c r="I78" s="351">
        <f>TRUNC(ROUND(F78*H78,2),2)</f>
        <v>6266.07</v>
      </c>
      <c r="J78" s="203"/>
    </row>
    <row r="79" spans="1:10" ht="28.5" customHeight="1" x14ac:dyDescent="0.2">
      <c r="A79" s="119" t="s">
        <v>211</v>
      </c>
      <c r="B79" s="184" t="s">
        <v>212</v>
      </c>
      <c r="C79" s="119"/>
      <c r="D79" s="16" t="s">
        <v>213</v>
      </c>
      <c r="E79" s="119" t="s">
        <v>27</v>
      </c>
      <c r="F79" s="62">
        <f>MC!J309</f>
        <v>580.12</v>
      </c>
      <c r="G79" s="117">
        <f>'COMP-01'!I30</f>
        <v>237.12</v>
      </c>
      <c r="H79" s="20">
        <f>TRUNC(ROUND(G79*(1+$F$4),2),2)</f>
        <v>312.89999999999998</v>
      </c>
      <c r="I79" s="8">
        <f>TRUNC(ROUND(F79*H79,2),2)</f>
        <v>181519.55</v>
      </c>
    </row>
    <row r="80" spans="1:10" s="618" customFormat="1" ht="36.75" customHeight="1" x14ac:dyDescent="0.2">
      <c r="A80" s="613" t="s">
        <v>214</v>
      </c>
      <c r="B80" s="614" t="s">
        <v>215</v>
      </c>
      <c r="C80" s="614"/>
      <c r="D80" s="615" t="s">
        <v>216</v>
      </c>
      <c r="E80" s="613" t="s">
        <v>27</v>
      </c>
      <c r="F80" s="616">
        <f>MC!J314</f>
        <v>580.12</v>
      </c>
      <c r="G80" s="436">
        <f>'COMP-02'!I30</f>
        <v>59.26</v>
      </c>
      <c r="H80" s="350">
        <f>TRUNC(ROUND(G80*(1+$F$4),2),2)</f>
        <v>78.2</v>
      </c>
      <c r="I80" s="351">
        <f>TRUNC(ROUND(F80*H80,2),2)</f>
        <v>45365.38</v>
      </c>
      <c r="J80" s="617"/>
    </row>
    <row r="81" spans="1:76" s="618" customFormat="1" ht="25.5" x14ac:dyDescent="0.2">
      <c r="A81" s="613" t="s">
        <v>217</v>
      </c>
      <c r="B81" s="614" t="s">
        <v>218</v>
      </c>
      <c r="C81" s="614"/>
      <c r="D81" s="615" t="s">
        <v>219</v>
      </c>
      <c r="E81" s="613" t="s">
        <v>75</v>
      </c>
      <c r="F81" s="616">
        <f>MC!J318</f>
        <v>42.66</v>
      </c>
      <c r="G81" s="117">
        <f>'COMP-03'!I33</f>
        <v>77.7</v>
      </c>
      <c r="H81" s="350">
        <f>TRUNC(ROUND(G81*(1+$F$4),2),2)</f>
        <v>102.53</v>
      </c>
      <c r="I81" s="351">
        <f>TRUNC(ROUND(F81*H81,2),2)</f>
        <v>4373.93</v>
      </c>
    </row>
    <row r="82" spans="1:76" x14ac:dyDescent="0.2">
      <c r="A82" s="9"/>
      <c r="B82" s="9"/>
      <c r="C82" s="5"/>
      <c r="D82" s="23" t="s">
        <v>227</v>
      </c>
      <c r="E82" s="5"/>
      <c r="F82" s="5"/>
      <c r="G82" s="57"/>
      <c r="H82" s="57"/>
      <c r="I82" s="68">
        <f>SUM(I78:I81)</f>
        <v>237524.93</v>
      </c>
    </row>
    <row r="83" spans="1:76" x14ac:dyDescent="0.2">
      <c r="A83" s="5">
        <v>10</v>
      </c>
      <c r="B83" s="5">
        <v>10</v>
      </c>
      <c r="C83" s="5"/>
      <c r="D83" s="193" t="s">
        <v>221</v>
      </c>
      <c r="E83" s="5"/>
      <c r="F83" s="5"/>
      <c r="G83" s="5"/>
      <c r="H83" s="5"/>
      <c r="I83" s="5"/>
    </row>
    <row r="84" spans="1:76" ht="25.5" x14ac:dyDescent="0.2">
      <c r="A84" s="11" t="s">
        <v>222</v>
      </c>
      <c r="B84" s="11">
        <v>1002</v>
      </c>
      <c r="C84" s="119" t="s">
        <v>22</v>
      </c>
      <c r="D84" s="14" t="s">
        <v>223</v>
      </c>
      <c r="E84" s="119"/>
      <c r="F84" s="62"/>
      <c r="G84" s="117"/>
      <c r="H84" s="198"/>
      <c r="I84" s="185"/>
    </row>
    <row r="85" spans="1:76" ht="38.25" x14ac:dyDescent="0.2">
      <c r="A85" s="119" t="s">
        <v>224</v>
      </c>
      <c r="B85" s="219" t="s">
        <v>225</v>
      </c>
      <c r="C85" s="119" t="s">
        <v>22</v>
      </c>
      <c r="D85" s="197" t="s">
        <v>226</v>
      </c>
      <c r="E85" s="119" t="s">
        <v>27</v>
      </c>
      <c r="F85" s="62">
        <f>MC!J325</f>
        <v>30.756999999999998</v>
      </c>
      <c r="G85" s="117">
        <v>297.16000000000003</v>
      </c>
      <c r="H85" s="198">
        <f t="shared" ref="H85" si="20">TRUNC(ROUND(G85*(1+$F$4),2),2)</f>
        <v>392.13</v>
      </c>
      <c r="I85" s="185">
        <f t="shared" ref="I85" si="21">TRUNC(ROUND(F85*H85,2),2)</f>
        <v>12060.74</v>
      </c>
    </row>
    <row r="86" spans="1:76" x14ac:dyDescent="0.2">
      <c r="A86" s="9"/>
      <c r="B86" s="9"/>
      <c r="C86" s="5"/>
      <c r="D86" s="23" t="s">
        <v>244</v>
      </c>
      <c r="E86" s="5"/>
      <c r="F86" s="5"/>
      <c r="G86" s="57"/>
      <c r="H86" s="57"/>
      <c r="I86" s="68">
        <f>SUM(I85)</f>
        <v>12060.74</v>
      </c>
    </row>
    <row r="87" spans="1:76" x14ac:dyDescent="0.2">
      <c r="A87" s="5">
        <v>11</v>
      </c>
      <c r="B87" s="5">
        <v>11</v>
      </c>
      <c r="C87" s="5"/>
      <c r="D87" s="193" t="s">
        <v>228</v>
      </c>
      <c r="E87" s="5"/>
      <c r="F87" s="5"/>
      <c r="G87" s="5"/>
      <c r="H87" s="5"/>
      <c r="I87" s="5"/>
    </row>
    <row r="88" spans="1:76" x14ac:dyDescent="0.2">
      <c r="A88" s="11" t="s">
        <v>229</v>
      </c>
      <c r="B88" s="11">
        <v>1101</v>
      </c>
      <c r="C88" s="119" t="s">
        <v>22</v>
      </c>
      <c r="D88" s="14" t="s">
        <v>230</v>
      </c>
      <c r="E88" s="119"/>
      <c r="F88" s="62"/>
      <c r="G88" s="117"/>
      <c r="H88" s="198"/>
      <c r="I88" s="185"/>
    </row>
    <row r="89" spans="1:76" ht="25.5" x14ac:dyDescent="0.2">
      <c r="A89" s="119" t="s">
        <v>231</v>
      </c>
      <c r="B89" s="219" t="s">
        <v>232</v>
      </c>
      <c r="C89" s="119" t="s">
        <v>22</v>
      </c>
      <c r="D89" s="197" t="s">
        <v>233</v>
      </c>
      <c r="E89" s="119" t="s">
        <v>27</v>
      </c>
      <c r="F89" s="62">
        <f>MC!J335</f>
        <v>33.14</v>
      </c>
      <c r="G89" s="117">
        <v>13.07</v>
      </c>
      <c r="H89" s="198">
        <f t="shared" ref="H89:H93" si="22">TRUNC(ROUND(G89*(1+$F$4),2),2)</f>
        <v>17.25</v>
      </c>
      <c r="I89" s="185">
        <f t="shared" ref="I89:I93" si="23">TRUNC(ROUND(F89*H89,2),2)</f>
        <v>571.66999999999996</v>
      </c>
    </row>
    <row r="90" spans="1:76" x14ac:dyDescent="0.2">
      <c r="A90" s="307" t="s">
        <v>234</v>
      </c>
      <c r="B90" s="307">
        <v>1102</v>
      </c>
      <c r="C90" s="119" t="s">
        <v>22</v>
      </c>
      <c r="D90" s="254" t="s">
        <v>235</v>
      </c>
      <c r="E90" s="184"/>
      <c r="F90" s="251"/>
      <c r="G90" s="202"/>
      <c r="H90" s="198"/>
      <c r="I90" s="185"/>
      <c r="J90" s="203"/>
      <c r="K90" s="203"/>
      <c r="L90" s="203"/>
      <c r="M90" s="203"/>
      <c r="N90" s="203"/>
      <c r="O90" s="203"/>
      <c r="P90" s="203"/>
      <c r="Q90" s="203"/>
      <c r="R90" s="203"/>
      <c r="S90" s="203"/>
      <c r="T90" s="203"/>
      <c r="U90" s="203"/>
      <c r="V90" s="203"/>
      <c r="W90" s="203"/>
      <c r="X90" s="203"/>
      <c r="Y90" s="203"/>
      <c r="Z90" s="203"/>
      <c r="AA90" s="203"/>
      <c r="AB90" s="203"/>
      <c r="AC90" s="203"/>
      <c r="AD90" s="203"/>
      <c r="AE90" s="203"/>
      <c r="AF90" s="203"/>
      <c r="AG90" s="203"/>
      <c r="AH90" s="203"/>
      <c r="AI90" s="203"/>
      <c r="AJ90" s="203"/>
      <c r="AK90" s="203"/>
      <c r="AL90" s="203"/>
      <c r="AM90" s="203"/>
      <c r="AN90" s="203"/>
      <c r="AO90" s="203"/>
      <c r="AP90" s="203"/>
      <c r="AQ90" s="203"/>
      <c r="AR90" s="203"/>
      <c r="AS90" s="203"/>
      <c r="AT90" s="203"/>
      <c r="AU90" s="203"/>
      <c r="AV90" s="203"/>
      <c r="AW90" s="203"/>
      <c r="AX90" s="203"/>
      <c r="AY90" s="203"/>
      <c r="AZ90" s="203"/>
      <c r="BA90" s="203"/>
      <c r="BB90" s="203"/>
      <c r="BC90" s="203"/>
      <c r="BD90" s="203"/>
      <c r="BE90" s="203"/>
      <c r="BF90" s="203"/>
      <c r="BG90" s="203"/>
      <c r="BH90" s="203"/>
      <c r="BI90" s="203"/>
      <c r="BJ90" s="203"/>
      <c r="BK90" s="203"/>
      <c r="BL90" s="203"/>
      <c r="BM90" s="203"/>
      <c r="BN90" s="203"/>
      <c r="BO90" s="203"/>
      <c r="BP90" s="203"/>
      <c r="BQ90" s="203"/>
      <c r="BR90" s="203"/>
      <c r="BS90" s="203"/>
      <c r="BT90" s="203"/>
      <c r="BU90" s="203"/>
      <c r="BV90" s="203"/>
      <c r="BW90" s="203"/>
      <c r="BX90" s="203"/>
    </row>
    <row r="91" spans="1:76" x14ac:dyDescent="0.2">
      <c r="A91" s="184" t="s">
        <v>236</v>
      </c>
      <c r="B91" s="271" t="s">
        <v>237</v>
      </c>
      <c r="C91" s="119" t="s">
        <v>22</v>
      </c>
      <c r="D91" s="272" t="s">
        <v>238</v>
      </c>
      <c r="E91" s="184" t="s">
        <v>27</v>
      </c>
      <c r="F91" s="251">
        <f>MC!J342</f>
        <v>70.180000000000007</v>
      </c>
      <c r="G91" s="202">
        <v>82.33</v>
      </c>
      <c r="H91" s="198">
        <f>TRUNC(ROUND(G91*(1+$F$4),2),2)</f>
        <v>108.64</v>
      </c>
      <c r="I91" s="185">
        <f>TRUNC(ROUND(F91*H91,2),2)</f>
        <v>7624.36</v>
      </c>
      <c r="J91" s="203"/>
      <c r="K91" s="203"/>
      <c r="L91" s="203"/>
      <c r="M91" s="203"/>
      <c r="N91" s="203"/>
      <c r="O91" s="203"/>
      <c r="P91" s="203"/>
      <c r="Q91" s="203"/>
      <c r="R91" s="203"/>
      <c r="S91" s="203"/>
      <c r="T91" s="203"/>
      <c r="U91" s="203"/>
      <c r="V91" s="203"/>
      <c r="W91" s="203"/>
      <c r="X91" s="203"/>
      <c r="Y91" s="203"/>
      <c r="Z91" s="203"/>
      <c r="AA91" s="203"/>
      <c r="AB91" s="203"/>
      <c r="AC91" s="203"/>
      <c r="AD91" s="203"/>
      <c r="AE91" s="203"/>
      <c r="AF91" s="203"/>
      <c r="AG91" s="203"/>
      <c r="AH91" s="203"/>
      <c r="AI91" s="203"/>
      <c r="AJ91" s="203"/>
      <c r="AK91" s="203"/>
      <c r="AL91" s="203"/>
      <c r="AM91" s="203"/>
      <c r="AN91" s="203"/>
      <c r="AO91" s="203"/>
      <c r="AP91" s="203"/>
      <c r="AQ91" s="203"/>
      <c r="AR91" s="203"/>
      <c r="AS91" s="203"/>
      <c r="AT91" s="203"/>
      <c r="AU91" s="203"/>
      <c r="AV91" s="203"/>
      <c r="AW91" s="203"/>
      <c r="AX91" s="203"/>
      <c r="AY91" s="203"/>
      <c r="AZ91" s="203"/>
      <c r="BA91" s="203"/>
      <c r="BB91" s="203"/>
      <c r="BC91" s="203"/>
      <c r="BD91" s="203"/>
      <c r="BE91" s="203"/>
      <c r="BF91" s="203"/>
      <c r="BG91" s="203"/>
      <c r="BH91" s="203"/>
      <c r="BI91" s="203"/>
      <c r="BJ91" s="203"/>
      <c r="BK91" s="203"/>
      <c r="BL91" s="203"/>
      <c r="BM91" s="203"/>
      <c r="BN91" s="203"/>
      <c r="BO91" s="203"/>
      <c r="BP91" s="203"/>
      <c r="BQ91" s="203"/>
      <c r="BR91" s="203"/>
      <c r="BS91" s="203"/>
      <c r="BT91" s="203"/>
      <c r="BU91" s="203"/>
      <c r="BV91" s="203"/>
      <c r="BW91" s="203"/>
      <c r="BX91" s="203"/>
    </row>
    <row r="92" spans="1:76" x14ac:dyDescent="0.2">
      <c r="A92" s="11" t="s">
        <v>239</v>
      </c>
      <c r="B92" s="11">
        <v>1103</v>
      </c>
      <c r="C92" s="119" t="s">
        <v>22</v>
      </c>
      <c r="D92" s="14" t="s">
        <v>240</v>
      </c>
      <c r="E92" s="119"/>
      <c r="F92" s="62"/>
      <c r="G92" s="117"/>
      <c r="H92" s="198"/>
      <c r="I92" s="185"/>
    </row>
    <row r="93" spans="1:76" ht="25.5" x14ac:dyDescent="0.2">
      <c r="A93" s="119" t="s">
        <v>241</v>
      </c>
      <c r="B93" s="219" t="s">
        <v>242</v>
      </c>
      <c r="C93" s="119" t="s">
        <v>22</v>
      </c>
      <c r="D93" s="197" t="s">
        <v>243</v>
      </c>
      <c r="E93" s="119" t="s">
        <v>27</v>
      </c>
      <c r="F93" s="62">
        <f>MC!J351</f>
        <v>33.14</v>
      </c>
      <c r="G93" s="117">
        <v>61.74</v>
      </c>
      <c r="H93" s="198">
        <f t="shared" si="22"/>
        <v>81.47</v>
      </c>
      <c r="I93" s="185">
        <f t="shared" si="23"/>
        <v>2699.92</v>
      </c>
    </row>
    <row r="94" spans="1:76" x14ac:dyDescent="0.2">
      <c r="A94" s="9"/>
      <c r="B94" s="9"/>
      <c r="C94" s="5"/>
      <c r="D94" s="23" t="s">
        <v>261</v>
      </c>
      <c r="E94" s="5"/>
      <c r="F94" s="5"/>
      <c r="G94" s="57"/>
      <c r="H94" s="57"/>
      <c r="I94" s="68">
        <f>SUM(I89:I93)</f>
        <v>10895.949999999999</v>
      </c>
    </row>
    <row r="95" spans="1:76" x14ac:dyDescent="0.2">
      <c r="A95" s="5">
        <v>12</v>
      </c>
      <c r="B95" s="5">
        <v>12</v>
      </c>
      <c r="C95" s="5"/>
      <c r="D95" s="193" t="s">
        <v>245</v>
      </c>
      <c r="E95" s="5"/>
      <c r="F95" s="5"/>
      <c r="G95" s="5"/>
      <c r="H95" s="5"/>
      <c r="I95" s="5"/>
    </row>
    <row r="96" spans="1:76" s="268" customFormat="1" x14ac:dyDescent="0.2">
      <c r="A96" s="269" t="s">
        <v>246</v>
      </c>
      <c r="B96" s="269">
        <v>1201</v>
      </c>
      <c r="C96" s="119" t="s">
        <v>22</v>
      </c>
      <c r="D96" s="270" t="s">
        <v>230</v>
      </c>
      <c r="E96" s="269"/>
      <c r="F96" s="269"/>
      <c r="G96" s="269"/>
      <c r="H96" s="269"/>
      <c r="I96" s="269"/>
    </row>
    <row r="97" spans="1:76" ht="25.5" x14ac:dyDescent="0.2">
      <c r="A97" s="184" t="s">
        <v>247</v>
      </c>
      <c r="B97" s="271" t="s">
        <v>248</v>
      </c>
      <c r="C97" s="119" t="s">
        <v>22</v>
      </c>
      <c r="D97" s="272" t="s">
        <v>233</v>
      </c>
      <c r="E97" s="184" t="s">
        <v>27</v>
      </c>
      <c r="F97" s="251">
        <f>MC!J357</f>
        <v>1.085</v>
      </c>
      <c r="G97" s="436">
        <v>6.88</v>
      </c>
      <c r="H97" s="350">
        <f>TRUNC(ROUND(G97*(1+$F$4),2),2)</f>
        <v>9.08</v>
      </c>
      <c r="I97" s="351">
        <f>TRUNC(ROUND(F97*H97,2),2)</f>
        <v>9.85</v>
      </c>
      <c r="J97" s="203"/>
      <c r="K97" s="203"/>
      <c r="L97" s="203"/>
      <c r="M97" s="203"/>
      <c r="N97" s="203"/>
      <c r="O97" s="203"/>
      <c r="P97" s="203"/>
      <c r="Q97" s="203"/>
      <c r="R97" s="203"/>
      <c r="S97" s="203"/>
      <c r="T97" s="203"/>
      <c r="U97" s="203"/>
      <c r="V97" s="203"/>
      <c r="W97" s="203"/>
      <c r="X97" s="203"/>
      <c r="Y97" s="203"/>
      <c r="Z97" s="203"/>
      <c r="AA97" s="203"/>
      <c r="AB97" s="203"/>
      <c r="AC97" s="203"/>
      <c r="AD97" s="203"/>
      <c r="AE97" s="203"/>
      <c r="AF97" s="203"/>
      <c r="AG97" s="203"/>
      <c r="AH97" s="203"/>
      <c r="AI97" s="203"/>
      <c r="AJ97" s="203"/>
      <c r="AK97" s="203"/>
      <c r="AL97" s="203"/>
      <c r="AM97" s="203"/>
      <c r="AN97" s="203"/>
      <c r="AO97" s="203"/>
      <c r="AP97" s="203"/>
      <c r="AQ97" s="203"/>
      <c r="AR97" s="203"/>
      <c r="AS97" s="203"/>
      <c r="AT97" s="203"/>
      <c r="AU97" s="203"/>
      <c r="AV97" s="203"/>
      <c r="AW97" s="203"/>
      <c r="AX97" s="203"/>
      <c r="AY97" s="203"/>
      <c r="AZ97" s="203"/>
      <c r="BA97" s="203"/>
      <c r="BB97" s="203"/>
      <c r="BC97" s="203"/>
      <c r="BD97" s="203"/>
      <c r="BE97" s="203"/>
      <c r="BF97" s="203"/>
      <c r="BG97" s="203"/>
      <c r="BH97" s="203"/>
      <c r="BI97" s="203"/>
      <c r="BJ97" s="203"/>
      <c r="BK97" s="203"/>
      <c r="BL97" s="203"/>
      <c r="BM97" s="203"/>
      <c r="BN97" s="203"/>
      <c r="BO97" s="203"/>
      <c r="BP97" s="203"/>
      <c r="BQ97" s="203"/>
      <c r="BR97" s="203"/>
      <c r="BS97" s="203"/>
      <c r="BT97" s="203"/>
      <c r="BU97" s="203"/>
      <c r="BV97" s="203"/>
      <c r="BW97" s="203"/>
      <c r="BX97" s="203"/>
    </row>
    <row r="98" spans="1:76" x14ac:dyDescent="0.2">
      <c r="A98" s="11" t="s">
        <v>249</v>
      </c>
      <c r="B98" s="11">
        <v>1302</v>
      </c>
      <c r="C98" s="119" t="s">
        <v>22</v>
      </c>
      <c r="D98" s="218" t="s">
        <v>250</v>
      </c>
      <c r="E98" s="11"/>
      <c r="F98" s="11"/>
      <c r="G98" s="11"/>
      <c r="H98" s="11"/>
      <c r="I98" s="11"/>
    </row>
    <row r="99" spans="1:76" ht="38.25" x14ac:dyDescent="0.2">
      <c r="A99" s="119" t="s">
        <v>251</v>
      </c>
      <c r="B99" s="219" t="s">
        <v>252</v>
      </c>
      <c r="C99" s="119" t="s">
        <v>22</v>
      </c>
      <c r="D99" s="197" t="s">
        <v>253</v>
      </c>
      <c r="E99" s="119" t="s">
        <v>27</v>
      </c>
      <c r="F99" s="62">
        <f>MC!J365</f>
        <v>93.432400000000015</v>
      </c>
      <c r="G99" s="117">
        <v>166.32</v>
      </c>
      <c r="H99" s="350">
        <f t="shared" ref="H99:H110" si="24">TRUNC(ROUND(G99*(1+$F$4),2),2)</f>
        <v>219.48</v>
      </c>
      <c r="I99" s="351">
        <f t="shared" ref="I99:I110" si="25">TRUNC(ROUND(F99*H99,2),2)</f>
        <v>20506.54</v>
      </c>
    </row>
    <row r="100" spans="1:76" s="203" customFormat="1" x14ac:dyDescent="0.2">
      <c r="A100" s="307" t="s">
        <v>254</v>
      </c>
      <c r="B100" s="307">
        <v>1203</v>
      </c>
      <c r="C100" s="119" t="s">
        <v>22</v>
      </c>
      <c r="D100" s="308" t="s">
        <v>240</v>
      </c>
      <c r="E100" s="307"/>
      <c r="F100" s="307"/>
      <c r="G100" s="307"/>
      <c r="H100" s="307"/>
      <c r="I100" s="307"/>
    </row>
    <row r="101" spans="1:76" ht="25.5" x14ac:dyDescent="0.2">
      <c r="A101" s="119" t="s">
        <v>255</v>
      </c>
      <c r="B101" s="219" t="s">
        <v>256</v>
      </c>
      <c r="C101" s="119" t="s">
        <v>22</v>
      </c>
      <c r="D101" s="197" t="s">
        <v>257</v>
      </c>
      <c r="E101" s="119" t="s">
        <v>27</v>
      </c>
      <c r="F101" s="62">
        <f>MC!J371</f>
        <v>25.175999999999998</v>
      </c>
      <c r="G101" s="117">
        <v>7.8</v>
      </c>
      <c r="H101" s="350">
        <f t="shared" si="24"/>
        <v>10.29</v>
      </c>
      <c r="I101" s="351">
        <f t="shared" si="25"/>
        <v>259.06</v>
      </c>
    </row>
    <row r="102" spans="1:76" ht="25.5" x14ac:dyDescent="0.2">
      <c r="A102" s="119" t="s">
        <v>258</v>
      </c>
      <c r="B102" s="219" t="s">
        <v>259</v>
      </c>
      <c r="C102" s="119" t="s">
        <v>22</v>
      </c>
      <c r="D102" s="197" t="s">
        <v>260</v>
      </c>
      <c r="E102" s="119" t="s">
        <v>27</v>
      </c>
      <c r="F102" s="62">
        <f>MC!J375</f>
        <v>0.54249999999999998</v>
      </c>
      <c r="G102" s="117">
        <v>54.9</v>
      </c>
      <c r="H102" s="350">
        <f t="shared" si="24"/>
        <v>72.45</v>
      </c>
      <c r="I102" s="351">
        <f t="shared" si="25"/>
        <v>39.299999999999997</v>
      </c>
    </row>
    <row r="103" spans="1:76" x14ac:dyDescent="0.2">
      <c r="A103" s="9"/>
      <c r="B103" s="9"/>
      <c r="C103" s="5"/>
      <c r="D103" s="23" t="s">
        <v>280</v>
      </c>
      <c r="E103" s="5"/>
      <c r="F103" s="5"/>
      <c r="G103" s="57"/>
      <c r="H103" s="57"/>
      <c r="I103" s="68">
        <f>SUM(I97:I102)</f>
        <v>20814.75</v>
      </c>
    </row>
    <row r="104" spans="1:76" x14ac:dyDescent="0.2">
      <c r="A104" s="5">
        <v>13</v>
      </c>
      <c r="B104" s="5">
        <v>13</v>
      </c>
      <c r="C104" s="5"/>
      <c r="D104" s="193" t="s">
        <v>262</v>
      </c>
      <c r="E104" s="5"/>
      <c r="F104" s="5"/>
      <c r="G104" s="5"/>
      <c r="H104" s="5"/>
      <c r="I104" s="5"/>
    </row>
    <row r="105" spans="1:76" x14ac:dyDescent="0.2">
      <c r="A105" s="11" t="s">
        <v>263</v>
      </c>
      <c r="B105" s="349" t="s">
        <v>264</v>
      </c>
      <c r="C105" s="119" t="s">
        <v>22</v>
      </c>
      <c r="D105" s="14" t="s">
        <v>250</v>
      </c>
      <c r="E105" s="119"/>
      <c r="F105" s="62"/>
      <c r="G105" s="117"/>
      <c r="H105" s="198"/>
      <c r="I105" s="185"/>
    </row>
    <row r="106" spans="1:76" ht="38.25" x14ac:dyDescent="0.2">
      <c r="A106" s="119" t="s">
        <v>265</v>
      </c>
      <c r="B106" s="219" t="s">
        <v>266</v>
      </c>
      <c r="C106" s="119" t="s">
        <v>22</v>
      </c>
      <c r="D106" s="197" t="s">
        <v>267</v>
      </c>
      <c r="E106" s="119" t="s">
        <v>27</v>
      </c>
      <c r="F106" s="62">
        <f>MC!J392</f>
        <v>524.23</v>
      </c>
      <c r="G106" s="117">
        <v>125.88</v>
      </c>
      <c r="H106" s="350">
        <f t="shared" si="24"/>
        <v>166.11</v>
      </c>
      <c r="I106" s="351">
        <f>TRUNC(ROUND(F106*H106,2),2)</f>
        <v>87079.85</v>
      </c>
    </row>
    <row r="107" spans="1:76" x14ac:dyDescent="0.2">
      <c r="A107" s="11" t="s">
        <v>268</v>
      </c>
      <c r="B107" s="349" t="s">
        <v>269</v>
      </c>
      <c r="C107" s="119" t="s">
        <v>22</v>
      </c>
      <c r="D107" s="14" t="s">
        <v>270</v>
      </c>
      <c r="E107" s="119"/>
      <c r="F107" s="62"/>
      <c r="G107" s="117"/>
      <c r="H107" s="350"/>
      <c r="I107" s="351"/>
    </row>
    <row r="108" spans="1:76" x14ac:dyDescent="0.2">
      <c r="A108" s="119" t="s">
        <v>271</v>
      </c>
      <c r="B108" s="219" t="s">
        <v>272</v>
      </c>
      <c r="C108" s="119" t="s">
        <v>22</v>
      </c>
      <c r="D108" s="197" t="s">
        <v>273</v>
      </c>
      <c r="E108" s="119" t="s">
        <v>75</v>
      </c>
      <c r="F108" s="62">
        <f>MC!J403</f>
        <v>9.6399999999999988</v>
      </c>
      <c r="G108" s="117">
        <v>81.78</v>
      </c>
      <c r="H108" s="350">
        <f>TRUNC(ROUND(G108*(1+$F$4),2),2)</f>
        <v>107.92</v>
      </c>
      <c r="I108" s="351">
        <f>TRUNC(ROUND(F108*H108,2),2)</f>
        <v>1040.3499999999999</v>
      </c>
    </row>
    <row r="109" spans="1:76" ht="38.25" x14ac:dyDescent="0.2">
      <c r="A109" s="119" t="s">
        <v>274</v>
      </c>
      <c r="B109" s="219" t="s">
        <v>275</v>
      </c>
      <c r="C109" s="119" t="s">
        <v>22</v>
      </c>
      <c r="D109" s="197" t="s">
        <v>276</v>
      </c>
      <c r="E109" s="119" t="s">
        <v>75</v>
      </c>
      <c r="F109" s="62">
        <f>MC!J409</f>
        <v>122.54</v>
      </c>
      <c r="G109" s="117">
        <v>27.14</v>
      </c>
      <c r="H109" s="350">
        <f t="shared" si="24"/>
        <v>35.81</v>
      </c>
      <c r="I109" s="351">
        <f t="shared" si="25"/>
        <v>4388.16</v>
      </c>
    </row>
    <row r="110" spans="1:76" ht="25.5" x14ac:dyDescent="0.2">
      <c r="A110" s="119" t="s">
        <v>277</v>
      </c>
      <c r="B110" s="219" t="s">
        <v>278</v>
      </c>
      <c r="C110" s="119" t="s">
        <v>22</v>
      </c>
      <c r="D110" s="197" t="s">
        <v>279</v>
      </c>
      <c r="E110" s="119" t="s">
        <v>75</v>
      </c>
      <c r="F110" s="62">
        <f>MC!J423</f>
        <v>11.049999999999999</v>
      </c>
      <c r="G110" s="117">
        <v>46.61</v>
      </c>
      <c r="H110" s="350">
        <f t="shared" si="24"/>
        <v>61.51</v>
      </c>
      <c r="I110" s="351">
        <f t="shared" si="25"/>
        <v>679.69</v>
      </c>
    </row>
    <row r="111" spans="1:76" x14ac:dyDescent="0.2">
      <c r="A111" s="9"/>
      <c r="B111" s="9"/>
      <c r="C111" s="5"/>
      <c r="D111" s="23" t="s">
        <v>298</v>
      </c>
      <c r="E111" s="5"/>
      <c r="F111" s="5"/>
      <c r="G111" s="57"/>
      <c r="H111" s="57"/>
      <c r="I111" s="68">
        <f>SUM(I106:I110)</f>
        <v>93188.050000000017</v>
      </c>
    </row>
    <row r="112" spans="1:76" x14ac:dyDescent="0.2">
      <c r="A112" s="5">
        <v>14</v>
      </c>
      <c r="B112" s="5">
        <v>14</v>
      </c>
      <c r="C112" s="5"/>
      <c r="D112" s="193" t="s">
        <v>281</v>
      </c>
      <c r="E112" s="5"/>
      <c r="F112" s="5"/>
      <c r="G112" s="5"/>
      <c r="H112" s="5"/>
      <c r="I112" s="5"/>
    </row>
    <row r="113" spans="1:9" x14ac:dyDescent="0.2">
      <c r="A113" s="11" t="s">
        <v>282</v>
      </c>
      <c r="B113" s="349" t="s">
        <v>283</v>
      </c>
      <c r="C113" s="119" t="s">
        <v>22</v>
      </c>
      <c r="D113" s="14" t="s">
        <v>284</v>
      </c>
      <c r="E113" s="119"/>
      <c r="F113" s="62"/>
      <c r="G113" s="117"/>
      <c r="H113" s="350"/>
      <c r="I113" s="351"/>
    </row>
    <row r="114" spans="1:9" x14ac:dyDescent="0.2">
      <c r="A114" s="119" t="s">
        <v>285</v>
      </c>
      <c r="B114" s="219" t="s">
        <v>286</v>
      </c>
      <c r="C114" s="119" t="s">
        <v>22</v>
      </c>
      <c r="D114" s="197" t="s">
        <v>287</v>
      </c>
      <c r="E114" s="119" t="s">
        <v>288</v>
      </c>
      <c r="F114" s="62">
        <f>MC!J429</f>
        <v>1</v>
      </c>
      <c r="G114" s="117">
        <v>99.25</v>
      </c>
      <c r="H114" s="350">
        <f t="shared" ref="H114:H117" si="26">TRUNC(ROUND(G114*(1+$F$4),2),2)</f>
        <v>130.97</v>
      </c>
      <c r="I114" s="351">
        <f t="shared" ref="I114:I117" si="27">TRUNC(ROUND(F114*H114,2),2)</f>
        <v>130.97</v>
      </c>
    </row>
    <row r="115" spans="1:9" x14ac:dyDescent="0.2">
      <c r="A115" s="119" t="s">
        <v>289</v>
      </c>
      <c r="B115" s="219" t="s">
        <v>290</v>
      </c>
      <c r="C115" s="119" t="s">
        <v>22</v>
      </c>
      <c r="D115" s="197" t="s">
        <v>291</v>
      </c>
      <c r="E115" s="119" t="s">
        <v>288</v>
      </c>
      <c r="F115" s="62">
        <f>MC!J433</f>
        <v>1</v>
      </c>
      <c r="G115" s="117">
        <v>95.61</v>
      </c>
      <c r="H115" s="350">
        <f t="shared" si="26"/>
        <v>126.17</v>
      </c>
      <c r="I115" s="351">
        <f t="shared" si="27"/>
        <v>126.17</v>
      </c>
    </row>
    <row r="116" spans="1:9" x14ac:dyDescent="0.2">
      <c r="A116" s="11" t="s">
        <v>292</v>
      </c>
      <c r="B116" s="349" t="s">
        <v>293</v>
      </c>
      <c r="C116" s="119" t="s">
        <v>22</v>
      </c>
      <c r="D116" s="14" t="s">
        <v>294</v>
      </c>
      <c r="E116" s="119"/>
      <c r="F116" s="62"/>
      <c r="G116" s="117"/>
      <c r="H116" s="350"/>
      <c r="I116" s="351"/>
    </row>
    <row r="117" spans="1:9" ht="25.5" x14ac:dyDescent="0.2">
      <c r="A117" s="119" t="s">
        <v>295</v>
      </c>
      <c r="B117" s="219" t="s">
        <v>296</v>
      </c>
      <c r="C117" s="119" t="s">
        <v>22</v>
      </c>
      <c r="D117" s="197" t="s">
        <v>297</v>
      </c>
      <c r="E117" s="119" t="s">
        <v>75</v>
      </c>
      <c r="F117" s="62">
        <f>MC!J438</f>
        <v>10.5</v>
      </c>
      <c r="G117" s="117">
        <v>116.13</v>
      </c>
      <c r="H117" s="350">
        <f t="shared" si="26"/>
        <v>153.25</v>
      </c>
      <c r="I117" s="351">
        <f t="shared" si="27"/>
        <v>1609.13</v>
      </c>
    </row>
    <row r="118" spans="1:9" x14ac:dyDescent="0.2">
      <c r="A118" s="9"/>
      <c r="B118" s="9"/>
      <c r="C118" s="5"/>
      <c r="D118" s="23" t="s">
        <v>341</v>
      </c>
      <c r="E118" s="5"/>
      <c r="F118" s="5"/>
      <c r="G118" s="57"/>
      <c r="H118" s="57"/>
      <c r="I118" s="68">
        <f>SUM(I114:I117)</f>
        <v>1866.27</v>
      </c>
    </row>
    <row r="119" spans="1:9" x14ac:dyDescent="0.2">
      <c r="A119" s="5">
        <v>15</v>
      </c>
      <c r="B119" s="5">
        <v>15</v>
      </c>
      <c r="C119" s="5"/>
      <c r="D119" s="193" t="s">
        <v>299</v>
      </c>
      <c r="E119" s="5"/>
      <c r="F119" s="5"/>
      <c r="G119" s="5"/>
      <c r="H119" s="5"/>
      <c r="I119" s="5"/>
    </row>
    <row r="120" spans="1:9" x14ac:dyDescent="0.2">
      <c r="A120" s="11" t="s">
        <v>300</v>
      </c>
      <c r="B120" s="349" t="s">
        <v>301</v>
      </c>
      <c r="C120" s="119" t="s">
        <v>22</v>
      </c>
      <c r="D120" s="14" t="s">
        <v>302</v>
      </c>
      <c r="E120" s="119"/>
      <c r="F120" s="62"/>
      <c r="G120" s="117"/>
      <c r="H120" s="350"/>
      <c r="I120" s="351"/>
    </row>
    <row r="121" spans="1:9" ht="25.5" x14ac:dyDescent="0.2">
      <c r="A121" s="119" t="s">
        <v>303</v>
      </c>
      <c r="B121" s="219" t="s">
        <v>304</v>
      </c>
      <c r="C121" s="119" t="s">
        <v>22</v>
      </c>
      <c r="D121" s="197" t="s">
        <v>305</v>
      </c>
      <c r="E121" s="15" t="s">
        <v>47</v>
      </c>
      <c r="F121" s="62">
        <f>MC!J444</f>
        <v>1</v>
      </c>
      <c r="G121" s="117">
        <v>149.75</v>
      </c>
      <c r="H121" s="350">
        <f t="shared" ref="H121:H133" si="28">TRUNC(ROUND(G121*(1+$F$4),2),2)</f>
        <v>197.61</v>
      </c>
      <c r="I121" s="351">
        <f t="shared" ref="I121:I133" si="29">TRUNC(ROUND(F121*H121,2),2)</f>
        <v>197.61</v>
      </c>
    </row>
    <row r="122" spans="1:9" x14ac:dyDescent="0.2">
      <c r="A122" s="11" t="s">
        <v>306</v>
      </c>
      <c r="B122" s="349" t="s">
        <v>307</v>
      </c>
      <c r="C122" s="119" t="s">
        <v>22</v>
      </c>
      <c r="D122" s="14" t="s">
        <v>308</v>
      </c>
      <c r="E122" s="119"/>
      <c r="F122" s="62"/>
      <c r="G122" s="117"/>
      <c r="H122" s="350"/>
      <c r="I122" s="351"/>
    </row>
    <row r="123" spans="1:9" x14ac:dyDescent="0.2">
      <c r="A123" s="119" t="s">
        <v>309</v>
      </c>
      <c r="B123" s="219" t="s">
        <v>310</v>
      </c>
      <c r="C123" s="119" t="s">
        <v>22</v>
      </c>
      <c r="D123" s="197" t="s">
        <v>311</v>
      </c>
      <c r="E123" s="119" t="s">
        <v>75</v>
      </c>
      <c r="F123" s="62">
        <f>MC!J449</f>
        <v>11</v>
      </c>
      <c r="G123" s="117">
        <v>9.2799999999999994</v>
      </c>
      <c r="H123" s="350">
        <f>TRUNC(ROUND(G123*(1+$F$4),2),2)</f>
        <v>12.25</v>
      </c>
      <c r="I123" s="351">
        <f>TRUNC(ROUND(F123*H123,2),2)</f>
        <v>134.75</v>
      </c>
    </row>
    <row r="124" spans="1:9" x14ac:dyDescent="0.2">
      <c r="A124" s="11" t="s">
        <v>312</v>
      </c>
      <c r="B124" s="349" t="s">
        <v>313</v>
      </c>
      <c r="C124" s="119" t="s">
        <v>22</v>
      </c>
      <c r="D124" s="14" t="s">
        <v>314</v>
      </c>
      <c r="E124" s="119"/>
      <c r="F124" s="62"/>
      <c r="G124" s="117"/>
      <c r="H124" s="350"/>
      <c r="I124" s="351"/>
    </row>
    <row r="125" spans="1:9" ht="25.5" x14ac:dyDescent="0.2">
      <c r="A125" s="119" t="s">
        <v>315</v>
      </c>
      <c r="B125" s="219" t="s">
        <v>316</v>
      </c>
      <c r="C125" s="119" t="s">
        <v>22</v>
      </c>
      <c r="D125" s="197" t="s">
        <v>317</v>
      </c>
      <c r="E125" s="15" t="s">
        <v>47</v>
      </c>
      <c r="F125" s="62">
        <f>MC!J453</f>
        <v>5</v>
      </c>
      <c r="G125" s="117">
        <v>21.27</v>
      </c>
      <c r="H125" s="350">
        <f t="shared" si="28"/>
        <v>28.07</v>
      </c>
      <c r="I125" s="351">
        <f t="shared" si="29"/>
        <v>140.35</v>
      </c>
    </row>
    <row r="126" spans="1:9" ht="25.5" x14ac:dyDescent="0.2">
      <c r="A126" s="119" t="s">
        <v>318</v>
      </c>
      <c r="B126" s="219" t="s">
        <v>319</v>
      </c>
      <c r="C126" s="119" t="s">
        <v>22</v>
      </c>
      <c r="D126" s="197" t="s">
        <v>320</v>
      </c>
      <c r="E126" s="15" t="s">
        <v>47</v>
      </c>
      <c r="F126" s="62">
        <f>MC!J457</f>
        <v>2</v>
      </c>
      <c r="G126" s="117">
        <v>21.27</v>
      </c>
      <c r="H126" s="350">
        <f t="shared" si="28"/>
        <v>28.07</v>
      </c>
      <c r="I126" s="351">
        <f t="shared" si="29"/>
        <v>56.14</v>
      </c>
    </row>
    <row r="127" spans="1:9" ht="25.5" x14ac:dyDescent="0.2">
      <c r="A127" s="119" t="s">
        <v>321</v>
      </c>
      <c r="B127" s="219" t="s">
        <v>322</v>
      </c>
      <c r="C127" s="119" t="s">
        <v>22</v>
      </c>
      <c r="D127" s="197" t="s">
        <v>323</v>
      </c>
      <c r="E127" s="15" t="s">
        <v>47</v>
      </c>
      <c r="F127" s="62">
        <f>MC!J461</f>
        <v>2</v>
      </c>
      <c r="G127" s="117">
        <v>21.27</v>
      </c>
      <c r="H127" s="350">
        <f t="shared" si="28"/>
        <v>28.07</v>
      </c>
      <c r="I127" s="351">
        <f t="shared" si="29"/>
        <v>56.14</v>
      </c>
    </row>
    <row r="128" spans="1:9" ht="25.5" x14ac:dyDescent="0.2">
      <c r="A128" s="119" t="s">
        <v>324</v>
      </c>
      <c r="B128" s="219" t="s">
        <v>325</v>
      </c>
      <c r="C128" s="119" t="s">
        <v>22</v>
      </c>
      <c r="D128" s="197" t="s">
        <v>326</v>
      </c>
      <c r="E128" s="15" t="s">
        <v>47</v>
      </c>
      <c r="F128" s="62">
        <f>MC!J465</f>
        <v>1</v>
      </c>
      <c r="G128" s="117">
        <v>23.17</v>
      </c>
      <c r="H128" s="350">
        <f t="shared" si="28"/>
        <v>30.58</v>
      </c>
      <c r="I128" s="351">
        <f t="shared" si="29"/>
        <v>30.58</v>
      </c>
    </row>
    <row r="129" spans="1:9" ht="25.5" x14ac:dyDescent="0.2">
      <c r="A129" s="119" t="s">
        <v>327</v>
      </c>
      <c r="B129" s="219" t="s">
        <v>328</v>
      </c>
      <c r="C129" s="119" t="s">
        <v>22</v>
      </c>
      <c r="D129" s="197" t="s">
        <v>329</v>
      </c>
      <c r="E129" s="15" t="s">
        <v>47</v>
      </c>
      <c r="F129" s="62">
        <f>MC!J469</f>
        <v>1</v>
      </c>
      <c r="G129" s="117">
        <v>63.19</v>
      </c>
      <c r="H129" s="350">
        <f t="shared" si="28"/>
        <v>83.39</v>
      </c>
      <c r="I129" s="351">
        <f t="shared" si="29"/>
        <v>83.39</v>
      </c>
    </row>
    <row r="130" spans="1:9" x14ac:dyDescent="0.2">
      <c r="A130" s="11" t="s">
        <v>330</v>
      </c>
      <c r="B130" s="349" t="s">
        <v>331</v>
      </c>
      <c r="C130" s="119" t="s">
        <v>22</v>
      </c>
      <c r="D130" s="14" t="s">
        <v>332</v>
      </c>
      <c r="E130" s="119"/>
      <c r="F130" s="62"/>
      <c r="G130" s="117"/>
      <c r="H130" s="350"/>
      <c r="I130" s="351"/>
    </row>
    <row r="131" spans="1:9" x14ac:dyDescent="0.2">
      <c r="A131" s="119" t="s">
        <v>333</v>
      </c>
      <c r="B131" s="219" t="s">
        <v>334</v>
      </c>
      <c r="C131" s="119" t="s">
        <v>22</v>
      </c>
      <c r="D131" s="197" t="s">
        <v>335</v>
      </c>
      <c r="E131" s="119" t="s">
        <v>75</v>
      </c>
      <c r="F131" s="62">
        <f>MC!J474</f>
        <v>330</v>
      </c>
      <c r="G131" s="117">
        <v>7.17</v>
      </c>
      <c r="H131" s="350">
        <f t="shared" si="28"/>
        <v>9.4600000000000009</v>
      </c>
      <c r="I131" s="351">
        <f t="shared" si="29"/>
        <v>3121.8</v>
      </c>
    </row>
    <row r="132" spans="1:9" ht="25.5" x14ac:dyDescent="0.2">
      <c r="A132" s="11" t="s">
        <v>336</v>
      </c>
      <c r="B132" s="349" t="s">
        <v>337</v>
      </c>
      <c r="C132" s="119" t="s">
        <v>22</v>
      </c>
      <c r="D132" s="14" t="s">
        <v>338</v>
      </c>
      <c r="E132" s="119"/>
      <c r="F132" s="62"/>
      <c r="G132" s="117"/>
      <c r="H132" s="350"/>
      <c r="I132" s="351"/>
    </row>
    <row r="133" spans="1:9" ht="25.5" x14ac:dyDescent="0.2">
      <c r="A133" s="119" t="s">
        <v>339</v>
      </c>
      <c r="B133" s="119">
        <v>151601</v>
      </c>
      <c r="C133" s="119" t="s">
        <v>22</v>
      </c>
      <c r="D133" s="197" t="s">
        <v>340</v>
      </c>
      <c r="E133" s="119" t="s">
        <v>75</v>
      </c>
      <c r="F133" s="62">
        <f>MC!J481</f>
        <v>11</v>
      </c>
      <c r="G133" s="117">
        <v>11.51</v>
      </c>
      <c r="H133" s="350">
        <f t="shared" si="28"/>
        <v>15.19</v>
      </c>
      <c r="I133" s="351">
        <f t="shared" si="29"/>
        <v>167.09</v>
      </c>
    </row>
    <row r="134" spans="1:9" x14ac:dyDescent="0.2">
      <c r="A134" s="9"/>
      <c r="B134" s="9"/>
      <c r="C134" s="5"/>
      <c r="D134" s="23" t="s">
        <v>370</v>
      </c>
      <c r="E134" s="5"/>
      <c r="F134" s="5"/>
      <c r="G134" s="57"/>
      <c r="H134" s="57"/>
      <c r="I134" s="68">
        <f>SUM(I121:I133)</f>
        <v>3987.8500000000004</v>
      </c>
    </row>
    <row r="135" spans="1:9" x14ac:dyDescent="0.2">
      <c r="A135" s="5">
        <v>16</v>
      </c>
      <c r="B135" s="5">
        <v>17</v>
      </c>
      <c r="C135" s="5"/>
      <c r="D135" s="193" t="s">
        <v>342</v>
      </c>
      <c r="E135" s="5"/>
      <c r="F135" s="5"/>
      <c r="G135" s="5"/>
      <c r="H135" s="5"/>
      <c r="I135" s="5"/>
    </row>
    <row r="136" spans="1:9" x14ac:dyDescent="0.2">
      <c r="A136" s="11" t="s">
        <v>343</v>
      </c>
      <c r="B136" s="349" t="s">
        <v>344</v>
      </c>
      <c r="C136" s="119" t="s">
        <v>22</v>
      </c>
      <c r="D136" s="14" t="s">
        <v>345</v>
      </c>
      <c r="E136" s="119"/>
      <c r="F136" s="62"/>
      <c r="G136" s="117"/>
      <c r="H136" s="350"/>
      <c r="I136" s="351"/>
    </row>
    <row r="137" spans="1:9" ht="23.25" customHeight="1" x14ac:dyDescent="0.2">
      <c r="A137" s="119" t="s">
        <v>346</v>
      </c>
      <c r="B137" s="219" t="s">
        <v>347</v>
      </c>
      <c r="C137" s="119" t="s">
        <v>22</v>
      </c>
      <c r="D137" s="197" t="s">
        <v>348</v>
      </c>
      <c r="E137" s="15" t="s">
        <v>161</v>
      </c>
      <c r="F137" s="62">
        <f>MC!J488</f>
        <v>2</v>
      </c>
      <c r="G137" s="117">
        <v>244.33</v>
      </c>
      <c r="H137" s="350">
        <f>TRUNC(ROUND(G137*(1+$F$4),2),2)</f>
        <v>322.42</v>
      </c>
      <c r="I137" s="351">
        <f>TRUNC(ROUND(F137*H137,2),2)</f>
        <v>644.84</v>
      </c>
    </row>
    <row r="138" spans="1:9" s="618" customFormat="1" ht="25.5" x14ac:dyDescent="0.2">
      <c r="A138" s="613" t="s">
        <v>349</v>
      </c>
      <c r="B138" s="619" t="s">
        <v>817</v>
      </c>
      <c r="C138" s="613"/>
      <c r="D138" s="615" t="s">
        <v>350</v>
      </c>
      <c r="E138" s="620" t="s">
        <v>47</v>
      </c>
      <c r="F138" s="616">
        <f>MC!J494</f>
        <v>6</v>
      </c>
      <c r="G138" s="117">
        <f>'COMP-04'!I31</f>
        <v>158.08000000000001</v>
      </c>
      <c r="H138" s="350">
        <f t="shared" ref="H138" si="30">TRUNC(ROUND(G138*(1+$F$4),2),2)</f>
        <v>208.6</v>
      </c>
      <c r="I138" s="351">
        <f t="shared" ref="I138" si="31">TRUNC(ROUND(F138*H138,2),2)</f>
        <v>1251.5999999999999</v>
      </c>
    </row>
    <row r="139" spans="1:9" x14ac:dyDescent="0.2">
      <c r="A139" s="11" t="s">
        <v>351</v>
      </c>
      <c r="B139" s="349" t="s">
        <v>352</v>
      </c>
      <c r="C139" s="119" t="s">
        <v>22</v>
      </c>
      <c r="D139" s="306" t="s">
        <v>353</v>
      </c>
      <c r="E139" s="15"/>
      <c r="F139" s="62"/>
      <c r="G139" s="117"/>
      <c r="H139" s="350"/>
      <c r="I139" s="351"/>
    </row>
    <row r="140" spans="1:9" ht="25.5" x14ac:dyDescent="0.2">
      <c r="A140" s="119" t="s">
        <v>354</v>
      </c>
      <c r="B140" s="219" t="s">
        <v>355</v>
      </c>
      <c r="C140" s="119" t="s">
        <v>22</v>
      </c>
      <c r="D140" s="197" t="s">
        <v>356</v>
      </c>
      <c r="E140" s="15" t="s">
        <v>357</v>
      </c>
      <c r="F140" s="62">
        <f>MC!J501</f>
        <v>4</v>
      </c>
      <c r="G140" s="117">
        <v>196.09</v>
      </c>
      <c r="H140" s="350">
        <f>TRUNC(ROUND(G140*(1+$F$4),2),2)</f>
        <v>258.76</v>
      </c>
      <c r="I140" s="351">
        <f>TRUNC(ROUND(F140*H140,2),2)</f>
        <v>1035.04</v>
      </c>
    </row>
    <row r="141" spans="1:9" ht="25.5" x14ac:dyDescent="0.2">
      <c r="A141" s="119" t="s">
        <v>358</v>
      </c>
      <c r="B141" s="219" t="s">
        <v>359</v>
      </c>
      <c r="C141" s="119" t="s">
        <v>22</v>
      </c>
      <c r="D141" s="197" t="s">
        <v>360</v>
      </c>
      <c r="E141" s="15" t="s">
        <v>161</v>
      </c>
      <c r="F141" s="62">
        <f>MC!J505</f>
        <v>2</v>
      </c>
      <c r="G141" s="117">
        <v>322.81</v>
      </c>
      <c r="H141" s="350">
        <f>TRUNC(ROUND(G141*(1+$F$4),2),2)</f>
        <v>425.98</v>
      </c>
      <c r="I141" s="351">
        <f>TRUNC(ROUND(F141*H141,2),2)</f>
        <v>851.96</v>
      </c>
    </row>
    <row r="142" spans="1:9" x14ac:dyDescent="0.2">
      <c r="A142" s="11" t="s">
        <v>361</v>
      </c>
      <c r="B142" s="349" t="s">
        <v>362</v>
      </c>
      <c r="C142" s="119" t="s">
        <v>22</v>
      </c>
      <c r="D142" s="306" t="s">
        <v>363</v>
      </c>
      <c r="E142" s="15"/>
      <c r="F142" s="62"/>
      <c r="G142" s="117"/>
      <c r="H142" s="350"/>
      <c r="I142" s="351"/>
    </row>
    <row r="143" spans="1:9" ht="30" customHeight="1" x14ac:dyDescent="0.2">
      <c r="A143" s="119" t="s">
        <v>364</v>
      </c>
      <c r="B143" s="219" t="s">
        <v>365</v>
      </c>
      <c r="C143" s="119" t="s">
        <v>22</v>
      </c>
      <c r="D143" s="197" t="s">
        <v>366</v>
      </c>
      <c r="E143" s="15" t="s">
        <v>47</v>
      </c>
      <c r="F143" s="62">
        <f>MC!J512</f>
        <v>6</v>
      </c>
      <c r="G143" s="117">
        <v>67.94</v>
      </c>
      <c r="H143" s="350">
        <f>TRUNC(ROUND(G143*(1+$F$4),2),2)</f>
        <v>89.65</v>
      </c>
      <c r="I143" s="351">
        <f>TRUNC(ROUND(F143*H143,2),2)</f>
        <v>537.9</v>
      </c>
    </row>
    <row r="144" spans="1:9" ht="30" customHeight="1" x14ac:dyDescent="0.2">
      <c r="A144" s="119" t="s">
        <v>367</v>
      </c>
      <c r="B144" s="219" t="s">
        <v>368</v>
      </c>
      <c r="C144" s="119" t="s">
        <v>22</v>
      </c>
      <c r="D144" s="197" t="s">
        <v>369</v>
      </c>
      <c r="E144" s="15" t="s">
        <v>161</v>
      </c>
      <c r="F144" s="62">
        <f>MC!J516</f>
        <v>1</v>
      </c>
      <c r="G144" s="117">
        <v>28.65</v>
      </c>
      <c r="H144" s="350">
        <f>TRUNC(ROUND(G144*(1+$F$4),2),2)</f>
        <v>37.81</v>
      </c>
      <c r="I144" s="351">
        <f>TRUNC(ROUND(F144*H144,2),2)</f>
        <v>37.81</v>
      </c>
    </row>
    <row r="145" spans="1:76" x14ac:dyDescent="0.2">
      <c r="A145" s="9"/>
      <c r="B145" s="9"/>
      <c r="C145" s="5"/>
      <c r="D145" s="23" t="s">
        <v>877</v>
      </c>
      <c r="E145" s="5"/>
      <c r="F145" s="5"/>
      <c r="G145" s="57"/>
      <c r="H145" s="57"/>
      <c r="I145" s="68">
        <f>SUM(I137:I144)</f>
        <v>4359.1500000000005</v>
      </c>
    </row>
    <row r="146" spans="1:76" x14ac:dyDescent="0.2">
      <c r="A146" s="5">
        <v>17</v>
      </c>
      <c r="B146" s="5">
        <v>18</v>
      </c>
      <c r="C146" s="5"/>
      <c r="D146" s="193" t="s">
        <v>371</v>
      </c>
      <c r="E146" s="5"/>
      <c r="F146" s="5"/>
      <c r="G146" s="5"/>
      <c r="H146" s="5"/>
      <c r="I146" s="5"/>
    </row>
    <row r="147" spans="1:76" x14ac:dyDescent="0.2">
      <c r="A147" s="11" t="s">
        <v>372</v>
      </c>
      <c r="B147" s="349" t="s">
        <v>373</v>
      </c>
      <c r="C147" s="119" t="s">
        <v>22</v>
      </c>
      <c r="D147" s="14" t="s">
        <v>374</v>
      </c>
      <c r="E147" s="119"/>
      <c r="F147" s="62"/>
      <c r="G147" s="117"/>
      <c r="H147" s="350"/>
      <c r="I147" s="351"/>
    </row>
    <row r="148" spans="1:76" ht="25.5" x14ac:dyDescent="0.2">
      <c r="A148" s="119" t="s">
        <v>375</v>
      </c>
      <c r="B148" s="219" t="s">
        <v>376</v>
      </c>
      <c r="C148" s="119" t="s">
        <v>22</v>
      </c>
      <c r="D148" s="197" t="s">
        <v>377</v>
      </c>
      <c r="E148" s="15" t="s">
        <v>47</v>
      </c>
      <c r="F148" s="62">
        <f>MC!J526</f>
        <v>27</v>
      </c>
      <c r="G148" s="117">
        <v>37.82</v>
      </c>
      <c r="H148" s="350">
        <f t="shared" ref="H148:H153" si="32">TRUNC(ROUND(G148*(1+$F$4),2),2)</f>
        <v>49.91</v>
      </c>
      <c r="I148" s="351">
        <f t="shared" ref="I148:I153" si="33">TRUNC(ROUND(F148*H148,2),2)</f>
        <v>1347.57</v>
      </c>
    </row>
    <row r="149" spans="1:76" x14ac:dyDescent="0.2">
      <c r="A149" s="119" t="s">
        <v>378</v>
      </c>
      <c r="B149" s="219" t="s">
        <v>379</v>
      </c>
      <c r="C149" s="119" t="s">
        <v>22</v>
      </c>
      <c r="D149" s="197" t="s">
        <v>380</v>
      </c>
      <c r="E149" s="15" t="s">
        <v>47</v>
      </c>
      <c r="F149" s="62">
        <f>MC!J535</f>
        <v>8</v>
      </c>
      <c r="G149" s="117">
        <v>34.299999999999997</v>
      </c>
      <c r="H149" s="350">
        <f t="shared" si="32"/>
        <v>45.26</v>
      </c>
      <c r="I149" s="351">
        <f t="shared" si="33"/>
        <v>362.08</v>
      </c>
    </row>
    <row r="150" spans="1:76" x14ac:dyDescent="0.2">
      <c r="A150" s="119" t="s">
        <v>381</v>
      </c>
      <c r="B150" s="219" t="s">
        <v>382</v>
      </c>
      <c r="C150" s="119" t="s">
        <v>22</v>
      </c>
      <c r="D150" s="197" t="s">
        <v>383</v>
      </c>
      <c r="E150" s="15" t="s">
        <v>47</v>
      </c>
      <c r="F150" s="62">
        <v>2</v>
      </c>
      <c r="G150" s="117">
        <v>56.89</v>
      </c>
      <c r="H150" s="350">
        <f t="shared" si="32"/>
        <v>75.069999999999993</v>
      </c>
      <c r="I150" s="351">
        <f t="shared" si="33"/>
        <v>150.13999999999999</v>
      </c>
    </row>
    <row r="151" spans="1:76" ht="25.5" x14ac:dyDescent="0.2">
      <c r="A151" s="119" t="s">
        <v>384</v>
      </c>
      <c r="B151" s="219" t="s">
        <v>385</v>
      </c>
      <c r="C151" s="119" t="s">
        <v>22</v>
      </c>
      <c r="D151" s="197" t="s">
        <v>386</v>
      </c>
      <c r="E151" s="15" t="s">
        <v>47</v>
      </c>
      <c r="F151" s="62">
        <f>MC!J544</f>
        <v>1</v>
      </c>
      <c r="G151" s="117">
        <v>60.41</v>
      </c>
      <c r="H151" s="350">
        <f t="shared" si="32"/>
        <v>79.72</v>
      </c>
      <c r="I151" s="351">
        <f t="shared" si="33"/>
        <v>79.72</v>
      </c>
    </row>
    <row r="152" spans="1:76" ht="25.5" x14ac:dyDescent="0.2">
      <c r="A152" s="119" t="s">
        <v>387</v>
      </c>
      <c r="B152" s="219" t="s">
        <v>388</v>
      </c>
      <c r="C152" s="119" t="s">
        <v>22</v>
      </c>
      <c r="D152" s="197" t="s">
        <v>389</v>
      </c>
      <c r="E152" s="15" t="s">
        <v>47</v>
      </c>
      <c r="F152" s="62">
        <f>MC!J548</f>
        <v>1</v>
      </c>
      <c r="G152" s="117">
        <v>83</v>
      </c>
      <c r="H152" s="350">
        <f t="shared" si="32"/>
        <v>109.53</v>
      </c>
      <c r="I152" s="351">
        <f t="shared" si="33"/>
        <v>109.53</v>
      </c>
    </row>
    <row r="153" spans="1:76" s="618" customFormat="1" ht="25.5" x14ac:dyDescent="0.2">
      <c r="A153" s="613" t="s">
        <v>390</v>
      </c>
      <c r="B153" s="619" t="s">
        <v>830</v>
      </c>
      <c r="C153" s="613"/>
      <c r="D153" s="615" t="s">
        <v>391</v>
      </c>
      <c r="E153" s="620" t="s">
        <v>47</v>
      </c>
      <c r="F153" s="616">
        <f>MC!J552</f>
        <v>1</v>
      </c>
      <c r="G153" s="117">
        <f>'COMP-05'!I31</f>
        <v>57.629999999999995</v>
      </c>
      <c r="H153" s="350">
        <f t="shared" si="32"/>
        <v>76.05</v>
      </c>
      <c r="I153" s="351">
        <f t="shared" si="33"/>
        <v>76.05</v>
      </c>
    </row>
    <row r="154" spans="1:76" x14ac:dyDescent="0.2">
      <c r="A154" s="307" t="s">
        <v>392</v>
      </c>
      <c r="B154" s="444" t="s">
        <v>393</v>
      </c>
      <c r="C154" s="119" t="s">
        <v>22</v>
      </c>
      <c r="D154" s="254" t="s">
        <v>394</v>
      </c>
      <c r="E154" s="184"/>
      <c r="F154" s="251"/>
      <c r="G154" s="436"/>
      <c r="H154" s="350"/>
      <c r="I154" s="351"/>
      <c r="J154" s="203"/>
      <c r="K154" s="203"/>
      <c r="L154" s="203"/>
      <c r="M154" s="203"/>
      <c r="N154" s="203"/>
      <c r="O154" s="203"/>
      <c r="P154" s="203"/>
      <c r="Q154" s="203"/>
      <c r="R154" s="203"/>
      <c r="S154" s="203"/>
      <c r="T154" s="203"/>
      <c r="U154" s="203"/>
      <c r="V154" s="203"/>
      <c r="W154" s="203"/>
      <c r="X154" s="203"/>
      <c r="Y154" s="203"/>
      <c r="Z154" s="203"/>
      <c r="AA154" s="203"/>
      <c r="AB154" s="203"/>
      <c r="AC154" s="203"/>
      <c r="AD154" s="203"/>
      <c r="AE154" s="203"/>
      <c r="AF154" s="203"/>
      <c r="AG154" s="203"/>
      <c r="AH154" s="203"/>
      <c r="AI154" s="203"/>
      <c r="AJ154" s="203"/>
      <c r="AK154" s="203"/>
      <c r="AL154" s="203"/>
      <c r="AM154" s="203"/>
      <c r="AN154" s="203"/>
      <c r="AO154" s="203"/>
      <c r="AP154" s="203"/>
      <c r="AQ154" s="203"/>
      <c r="AR154" s="203"/>
      <c r="AS154" s="203"/>
      <c r="AT154" s="203"/>
      <c r="AU154" s="203"/>
      <c r="AV154" s="203"/>
      <c r="AW154" s="203"/>
      <c r="AX154" s="203"/>
      <c r="AY154" s="203"/>
      <c r="AZ154" s="203"/>
      <c r="BA154" s="203"/>
      <c r="BB154" s="203"/>
      <c r="BC154" s="203"/>
      <c r="BD154" s="203"/>
      <c r="BE154" s="203"/>
      <c r="BF154" s="203"/>
      <c r="BG154" s="203"/>
      <c r="BH154" s="203"/>
      <c r="BI154" s="203"/>
      <c r="BJ154" s="203"/>
      <c r="BK154" s="203"/>
      <c r="BL154" s="203"/>
      <c r="BM154" s="203"/>
      <c r="BN154" s="203"/>
      <c r="BO154" s="203"/>
      <c r="BP154" s="203"/>
      <c r="BQ154" s="203"/>
      <c r="BR154" s="203"/>
      <c r="BS154" s="203"/>
      <c r="BT154" s="203"/>
      <c r="BU154" s="203"/>
      <c r="BV154" s="203"/>
      <c r="BW154" s="203"/>
      <c r="BX154" s="203"/>
    </row>
    <row r="155" spans="1:76" s="618" customFormat="1" x14ac:dyDescent="0.2">
      <c r="A155" s="614" t="s">
        <v>395</v>
      </c>
      <c r="B155" s="619" t="s">
        <v>838</v>
      </c>
      <c r="C155" s="613"/>
      <c r="D155" s="622" t="s">
        <v>396</v>
      </c>
      <c r="E155" s="623" t="s">
        <v>47</v>
      </c>
      <c r="F155" s="624">
        <f>MC!J557</f>
        <v>6</v>
      </c>
      <c r="G155" s="436">
        <f>'COMP-06'!I30</f>
        <v>326.56</v>
      </c>
      <c r="H155" s="350">
        <f>TRUNC(ROUND(G155*(1+$F$4),2),2)</f>
        <v>430.93</v>
      </c>
      <c r="I155" s="351">
        <f>TRUNC(ROUND(F155*H155,2),2)</f>
        <v>2585.58</v>
      </c>
      <c r="J155" s="617"/>
      <c r="K155" s="617"/>
      <c r="L155" s="617"/>
      <c r="M155" s="617"/>
      <c r="N155" s="617"/>
      <c r="O155" s="617"/>
      <c r="P155" s="617"/>
      <c r="Q155" s="617"/>
      <c r="R155" s="617"/>
      <c r="S155" s="617"/>
      <c r="T155" s="617"/>
      <c r="U155" s="617"/>
      <c r="V155" s="617"/>
      <c r="W155" s="617"/>
      <c r="X155" s="617"/>
      <c r="Y155" s="617"/>
      <c r="Z155" s="617"/>
      <c r="AA155" s="617"/>
      <c r="AB155" s="617"/>
      <c r="AC155" s="617"/>
      <c r="AD155" s="617"/>
      <c r="AE155" s="617"/>
      <c r="AF155" s="617"/>
      <c r="AG155" s="617"/>
      <c r="AH155" s="617"/>
      <c r="AI155" s="617"/>
      <c r="AJ155" s="617"/>
      <c r="AK155" s="617"/>
      <c r="AL155" s="617"/>
      <c r="AM155" s="617"/>
      <c r="AN155" s="617"/>
      <c r="AO155" s="617"/>
      <c r="AP155" s="617"/>
      <c r="AQ155" s="617"/>
      <c r="AR155" s="617"/>
      <c r="AS155" s="617"/>
      <c r="AT155" s="617"/>
      <c r="AU155" s="617"/>
      <c r="AV155" s="617"/>
      <c r="AW155" s="617"/>
      <c r="AX155" s="617"/>
      <c r="AY155" s="617"/>
      <c r="AZ155" s="617"/>
      <c r="BA155" s="617"/>
      <c r="BB155" s="617"/>
      <c r="BC155" s="617"/>
      <c r="BD155" s="617"/>
      <c r="BE155" s="617"/>
      <c r="BF155" s="617"/>
      <c r="BG155" s="617"/>
      <c r="BH155" s="617"/>
      <c r="BI155" s="617"/>
      <c r="BJ155" s="617"/>
      <c r="BK155" s="617"/>
      <c r="BL155" s="617"/>
      <c r="BM155" s="617"/>
      <c r="BN155" s="617"/>
      <c r="BO155" s="617"/>
      <c r="BP155" s="617"/>
      <c r="BQ155" s="617"/>
      <c r="BR155" s="617"/>
      <c r="BS155" s="617"/>
      <c r="BT155" s="617"/>
      <c r="BU155" s="617"/>
      <c r="BV155" s="617"/>
      <c r="BW155" s="617"/>
      <c r="BX155" s="617"/>
    </row>
    <row r="156" spans="1:76" x14ac:dyDescent="0.2">
      <c r="A156" s="11" t="s">
        <v>397</v>
      </c>
      <c r="B156" s="349" t="s">
        <v>398</v>
      </c>
      <c r="C156" s="119" t="s">
        <v>22</v>
      </c>
      <c r="D156" s="14" t="s">
        <v>399</v>
      </c>
      <c r="E156" s="119"/>
      <c r="F156" s="62"/>
      <c r="G156" s="117"/>
      <c r="H156" s="350"/>
      <c r="I156" s="351"/>
    </row>
    <row r="157" spans="1:76" ht="38.25" x14ac:dyDescent="0.2">
      <c r="A157" s="119" t="s">
        <v>400</v>
      </c>
      <c r="B157" s="219" t="s">
        <v>401</v>
      </c>
      <c r="C157" s="119" t="s">
        <v>22</v>
      </c>
      <c r="D157" s="197" t="s">
        <v>402</v>
      </c>
      <c r="E157" s="15" t="s">
        <v>47</v>
      </c>
      <c r="F157" s="62">
        <f>MC!J569</f>
        <v>12</v>
      </c>
      <c r="G157" s="117">
        <v>144.12</v>
      </c>
      <c r="H157" s="350">
        <f t="shared" ref="H157:H158" si="34">TRUNC(ROUND(G157*(1+$F$4),2),2)</f>
        <v>190.18</v>
      </c>
      <c r="I157" s="351">
        <f t="shared" ref="I157:I158" si="35">TRUNC(ROUND(F157*H157,2),2)</f>
        <v>2282.16</v>
      </c>
    </row>
    <row r="158" spans="1:76" ht="38.25" x14ac:dyDescent="0.2">
      <c r="A158" s="119" t="s">
        <v>403</v>
      </c>
      <c r="B158" s="219" t="s">
        <v>404</v>
      </c>
      <c r="C158" s="119" t="s">
        <v>22</v>
      </c>
      <c r="D158" s="197" t="s">
        <v>405</v>
      </c>
      <c r="E158" s="15" t="s">
        <v>47</v>
      </c>
      <c r="F158" s="62">
        <f>MC!J574</f>
        <v>12</v>
      </c>
      <c r="G158" s="117">
        <v>189.45</v>
      </c>
      <c r="H158" s="350">
        <f t="shared" si="34"/>
        <v>250</v>
      </c>
      <c r="I158" s="351">
        <f t="shared" si="35"/>
        <v>3000</v>
      </c>
    </row>
    <row r="159" spans="1:76" x14ac:dyDescent="0.2">
      <c r="A159" s="9"/>
      <c r="B159" s="9"/>
      <c r="C159" s="301"/>
      <c r="D159" s="329" t="s">
        <v>406</v>
      </c>
      <c r="E159" s="5"/>
      <c r="F159" s="5"/>
      <c r="G159" s="57"/>
      <c r="H159" s="57"/>
      <c r="I159" s="68">
        <f>SUM(I148:I158)</f>
        <v>9992.83</v>
      </c>
    </row>
    <row r="160" spans="1:76" x14ac:dyDescent="0.2">
      <c r="A160" s="384">
        <v>18</v>
      </c>
      <c r="B160" s="391">
        <v>19</v>
      </c>
      <c r="C160" s="391" t="s">
        <v>22</v>
      </c>
      <c r="D160" s="382" t="s">
        <v>407</v>
      </c>
      <c r="E160" s="381"/>
      <c r="F160" s="381"/>
      <c r="G160" s="381"/>
      <c r="H160" s="381"/>
      <c r="I160" s="381"/>
    </row>
    <row r="161" spans="1:76" x14ac:dyDescent="0.2">
      <c r="A161" s="10" t="s">
        <v>408</v>
      </c>
      <c r="B161" s="445">
        <v>1901</v>
      </c>
      <c r="C161" s="119" t="s">
        <v>22</v>
      </c>
      <c r="D161" s="330" t="s">
        <v>409</v>
      </c>
      <c r="E161" s="446"/>
      <c r="F161" s="11"/>
      <c r="G161" s="328"/>
      <c r="H161" s="328"/>
      <c r="I161" s="447"/>
    </row>
    <row r="162" spans="1:76" ht="25.5" x14ac:dyDescent="0.2">
      <c r="A162" s="440" t="s">
        <v>410</v>
      </c>
      <c r="B162" s="440">
        <v>190117</v>
      </c>
      <c r="C162" s="119" t="s">
        <v>22</v>
      </c>
      <c r="D162" s="448" t="s">
        <v>411</v>
      </c>
      <c r="E162" s="119" t="s">
        <v>27</v>
      </c>
      <c r="F162" s="441">
        <f>MC!J620</f>
        <v>691.25290000000007</v>
      </c>
      <c r="G162" s="331">
        <v>20.51</v>
      </c>
      <c r="H162" s="350">
        <f>TRUNC(ROUND(G162*(1+$F$4),2),2)</f>
        <v>27.06</v>
      </c>
      <c r="I162" s="351">
        <f>TRUNC(ROUND(F162*H162,2),2)</f>
        <v>18705.3</v>
      </c>
    </row>
    <row r="163" spans="1:76" x14ac:dyDescent="0.2">
      <c r="A163" s="10" t="s">
        <v>412</v>
      </c>
      <c r="B163" s="10">
        <v>1903</v>
      </c>
      <c r="C163" s="119" t="s">
        <v>22</v>
      </c>
      <c r="D163" s="306" t="s">
        <v>413</v>
      </c>
      <c r="E163" s="11"/>
      <c r="F163" s="11"/>
      <c r="G163" s="328"/>
      <c r="H163" s="350"/>
      <c r="I163" s="351"/>
    </row>
    <row r="164" spans="1:76" ht="25.5" x14ac:dyDescent="0.2">
      <c r="A164" s="440" t="s">
        <v>414</v>
      </c>
      <c r="B164" s="440">
        <v>190303</v>
      </c>
      <c r="C164" s="119" t="s">
        <v>22</v>
      </c>
      <c r="D164" s="197" t="s">
        <v>415</v>
      </c>
      <c r="E164" s="119" t="s">
        <v>416</v>
      </c>
      <c r="F164" s="441">
        <f>MC!J629</f>
        <v>22.050000000000004</v>
      </c>
      <c r="G164" s="331">
        <v>27.58</v>
      </c>
      <c r="H164" s="350">
        <f>TRUNC(ROUND(G164*(1+$F$4),2),2)</f>
        <v>36.39</v>
      </c>
      <c r="I164" s="351">
        <f>TRUNC(ROUND(F164*H164,2),2)</f>
        <v>802.4</v>
      </c>
    </row>
    <row r="165" spans="1:76" x14ac:dyDescent="0.2">
      <c r="A165" s="307" t="s">
        <v>417</v>
      </c>
      <c r="B165" s="449" t="s">
        <v>418</v>
      </c>
      <c r="C165" s="119" t="s">
        <v>22</v>
      </c>
      <c r="D165" s="254" t="s">
        <v>419</v>
      </c>
      <c r="E165" s="184"/>
      <c r="F165" s="251"/>
      <c r="G165" s="436"/>
      <c r="H165" s="350"/>
      <c r="I165" s="351"/>
    </row>
    <row r="166" spans="1:76" ht="25.5" x14ac:dyDescent="0.2">
      <c r="A166" s="184" t="s">
        <v>420</v>
      </c>
      <c r="B166" s="271" t="s">
        <v>421</v>
      </c>
      <c r="C166" s="119" t="s">
        <v>22</v>
      </c>
      <c r="D166" s="272" t="s">
        <v>422</v>
      </c>
      <c r="E166" s="252" t="s">
        <v>423</v>
      </c>
      <c r="F166" s="251">
        <f>MC!J668</f>
        <v>761.0927999999999</v>
      </c>
      <c r="G166" s="436">
        <v>25.01</v>
      </c>
      <c r="H166" s="350">
        <f>TRUNC(ROUND(G166*(1+$F$4),2),2)</f>
        <v>33</v>
      </c>
      <c r="I166" s="351">
        <f>TRUNC(ROUND(F166*H166,2),2)</f>
        <v>25116.06</v>
      </c>
    </row>
    <row r="167" spans="1:76" x14ac:dyDescent="0.2">
      <c r="A167" s="377"/>
      <c r="B167" s="377"/>
      <c r="C167" s="378"/>
      <c r="D167" s="379" t="s">
        <v>426</v>
      </c>
      <c r="E167" s="297"/>
      <c r="F167" s="297"/>
      <c r="G167" s="299"/>
      <c r="H167" s="299"/>
      <c r="I167" s="380">
        <f>SUM(I162:I166)</f>
        <v>44623.76</v>
      </c>
    </row>
    <row r="168" spans="1:76" x14ac:dyDescent="0.2">
      <c r="A168" s="384">
        <v>19</v>
      </c>
      <c r="B168" s="391">
        <v>20</v>
      </c>
      <c r="C168" s="381" t="s">
        <v>427</v>
      </c>
      <c r="D168" s="382" t="s">
        <v>609</v>
      </c>
      <c r="E168" s="381" t="s">
        <v>427</v>
      </c>
      <c r="F168" s="381" t="s">
        <v>427</v>
      </c>
      <c r="G168" s="381" t="s">
        <v>427</v>
      </c>
      <c r="H168" s="381" t="s">
        <v>427</v>
      </c>
      <c r="I168" s="381" t="s">
        <v>427</v>
      </c>
    </row>
    <row r="169" spans="1:76" s="454" customFormat="1" x14ac:dyDescent="0.2">
      <c r="A169" s="450" t="s">
        <v>429</v>
      </c>
      <c r="B169" s="451">
        <v>2004</v>
      </c>
      <c r="C169" s="452"/>
      <c r="D169" s="453" t="s">
        <v>424</v>
      </c>
      <c r="E169" s="452"/>
      <c r="F169" s="452"/>
      <c r="G169" s="452"/>
      <c r="H169" s="452"/>
      <c r="I169" s="452"/>
    </row>
    <row r="170" spans="1:76" x14ac:dyDescent="0.2">
      <c r="A170" s="440" t="s">
        <v>431</v>
      </c>
      <c r="B170" s="440">
        <v>200401</v>
      </c>
      <c r="C170" s="119" t="s">
        <v>22</v>
      </c>
      <c r="D170" s="197" t="s">
        <v>425</v>
      </c>
      <c r="E170" s="119" t="s">
        <v>423</v>
      </c>
      <c r="F170" s="441">
        <f>MC!J674</f>
        <v>537.11</v>
      </c>
      <c r="G170" s="331">
        <v>11.1</v>
      </c>
      <c r="H170" s="350">
        <f>TRUNC(ROUND(G170*(1+$F$4),2),2)</f>
        <v>14.65</v>
      </c>
      <c r="I170" s="351">
        <f>TRUNC(ROUND(F170*H170,2),2)</f>
        <v>7868.66</v>
      </c>
    </row>
    <row r="171" spans="1:76" x14ac:dyDescent="0.2">
      <c r="A171" s="377"/>
      <c r="B171" s="377"/>
      <c r="C171" s="378"/>
      <c r="D171" s="329" t="s">
        <v>438</v>
      </c>
      <c r="E171" s="297"/>
      <c r="F171" s="297"/>
      <c r="G171" s="299"/>
      <c r="H171" s="299"/>
      <c r="I171" s="380">
        <f>SUM(I170)</f>
        <v>7868.66</v>
      </c>
    </row>
    <row r="172" spans="1:76" x14ac:dyDescent="0.2">
      <c r="A172" s="384">
        <v>20</v>
      </c>
      <c r="B172" s="391">
        <v>21</v>
      </c>
      <c r="C172" s="381" t="s">
        <v>427</v>
      </c>
      <c r="D172" s="382" t="s">
        <v>428</v>
      </c>
      <c r="E172" s="381" t="s">
        <v>427</v>
      </c>
      <c r="F172" s="381" t="s">
        <v>427</v>
      </c>
      <c r="G172" s="381" t="s">
        <v>427</v>
      </c>
      <c r="H172" s="381" t="s">
        <v>427</v>
      </c>
      <c r="I172" s="381" t="s">
        <v>427</v>
      </c>
      <c r="J172" s="383"/>
      <c r="K172" s="383"/>
      <c r="L172" s="383"/>
      <c r="M172" s="383"/>
      <c r="N172" s="383"/>
      <c r="O172" s="383"/>
      <c r="P172" s="383"/>
      <c r="Q172" s="383"/>
      <c r="R172" s="383"/>
      <c r="S172" s="383"/>
      <c r="T172" s="383"/>
      <c r="U172" s="383"/>
      <c r="V172" s="383"/>
      <c r="W172" s="383"/>
      <c r="X172" s="383"/>
      <c r="Y172" s="383"/>
      <c r="Z172" s="383"/>
      <c r="AA172" s="383"/>
      <c r="AB172" s="383"/>
      <c r="AC172" s="383"/>
      <c r="AD172" s="383"/>
      <c r="AE172" s="383"/>
      <c r="AF172" s="383"/>
      <c r="AG172" s="383"/>
      <c r="AH172" s="383"/>
      <c r="AI172" s="383"/>
      <c r="AJ172" s="383"/>
      <c r="AK172" s="383"/>
      <c r="AL172" s="383"/>
      <c r="AM172" s="383"/>
      <c r="AN172" s="383"/>
      <c r="AO172" s="383"/>
      <c r="AP172" s="383"/>
      <c r="AQ172" s="383"/>
      <c r="AR172" s="383"/>
      <c r="AS172" s="383"/>
      <c r="AT172" s="383"/>
      <c r="AU172" s="383"/>
      <c r="AV172" s="383"/>
      <c r="AW172" s="383"/>
      <c r="AX172" s="383"/>
      <c r="AY172" s="383"/>
      <c r="AZ172" s="383"/>
      <c r="BA172" s="383"/>
      <c r="BB172" s="383"/>
      <c r="BC172" s="383"/>
      <c r="BD172" s="383"/>
      <c r="BE172" s="383"/>
      <c r="BF172" s="383"/>
      <c r="BG172" s="383"/>
      <c r="BH172" s="383"/>
      <c r="BI172" s="383"/>
      <c r="BJ172" s="383"/>
      <c r="BK172" s="383"/>
      <c r="BL172" s="383"/>
      <c r="BM172" s="383"/>
      <c r="BN172" s="383"/>
      <c r="BO172" s="383"/>
      <c r="BP172" s="383"/>
      <c r="BQ172" s="383"/>
      <c r="BR172" s="383"/>
      <c r="BS172" s="383"/>
      <c r="BT172" s="383"/>
      <c r="BU172" s="383"/>
      <c r="BV172" s="383"/>
      <c r="BW172" s="383"/>
      <c r="BX172" s="383"/>
    </row>
    <row r="173" spans="1:76" x14ac:dyDescent="0.2">
      <c r="A173" s="10" t="s">
        <v>880</v>
      </c>
      <c r="B173" s="10">
        <v>2103</v>
      </c>
      <c r="C173" s="119" t="s">
        <v>22</v>
      </c>
      <c r="D173" s="306" t="s">
        <v>430</v>
      </c>
      <c r="E173" s="11"/>
      <c r="F173" s="11"/>
      <c r="G173" s="328"/>
      <c r="H173" s="350"/>
      <c r="I173" s="351"/>
    </row>
    <row r="174" spans="1:76" s="618" customFormat="1" ht="25.5" x14ac:dyDescent="0.2">
      <c r="A174" s="625" t="s">
        <v>881</v>
      </c>
      <c r="B174" s="625" t="s">
        <v>432</v>
      </c>
      <c r="C174" s="626" t="s">
        <v>427</v>
      </c>
      <c r="D174" s="627" t="s">
        <v>433</v>
      </c>
      <c r="E174" s="613" t="s">
        <v>47</v>
      </c>
      <c r="F174" s="624">
        <f>MC!J682</f>
        <v>3</v>
      </c>
      <c r="G174" s="436">
        <f>'COMP-07'!I30</f>
        <v>78.64</v>
      </c>
      <c r="H174" s="350">
        <f>TRUNC(ROUND(G174*(1+$F$4),2),2)</f>
        <v>103.77</v>
      </c>
      <c r="I174" s="351">
        <f>TRUNC(ROUND(F174*H174,2),2)</f>
        <v>311.31</v>
      </c>
      <c r="J174" s="628"/>
      <c r="K174" s="628"/>
      <c r="L174" s="628"/>
      <c r="M174" s="628"/>
      <c r="N174" s="628"/>
      <c r="O174" s="628"/>
      <c r="P174" s="628"/>
      <c r="Q174" s="628"/>
      <c r="R174" s="628"/>
      <c r="S174" s="628"/>
      <c r="T174" s="628"/>
      <c r="U174" s="628"/>
      <c r="V174" s="628"/>
      <c r="W174" s="628"/>
      <c r="X174" s="628"/>
      <c r="Y174" s="628"/>
      <c r="Z174" s="628"/>
      <c r="AA174" s="628"/>
      <c r="AB174" s="628"/>
      <c r="AC174" s="628"/>
      <c r="AD174" s="628"/>
      <c r="AE174" s="628"/>
      <c r="AF174" s="628"/>
      <c r="AG174" s="628"/>
      <c r="AH174" s="628"/>
      <c r="AI174" s="628"/>
      <c r="AJ174" s="628"/>
      <c r="AK174" s="628"/>
      <c r="AL174" s="628"/>
      <c r="AM174" s="628"/>
      <c r="AN174" s="628"/>
      <c r="AO174" s="628"/>
      <c r="AP174" s="628"/>
      <c r="AQ174" s="628"/>
      <c r="AR174" s="628"/>
      <c r="AS174" s="628"/>
      <c r="AT174" s="628"/>
      <c r="AU174" s="628"/>
      <c r="AV174" s="628"/>
      <c r="AW174" s="628"/>
      <c r="AX174" s="628"/>
      <c r="AY174" s="628"/>
      <c r="AZ174" s="628"/>
      <c r="BA174" s="628"/>
      <c r="BB174" s="628"/>
      <c r="BC174" s="628"/>
      <c r="BD174" s="628"/>
      <c r="BE174" s="628"/>
      <c r="BF174" s="628"/>
      <c r="BG174" s="628"/>
      <c r="BH174" s="628"/>
      <c r="BI174" s="628"/>
      <c r="BJ174" s="628"/>
      <c r="BK174" s="628"/>
      <c r="BL174" s="628"/>
      <c r="BM174" s="628"/>
      <c r="BN174" s="628"/>
      <c r="BO174" s="628"/>
      <c r="BP174" s="628"/>
      <c r="BQ174" s="628"/>
      <c r="BR174" s="628"/>
      <c r="BS174" s="628"/>
      <c r="BT174" s="628"/>
      <c r="BU174" s="628"/>
      <c r="BV174" s="628"/>
      <c r="BW174" s="628"/>
      <c r="BX174" s="628"/>
    </row>
    <row r="175" spans="1:76" s="618" customFormat="1" x14ac:dyDescent="0.2">
      <c r="A175" s="625" t="s">
        <v>882</v>
      </c>
      <c r="B175" s="625" t="s">
        <v>434</v>
      </c>
      <c r="C175" s="629" t="s">
        <v>427</v>
      </c>
      <c r="D175" s="630" t="s">
        <v>435</v>
      </c>
      <c r="E175" s="613" t="s">
        <v>47</v>
      </c>
      <c r="F175" s="624">
        <f>MC!J688</f>
        <v>6</v>
      </c>
      <c r="G175" s="436">
        <f>'COMP-08'!I30</f>
        <v>38.49</v>
      </c>
      <c r="H175" s="350">
        <f>TRUNC(ROUND(G175*(1+$F$4),2),2)</f>
        <v>50.79</v>
      </c>
      <c r="I175" s="351">
        <f>TRUNC(ROUND(F175*H175,2),2)</f>
        <v>304.74</v>
      </c>
      <c r="J175" s="628"/>
      <c r="K175" s="628"/>
      <c r="L175" s="628"/>
      <c r="M175" s="628"/>
      <c r="N175" s="628"/>
      <c r="O175" s="628"/>
      <c r="P175" s="628"/>
      <c r="Q175" s="628"/>
      <c r="R175" s="628"/>
      <c r="S175" s="628"/>
      <c r="T175" s="628"/>
      <c r="U175" s="628"/>
      <c r="V175" s="628"/>
      <c r="W175" s="628"/>
      <c r="X175" s="628"/>
      <c r="Y175" s="628"/>
      <c r="Z175" s="628"/>
      <c r="AA175" s="628"/>
      <c r="AB175" s="628"/>
      <c r="AC175" s="628"/>
      <c r="AD175" s="628"/>
      <c r="AE175" s="628"/>
      <c r="AF175" s="628"/>
      <c r="AG175" s="628"/>
      <c r="AH175" s="628"/>
      <c r="AI175" s="628"/>
      <c r="AJ175" s="628"/>
      <c r="AK175" s="628"/>
      <c r="AL175" s="628"/>
      <c r="AM175" s="628"/>
      <c r="AN175" s="628"/>
      <c r="AO175" s="628"/>
      <c r="AP175" s="628"/>
      <c r="AQ175" s="628"/>
      <c r="AR175" s="628"/>
      <c r="AS175" s="628"/>
      <c r="AT175" s="628"/>
      <c r="AU175" s="628"/>
      <c r="AV175" s="628"/>
      <c r="AW175" s="628"/>
      <c r="AX175" s="628"/>
      <c r="AY175" s="628"/>
      <c r="AZ175" s="628"/>
      <c r="BA175" s="628"/>
      <c r="BB175" s="628"/>
      <c r="BC175" s="628"/>
      <c r="BD175" s="628"/>
      <c r="BE175" s="628"/>
      <c r="BF175" s="628"/>
      <c r="BG175" s="628"/>
      <c r="BH175" s="628"/>
      <c r="BI175" s="628"/>
      <c r="BJ175" s="628"/>
      <c r="BK175" s="628"/>
      <c r="BL175" s="628"/>
      <c r="BM175" s="628"/>
      <c r="BN175" s="628"/>
      <c r="BO175" s="628"/>
      <c r="BP175" s="628"/>
      <c r="BQ175" s="628"/>
      <c r="BR175" s="628"/>
      <c r="BS175" s="628"/>
      <c r="BT175" s="628"/>
      <c r="BU175" s="628"/>
      <c r="BV175" s="628"/>
      <c r="BW175" s="628"/>
      <c r="BX175" s="628"/>
    </row>
    <row r="176" spans="1:76" s="618" customFormat="1" ht="25.5" x14ac:dyDescent="0.2">
      <c r="A176" s="625" t="s">
        <v>883</v>
      </c>
      <c r="B176" s="625" t="s">
        <v>436</v>
      </c>
      <c r="C176" s="629" t="s">
        <v>427</v>
      </c>
      <c r="D176" s="630" t="s">
        <v>437</v>
      </c>
      <c r="E176" s="613" t="s">
        <v>47</v>
      </c>
      <c r="F176" s="624">
        <f>MC!J694</f>
        <v>3</v>
      </c>
      <c r="G176" s="436">
        <f>'COMP-09'!I30</f>
        <v>56.21</v>
      </c>
      <c r="H176" s="350">
        <f>TRUNC(ROUND(G176*(1+$F$4),2),2)</f>
        <v>74.17</v>
      </c>
      <c r="I176" s="351">
        <f>TRUNC(ROUND(F176*H176,2),2)</f>
        <v>222.51</v>
      </c>
      <c r="J176" s="628"/>
      <c r="K176" s="628"/>
      <c r="L176" s="628"/>
      <c r="M176" s="628"/>
      <c r="N176" s="628"/>
      <c r="O176" s="628"/>
      <c r="P176" s="628"/>
      <c r="Q176" s="628"/>
      <c r="R176" s="628"/>
      <c r="S176" s="628"/>
      <c r="T176" s="628"/>
      <c r="U176" s="628"/>
      <c r="V176" s="628"/>
      <c r="W176" s="628"/>
      <c r="X176" s="628"/>
      <c r="Y176" s="628"/>
      <c r="Z176" s="628"/>
      <c r="AA176" s="628"/>
      <c r="AB176" s="628"/>
      <c r="AC176" s="628"/>
      <c r="AD176" s="628"/>
      <c r="AE176" s="628"/>
      <c r="AF176" s="628"/>
      <c r="AG176" s="628"/>
      <c r="AH176" s="628"/>
      <c r="AI176" s="628"/>
      <c r="AJ176" s="628"/>
      <c r="AK176" s="628"/>
      <c r="AL176" s="628"/>
      <c r="AM176" s="628"/>
      <c r="AN176" s="628"/>
      <c r="AO176" s="628"/>
      <c r="AP176" s="628"/>
      <c r="AQ176" s="628"/>
      <c r="AR176" s="628"/>
      <c r="AS176" s="628"/>
      <c r="AT176" s="628"/>
      <c r="AU176" s="628"/>
      <c r="AV176" s="628"/>
      <c r="AW176" s="628"/>
      <c r="AX176" s="628"/>
      <c r="AY176" s="628"/>
      <c r="AZ176" s="628"/>
      <c r="BA176" s="628"/>
      <c r="BB176" s="628"/>
      <c r="BC176" s="628"/>
      <c r="BD176" s="628"/>
      <c r="BE176" s="628"/>
      <c r="BF176" s="628"/>
      <c r="BG176" s="628"/>
      <c r="BH176" s="628"/>
      <c r="BI176" s="628"/>
      <c r="BJ176" s="628"/>
      <c r="BK176" s="628"/>
      <c r="BL176" s="628"/>
      <c r="BM176" s="628"/>
      <c r="BN176" s="628"/>
      <c r="BO176" s="628"/>
      <c r="BP176" s="628"/>
      <c r="BQ176" s="628"/>
      <c r="BR176" s="628"/>
      <c r="BS176" s="628"/>
      <c r="BT176" s="628"/>
      <c r="BU176" s="628"/>
      <c r="BV176" s="628"/>
      <c r="BW176" s="628"/>
      <c r="BX176" s="628"/>
    </row>
    <row r="177" spans="1:76" x14ac:dyDescent="0.2">
      <c r="A177" s="377"/>
      <c r="B177" s="377"/>
      <c r="C177" s="378"/>
      <c r="D177" s="379" t="s">
        <v>438</v>
      </c>
      <c r="E177" s="297"/>
      <c r="F177" s="297"/>
      <c r="G177" s="299"/>
      <c r="H177" s="299"/>
      <c r="I177" s="380">
        <f>SUM(I174:I176)</f>
        <v>838.56</v>
      </c>
    </row>
    <row r="178" spans="1:76" x14ac:dyDescent="0.2">
      <c r="A178" s="297"/>
      <c r="B178" s="297"/>
      <c r="C178" s="297"/>
      <c r="D178" s="298" t="s">
        <v>17</v>
      </c>
      <c r="E178" s="297"/>
      <c r="F178" s="297"/>
      <c r="G178" s="297"/>
      <c r="H178" s="297"/>
      <c r="I178" s="299">
        <f>SUM(I8:I177)/2</f>
        <v>541519.91</v>
      </c>
      <c r="J178" s="203"/>
      <c r="K178" s="203"/>
      <c r="L178" s="203"/>
      <c r="M178" s="203"/>
      <c r="N178" s="203"/>
      <c r="O178" s="203"/>
      <c r="P178" s="203"/>
      <c r="Q178" s="203"/>
      <c r="R178" s="203"/>
      <c r="S178" s="203"/>
      <c r="T178" s="203"/>
      <c r="U178" s="203"/>
      <c r="V178" s="203"/>
      <c r="W178" s="203"/>
      <c r="X178" s="203"/>
      <c r="Y178" s="203"/>
      <c r="Z178" s="203"/>
      <c r="AA178" s="203"/>
      <c r="AB178" s="203"/>
      <c r="AC178" s="203"/>
      <c r="AD178" s="203"/>
      <c r="AE178" s="203"/>
      <c r="AF178" s="203"/>
      <c r="AG178" s="203"/>
      <c r="AH178" s="203"/>
      <c r="AI178" s="203"/>
      <c r="AJ178" s="203"/>
      <c r="AK178" s="203"/>
      <c r="AL178" s="203"/>
      <c r="AM178" s="203"/>
      <c r="AN178" s="203"/>
      <c r="AO178" s="203"/>
      <c r="AP178" s="203"/>
      <c r="AQ178" s="203"/>
      <c r="AR178" s="203"/>
      <c r="AS178" s="203"/>
      <c r="AT178" s="203"/>
      <c r="AU178" s="203"/>
      <c r="AV178" s="203"/>
      <c r="AW178" s="203"/>
      <c r="AX178" s="203"/>
      <c r="AY178" s="203"/>
      <c r="AZ178" s="203"/>
      <c r="BA178" s="203"/>
      <c r="BB178" s="203"/>
      <c r="BC178" s="203"/>
      <c r="BD178" s="203"/>
      <c r="BE178" s="203"/>
      <c r="BF178" s="203"/>
      <c r="BG178" s="203"/>
      <c r="BH178" s="203"/>
      <c r="BI178" s="203"/>
      <c r="BJ178" s="203"/>
      <c r="BK178" s="203"/>
      <c r="BL178" s="203"/>
      <c r="BM178" s="203"/>
      <c r="BN178" s="203"/>
      <c r="BO178" s="203"/>
      <c r="BP178" s="203"/>
      <c r="BQ178" s="203"/>
      <c r="BR178" s="203"/>
      <c r="BS178" s="203"/>
      <c r="BT178" s="203"/>
      <c r="BU178" s="203"/>
      <c r="BV178" s="203"/>
      <c r="BW178" s="203"/>
      <c r="BX178" s="203"/>
    </row>
    <row r="179" spans="1:76" ht="25.5" customHeight="1" x14ac:dyDescent="0.2">
      <c r="A179" s="455" t="s">
        <v>889</v>
      </c>
      <c r="B179" s="455"/>
      <c r="C179" s="455"/>
      <c r="D179" s="455"/>
      <c r="E179" s="455"/>
      <c r="F179" s="455"/>
      <c r="G179" s="455"/>
      <c r="H179" s="455"/>
      <c r="I179" s="455"/>
    </row>
  </sheetData>
  <mergeCells count="13">
    <mergeCell ref="A179:I179"/>
    <mergeCell ref="G3:I3"/>
    <mergeCell ref="B1:I1"/>
    <mergeCell ref="A5:A6"/>
    <mergeCell ref="G5:I5"/>
    <mergeCell ref="F5:F6"/>
    <mergeCell ref="E5:E6"/>
    <mergeCell ref="D5:D6"/>
    <mergeCell ref="C5:C6"/>
    <mergeCell ref="B5:B6"/>
    <mergeCell ref="B2:D2"/>
    <mergeCell ref="B3:D3"/>
    <mergeCell ref="B4:D4"/>
  </mergeCells>
  <phoneticPr fontId="27" type="noConversion"/>
  <pageMargins left="0.51181102362204722" right="0.51181102362204722" top="0.78740157480314965" bottom="0.78740157480314965" header="0.31496062992125984" footer="0.31496062992125984"/>
  <pageSetup paperSize="9" scale="4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695"/>
  <sheetViews>
    <sheetView view="pageBreakPreview" zoomScaleNormal="100" zoomScaleSheetLayoutView="100" workbookViewId="0">
      <pane ySplit="5" topLeftCell="A405" activePane="bottomLeft" state="frozenSplit"/>
      <selection pane="bottomLeft" activeCell="D273" sqref="D273"/>
    </sheetView>
  </sheetViews>
  <sheetFormatPr defaultRowHeight="12.75" x14ac:dyDescent="0.2"/>
  <cols>
    <col min="1" max="1" width="12.42578125" style="12" customWidth="1"/>
    <col min="2" max="2" width="65.85546875" style="12" customWidth="1"/>
    <col min="3" max="3" width="17" style="12" customWidth="1"/>
    <col min="4" max="4" width="17" style="116" customWidth="1"/>
    <col min="5" max="8" width="17" style="12" customWidth="1"/>
    <col min="9" max="9" width="15.140625" style="12" customWidth="1"/>
    <col min="10" max="10" width="13.28515625" style="12" customWidth="1"/>
    <col min="11" max="16384" width="9.140625" style="12"/>
  </cols>
  <sheetData>
    <row r="1" spans="1:10" ht="15" customHeight="1" x14ac:dyDescent="0.2">
      <c r="A1" s="244"/>
      <c r="B1" s="481" t="s">
        <v>0</v>
      </c>
      <c r="C1" s="481"/>
      <c r="D1" s="481"/>
      <c r="E1" s="481"/>
      <c r="F1" s="481"/>
      <c r="G1" s="481"/>
      <c r="H1" s="481"/>
      <c r="I1" s="481"/>
      <c r="J1" s="481"/>
    </row>
    <row r="2" spans="1:10" x14ac:dyDescent="0.2">
      <c r="A2" s="245"/>
      <c r="B2" s="467" t="s">
        <v>439</v>
      </c>
      <c r="C2" s="467"/>
      <c r="D2" s="467"/>
      <c r="E2" s="3"/>
      <c r="F2" s="3"/>
      <c r="G2" s="3"/>
      <c r="H2" s="3"/>
      <c r="I2" s="456" t="s">
        <v>440</v>
      </c>
      <c r="J2" s="456"/>
    </row>
    <row r="3" spans="1:10" ht="15" customHeight="1" x14ac:dyDescent="0.2">
      <c r="A3" s="245"/>
      <c r="B3" s="467" t="s">
        <v>2</v>
      </c>
      <c r="C3" s="467"/>
      <c r="D3" s="467"/>
      <c r="E3" s="467"/>
      <c r="F3" s="467"/>
      <c r="G3" s="105" t="s">
        <v>3</v>
      </c>
      <c r="H3" s="19">
        <v>1.5727</v>
      </c>
      <c r="I3" s="456"/>
      <c r="J3" s="456"/>
    </row>
    <row r="4" spans="1:10" x14ac:dyDescent="0.2">
      <c r="A4" s="247"/>
      <c r="B4" s="482" t="s">
        <v>5</v>
      </c>
      <c r="C4" s="482"/>
      <c r="D4" s="482"/>
      <c r="E4" s="287"/>
      <c r="F4" s="287"/>
      <c r="G4" s="288" t="s">
        <v>6</v>
      </c>
      <c r="H4" s="289">
        <v>0.3196</v>
      </c>
      <c r="I4" s="483" t="s">
        <v>890</v>
      </c>
      <c r="J4" s="483"/>
    </row>
    <row r="5" spans="1:10" ht="25.5" x14ac:dyDescent="0.2">
      <c r="A5" s="290" t="s">
        <v>8</v>
      </c>
      <c r="B5" s="290" t="s">
        <v>11</v>
      </c>
      <c r="C5" s="290" t="s">
        <v>12</v>
      </c>
      <c r="D5" s="291" t="s">
        <v>441</v>
      </c>
      <c r="E5" s="291" t="s">
        <v>442</v>
      </c>
      <c r="F5" s="291" t="s">
        <v>443</v>
      </c>
      <c r="G5" s="291" t="s">
        <v>444</v>
      </c>
      <c r="H5" s="291" t="s">
        <v>445</v>
      </c>
      <c r="I5" s="291" t="s">
        <v>446</v>
      </c>
      <c r="J5" s="292" t="s">
        <v>447</v>
      </c>
    </row>
    <row r="6" spans="1:10" x14ac:dyDescent="0.2">
      <c r="A6" s="5">
        <f>'PLANILHA ORÇAMENTÁRIA'!A7</f>
        <v>1</v>
      </c>
      <c r="B6" s="7" t="str">
        <f>'PLANILHA ORÇAMENTÁRIA'!D7</f>
        <v>SERVIÇOS PRELIMINARES</v>
      </c>
      <c r="C6" s="60"/>
      <c r="D6" s="120"/>
      <c r="E6" s="58"/>
      <c r="F6" s="58"/>
      <c r="G6" s="58"/>
      <c r="H6" s="58"/>
      <c r="I6" s="58"/>
      <c r="J6" s="58"/>
    </row>
    <row r="7" spans="1:10" x14ac:dyDescent="0.2">
      <c r="A7" s="22" t="str">
        <f>'PLANILHA ORÇAMENTÁRIA'!A8</f>
        <v>1.1</v>
      </c>
      <c r="B7" s="14" t="str">
        <f>'PLANILHA ORÇAMENTÁRIA'!D8</f>
        <v>DEMOLIÇÕES E RETIRADAS</v>
      </c>
      <c r="C7" s="15"/>
      <c r="D7" s="69"/>
      <c r="E7" s="24"/>
      <c r="F7" s="24"/>
      <c r="G7" s="24"/>
      <c r="H7" s="24"/>
      <c r="I7" s="24"/>
      <c r="J7" s="24"/>
    </row>
    <row r="8" spans="1:10" ht="25.5" x14ac:dyDescent="0.2">
      <c r="A8" s="15" t="str">
        <f>'PLANILHA ORÇAMENTÁRIA'!A9</f>
        <v>1.1.1</v>
      </c>
      <c r="B8" s="16" t="str">
        <f>'PLANILHA ORÇAMENTÁRIA'!D9</f>
        <v>Demolição de piso revestido com cerâmica</v>
      </c>
      <c r="C8" s="15" t="str">
        <f>'PLANILHA ORÇAMENTÁRIA'!E9</f>
        <v>m2</v>
      </c>
      <c r="D8" s="66" t="s">
        <v>441</v>
      </c>
      <c r="E8" s="66" t="s">
        <v>442</v>
      </c>
      <c r="F8" s="66" t="s">
        <v>443</v>
      </c>
      <c r="G8" s="66" t="s">
        <v>444</v>
      </c>
      <c r="H8" s="66" t="s">
        <v>445</v>
      </c>
      <c r="I8" s="66" t="s">
        <v>446</v>
      </c>
      <c r="J8" s="67" t="s">
        <v>447</v>
      </c>
    </row>
    <row r="9" spans="1:10" x14ac:dyDescent="0.2">
      <c r="A9" s="15"/>
      <c r="B9" s="61" t="s">
        <v>448</v>
      </c>
      <c r="C9" s="15"/>
      <c r="D9" s="66"/>
      <c r="E9" s="66"/>
      <c r="F9" s="66"/>
      <c r="G9" s="66"/>
      <c r="H9" s="66">
        <v>8.5299999999999994</v>
      </c>
      <c r="I9" s="66"/>
      <c r="J9" s="67">
        <f>H9</f>
        <v>8.5299999999999994</v>
      </c>
    </row>
    <row r="10" spans="1:10" x14ac:dyDescent="0.2">
      <c r="A10" s="15"/>
      <c r="B10" s="109" t="s">
        <v>449</v>
      </c>
      <c r="C10" s="62"/>
      <c r="D10" s="62"/>
      <c r="E10" s="62"/>
      <c r="F10" s="62"/>
      <c r="G10" s="62"/>
      <c r="H10" s="62">
        <v>12.35</v>
      </c>
      <c r="I10" s="62"/>
      <c r="J10" s="62">
        <f>H10</f>
        <v>12.35</v>
      </c>
    </row>
    <row r="11" spans="1:10" x14ac:dyDescent="0.2">
      <c r="A11" s="15"/>
      <c r="B11" s="109" t="s">
        <v>450</v>
      </c>
      <c r="C11" s="62"/>
      <c r="D11" s="62"/>
      <c r="E11" s="62"/>
      <c r="F11" s="62"/>
      <c r="G11" s="62"/>
      <c r="H11" s="62">
        <v>2.7</v>
      </c>
      <c r="I11" s="62"/>
      <c r="J11" s="62">
        <f>H11</f>
        <v>2.7</v>
      </c>
    </row>
    <row r="12" spans="1:10" x14ac:dyDescent="0.2">
      <c r="A12" s="15"/>
      <c r="B12" s="109" t="s">
        <v>451</v>
      </c>
      <c r="C12" s="62"/>
      <c r="D12" s="62"/>
      <c r="E12" s="62"/>
      <c r="F12" s="62"/>
      <c r="G12" s="62"/>
      <c r="H12" s="62">
        <v>19.32</v>
      </c>
      <c r="I12" s="62"/>
      <c r="J12" s="62">
        <f>H12</f>
        <v>19.32</v>
      </c>
    </row>
    <row r="13" spans="1:10" x14ac:dyDescent="0.2">
      <c r="A13" s="15"/>
      <c r="B13" s="109"/>
      <c r="C13" s="62"/>
      <c r="D13" s="62"/>
      <c r="E13" s="62"/>
      <c r="F13" s="62"/>
      <c r="G13" s="62"/>
      <c r="H13" s="62"/>
      <c r="I13" s="64" t="s">
        <v>452</v>
      </c>
      <c r="J13" s="65">
        <f>SUM(J9:J12)</f>
        <v>42.9</v>
      </c>
    </row>
    <row r="14" spans="1:10" x14ac:dyDescent="0.2">
      <c r="A14" s="15"/>
      <c r="B14" s="109"/>
      <c r="C14" s="62"/>
      <c r="D14" s="62"/>
      <c r="E14" s="62"/>
      <c r="F14" s="62"/>
      <c r="G14" s="62"/>
      <c r="H14" s="62"/>
      <c r="I14" s="62"/>
      <c r="J14" s="62"/>
    </row>
    <row r="15" spans="1:10" ht="25.5" x14ac:dyDescent="0.2">
      <c r="A15" s="15" t="str">
        <f>'PLANILHA ORÇAMENTÁRIA'!A10</f>
        <v>1.1.2</v>
      </c>
      <c r="B15" s="16" t="str">
        <f>'PLANILHA ORÇAMENTÁRIA'!D10</f>
        <v>Demolição de revestimento com azulejos</v>
      </c>
      <c r="C15" s="15" t="str">
        <f>'PLANILHA ORÇAMENTÁRIA'!E10</f>
        <v>m2</v>
      </c>
      <c r="D15" s="66" t="s">
        <v>441</v>
      </c>
      <c r="E15" s="66" t="s">
        <v>442</v>
      </c>
      <c r="F15" s="66" t="s">
        <v>443</v>
      </c>
      <c r="G15" s="66" t="s">
        <v>444</v>
      </c>
      <c r="H15" s="66" t="s">
        <v>445</v>
      </c>
      <c r="I15" s="66" t="s">
        <v>446</v>
      </c>
      <c r="J15" s="67" t="s">
        <v>447</v>
      </c>
    </row>
    <row r="16" spans="1:10" ht="25.5" x14ac:dyDescent="0.2">
      <c r="A16" s="15"/>
      <c r="B16" s="16"/>
      <c r="C16" s="15"/>
      <c r="D16" s="66"/>
      <c r="E16" s="66"/>
      <c r="F16" s="66"/>
      <c r="G16" s="66"/>
      <c r="H16" s="66"/>
      <c r="I16" s="66" t="s">
        <v>453</v>
      </c>
      <c r="J16" s="67"/>
    </row>
    <row r="17" spans="1:10" x14ac:dyDescent="0.2">
      <c r="A17" s="15"/>
      <c r="B17" s="182" t="s">
        <v>448</v>
      </c>
      <c r="C17" s="15"/>
      <c r="D17" s="66"/>
      <c r="E17" s="66"/>
      <c r="F17" s="66">
        <f>(2.94+2.9+2.94+2.9+1.06+1.06+1.6+1.6+1.15+1.15)</f>
        <v>19.299999999999997</v>
      </c>
      <c r="G17" s="66">
        <v>1.85</v>
      </c>
      <c r="H17" s="66">
        <f>F17*G17</f>
        <v>35.704999999999998</v>
      </c>
      <c r="I17" s="66">
        <f>(0.7*1.85)+(0.6*1.85*2)</f>
        <v>3.5150000000000001</v>
      </c>
      <c r="J17" s="67">
        <f>H17-I17</f>
        <v>32.19</v>
      </c>
    </row>
    <row r="18" spans="1:10" x14ac:dyDescent="0.2">
      <c r="A18" s="15"/>
      <c r="B18" s="183" t="s">
        <v>449</v>
      </c>
      <c r="C18" s="15"/>
      <c r="D18" s="66"/>
      <c r="E18" s="66"/>
      <c r="F18" s="66">
        <f>(2.94+2.94+4.2+4.2+1.98+1.98+1.46+1.46+1.46+1.46+2.94+2.94+1.13+1.13)</f>
        <v>32.220000000000006</v>
      </c>
      <c r="G18" s="66">
        <v>1.85</v>
      </c>
      <c r="H18" s="66">
        <f>F18*G18</f>
        <v>59.607000000000014</v>
      </c>
      <c r="I18" s="66">
        <f>(0.7*1.85)+(0.6*1.85*8)</f>
        <v>10.175000000000001</v>
      </c>
      <c r="J18" s="67">
        <f>H18-I18</f>
        <v>49.432000000000016</v>
      </c>
    </row>
    <row r="19" spans="1:10" x14ac:dyDescent="0.2">
      <c r="A19" s="15"/>
      <c r="B19" s="61" t="s">
        <v>450</v>
      </c>
      <c r="C19" s="15"/>
      <c r="D19" s="66"/>
      <c r="E19" s="66"/>
      <c r="F19" s="66">
        <f>(1.11+1.11+2.43+2.43)</f>
        <v>7.08</v>
      </c>
      <c r="G19" s="66">
        <v>1.85</v>
      </c>
      <c r="H19" s="66">
        <f>F19*G19</f>
        <v>13.098000000000001</v>
      </c>
      <c r="I19" s="66">
        <f>(0.6*1.85)+1.11*0.16</f>
        <v>1.2876000000000001</v>
      </c>
      <c r="J19" s="67">
        <f>H19-I19</f>
        <v>11.810400000000001</v>
      </c>
    </row>
    <row r="20" spans="1:10" x14ac:dyDescent="0.2">
      <c r="A20" s="15"/>
      <c r="B20" s="16"/>
      <c r="C20" s="15"/>
      <c r="D20" s="66"/>
      <c r="E20" s="66"/>
      <c r="F20" s="66"/>
      <c r="G20" s="66"/>
      <c r="H20" s="66"/>
      <c r="I20" s="64" t="s">
        <v>452</v>
      </c>
      <c r="J20" s="65">
        <f>SUM(J17:J19)</f>
        <v>93.432400000000015</v>
      </c>
    </row>
    <row r="21" spans="1:10" x14ac:dyDescent="0.2">
      <c r="A21" s="15"/>
      <c r="B21" s="16"/>
      <c r="C21" s="15"/>
      <c r="D21" s="66"/>
      <c r="E21" s="66"/>
      <c r="F21" s="66"/>
      <c r="G21" s="66"/>
      <c r="H21" s="66"/>
      <c r="I21" s="108"/>
      <c r="J21" s="63"/>
    </row>
    <row r="22" spans="1:10" ht="25.5" x14ac:dyDescent="0.2">
      <c r="A22" s="15" t="str">
        <f>'PLANILHA ORÇAMENTÁRIA'!A11</f>
        <v>1.1.3</v>
      </c>
      <c r="B22" s="16" t="str">
        <f>'PLANILHA ORÇAMENTÁRIA'!D11</f>
        <v xml:space="preserve">Retirada de revestimento antigo em reboco </v>
      </c>
      <c r="C22" s="252" t="str">
        <f>'PLANILHA ORÇAMENTÁRIA'!E17</f>
        <v>m2</v>
      </c>
      <c r="D22" s="255" t="s">
        <v>441</v>
      </c>
      <c r="E22" s="255" t="s">
        <v>442</v>
      </c>
      <c r="F22" s="255" t="s">
        <v>443</v>
      </c>
      <c r="G22" s="255" t="s">
        <v>444</v>
      </c>
      <c r="H22" s="255" t="s">
        <v>445</v>
      </c>
      <c r="I22" s="255" t="s">
        <v>446</v>
      </c>
      <c r="J22" s="256" t="s">
        <v>447</v>
      </c>
    </row>
    <row r="23" spans="1:10" x14ac:dyDescent="0.2">
      <c r="A23" s="15"/>
      <c r="B23" s="61" t="s">
        <v>454</v>
      </c>
      <c r="C23" s="205"/>
      <c r="D23" s="194"/>
      <c r="E23" s="194"/>
      <c r="F23" s="194"/>
      <c r="G23" s="194"/>
      <c r="H23" s="194">
        <v>12.35</v>
      </c>
      <c r="I23" s="281"/>
      <c r="J23" s="273">
        <f>H23</f>
        <v>12.35</v>
      </c>
    </row>
    <row r="24" spans="1:10" x14ac:dyDescent="0.2">
      <c r="A24" s="15"/>
      <c r="B24" s="61" t="s">
        <v>455</v>
      </c>
      <c r="C24" s="205"/>
      <c r="D24" s="194"/>
      <c r="E24" s="194"/>
      <c r="F24" s="194"/>
      <c r="G24" s="194"/>
      <c r="H24" s="194">
        <v>8.5299999999999994</v>
      </c>
      <c r="I24" s="281"/>
      <c r="J24" s="273">
        <f>H24</f>
        <v>8.5299999999999994</v>
      </c>
    </row>
    <row r="25" spans="1:10" x14ac:dyDescent="0.2">
      <c r="A25" s="15"/>
      <c r="B25" s="61" t="s">
        <v>456</v>
      </c>
      <c r="C25" s="205"/>
      <c r="D25" s="194"/>
      <c r="E25" s="194"/>
      <c r="F25" s="194"/>
      <c r="G25" s="194"/>
      <c r="H25" s="194">
        <v>2.7</v>
      </c>
      <c r="I25" s="281"/>
      <c r="J25" s="273">
        <f>H25</f>
        <v>2.7</v>
      </c>
    </row>
    <row r="26" spans="1:10" x14ac:dyDescent="0.2">
      <c r="A26" s="15"/>
      <c r="B26" s="61" t="s">
        <v>457</v>
      </c>
      <c r="C26" s="205"/>
      <c r="D26" s="194"/>
      <c r="E26" s="194"/>
      <c r="F26" s="194"/>
      <c r="G26" s="231"/>
      <c r="H26" s="315">
        <v>2.4300000000000002</v>
      </c>
      <c r="I26" s="340"/>
      <c r="J26" s="325">
        <f>H26</f>
        <v>2.4300000000000002</v>
      </c>
    </row>
    <row r="27" spans="1:10" x14ac:dyDescent="0.2">
      <c r="A27" s="15"/>
      <c r="B27" s="61" t="s">
        <v>458</v>
      </c>
      <c r="C27" s="15"/>
      <c r="D27" s="66"/>
      <c r="E27" s="67">
        <f>20.18+6.82+3.12+2.84+9</f>
        <v>41.96</v>
      </c>
      <c r="F27" s="66"/>
      <c r="G27" s="222">
        <v>0.6</v>
      </c>
      <c r="H27" s="212">
        <f>E27*G27</f>
        <v>25.175999999999998</v>
      </c>
      <c r="I27" s="340"/>
      <c r="J27" s="199">
        <f>H27</f>
        <v>25.175999999999998</v>
      </c>
    </row>
    <row r="28" spans="1:10" x14ac:dyDescent="0.2">
      <c r="A28" s="15"/>
      <c r="B28" s="16"/>
      <c r="C28" s="205"/>
      <c r="D28" s="194"/>
      <c r="E28" s="194"/>
      <c r="F28" s="194"/>
      <c r="G28" s="194"/>
      <c r="H28" s="194"/>
      <c r="I28" s="282" t="s">
        <v>452</v>
      </c>
      <c r="J28" s="283">
        <f>SUM(J23:J27)</f>
        <v>51.185999999999993</v>
      </c>
    </row>
    <row r="29" spans="1:10" x14ac:dyDescent="0.2">
      <c r="A29" s="15"/>
      <c r="B29" s="16"/>
      <c r="C29" s="205"/>
      <c r="D29" s="194"/>
      <c r="E29" s="194"/>
      <c r="F29" s="194"/>
      <c r="G29" s="194"/>
      <c r="H29" s="194"/>
      <c r="I29" s="281"/>
      <c r="J29" s="232"/>
    </row>
    <row r="30" spans="1:10" ht="25.5" x14ac:dyDescent="0.2">
      <c r="A30" s="15" t="str">
        <f>'PLANILHA ORÇAMENTÁRIA'!A12</f>
        <v>1.1.4</v>
      </c>
      <c r="B30" s="16" t="str">
        <f>'PLANILHA ORÇAMENTÁRIA'!D12</f>
        <v>Demolição de alvenaria</v>
      </c>
      <c r="C30" s="205" t="str">
        <f>'PLANILHA ORÇAMENTÁRIA'!E12</f>
        <v>m3</v>
      </c>
      <c r="D30" s="194" t="s">
        <v>441</v>
      </c>
      <c r="E30" s="194" t="s">
        <v>442</v>
      </c>
      <c r="F30" s="194" t="s">
        <v>443</v>
      </c>
      <c r="G30" s="194" t="s">
        <v>444</v>
      </c>
      <c r="H30" s="194" t="s">
        <v>445</v>
      </c>
      <c r="I30" s="194" t="s">
        <v>446</v>
      </c>
      <c r="J30" s="206" t="s">
        <v>447</v>
      </c>
    </row>
    <row r="31" spans="1:10" x14ac:dyDescent="0.2">
      <c r="A31" s="15"/>
      <c r="B31" s="183" t="s">
        <v>459</v>
      </c>
      <c r="C31" s="15"/>
      <c r="D31" s="66">
        <v>4</v>
      </c>
      <c r="E31" s="66">
        <v>0.8</v>
      </c>
      <c r="F31" s="66">
        <v>0.13</v>
      </c>
      <c r="G31" s="66">
        <v>0.6</v>
      </c>
      <c r="H31" s="66"/>
      <c r="I31" s="62">
        <f>D31*E31*F31*G31</f>
        <v>0.24960000000000002</v>
      </c>
      <c r="J31" s="62">
        <f>I31</f>
        <v>0.24960000000000002</v>
      </c>
    </row>
    <row r="32" spans="1:10" x14ac:dyDescent="0.2">
      <c r="A32" s="15"/>
      <c r="B32" s="183" t="s">
        <v>460</v>
      </c>
      <c r="C32" s="15"/>
      <c r="D32" s="66">
        <v>1</v>
      </c>
      <c r="E32" s="66">
        <v>0.77</v>
      </c>
      <c r="F32" s="66">
        <v>0.13</v>
      </c>
      <c r="G32" s="66">
        <v>0.43</v>
      </c>
      <c r="H32" s="66"/>
      <c r="I32" s="62">
        <f>D32*E32*F32*G32</f>
        <v>4.3043000000000005E-2</v>
      </c>
      <c r="J32" s="62">
        <f>I32</f>
        <v>4.3043000000000005E-2</v>
      </c>
    </row>
    <row r="33" spans="1:10" x14ac:dyDescent="0.2">
      <c r="A33" s="15"/>
      <c r="B33" s="16"/>
      <c r="C33" s="15"/>
      <c r="D33" s="66"/>
      <c r="E33" s="66"/>
      <c r="F33" s="66"/>
      <c r="G33" s="66"/>
      <c r="H33" s="66"/>
      <c r="I33" s="64" t="s">
        <v>452</v>
      </c>
      <c r="J33" s="65">
        <f>SUM(J31:J32)</f>
        <v>0.29264300000000004</v>
      </c>
    </row>
    <row r="34" spans="1:10" x14ac:dyDescent="0.2">
      <c r="A34" s="15"/>
      <c r="B34" s="16"/>
      <c r="C34" s="24"/>
      <c r="D34" s="69"/>
      <c r="E34" s="24"/>
      <c r="F34" s="24"/>
      <c r="G34" s="24"/>
      <c r="H34" s="24"/>
      <c r="I34" s="24"/>
      <c r="J34" s="24"/>
    </row>
    <row r="35" spans="1:10" ht="25.5" x14ac:dyDescent="0.2">
      <c r="A35" s="15" t="str">
        <f>'PLANILHA ORÇAMENTÁRIA'!A13</f>
        <v>1.1.5</v>
      </c>
      <c r="B35" s="16" t="str">
        <f>'PLANILHA ORÇAMENTÁRIA'!D13</f>
        <v>Retirada de portas e janelas de madeira, inclusive batentes</v>
      </c>
      <c r="C35" s="205" t="str">
        <f>'PLANILHA ORÇAMENTÁRIA'!E13</f>
        <v>m2</v>
      </c>
      <c r="D35" s="194" t="s">
        <v>441</v>
      </c>
      <c r="E35" s="194" t="s">
        <v>442</v>
      </c>
      <c r="F35" s="194" t="s">
        <v>443</v>
      </c>
      <c r="G35" s="194" t="s">
        <v>444</v>
      </c>
      <c r="H35" s="194" t="s">
        <v>445</v>
      </c>
      <c r="I35" s="194" t="s">
        <v>446</v>
      </c>
      <c r="J35" s="206" t="s">
        <v>447</v>
      </c>
    </row>
    <row r="36" spans="1:10" x14ac:dyDescent="0.2">
      <c r="A36" s="15"/>
      <c r="B36" s="204" t="s">
        <v>448</v>
      </c>
      <c r="C36" s="186"/>
      <c r="D36" s="186"/>
      <c r="E36" s="186"/>
      <c r="F36" s="186"/>
      <c r="G36" s="186"/>
      <c r="H36" s="186"/>
      <c r="I36" s="186"/>
      <c r="J36" s="201"/>
    </row>
    <row r="37" spans="1:10" x14ac:dyDescent="0.2">
      <c r="A37" s="15"/>
      <c r="B37" s="182" t="s">
        <v>461</v>
      </c>
      <c r="C37" s="209"/>
      <c r="D37" s="241">
        <v>1</v>
      </c>
      <c r="E37" s="241"/>
      <c r="F37" s="241">
        <v>0.6</v>
      </c>
      <c r="G37" s="241">
        <v>1.6</v>
      </c>
      <c r="H37" s="241">
        <f>G37*F37</f>
        <v>0.96</v>
      </c>
      <c r="I37" s="242"/>
      <c r="J37" s="71">
        <f>H37*D37</f>
        <v>0.96</v>
      </c>
    </row>
    <row r="38" spans="1:10" x14ac:dyDescent="0.2">
      <c r="A38" s="15"/>
      <c r="B38" s="204" t="s">
        <v>449</v>
      </c>
      <c r="C38" s="186"/>
      <c r="D38" s="211"/>
      <c r="E38" s="211"/>
      <c r="F38" s="211"/>
      <c r="G38" s="211"/>
      <c r="H38" s="211"/>
      <c r="I38" s="243"/>
      <c r="J38" s="71"/>
    </row>
    <row r="39" spans="1:10" x14ac:dyDescent="0.2">
      <c r="A39" s="15"/>
      <c r="B39" s="183" t="s">
        <v>461</v>
      </c>
      <c r="C39" s="207"/>
      <c r="D39" s="196">
        <v>4</v>
      </c>
      <c r="E39" s="196"/>
      <c r="F39" s="196">
        <v>0.6</v>
      </c>
      <c r="G39" s="196">
        <v>2.1</v>
      </c>
      <c r="H39" s="196">
        <f>G39*F39</f>
        <v>1.26</v>
      </c>
      <c r="I39" s="216"/>
      <c r="J39" s="71">
        <f>H39*D39</f>
        <v>5.04</v>
      </c>
    </row>
    <row r="40" spans="1:10" x14ac:dyDescent="0.2">
      <c r="A40" s="15"/>
      <c r="B40" s="183" t="s">
        <v>462</v>
      </c>
      <c r="C40" s="196"/>
      <c r="D40" s="241">
        <v>1</v>
      </c>
      <c r="E40" s="241"/>
      <c r="F40" s="241">
        <v>0.55000000000000004</v>
      </c>
      <c r="G40" s="241">
        <v>0.35</v>
      </c>
      <c r="H40" s="196">
        <f t="shared" ref="H40:H50" si="0">G40*F40</f>
        <v>0.1925</v>
      </c>
      <c r="I40" s="216"/>
      <c r="J40" s="71">
        <f t="shared" ref="J40:J50" si="1">H40*D40</f>
        <v>0.1925</v>
      </c>
    </row>
    <row r="41" spans="1:10" x14ac:dyDescent="0.2">
      <c r="A41" s="15"/>
      <c r="B41" s="278" t="s">
        <v>450</v>
      </c>
      <c r="C41" s="275"/>
      <c r="D41" s="211"/>
      <c r="E41" s="211"/>
      <c r="F41" s="211"/>
      <c r="G41" s="211"/>
      <c r="H41" s="276"/>
      <c r="I41" s="216"/>
      <c r="J41" s="71"/>
    </row>
    <row r="42" spans="1:10" x14ac:dyDescent="0.2">
      <c r="A42" s="15"/>
      <c r="B42" s="274" t="s">
        <v>463</v>
      </c>
      <c r="C42" s="275"/>
      <c r="D42" s="211">
        <v>1</v>
      </c>
      <c r="E42" s="211"/>
      <c r="F42" s="211">
        <v>0.6</v>
      </c>
      <c r="G42" s="211">
        <v>2.1</v>
      </c>
      <c r="H42" s="276">
        <f>F42*G42</f>
        <v>1.26</v>
      </c>
      <c r="I42" s="216"/>
      <c r="J42" s="71">
        <f>H42</f>
        <v>1.26</v>
      </c>
    </row>
    <row r="43" spans="1:10" x14ac:dyDescent="0.2">
      <c r="A43" s="15"/>
      <c r="B43" s="204" t="s">
        <v>464</v>
      </c>
      <c r="C43" s="196"/>
      <c r="D43" s="277"/>
      <c r="E43" s="277"/>
      <c r="F43" s="277"/>
      <c r="G43" s="277"/>
      <c r="H43" s="196"/>
      <c r="I43" s="216"/>
      <c r="J43" s="71"/>
    </row>
    <row r="44" spans="1:10" x14ac:dyDescent="0.2">
      <c r="A44" s="15"/>
      <c r="B44" s="183" t="s">
        <v>465</v>
      </c>
      <c r="C44" s="196"/>
      <c r="D44" s="196">
        <v>1</v>
      </c>
      <c r="E44" s="196"/>
      <c r="F44" s="196">
        <v>1.45</v>
      </c>
      <c r="G44" s="196">
        <v>1.1599999999999999</v>
      </c>
      <c r="H44" s="196">
        <f t="shared" si="0"/>
        <v>1.6819999999999999</v>
      </c>
      <c r="I44" s="216"/>
      <c r="J44" s="71">
        <f t="shared" si="1"/>
        <v>1.6819999999999999</v>
      </c>
    </row>
    <row r="45" spans="1:10" x14ac:dyDescent="0.2">
      <c r="A45" s="15"/>
      <c r="B45" s="274" t="s">
        <v>463</v>
      </c>
      <c r="C45" s="196"/>
      <c r="D45" s="196">
        <v>1</v>
      </c>
      <c r="E45" s="196"/>
      <c r="F45" s="196">
        <v>0.7</v>
      </c>
      <c r="G45" s="196">
        <v>2.1</v>
      </c>
      <c r="H45" s="196">
        <f>G45*F45</f>
        <v>1.47</v>
      </c>
      <c r="I45" s="216"/>
      <c r="J45" s="71">
        <f>H45*D45</f>
        <v>1.47</v>
      </c>
    </row>
    <row r="46" spans="1:10" x14ac:dyDescent="0.2">
      <c r="A46" s="15"/>
      <c r="B46" s="204" t="s">
        <v>466</v>
      </c>
      <c r="C46" s="196"/>
      <c r="D46" s="196"/>
      <c r="E46" s="196"/>
      <c r="F46" s="196"/>
      <c r="G46" s="196"/>
      <c r="H46" s="196"/>
      <c r="I46" s="216"/>
      <c r="J46" s="71"/>
    </row>
    <row r="47" spans="1:10" x14ac:dyDescent="0.2">
      <c r="A47" s="15"/>
      <c r="B47" s="183" t="s">
        <v>462</v>
      </c>
      <c r="C47" s="196"/>
      <c r="D47" s="196">
        <v>1</v>
      </c>
      <c r="E47" s="196"/>
      <c r="F47" s="196">
        <v>0.75</v>
      </c>
      <c r="G47" s="196">
        <v>0.55000000000000004</v>
      </c>
      <c r="H47" s="196">
        <f t="shared" si="0"/>
        <v>0.41250000000000003</v>
      </c>
      <c r="I47" s="216"/>
      <c r="J47" s="71">
        <f t="shared" si="1"/>
        <v>0.41250000000000003</v>
      </c>
    </row>
    <row r="48" spans="1:10" x14ac:dyDescent="0.2">
      <c r="A48" s="15"/>
      <c r="B48" s="183" t="s">
        <v>462</v>
      </c>
      <c r="C48" s="196"/>
      <c r="D48" s="196">
        <v>1</v>
      </c>
      <c r="E48" s="196"/>
      <c r="F48" s="196">
        <v>0.6</v>
      </c>
      <c r="G48" s="196">
        <v>0.4</v>
      </c>
      <c r="H48" s="196">
        <f t="shared" si="0"/>
        <v>0.24</v>
      </c>
      <c r="I48" s="216"/>
      <c r="J48" s="71">
        <f t="shared" si="1"/>
        <v>0.24</v>
      </c>
    </row>
    <row r="49" spans="1:10" x14ac:dyDescent="0.2">
      <c r="A49" s="15"/>
      <c r="B49" s="204" t="s">
        <v>467</v>
      </c>
      <c r="C49" s="196"/>
      <c r="D49" s="196"/>
      <c r="E49" s="196"/>
      <c r="F49" s="196"/>
      <c r="G49" s="196"/>
      <c r="H49" s="196"/>
      <c r="I49" s="216"/>
      <c r="J49" s="71"/>
    </row>
    <row r="50" spans="1:10" x14ac:dyDescent="0.2">
      <c r="A50" s="15"/>
      <c r="B50" s="183" t="s">
        <v>462</v>
      </c>
      <c r="C50" s="196"/>
      <c r="D50" s="196">
        <v>1</v>
      </c>
      <c r="E50" s="196"/>
      <c r="F50" s="196">
        <v>1.94</v>
      </c>
      <c r="G50" s="196">
        <v>0.44</v>
      </c>
      <c r="H50" s="196">
        <f t="shared" si="0"/>
        <v>0.85360000000000003</v>
      </c>
      <c r="I50" s="216"/>
      <c r="J50" s="71">
        <f t="shared" si="1"/>
        <v>0.85360000000000003</v>
      </c>
    </row>
    <row r="51" spans="1:10" x14ac:dyDescent="0.2">
      <c r="A51" s="15"/>
      <c r="B51" s="16"/>
      <c r="C51" s="24"/>
      <c r="D51" s="69"/>
      <c r="E51" s="24"/>
      <c r="F51" s="24"/>
      <c r="G51" s="71"/>
      <c r="H51" s="71"/>
      <c r="I51" s="64" t="s">
        <v>452</v>
      </c>
      <c r="J51" s="65">
        <f>SUM(J37:J50)</f>
        <v>12.1106</v>
      </c>
    </row>
    <row r="52" spans="1:10" x14ac:dyDescent="0.2">
      <c r="A52" s="15"/>
      <c r="B52" s="16"/>
      <c r="C52" s="24"/>
      <c r="D52" s="69"/>
      <c r="E52" s="24"/>
      <c r="F52" s="24"/>
      <c r="G52" s="71"/>
      <c r="H52" s="24"/>
      <c r="I52" s="108"/>
      <c r="J52" s="63"/>
    </row>
    <row r="53" spans="1:10" ht="25.5" x14ac:dyDescent="0.2">
      <c r="A53" s="15" t="str">
        <f>'PLANILHA ORÇAMENTÁRIA'!A14</f>
        <v>1.1.6</v>
      </c>
      <c r="B53" s="16" t="str">
        <f>'PLANILHA ORÇAMENTÁRIA'!D14</f>
        <v>Demolição de piso cimentado, exclusive lastro de concreto</v>
      </c>
      <c r="C53" s="15" t="str">
        <f>'PLANILHA ORÇAMENTÁRIA'!E14</f>
        <v>m2</v>
      </c>
      <c r="D53" s="67" t="s">
        <v>441</v>
      </c>
      <c r="E53" s="67" t="s">
        <v>442</v>
      </c>
      <c r="F53" s="67" t="s">
        <v>443</v>
      </c>
      <c r="G53" s="67" t="s">
        <v>444</v>
      </c>
      <c r="H53" s="67" t="s">
        <v>445</v>
      </c>
      <c r="I53" s="67" t="s">
        <v>446</v>
      </c>
      <c r="J53" s="67" t="s">
        <v>447</v>
      </c>
    </row>
    <row r="54" spans="1:10" x14ac:dyDescent="0.2">
      <c r="A54" s="15"/>
      <c r="B54" s="61" t="s">
        <v>451</v>
      </c>
      <c r="C54" s="15"/>
      <c r="D54" s="67"/>
      <c r="E54" s="67"/>
      <c r="F54" s="67"/>
      <c r="G54" s="67"/>
      <c r="H54" s="67">
        <v>10.98</v>
      </c>
      <c r="I54" s="67"/>
      <c r="J54" s="67"/>
    </row>
    <row r="55" spans="1:10" x14ac:dyDescent="0.2">
      <c r="A55" s="15"/>
      <c r="B55" s="61" t="s">
        <v>468</v>
      </c>
      <c r="C55" s="15"/>
      <c r="D55" s="67"/>
      <c r="E55" s="67"/>
      <c r="F55" s="67"/>
      <c r="G55" s="67"/>
      <c r="H55" s="67">
        <v>341.5</v>
      </c>
      <c r="I55" s="67"/>
      <c r="J55" s="67">
        <f>H55</f>
        <v>341.5</v>
      </c>
    </row>
    <row r="56" spans="1:10" x14ac:dyDescent="0.2">
      <c r="A56" s="15"/>
      <c r="B56" s="61" t="s">
        <v>469</v>
      </c>
      <c r="C56" s="15"/>
      <c r="D56" s="67"/>
      <c r="E56" s="67"/>
      <c r="F56" s="67"/>
      <c r="G56" s="67"/>
      <c r="H56" s="67">
        <v>13.08</v>
      </c>
      <c r="I56" s="67"/>
      <c r="J56" s="67">
        <f t="shared" ref="J56:J61" si="2">H56</f>
        <v>13.08</v>
      </c>
    </row>
    <row r="57" spans="1:10" x14ac:dyDescent="0.2">
      <c r="A57" s="15"/>
      <c r="B57" s="61" t="s">
        <v>470</v>
      </c>
      <c r="C57" s="15"/>
      <c r="D57" s="67"/>
      <c r="E57" s="67"/>
      <c r="F57" s="67"/>
      <c r="G57" s="67"/>
      <c r="H57" s="67">
        <v>36.03</v>
      </c>
      <c r="I57" s="67"/>
      <c r="J57" s="67">
        <f t="shared" si="2"/>
        <v>36.03</v>
      </c>
    </row>
    <row r="58" spans="1:10" x14ac:dyDescent="0.2">
      <c r="A58" s="15"/>
      <c r="B58" s="61" t="s">
        <v>471</v>
      </c>
      <c r="C58" s="15"/>
      <c r="D58" s="67"/>
      <c r="E58" s="67"/>
      <c r="F58" s="67"/>
      <c r="G58" s="67"/>
      <c r="H58" s="67">
        <v>21.9</v>
      </c>
      <c r="I58" s="67"/>
      <c r="J58" s="67">
        <f t="shared" si="2"/>
        <v>21.9</v>
      </c>
    </row>
    <row r="59" spans="1:10" x14ac:dyDescent="0.2">
      <c r="A59" s="15"/>
      <c r="B59" s="61" t="s">
        <v>464</v>
      </c>
      <c r="C59" s="15"/>
      <c r="D59" s="67"/>
      <c r="E59" s="67"/>
      <c r="F59" s="67"/>
      <c r="G59" s="67"/>
      <c r="H59" s="67">
        <v>24.6</v>
      </c>
      <c r="I59" s="67"/>
      <c r="J59" s="67">
        <f t="shared" si="2"/>
        <v>24.6</v>
      </c>
    </row>
    <row r="60" spans="1:10" x14ac:dyDescent="0.2">
      <c r="A60" s="15"/>
      <c r="B60" s="61" t="s">
        <v>472</v>
      </c>
      <c r="C60" s="15"/>
      <c r="D60" s="67"/>
      <c r="E60" s="67"/>
      <c r="F60" s="67"/>
      <c r="G60" s="67"/>
      <c r="H60" s="67">
        <v>7.13</v>
      </c>
      <c r="I60" s="67"/>
      <c r="J60" s="67">
        <f t="shared" si="2"/>
        <v>7.13</v>
      </c>
    </row>
    <row r="61" spans="1:10" x14ac:dyDescent="0.2">
      <c r="A61" s="15"/>
      <c r="B61" s="61" t="s">
        <v>473</v>
      </c>
      <c r="C61" s="15"/>
      <c r="D61" s="69"/>
      <c r="E61" s="24"/>
      <c r="F61" s="24"/>
      <c r="G61" s="71"/>
      <c r="H61" s="71">
        <v>23.68</v>
      </c>
      <c r="I61" s="71"/>
      <c r="J61" s="67">
        <f t="shared" si="2"/>
        <v>23.68</v>
      </c>
    </row>
    <row r="62" spans="1:10" x14ac:dyDescent="0.2">
      <c r="A62" s="15"/>
      <c r="B62" s="183" t="s">
        <v>474</v>
      </c>
      <c r="C62" s="15"/>
      <c r="D62" s="69"/>
      <c r="E62" s="24"/>
      <c r="F62" s="24"/>
      <c r="G62" s="71"/>
      <c r="H62" s="71">
        <v>2.4300000000000002</v>
      </c>
      <c r="I62" s="71"/>
      <c r="J62" s="71">
        <f>H62</f>
        <v>2.4300000000000002</v>
      </c>
    </row>
    <row r="63" spans="1:10" x14ac:dyDescent="0.2">
      <c r="A63" s="15"/>
      <c r="B63" s="16"/>
      <c r="C63" s="24"/>
      <c r="D63" s="69"/>
      <c r="E63" s="24"/>
      <c r="F63" s="24"/>
      <c r="G63" s="71"/>
      <c r="H63" s="71"/>
      <c r="I63" s="282" t="s">
        <v>452</v>
      </c>
      <c r="J63" s="283">
        <f>SUM(J55:J62)</f>
        <v>470.35</v>
      </c>
    </row>
    <row r="64" spans="1:10" x14ac:dyDescent="0.2">
      <c r="A64" s="15"/>
      <c r="B64" s="16"/>
      <c r="C64" s="24"/>
      <c r="D64" s="69"/>
      <c r="E64" s="24"/>
      <c r="F64" s="24"/>
      <c r="G64" s="71"/>
      <c r="H64" s="71"/>
      <c r="I64" s="108"/>
      <c r="J64" s="63"/>
    </row>
    <row r="65" spans="1:12" ht="25.5" x14ac:dyDescent="0.2">
      <c r="A65" s="15" t="str">
        <f>'PLANILHA ORÇAMENTÁRIA'!A15</f>
        <v>1.1.7</v>
      </c>
      <c r="B65" s="16" t="str">
        <f>'PLANILHA ORÇAMENTÁRIA'!D15</f>
        <v>Retirada de aparelhos sanitários</v>
      </c>
      <c r="C65" s="15" t="str">
        <f>'PLANILHA ORÇAMENTÁRIA'!E15</f>
        <v>und</v>
      </c>
      <c r="D65" s="66" t="s">
        <v>441</v>
      </c>
      <c r="E65" s="66" t="s">
        <v>442</v>
      </c>
      <c r="F65" s="66" t="s">
        <v>443</v>
      </c>
      <c r="G65" s="66" t="s">
        <v>444</v>
      </c>
      <c r="H65" s="66" t="s">
        <v>445</v>
      </c>
      <c r="I65" s="66" t="s">
        <v>446</v>
      </c>
      <c r="J65" s="67" t="s">
        <v>447</v>
      </c>
    </row>
    <row r="66" spans="1:12" x14ac:dyDescent="0.2">
      <c r="A66" s="15"/>
      <c r="B66" s="182" t="s">
        <v>448</v>
      </c>
      <c r="C66" s="15"/>
      <c r="D66" s="71">
        <v>2</v>
      </c>
      <c r="E66" s="24"/>
      <c r="F66" s="24"/>
      <c r="G66" s="71"/>
      <c r="H66" s="71"/>
      <c r="I66" s="71"/>
      <c r="J66" s="71">
        <f>D66</f>
        <v>2</v>
      </c>
    </row>
    <row r="67" spans="1:12" x14ac:dyDescent="0.2">
      <c r="A67" s="15"/>
      <c r="B67" s="183" t="s">
        <v>449</v>
      </c>
      <c r="C67" s="15"/>
      <c r="D67" s="71">
        <v>4</v>
      </c>
      <c r="E67" s="24"/>
      <c r="F67" s="24"/>
      <c r="G67" s="71"/>
      <c r="H67" s="71"/>
      <c r="I67" s="71"/>
      <c r="J67" s="71">
        <f t="shared" ref="J67:J68" si="3">D67</f>
        <v>4</v>
      </c>
    </row>
    <row r="68" spans="1:12" x14ac:dyDescent="0.2">
      <c r="A68" s="15"/>
      <c r="B68" s="183" t="s">
        <v>450</v>
      </c>
      <c r="C68" s="15"/>
      <c r="D68" s="71">
        <v>2</v>
      </c>
      <c r="E68" s="24"/>
      <c r="F68" s="24"/>
      <c r="G68" s="71"/>
      <c r="H68" s="71"/>
      <c r="I68" s="71"/>
      <c r="J68" s="71">
        <f t="shared" si="3"/>
        <v>2</v>
      </c>
    </row>
    <row r="69" spans="1:12" x14ac:dyDescent="0.2">
      <c r="A69" s="15"/>
      <c r="B69" s="16"/>
      <c r="C69" s="24"/>
      <c r="D69" s="69"/>
      <c r="E69" s="24"/>
      <c r="F69" s="24"/>
      <c r="G69" s="71"/>
      <c r="H69" s="71"/>
      <c r="I69" s="64" t="s">
        <v>452</v>
      </c>
      <c r="J69" s="65">
        <f>SUM(J66:J68)</f>
        <v>8</v>
      </c>
    </row>
    <row r="70" spans="1:12" x14ac:dyDescent="0.2">
      <c r="A70" s="15"/>
      <c r="B70" s="16"/>
      <c r="C70" s="24"/>
      <c r="D70" s="69"/>
      <c r="E70" s="24"/>
      <c r="F70" s="24"/>
      <c r="G70" s="71"/>
      <c r="H70" s="71"/>
      <c r="I70" s="108"/>
      <c r="J70" s="63"/>
    </row>
    <row r="71" spans="1:12" ht="25.5" x14ac:dyDescent="0.2">
      <c r="A71" s="252" t="str">
        <f>'PLANILHA ORÇAMENTÁRIA'!A16</f>
        <v>1.1.8</v>
      </c>
      <c r="B71" s="253" t="str">
        <f>'PLANILHA ORÇAMENTÁRIA'!D16</f>
        <v>Retirada de grades, gradis, alambrados, cercas e portões</v>
      </c>
      <c r="C71" s="252" t="str">
        <f>'PLANILHA ORÇAMENTÁRIA'!E16</f>
        <v>m2</v>
      </c>
      <c r="D71" s="255" t="s">
        <v>441</v>
      </c>
      <c r="E71" s="255" t="s">
        <v>442</v>
      </c>
      <c r="F71" s="255" t="s">
        <v>443</v>
      </c>
      <c r="G71" s="255" t="s">
        <v>444</v>
      </c>
      <c r="H71" s="255" t="s">
        <v>445</v>
      </c>
      <c r="I71" s="255" t="s">
        <v>446</v>
      </c>
      <c r="J71" s="256" t="s">
        <v>447</v>
      </c>
      <c r="K71" s="203"/>
      <c r="L71" s="203"/>
    </row>
    <row r="72" spans="1:12" x14ac:dyDescent="0.2">
      <c r="A72" s="252"/>
      <c r="B72" s="182" t="s">
        <v>475</v>
      </c>
      <c r="C72" s="252"/>
      <c r="D72" s="259"/>
      <c r="E72" s="257">
        <v>0.5</v>
      </c>
      <c r="F72" s="258"/>
      <c r="G72" s="257">
        <v>0.7</v>
      </c>
      <c r="H72" s="257">
        <f>E72*G72</f>
        <v>0.35</v>
      </c>
      <c r="I72" s="262"/>
      <c r="J72" s="257">
        <f>H72</f>
        <v>0.35</v>
      </c>
      <c r="K72" s="203"/>
      <c r="L72" s="203"/>
    </row>
    <row r="73" spans="1:12" x14ac:dyDescent="0.2">
      <c r="A73" s="252"/>
      <c r="B73" s="183" t="s">
        <v>476</v>
      </c>
      <c r="C73" s="252"/>
      <c r="D73" s="259"/>
      <c r="E73" s="259">
        <v>0.93</v>
      </c>
      <c r="F73" s="258"/>
      <c r="G73" s="257">
        <v>0.43</v>
      </c>
      <c r="H73" s="263">
        <f>E73*G73</f>
        <v>0.39990000000000003</v>
      </c>
      <c r="I73" s="279"/>
      <c r="J73" s="280">
        <f>H73</f>
        <v>0.39990000000000003</v>
      </c>
      <c r="K73" s="203"/>
      <c r="L73" s="203"/>
    </row>
    <row r="74" spans="1:12" x14ac:dyDescent="0.2">
      <c r="A74" s="252"/>
      <c r="B74" s="253"/>
      <c r="C74" s="258"/>
      <c r="D74" s="259"/>
      <c r="E74" s="258"/>
      <c r="F74" s="258"/>
      <c r="G74" s="257"/>
      <c r="H74" s="257"/>
      <c r="I74" s="265" t="s">
        <v>452</v>
      </c>
      <c r="J74" s="266">
        <f>SUM(J72:J73)</f>
        <v>0.74990000000000001</v>
      </c>
      <c r="K74" s="203"/>
      <c r="L74" s="203"/>
    </row>
    <row r="75" spans="1:12" x14ac:dyDescent="0.2">
      <c r="A75" s="252"/>
      <c r="B75" s="253"/>
      <c r="C75" s="258"/>
      <c r="D75" s="259"/>
      <c r="E75" s="258"/>
      <c r="F75" s="258"/>
      <c r="G75" s="257"/>
      <c r="H75" s="257"/>
      <c r="I75" s="260"/>
      <c r="J75" s="261"/>
      <c r="K75" s="203"/>
      <c r="L75" s="203"/>
    </row>
    <row r="76" spans="1:12" ht="25.5" x14ac:dyDescent="0.2">
      <c r="A76" s="15" t="str">
        <f>'PLANILHA ORÇAMENTÁRIA'!A17</f>
        <v>1.1.9</v>
      </c>
      <c r="B76" s="16" t="str">
        <f>'PLANILHA ORÇAMENTÁRIA'!D17</f>
        <v>Demolição de forro de madeira, sem reaproveitamento</v>
      </c>
      <c r="C76" s="15" t="str">
        <f>'PLANILHA ORÇAMENTÁRIA'!E17</f>
        <v>m2</v>
      </c>
      <c r="D76" s="66" t="s">
        <v>441</v>
      </c>
      <c r="E76" s="66" t="s">
        <v>442</v>
      </c>
      <c r="F76" s="66" t="s">
        <v>443</v>
      </c>
      <c r="G76" s="66" t="s">
        <v>444</v>
      </c>
      <c r="H76" s="66" t="s">
        <v>445</v>
      </c>
      <c r="I76" s="66" t="s">
        <v>446</v>
      </c>
      <c r="J76" s="67" t="s">
        <v>447</v>
      </c>
    </row>
    <row r="77" spans="1:12" x14ac:dyDescent="0.2">
      <c r="A77" s="15"/>
      <c r="B77" s="61" t="s">
        <v>467</v>
      </c>
      <c r="C77" s="15"/>
      <c r="D77" s="69"/>
      <c r="E77" s="24"/>
      <c r="F77" s="24"/>
      <c r="G77" s="71"/>
      <c r="H77" s="71">
        <v>21.9</v>
      </c>
      <c r="I77" s="71"/>
      <c r="J77" s="71">
        <f>H77</f>
        <v>21.9</v>
      </c>
    </row>
    <row r="78" spans="1:12" x14ac:dyDescent="0.2">
      <c r="A78" s="15"/>
      <c r="B78" s="109" t="s">
        <v>464</v>
      </c>
      <c r="C78" s="15"/>
      <c r="D78" s="69"/>
      <c r="E78" s="24"/>
      <c r="F78" s="24"/>
      <c r="G78" s="71"/>
      <c r="H78" s="71">
        <v>24.6</v>
      </c>
      <c r="I78" s="188"/>
      <c r="J78" s="71">
        <f t="shared" ref="J78:J79" si="4">H78</f>
        <v>24.6</v>
      </c>
    </row>
    <row r="79" spans="1:12" x14ac:dyDescent="0.2">
      <c r="A79" s="15"/>
      <c r="B79" s="61" t="s">
        <v>466</v>
      </c>
      <c r="C79" s="24"/>
      <c r="D79" s="69"/>
      <c r="E79" s="24"/>
      <c r="F79" s="24"/>
      <c r="G79" s="71"/>
      <c r="H79" s="187">
        <v>23.68</v>
      </c>
      <c r="I79" s="186"/>
      <c r="J79" s="71">
        <f t="shared" si="4"/>
        <v>23.68</v>
      </c>
    </row>
    <row r="80" spans="1:12" x14ac:dyDescent="0.2">
      <c r="A80" s="15"/>
      <c r="B80" s="16"/>
      <c r="C80" s="24"/>
      <c r="D80" s="69"/>
      <c r="E80" s="24"/>
      <c r="F80" s="24"/>
      <c r="G80" s="71"/>
      <c r="H80" s="71"/>
      <c r="I80" s="189" t="s">
        <v>452</v>
      </c>
      <c r="J80" s="190">
        <f>SUM(J77:J79)</f>
        <v>70.180000000000007</v>
      </c>
    </row>
    <row r="81" spans="1:10" x14ac:dyDescent="0.2">
      <c r="A81" s="15"/>
      <c r="B81" s="16"/>
      <c r="C81" s="24"/>
      <c r="D81" s="69"/>
      <c r="E81" s="24"/>
      <c r="F81" s="24"/>
      <c r="G81" s="71"/>
      <c r="H81" s="71"/>
      <c r="I81" s="108"/>
      <c r="J81" s="63"/>
    </row>
    <row r="82" spans="1:10" ht="25.5" x14ac:dyDescent="0.2">
      <c r="A82" s="15" t="str">
        <f>'PLANILHA ORÇAMENTÁRIA'!A18</f>
        <v>1.1.10</v>
      </c>
      <c r="B82" s="16" t="str">
        <f>'PLANILHA ORÇAMENTÁRIA'!D18</f>
        <v>Retirada de pontos elétricos (luminárias, interruptores e tomadas)</v>
      </c>
      <c r="C82" s="15" t="str">
        <f>'PLANILHA ORÇAMENTÁRIA'!E18</f>
        <v>und</v>
      </c>
      <c r="D82" s="66" t="s">
        <v>441</v>
      </c>
      <c r="E82" s="66" t="s">
        <v>442</v>
      </c>
      <c r="F82" s="66" t="s">
        <v>443</v>
      </c>
      <c r="G82" s="66" t="s">
        <v>444</v>
      </c>
      <c r="H82" s="66" t="s">
        <v>445</v>
      </c>
      <c r="I82" s="66" t="s">
        <v>446</v>
      </c>
      <c r="J82" s="67" t="s">
        <v>447</v>
      </c>
    </row>
    <row r="83" spans="1:10" x14ac:dyDescent="0.2">
      <c r="A83" s="15"/>
      <c r="B83" s="422" t="s">
        <v>468</v>
      </c>
      <c r="C83" s="15"/>
      <c r="D83" s="69"/>
      <c r="E83" s="24"/>
      <c r="F83" s="24"/>
      <c r="G83" s="71"/>
      <c r="H83" s="71"/>
      <c r="I83" s="188"/>
      <c r="J83" s="71"/>
    </row>
    <row r="84" spans="1:10" x14ac:dyDescent="0.2">
      <c r="A84" s="15"/>
      <c r="B84" s="183" t="s">
        <v>477</v>
      </c>
      <c r="C84" s="15"/>
      <c r="D84" s="251">
        <v>11</v>
      </c>
      <c r="E84" s="24"/>
      <c r="F84" s="24"/>
      <c r="G84" s="71"/>
      <c r="H84" s="187"/>
      <c r="I84" s="199"/>
      <c r="J84" s="200">
        <f>D84</f>
        <v>11</v>
      </c>
    </row>
    <row r="85" spans="1:10" x14ac:dyDescent="0.2">
      <c r="A85" s="15"/>
      <c r="B85" s="183" t="s">
        <v>478</v>
      </c>
      <c r="C85" s="15"/>
      <c r="D85" s="251">
        <v>3</v>
      </c>
      <c r="E85" s="24"/>
      <c r="F85" s="24"/>
      <c r="G85" s="71"/>
      <c r="H85" s="187"/>
      <c r="I85" s="199"/>
      <c r="J85" s="200">
        <f>D85</f>
        <v>3</v>
      </c>
    </row>
    <row r="86" spans="1:10" x14ac:dyDescent="0.2">
      <c r="A86" s="15"/>
      <c r="B86" s="183" t="s">
        <v>479</v>
      </c>
      <c r="C86" s="15"/>
      <c r="D86" s="251">
        <v>8</v>
      </c>
      <c r="E86" s="24"/>
      <c r="F86" s="24"/>
      <c r="G86" s="71"/>
      <c r="H86" s="187"/>
      <c r="I86" s="199"/>
      <c r="J86" s="200">
        <f>D86</f>
        <v>8</v>
      </c>
    </row>
    <row r="87" spans="1:10" x14ac:dyDescent="0.2">
      <c r="A87" s="15"/>
      <c r="B87" s="183" t="s">
        <v>480</v>
      </c>
      <c r="C87" s="15"/>
      <c r="D87" s="251">
        <v>7</v>
      </c>
      <c r="E87" s="24"/>
      <c r="F87" s="24"/>
      <c r="G87" s="71"/>
      <c r="H87" s="187"/>
      <c r="I87" s="199"/>
      <c r="J87" s="200">
        <f>D87</f>
        <v>7</v>
      </c>
    </row>
    <row r="88" spans="1:10" x14ac:dyDescent="0.2">
      <c r="A88" s="15"/>
      <c r="B88" s="422" t="s">
        <v>472</v>
      </c>
      <c r="C88" s="15"/>
      <c r="D88" s="251"/>
      <c r="E88" s="24"/>
      <c r="F88" s="24"/>
      <c r="G88" s="71"/>
      <c r="H88" s="187"/>
      <c r="I88" s="199"/>
      <c r="J88" s="200"/>
    </row>
    <row r="89" spans="1:10" x14ac:dyDescent="0.2">
      <c r="A89" s="15"/>
      <c r="B89" s="183" t="s">
        <v>477</v>
      </c>
      <c r="C89" s="15"/>
      <c r="D89" s="251">
        <v>1</v>
      </c>
      <c r="E89" s="24"/>
      <c r="F89" s="24"/>
      <c r="G89" s="71"/>
      <c r="H89" s="187"/>
      <c r="I89" s="199"/>
      <c r="J89" s="200">
        <f>D89</f>
        <v>1</v>
      </c>
    </row>
    <row r="90" spans="1:10" x14ac:dyDescent="0.2">
      <c r="A90" s="15"/>
      <c r="B90" s="183" t="s">
        <v>479</v>
      </c>
      <c r="C90" s="15"/>
      <c r="D90" s="251">
        <v>6</v>
      </c>
      <c r="E90" s="24"/>
      <c r="F90" s="24"/>
      <c r="G90" s="71"/>
      <c r="H90" s="187"/>
      <c r="I90" s="199"/>
      <c r="J90" s="200">
        <f>D90</f>
        <v>6</v>
      </c>
    </row>
    <row r="91" spans="1:10" x14ac:dyDescent="0.2">
      <c r="A91" s="15"/>
      <c r="B91" s="183" t="s">
        <v>478</v>
      </c>
      <c r="C91" s="15"/>
      <c r="D91" s="251">
        <v>1</v>
      </c>
      <c r="E91" s="24"/>
      <c r="F91" s="24"/>
      <c r="G91" s="71"/>
      <c r="H91" s="187"/>
      <c r="I91" s="199"/>
      <c r="J91" s="200">
        <f>D91</f>
        <v>1</v>
      </c>
    </row>
    <row r="92" spans="1:10" x14ac:dyDescent="0.2">
      <c r="A92" s="15"/>
      <c r="B92" s="422" t="s">
        <v>481</v>
      </c>
      <c r="C92" s="15"/>
      <c r="D92" s="251"/>
      <c r="E92" s="24"/>
      <c r="F92" s="24"/>
      <c r="G92" s="71"/>
      <c r="H92" s="187"/>
      <c r="I92" s="199"/>
      <c r="J92" s="200"/>
    </row>
    <row r="93" spans="1:10" x14ac:dyDescent="0.2">
      <c r="A93" s="15"/>
      <c r="B93" s="183" t="s">
        <v>477</v>
      </c>
      <c r="C93" s="15"/>
      <c r="D93" s="251">
        <v>1</v>
      </c>
      <c r="E93" s="24"/>
      <c r="F93" s="24"/>
      <c r="G93" s="71"/>
      <c r="H93" s="187"/>
      <c r="I93" s="199"/>
      <c r="J93" s="200">
        <f>D93</f>
        <v>1</v>
      </c>
    </row>
    <row r="94" spans="1:10" x14ac:dyDescent="0.2">
      <c r="A94" s="15"/>
      <c r="B94" s="183" t="s">
        <v>478</v>
      </c>
      <c r="C94" s="15"/>
      <c r="D94" s="251">
        <v>1</v>
      </c>
      <c r="E94" s="24"/>
      <c r="F94" s="24"/>
      <c r="G94" s="71"/>
      <c r="H94" s="187"/>
      <c r="I94" s="199"/>
      <c r="J94" s="200">
        <f>D94</f>
        <v>1</v>
      </c>
    </row>
    <row r="95" spans="1:10" x14ac:dyDescent="0.2">
      <c r="A95" s="15"/>
      <c r="B95" s="422" t="s">
        <v>449</v>
      </c>
      <c r="C95" s="15"/>
      <c r="D95" s="251"/>
      <c r="E95" s="24"/>
      <c r="F95" s="24"/>
      <c r="G95" s="71"/>
      <c r="H95" s="187"/>
      <c r="I95" s="199"/>
      <c r="J95" s="200"/>
    </row>
    <row r="96" spans="1:10" x14ac:dyDescent="0.2">
      <c r="A96" s="15"/>
      <c r="B96" s="183" t="s">
        <v>477</v>
      </c>
      <c r="C96" s="15"/>
      <c r="D96" s="251">
        <v>2</v>
      </c>
      <c r="E96" s="24"/>
      <c r="F96" s="24"/>
      <c r="G96" s="71"/>
      <c r="H96" s="187"/>
      <c r="I96" s="199"/>
      <c r="J96" s="200">
        <f>D96</f>
        <v>2</v>
      </c>
    </row>
    <row r="97" spans="1:10" x14ac:dyDescent="0.2">
      <c r="A97" s="15"/>
      <c r="B97" s="183" t="s">
        <v>478</v>
      </c>
      <c r="C97" s="15"/>
      <c r="D97" s="251">
        <v>1</v>
      </c>
      <c r="E97" s="24"/>
      <c r="F97" s="24"/>
      <c r="G97" s="71"/>
      <c r="H97" s="187"/>
      <c r="I97" s="199"/>
      <c r="J97" s="200">
        <f>D97</f>
        <v>1</v>
      </c>
    </row>
    <row r="98" spans="1:10" x14ac:dyDescent="0.2">
      <c r="A98" s="15"/>
      <c r="B98" s="422" t="s">
        <v>467</v>
      </c>
      <c r="C98" s="15"/>
      <c r="D98" s="251"/>
      <c r="E98" s="24"/>
      <c r="F98" s="24"/>
      <c r="G98" s="71"/>
      <c r="H98" s="187"/>
      <c r="I98" s="199"/>
      <c r="J98" s="200"/>
    </row>
    <row r="99" spans="1:10" x14ac:dyDescent="0.2">
      <c r="A99" s="15"/>
      <c r="B99" s="183" t="s">
        <v>477</v>
      </c>
      <c r="C99" s="15"/>
      <c r="D99" s="251">
        <v>2</v>
      </c>
      <c r="E99" s="24"/>
      <c r="F99" s="24"/>
      <c r="G99" s="71"/>
      <c r="H99" s="187"/>
      <c r="I99" s="199"/>
      <c r="J99" s="200">
        <f>D99</f>
        <v>2</v>
      </c>
    </row>
    <row r="100" spans="1:10" x14ac:dyDescent="0.2">
      <c r="A100" s="15"/>
      <c r="B100" s="183" t="s">
        <v>478</v>
      </c>
      <c r="C100" s="15"/>
      <c r="D100" s="251">
        <v>2</v>
      </c>
      <c r="E100" s="24"/>
      <c r="F100" s="24"/>
      <c r="G100" s="71"/>
      <c r="H100" s="187"/>
      <c r="I100" s="199"/>
      <c r="J100" s="200">
        <f>D100</f>
        <v>2</v>
      </c>
    </row>
    <row r="101" spans="1:10" x14ac:dyDescent="0.2">
      <c r="A101" s="15"/>
      <c r="B101" s="183" t="s">
        <v>479</v>
      </c>
      <c r="C101" s="15"/>
      <c r="D101" s="251">
        <v>5</v>
      </c>
      <c r="E101" s="24"/>
      <c r="F101" s="24"/>
      <c r="G101" s="71"/>
      <c r="H101" s="187"/>
      <c r="I101" s="199"/>
      <c r="J101" s="200">
        <f>D101</f>
        <v>5</v>
      </c>
    </row>
    <row r="102" spans="1:10" x14ac:dyDescent="0.2">
      <c r="A102" s="15"/>
      <c r="B102" s="183" t="s">
        <v>482</v>
      </c>
      <c r="C102" s="15"/>
      <c r="D102" s="251">
        <v>1</v>
      </c>
      <c r="E102" s="24"/>
      <c r="F102" s="24"/>
      <c r="G102" s="71"/>
      <c r="H102" s="187"/>
      <c r="I102" s="199"/>
      <c r="J102" s="280">
        <f>D102</f>
        <v>1</v>
      </c>
    </row>
    <row r="103" spans="1:10" x14ac:dyDescent="0.2">
      <c r="A103" s="15"/>
      <c r="B103" s="422" t="s">
        <v>464</v>
      </c>
      <c r="C103" s="15"/>
      <c r="D103" s="251"/>
      <c r="E103" s="24"/>
      <c r="F103" s="24"/>
      <c r="G103" s="71"/>
      <c r="H103" s="187"/>
      <c r="I103" s="199"/>
      <c r="J103" s="200"/>
    </row>
    <row r="104" spans="1:10" x14ac:dyDescent="0.2">
      <c r="A104" s="15"/>
      <c r="B104" s="183" t="s">
        <v>477</v>
      </c>
      <c r="C104" s="15"/>
      <c r="D104" s="251">
        <v>2</v>
      </c>
      <c r="E104" s="24"/>
      <c r="F104" s="24"/>
      <c r="G104" s="71"/>
      <c r="H104" s="187"/>
      <c r="I104" s="199"/>
      <c r="J104" s="200">
        <f>D104</f>
        <v>2</v>
      </c>
    </row>
    <row r="105" spans="1:10" x14ac:dyDescent="0.2">
      <c r="A105" s="15"/>
      <c r="B105" s="183" t="s">
        <v>478</v>
      </c>
      <c r="C105" s="15"/>
      <c r="D105" s="251">
        <v>1</v>
      </c>
      <c r="E105" s="24"/>
      <c r="F105" s="24"/>
      <c r="G105" s="71"/>
      <c r="H105" s="187"/>
      <c r="I105" s="199"/>
      <c r="J105" s="200">
        <f>D105</f>
        <v>1</v>
      </c>
    </row>
    <row r="106" spans="1:10" x14ac:dyDescent="0.2">
      <c r="A106" s="15"/>
      <c r="B106" s="183" t="s">
        <v>479</v>
      </c>
      <c r="C106" s="15"/>
      <c r="D106" s="251">
        <v>7</v>
      </c>
      <c r="E106" s="24"/>
      <c r="F106" s="24"/>
      <c r="G106" s="71"/>
      <c r="H106" s="187"/>
      <c r="I106" s="199"/>
      <c r="J106" s="200">
        <f>D106</f>
        <v>7</v>
      </c>
    </row>
    <row r="107" spans="1:10" x14ac:dyDescent="0.2">
      <c r="A107" s="15"/>
      <c r="B107" s="422" t="s">
        <v>466</v>
      </c>
      <c r="C107" s="15"/>
      <c r="D107" s="251"/>
      <c r="E107" s="24"/>
      <c r="F107" s="24"/>
      <c r="G107" s="71"/>
      <c r="H107" s="187"/>
      <c r="I107" s="199"/>
      <c r="J107" s="200"/>
    </row>
    <row r="108" spans="1:10" x14ac:dyDescent="0.2">
      <c r="A108" s="15"/>
      <c r="B108" s="183" t="s">
        <v>477</v>
      </c>
      <c r="C108" s="15"/>
      <c r="D108" s="251">
        <v>2</v>
      </c>
      <c r="E108" s="24"/>
      <c r="F108" s="24"/>
      <c r="G108" s="71"/>
      <c r="H108" s="187"/>
      <c r="I108" s="199"/>
      <c r="J108" s="200">
        <f>D108</f>
        <v>2</v>
      </c>
    </row>
    <row r="109" spans="1:10" x14ac:dyDescent="0.2">
      <c r="A109" s="15"/>
      <c r="B109" s="422" t="s">
        <v>483</v>
      </c>
      <c r="C109" s="15"/>
      <c r="D109" s="251"/>
      <c r="E109" s="24"/>
      <c r="F109" s="24"/>
      <c r="G109" s="71"/>
      <c r="H109" s="187"/>
      <c r="I109" s="199"/>
      <c r="J109" s="200"/>
    </row>
    <row r="110" spans="1:10" s="203" customFormat="1" x14ac:dyDescent="0.2">
      <c r="A110" s="252"/>
      <c r="B110" s="183" t="s">
        <v>484</v>
      </c>
      <c r="C110" s="252"/>
      <c r="D110" s="251">
        <v>1</v>
      </c>
      <c r="E110" s="258"/>
      <c r="F110" s="258"/>
      <c r="G110" s="257"/>
      <c r="H110" s="263"/>
      <c r="I110" s="279"/>
      <c r="J110" s="280">
        <f>D110</f>
        <v>1</v>
      </c>
    </row>
    <row r="111" spans="1:10" s="203" customFormat="1" x14ac:dyDescent="0.2">
      <c r="A111" s="252"/>
      <c r="B111" s="183" t="s">
        <v>478</v>
      </c>
      <c r="C111" s="252"/>
      <c r="D111" s="251">
        <v>1</v>
      </c>
      <c r="E111" s="258"/>
      <c r="F111" s="258"/>
      <c r="G111" s="257"/>
      <c r="H111" s="263"/>
      <c r="I111" s="279"/>
      <c r="J111" s="280">
        <f>D111</f>
        <v>1</v>
      </c>
    </row>
    <row r="112" spans="1:10" x14ac:dyDescent="0.2">
      <c r="A112" s="15"/>
      <c r="B112" s="422" t="s">
        <v>474</v>
      </c>
      <c r="C112" s="15"/>
      <c r="D112" s="251"/>
      <c r="E112" s="24"/>
      <c r="F112" s="24"/>
      <c r="G112" s="71"/>
      <c r="H112" s="187"/>
      <c r="I112" s="199"/>
      <c r="J112" s="200"/>
    </row>
    <row r="113" spans="1:10" x14ac:dyDescent="0.2">
      <c r="A113" s="15"/>
      <c r="B113" s="183" t="s">
        <v>477</v>
      </c>
      <c r="C113" s="15"/>
      <c r="D113" s="251">
        <v>1</v>
      </c>
      <c r="E113" s="24"/>
      <c r="F113" s="24"/>
      <c r="G113" s="71"/>
      <c r="H113" s="187"/>
      <c r="I113" s="199"/>
      <c r="J113" s="200">
        <f>D113</f>
        <v>1</v>
      </c>
    </row>
    <row r="114" spans="1:10" x14ac:dyDescent="0.2">
      <c r="A114" s="15"/>
      <c r="B114" s="183" t="s">
        <v>478</v>
      </c>
      <c r="C114" s="15"/>
      <c r="D114" s="251">
        <v>1</v>
      </c>
      <c r="E114" s="24"/>
      <c r="F114" s="24"/>
      <c r="G114" s="71"/>
      <c r="H114" s="187"/>
      <c r="I114" s="199"/>
      <c r="J114" s="200">
        <f>D114</f>
        <v>1</v>
      </c>
    </row>
    <row r="115" spans="1:10" x14ac:dyDescent="0.2">
      <c r="A115" s="15"/>
      <c r="B115" s="183" t="s">
        <v>479</v>
      </c>
      <c r="C115" s="15"/>
      <c r="D115" s="251">
        <v>1</v>
      </c>
      <c r="E115" s="24"/>
      <c r="F115" s="24"/>
      <c r="G115" s="71"/>
      <c r="H115" s="187"/>
      <c r="I115" s="201"/>
      <c r="J115" s="200">
        <f>D115</f>
        <v>1</v>
      </c>
    </row>
    <row r="116" spans="1:10" x14ac:dyDescent="0.2">
      <c r="A116" s="15"/>
      <c r="B116" s="422" t="s">
        <v>451</v>
      </c>
      <c r="C116" s="15"/>
      <c r="D116" s="251"/>
      <c r="E116" s="24"/>
      <c r="F116" s="24"/>
      <c r="G116" s="71"/>
      <c r="H116" s="187"/>
      <c r="I116" s="201"/>
      <c r="J116" s="200"/>
    </row>
    <row r="117" spans="1:10" x14ac:dyDescent="0.2">
      <c r="A117" s="15"/>
      <c r="B117" s="183" t="s">
        <v>477</v>
      </c>
      <c r="C117" s="15"/>
      <c r="D117" s="251">
        <v>1</v>
      </c>
      <c r="E117" s="24"/>
      <c r="F117" s="24"/>
      <c r="G117" s="71"/>
      <c r="H117" s="187"/>
      <c r="I117" s="201"/>
      <c r="J117" s="200">
        <f>D117</f>
        <v>1</v>
      </c>
    </row>
    <row r="118" spans="1:10" x14ac:dyDescent="0.2">
      <c r="A118" s="15"/>
      <c r="B118" s="183" t="s">
        <v>478</v>
      </c>
      <c r="C118" s="15"/>
      <c r="D118" s="251">
        <v>1</v>
      </c>
      <c r="E118" s="24"/>
      <c r="F118" s="24"/>
      <c r="G118" s="71"/>
      <c r="H118" s="187"/>
      <c r="I118" s="201"/>
      <c r="J118" s="200">
        <f>D118</f>
        <v>1</v>
      </c>
    </row>
    <row r="119" spans="1:10" x14ac:dyDescent="0.2">
      <c r="A119" s="15"/>
      <c r="B119" s="183" t="s">
        <v>479</v>
      </c>
      <c r="C119" s="15"/>
      <c r="D119" s="251">
        <v>1</v>
      </c>
      <c r="E119" s="24"/>
      <c r="F119" s="24"/>
      <c r="G119" s="71"/>
      <c r="H119" s="187"/>
      <c r="I119" s="199"/>
      <c r="J119" s="200">
        <f>D119</f>
        <v>1</v>
      </c>
    </row>
    <row r="120" spans="1:10" x14ac:dyDescent="0.2">
      <c r="A120" s="15"/>
      <c r="B120" s="16"/>
      <c r="C120" s="24"/>
      <c r="D120" s="69"/>
      <c r="E120" s="24"/>
      <c r="F120" s="24"/>
      <c r="G120" s="71"/>
      <c r="H120" s="71"/>
      <c r="I120" s="189" t="s">
        <v>452</v>
      </c>
      <c r="J120" s="190">
        <f>SUM(J84:J119)</f>
        <v>72</v>
      </c>
    </row>
    <row r="121" spans="1:10" x14ac:dyDescent="0.2">
      <c r="A121" s="15"/>
      <c r="B121" s="16"/>
      <c r="C121" s="24"/>
      <c r="D121" s="69"/>
      <c r="E121" s="24"/>
      <c r="F121" s="24"/>
      <c r="G121" s="71"/>
      <c r="H121" s="71"/>
      <c r="I121" s="191"/>
      <c r="J121" s="192"/>
    </row>
    <row r="122" spans="1:10" ht="25.5" x14ac:dyDescent="0.2">
      <c r="A122" s="15" t="str">
        <f>'PLANILHA ORÇAMENTÁRIA'!A19</f>
        <v>1.1.11</v>
      </c>
      <c r="B122" s="16" t="str">
        <f>'PLANILHA ORÇAMENTÁRIA'!D19</f>
        <v xml:space="preserve">Remoção de telhas cerâmicas, tipo colonial, inclusive cumeeiras </v>
      </c>
      <c r="C122" s="15" t="str">
        <f>'PLANILHA ORÇAMENTÁRIA'!E19</f>
        <v>m2</v>
      </c>
      <c r="D122" s="66" t="s">
        <v>441</v>
      </c>
      <c r="E122" s="66" t="s">
        <v>442</v>
      </c>
      <c r="F122" s="66" t="s">
        <v>443</v>
      </c>
      <c r="G122" s="66" t="s">
        <v>444</v>
      </c>
      <c r="H122" s="66" t="s">
        <v>445</v>
      </c>
      <c r="I122" s="66" t="s">
        <v>446</v>
      </c>
      <c r="J122" s="67" t="s">
        <v>447</v>
      </c>
    </row>
    <row r="123" spans="1:10" x14ac:dyDescent="0.2">
      <c r="A123" s="15"/>
      <c r="B123" s="182" t="s">
        <v>485</v>
      </c>
      <c r="C123" s="15"/>
      <c r="D123" s="69"/>
      <c r="E123" s="69">
        <v>6.84</v>
      </c>
      <c r="F123" s="71">
        <v>2.8</v>
      </c>
      <c r="G123" s="71"/>
      <c r="H123" s="187">
        <f>F123*E123</f>
        <v>19.151999999999997</v>
      </c>
      <c r="I123" s="71"/>
      <c r="J123" s="71">
        <f>H123</f>
        <v>19.151999999999997</v>
      </c>
    </row>
    <row r="124" spans="1:10" s="203" customFormat="1" x14ac:dyDescent="0.2">
      <c r="A124" s="252"/>
      <c r="B124" s="253"/>
      <c r="C124" s="258"/>
      <c r="D124" s="259"/>
      <c r="E124" s="258"/>
      <c r="F124" s="258"/>
      <c r="G124" s="257"/>
      <c r="H124" s="257"/>
      <c r="I124" s="265" t="s">
        <v>452</v>
      </c>
      <c r="J124" s="266">
        <f>SUM(J123:J123)</f>
        <v>19.151999999999997</v>
      </c>
    </row>
    <row r="125" spans="1:10" x14ac:dyDescent="0.2">
      <c r="A125" s="15"/>
      <c r="B125" s="16"/>
      <c r="C125" s="24"/>
      <c r="D125" s="69"/>
      <c r="E125" s="24"/>
      <c r="F125" s="24"/>
      <c r="G125" s="71"/>
      <c r="H125" s="208"/>
      <c r="I125" s="191"/>
      <c r="J125" s="192"/>
    </row>
    <row r="126" spans="1:10" ht="25.5" x14ac:dyDescent="0.2">
      <c r="A126" s="15" t="str">
        <f>'PLANILHA ORÇAMENTÁRIA'!A20</f>
        <v>1.1.12</v>
      </c>
      <c r="B126" s="16" t="str">
        <f>'PLANILHA ORÇAMENTÁRIA'!D20</f>
        <v>Remoção de telha ondulada de fibrocimento, inclusive cumeeira</v>
      </c>
      <c r="C126" s="15" t="str">
        <f>'PLANILHA ORÇAMENTÁRIA'!E20</f>
        <v>m2</v>
      </c>
      <c r="D126" s="66" t="s">
        <v>441</v>
      </c>
      <c r="E126" s="66" t="s">
        <v>442</v>
      </c>
      <c r="F126" s="66" t="s">
        <v>443</v>
      </c>
      <c r="G126" s="66" t="s">
        <v>444</v>
      </c>
      <c r="H126" s="66" t="s">
        <v>445</v>
      </c>
      <c r="I126" s="66" t="s">
        <v>446</v>
      </c>
      <c r="J126" s="67" t="s">
        <v>447</v>
      </c>
    </row>
    <row r="127" spans="1:10" x14ac:dyDescent="0.2">
      <c r="A127" s="15"/>
      <c r="B127" s="182" t="s">
        <v>486</v>
      </c>
      <c r="C127" s="15"/>
      <c r="D127" s="69"/>
      <c r="E127" s="24"/>
      <c r="F127" s="24"/>
      <c r="G127" s="71"/>
      <c r="H127" s="71">
        <f>(560.97-(1.13*2.56))</f>
        <v>558.07720000000006</v>
      </c>
      <c r="I127" s="71"/>
      <c r="J127" s="71">
        <f>H127</f>
        <v>558.07720000000006</v>
      </c>
    </row>
    <row r="128" spans="1:10" x14ac:dyDescent="0.2">
      <c r="A128" s="15"/>
      <c r="B128" s="16"/>
      <c r="C128" s="24"/>
      <c r="D128" s="69"/>
      <c r="E128" s="24"/>
      <c r="F128" s="24"/>
      <c r="G128" s="71"/>
      <c r="H128" s="71"/>
      <c r="I128" s="189" t="s">
        <v>452</v>
      </c>
      <c r="J128" s="190">
        <f>SUM(J127:J127)</f>
        <v>558.07720000000006</v>
      </c>
    </row>
    <row r="129" spans="1:12" x14ac:dyDescent="0.2">
      <c r="A129" s="15"/>
      <c r="B129" s="16"/>
      <c r="C129" s="24"/>
      <c r="D129" s="69"/>
      <c r="E129" s="24"/>
      <c r="F129" s="24"/>
      <c r="G129" s="71"/>
      <c r="H129" s="71"/>
      <c r="I129" s="191"/>
      <c r="J129" s="192"/>
    </row>
    <row r="130" spans="1:12" ht="25.5" x14ac:dyDescent="0.2">
      <c r="A130" s="15" t="str">
        <f>'PLANILHA ORÇAMENTÁRIA'!A21</f>
        <v>1.1.13</v>
      </c>
      <c r="B130" s="16" t="str">
        <f>'PLANILHA ORÇAMENTÁRIA'!D21</f>
        <v>Retirada de caixas/quadros elétricos</v>
      </c>
      <c r="C130" s="15" t="str">
        <f>'PLANILHA ORÇAMENTÁRIA'!E21</f>
        <v>und</v>
      </c>
      <c r="D130" s="66" t="s">
        <v>441</v>
      </c>
      <c r="E130" s="66" t="s">
        <v>442</v>
      </c>
      <c r="F130" s="66" t="s">
        <v>443</v>
      </c>
      <c r="G130" s="66" t="s">
        <v>444</v>
      </c>
      <c r="H130" s="66" t="s">
        <v>445</v>
      </c>
      <c r="I130" s="66" t="s">
        <v>446</v>
      </c>
      <c r="J130" s="67" t="s">
        <v>447</v>
      </c>
    </row>
    <row r="131" spans="1:12" x14ac:dyDescent="0.2">
      <c r="A131" s="15"/>
      <c r="B131" s="182" t="s">
        <v>487</v>
      </c>
      <c r="C131" s="62"/>
      <c r="D131" s="71">
        <v>1</v>
      </c>
      <c r="E131" s="24"/>
      <c r="F131" s="24"/>
      <c r="G131" s="71"/>
      <c r="H131" s="71"/>
      <c r="I131" s="71"/>
      <c r="J131" s="71">
        <f>D131</f>
        <v>1</v>
      </c>
    </row>
    <row r="132" spans="1:12" x14ac:dyDescent="0.2">
      <c r="A132" s="15"/>
      <c r="B132" s="16"/>
      <c r="C132" s="24"/>
      <c r="D132" s="69"/>
      <c r="E132" s="24"/>
      <c r="F132" s="24"/>
      <c r="G132" s="71"/>
      <c r="H132" s="71"/>
      <c r="I132" s="189" t="s">
        <v>452</v>
      </c>
      <c r="J132" s="190">
        <f>SUM(J131:J131)</f>
        <v>1</v>
      </c>
    </row>
    <row r="133" spans="1:12" x14ac:dyDescent="0.2">
      <c r="A133" s="15"/>
      <c r="B133" s="16"/>
      <c r="C133" s="24"/>
      <c r="D133" s="69"/>
      <c r="E133" s="24"/>
      <c r="F133" s="24"/>
      <c r="G133" s="71"/>
      <c r="H133" s="71"/>
      <c r="I133" s="108"/>
      <c r="J133" s="63"/>
    </row>
    <row r="134" spans="1:12" ht="25.5" x14ac:dyDescent="0.2">
      <c r="A134" s="252" t="str">
        <f>'PLANILHA ORÇAMENTÁRIA'!A22</f>
        <v>1.1.14</v>
      </c>
      <c r="B134" s="253" t="str">
        <f>'PLANILHA ORÇAMENTÁRIA'!D22</f>
        <v>Retirada de torneiras e registros</v>
      </c>
      <c r="C134" s="252" t="str">
        <f>'PLANILHA ORÇAMENTÁRIA'!E22</f>
        <v>und</v>
      </c>
      <c r="D134" s="255" t="s">
        <v>441</v>
      </c>
      <c r="E134" s="255" t="s">
        <v>442</v>
      </c>
      <c r="F134" s="255" t="s">
        <v>443</v>
      </c>
      <c r="G134" s="255" t="s">
        <v>444</v>
      </c>
      <c r="H134" s="255" t="s">
        <v>445</v>
      </c>
      <c r="I134" s="255" t="s">
        <v>446</v>
      </c>
      <c r="J134" s="256" t="s">
        <v>447</v>
      </c>
      <c r="K134" s="203"/>
      <c r="L134" s="203"/>
    </row>
    <row r="135" spans="1:12" x14ac:dyDescent="0.2">
      <c r="A135" s="252"/>
      <c r="B135" s="182" t="s">
        <v>488</v>
      </c>
      <c r="C135" s="252"/>
      <c r="D135" s="255">
        <v>2</v>
      </c>
      <c r="E135" s="255"/>
      <c r="F135" s="255"/>
      <c r="G135" s="255"/>
      <c r="H135" s="255"/>
      <c r="I135" s="255"/>
      <c r="J135" s="256">
        <f>D135</f>
        <v>2</v>
      </c>
      <c r="K135" s="203"/>
      <c r="L135" s="203"/>
    </row>
    <row r="136" spans="1:12" x14ac:dyDescent="0.2">
      <c r="A136" s="252"/>
      <c r="B136" s="182" t="s">
        <v>489</v>
      </c>
      <c r="C136" s="252"/>
      <c r="D136" s="255">
        <v>1</v>
      </c>
      <c r="E136" s="255"/>
      <c r="F136" s="255"/>
      <c r="G136" s="255"/>
      <c r="H136" s="255"/>
      <c r="I136" s="255"/>
      <c r="J136" s="256">
        <f>D136</f>
        <v>1</v>
      </c>
      <c r="K136" s="203"/>
      <c r="L136" s="203"/>
    </row>
    <row r="137" spans="1:12" x14ac:dyDescent="0.2">
      <c r="A137" s="252"/>
      <c r="B137" s="182" t="s">
        <v>464</v>
      </c>
      <c r="C137" s="252"/>
      <c r="D137" s="255">
        <v>2</v>
      </c>
      <c r="E137" s="255"/>
      <c r="F137" s="255"/>
      <c r="G137" s="255"/>
      <c r="H137" s="255"/>
      <c r="I137" s="370"/>
      <c r="J137" s="256">
        <f>D137</f>
        <v>2</v>
      </c>
      <c r="K137" s="203"/>
      <c r="L137" s="203"/>
    </row>
    <row r="138" spans="1:12" x14ac:dyDescent="0.2">
      <c r="A138" s="252"/>
      <c r="B138" s="182" t="s">
        <v>483</v>
      </c>
      <c r="C138" s="252"/>
      <c r="D138" s="255">
        <v>1</v>
      </c>
      <c r="E138" s="255"/>
      <c r="F138" s="255"/>
      <c r="G138" s="255"/>
      <c r="H138" s="255"/>
      <c r="I138" s="370"/>
      <c r="J138" s="256">
        <f>D138</f>
        <v>1</v>
      </c>
      <c r="K138" s="203"/>
      <c r="L138" s="203"/>
    </row>
    <row r="139" spans="1:12" x14ac:dyDescent="0.2">
      <c r="A139" s="252"/>
      <c r="B139" s="182"/>
      <c r="C139" s="252"/>
      <c r="D139" s="259"/>
      <c r="E139" s="258"/>
      <c r="F139" s="258"/>
      <c r="G139" s="257"/>
      <c r="H139" s="257"/>
      <c r="I139" s="265" t="s">
        <v>452</v>
      </c>
      <c r="J139" s="266">
        <f>SUM(J135:J138)</f>
        <v>6</v>
      </c>
      <c r="K139" s="203"/>
      <c r="L139" s="203"/>
    </row>
    <row r="140" spans="1:12" x14ac:dyDescent="0.2">
      <c r="A140" s="252"/>
      <c r="B140" s="267"/>
      <c r="C140" s="258"/>
      <c r="D140" s="259"/>
      <c r="E140" s="258"/>
      <c r="F140" s="258"/>
      <c r="G140" s="257"/>
      <c r="H140" s="263"/>
      <c r="I140" s="264"/>
      <c r="J140" s="257"/>
      <c r="K140" s="203"/>
      <c r="L140" s="203"/>
    </row>
    <row r="141" spans="1:12" ht="25.5" x14ac:dyDescent="0.2">
      <c r="A141" s="15" t="str">
        <f>'PLANILHA ORÇAMENTÁRIA'!A23</f>
        <v>1.1.15</v>
      </c>
      <c r="B141" s="16" t="str">
        <f>'PLANILHA ORÇAMENTÁRIA'!D23</f>
        <v>Demolição de estrutura de madeira para telhado</v>
      </c>
      <c r="C141" s="15" t="str">
        <f>'PLANILHA ORÇAMENTÁRIA'!E23</f>
        <v>m2</v>
      </c>
      <c r="D141" s="66" t="s">
        <v>441</v>
      </c>
      <c r="E141" s="66" t="s">
        <v>442</v>
      </c>
      <c r="F141" s="66" t="s">
        <v>443</v>
      </c>
      <c r="G141" s="66" t="s">
        <v>444</v>
      </c>
      <c r="H141" s="66" t="s">
        <v>445</v>
      </c>
      <c r="I141" s="66" t="s">
        <v>446</v>
      </c>
      <c r="J141" s="67" t="s">
        <v>447</v>
      </c>
    </row>
    <row r="142" spans="1:12" x14ac:dyDescent="0.2">
      <c r="A142" s="15"/>
      <c r="B142" s="182" t="s">
        <v>490</v>
      </c>
      <c r="C142" s="15"/>
      <c r="D142" s="69"/>
      <c r="E142" s="24"/>
      <c r="F142" s="24"/>
      <c r="G142" s="71"/>
      <c r="H142" s="71">
        <f>(560.97-(1.13*2.56))</f>
        <v>558.07720000000006</v>
      </c>
      <c r="I142" s="71"/>
      <c r="J142" s="71">
        <f>H142</f>
        <v>558.07720000000006</v>
      </c>
    </row>
    <row r="143" spans="1:12" x14ac:dyDescent="0.2">
      <c r="A143" s="15"/>
      <c r="B143" s="61" t="s">
        <v>485</v>
      </c>
      <c r="C143" s="24"/>
      <c r="D143" s="69"/>
      <c r="E143" s="69">
        <v>6.84</v>
      </c>
      <c r="F143" s="71">
        <v>2.8</v>
      </c>
      <c r="G143" s="71"/>
      <c r="H143" s="187">
        <f>F143*E143</f>
        <v>19.151999999999997</v>
      </c>
      <c r="I143" s="186"/>
      <c r="J143" s="71">
        <f>H143</f>
        <v>19.151999999999997</v>
      </c>
    </row>
    <row r="144" spans="1:12" x14ac:dyDescent="0.2">
      <c r="A144" s="15"/>
      <c r="B144" s="16"/>
      <c r="C144" s="24"/>
      <c r="D144" s="69"/>
      <c r="E144" s="24"/>
      <c r="F144" s="24"/>
      <c r="G144" s="71"/>
      <c r="H144" s="71"/>
      <c r="I144" s="189" t="s">
        <v>452</v>
      </c>
      <c r="J144" s="190">
        <f>SUM(J142:J143)</f>
        <v>577.22920000000011</v>
      </c>
    </row>
    <row r="145" spans="1:12" x14ac:dyDescent="0.2">
      <c r="A145" s="15"/>
      <c r="B145" s="16"/>
      <c r="C145" s="24"/>
      <c r="D145" s="69"/>
      <c r="E145" s="24"/>
      <c r="F145" s="24"/>
      <c r="G145" s="71"/>
      <c r="H145" s="71"/>
      <c r="I145" s="108"/>
      <c r="J145" s="63"/>
    </row>
    <row r="146" spans="1:12" ht="25.5" x14ac:dyDescent="0.2">
      <c r="A146" s="252" t="str">
        <f>'PLANILHA ORÇAMENTÁRIA'!A24</f>
        <v>1.1.16</v>
      </c>
      <c r="B146" s="253" t="str">
        <f>'PLANILHA ORÇAMENTÁRIA'!D24</f>
        <v>Retirada de marco de madeira</v>
      </c>
      <c r="C146" s="252" t="str">
        <f>'PLANILHA ORÇAMENTÁRIA'!E24</f>
        <v>m</v>
      </c>
      <c r="D146" s="255" t="s">
        <v>441</v>
      </c>
      <c r="E146" s="255" t="s">
        <v>442</v>
      </c>
      <c r="F146" s="255" t="s">
        <v>443</v>
      </c>
      <c r="G146" s="255" t="s">
        <v>444</v>
      </c>
      <c r="H146" s="255" t="s">
        <v>445</v>
      </c>
      <c r="I146" s="255" t="s">
        <v>446</v>
      </c>
      <c r="J146" s="256" t="s">
        <v>447</v>
      </c>
      <c r="K146" s="203"/>
      <c r="L146" s="203"/>
    </row>
    <row r="147" spans="1:12" x14ac:dyDescent="0.2">
      <c r="A147" s="252"/>
      <c r="B147" s="182" t="s">
        <v>491</v>
      </c>
      <c r="C147" s="252"/>
      <c r="D147" s="257"/>
      <c r="E147" s="257">
        <v>0.8</v>
      </c>
      <c r="F147" s="257"/>
      <c r="G147" s="257">
        <v>2.1</v>
      </c>
      <c r="H147" s="257"/>
      <c r="I147" s="257"/>
      <c r="J147" s="257">
        <f>E147+(G147*2)</f>
        <v>5</v>
      </c>
      <c r="K147" s="203"/>
      <c r="L147" s="203"/>
    </row>
    <row r="148" spans="1:12" x14ac:dyDescent="0.2">
      <c r="A148" s="252"/>
      <c r="B148" s="182" t="s">
        <v>492</v>
      </c>
      <c r="C148" s="252"/>
      <c r="D148" s="257"/>
      <c r="E148" s="257"/>
      <c r="F148" s="257"/>
      <c r="G148" s="257"/>
      <c r="H148" s="257"/>
      <c r="I148" s="347"/>
      <c r="J148" s="257"/>
      <c r="K148" s="203"/>
      <c r="L148" s="203"/>
    </row>
    <row r="149" spans="1:12" x14ac:dyDescent="0.2">
      <c r="A149" s="252"/>
      <c r="B149" s="182" t="s">
        <v>493</v>
      </c>
      <c r="C149" s="252"/>
      <c r="D149" s="257"/>
      <c r="E149" s="257">
        <v>0.7</v>
      </c>
      <c r="F149" s="257"/>
      <c r="G149" s="257">
        <v>2.1</v>
      </c>
      <c r="H149" s="257"/>
      <c r="I149" s="347"/>
      <c r="J149" s="257">
        <f t="shared" ref="J149:J150" si="5">E149+(G149*2)</f>
        <v>4.9000000000000004</v>
      </c>
      <c r="K149" s="203"/>
      <c r="L149" s="203"/>
    </row>
    <row r="150" spans="1:12" x14ac:dyDescent="0.2">
      <c r="A150" s="252"/>
      <c r="B150" s="182" t="s">
        <v>494</v>
      </c>
      <c r="C150" s="258"/>
      <c r="D150" s="251">
        <v>2</v>
      </c>
      <c r="E150" s="257">
        <v>0.6</v>
      </c>
      <c r="F150" s="258"/>
      <c r="G150" s="257">
        <v>2.1</v>
      </c>
      <c r="H150" s="257"/>
      <c r="I150" s="371"/>
      <c r="J150" s="257">
        <f t="shared" si="5"/>
        <v>4.8</v>
      </c>
      <c r="K150" s="203"/>
      <c r="L150" s="203"/>
    </row>
    <row r="151" spans="1:12" x14ac:dyDescent="0.2">
      <c r="A151" s="252"/>
      <c r="B151" s="267"/>
      <c r="C151" s="258"/>
      <c r="D151" s="257"/>
      <c r="E151" s="258"/>
      <c r="F151" s="258"/>
      <c r="G151" s="257"/>
      <c r="H151" s="257"/>
      <c r="I151" s="265" t="s">
        <v>452</v>
      </c>
      <c r="J151" s="266">
        <f>SUM(J147:J150)</f>
        <v>14.7</v>
      </c>
      <c r="K151" s="203"/>
      <c r="L151" s="203"/>
    </row>
    <row r="152" spans="1:12" x14ac:dyDescent="0.2">
      <c r="A152" s="252"/>
      <c r="B152" s="253"/>
      <c r="C152" s="258"/>
      <c r="D152" s="259"/>
      <c r="E152" s="258"/>
      <c r="F152" s="258"/>
      <c r="G152" s="257"/>
      <c r="H152" s="257"/>
      <c r="I152" s="260"/>
      <c r="J152" s="261"/>
      <c r="K152" s="203"/>
      <c r="L152" s="203"/>
    </row>
    <row r="153" spans="1:12" ht="25.5" x14ac:dyDescent="0.2">
      <c r="A153" s="15" t="str">
        <f>'PLANILHA ORÇAMENTÁRIA'!A25</f>
        <v>1.1.17</v>
      </c>
      <c r="B153" s="16" t="s">
        <v>78</v>
      </c>
      <c r="C153" s="15" t="s">
        <v>47</v>
      </c>
      <c r="D153" s="66" t="s">
        <v>441</v>
      </c>
      <c r="E153" s="66" t="s">
        <v>442</v>
      </c>
      <c r="F153" s="66" t="s">
        <v>443</v>
      </c>
      <c r="G153" s="66" t="s">
        <v>444</v>
      </c>
      <c r="H153" s="66" t="s">
        <v>445</v>
      </c>
      <c r="I153" s="66" t="s">
        <v>446</v>
      </c>
      <c r="J153" s="67" t="s">
        <v>447</v>
      </c>
    </row>
    <row r="154" spans="1:12" x14ac:dyDescent="0.2">
      <c r="A154" s="15"/>
      <c r="B154" s="16"/>
      <c r="C154" s="15"/>
      <c r="D154" s="71">
        <v>11</v>
      </c>
      <c r="E154" s="24"/>
      <c r="F154" s="24"/>
      <c r="G154" s="71"/>
      <c r="H154" s="71"/>
      <c r="I154" s="191"/>
      <c r="J154" s="196">
        <v>11</v>
      </c>
    </row>
    <row r="155" spans="1:12" x14ac:dyDescent="0.2">
      <c r="A155" s="15"/>
      <c r="B155" s="16"/>
      <c r="C155" s="24"/>
      <c r="D155" s="69"/>
      <c r="E155" s="24"/>
      <c r="F155" s="24"/>
      <c r="G155" s="71"/>
      <c r="H155" s="71"/>
      <c r="I155" s="189" t="s">
        <v>452</v>
      </c>
      <c r="J155" s="190">
        <f>SUM(J154)</f>
        <v>11</v>
      </c>
    </row>
    <row r="156" spans="1:12" x14ac:dyDescent="0.2">
      <c r="A156" s="22" t="str">
        <f>'PLANILHA ORÇAMENTÁRIA'!A26</f>
        <v>1.2</v>
      </c>
      <c r="B156" s="14" t="str">
        <f>'PLANILHA ORÇAMENTÁRIA'!D26</f>
        <v>LIMPEZA DO TERRENO</v>
      </c>
      <c r="C156" s="15"/>
      <c r="D156" s="69"/>
      <c r="E156" s="24"/>
      <c r="F156" s="24"/>
      <c r="G156" s="24"/>
      <c r="H156" s="24"/>
      <c r="I156" s="24"/>
      <c r="J156" s="24"/>
    </row>
    <row r="157" spans="1:12" x14ac:dyDescent="0.2">
      <c r="A157" s="15"/>
      <c r="B157" s="109"/>
      <c r="C157" s="62"/>
      <c r="D157" s="62"/>
      <c r="E157" s="62"/>
      <c r="F157" s="62"/>
      <c r="G157" s="62"/>
      <c r="H157" s="62"/>
      <c r="I157" s="108"/>
      <c r="J157" s="63"/>
    </row>
    <row r="158" spans="1:12" ht="25.5" x14ac:dyDescent="0.2">
      <c r="A158" s="15" t="str">
        <f>'PLANILHA ORÇAMENTÁRIA'!A27</f>
        <v>1.2.1</v>
      </c>
      <c r="B158" s="16" t="str">
        <f>'PLANILHA ORÇAMENTÁRIA'!D27</f>
        <v>Raspagem e limpeza do terreno (manual)</v>
      </c>
      <c r="C158" s="15" t="str">
        <f>'PLANILHA ORÇAMENTÁRIA'!E27</f>
        <v>m2</v>
      </c>
      <c r="D158" s="66" t="s">
        <v>441</v>
      </c>
      <c r="E158" s="66" t="s">
        <v>442</v>
      </c>
      <c r="F158" s="66" t="s">
        <v>443</v>
      </c>
      <c r="G158" s="66" t="s">
        <v>444</v>
      </c>
      <c r="H158" s="66" t="s">
        <v>445</v>
      </c>
      <c r="I158" s="66" t="s">
        <v>446</v>
      </c>
      <c r="J158" s="67" t="s">
        <v>447</v>
      </c>
    </row>
    <row r="159" spans="1:12" x14ac:dyDescent="0.2">
      <c r="A159" s="15"/>
      <c r="B159" s="61" t="s">
        <v>495</v>
      </c>
      <c r="C159" s="15"/>
      <c r="D159" s="66"/>
      <c r="E159" s="66"/>
      <c r="F159" s="66"/>
      <c r="G159" s="66"/>
      <c r="H159" s="66">
        <v>500</v>
      </c>
      <c r="I159" s="66"/>
      <c r="J159" s="67">
        <f>H159</f>
        <v>500</v>
      </c>
    </row>
    <row r="160" spans="1:12" x14ac:dyDescent="0.2">
      <c r="A160" s="15"/>
      <c r="B160" s="109"/>
      <c r="C160" s="62"/>
      <c r="D160" s="62"/>
      <c r="E160" s="62"/>
      <c r="F160" s="62"/>
      <c r="G160" s="62"/>
      <c r="H160" s="62"/>
      <c r="I160" s="282" t="s">
        <v>452</v>
      </c>
      <c r="J160" s="283">
        <f>SUM(J159:J159)</f>
        <v>500</v>
      </c>
    </row>
    <row r="161" spans="1:10" x14ac:dyDescent="0.2">
      <c r="A161" s="15"/>
      <c r="B161" s="16"/>
      <c r="C161" s="15"/>
      <c r="D161" s="15"/>
      <c r="E161" s="24"/>
      <c r="F161" s="24"/>
      <c r="G161" s="24"/>
      <c r="H161" s="24"/>
      <c r="I161" s="24"/>
      <c r="J161" s="24"/>
    </row>
    <row r="162" spans="1:10" x14ac:dyDescent="0.2">
      <c r="A162" s="5">
        <v>2</v>
      </c>
      <c r="B162" s="7" t="s">
        <v>87</v>
      </c>
      <c r="C162" s="5"/>
      <c r="D162" s="120"/>
      <c r="E162" s="58"/>
      <c r="F162" s="58"/>
      <c r="G162" s="58"/>
      <c r="H162" s="58"/>
      <c r="I162" s="58"/>
      <c r="J162" s="58"/>
    </row>
    <row r="163" spans="1:10" x14ac:dyDescent="0.2">
      <c r="A163" s="22" t="s">
        <v>88</v>
      </c>
      <c r="B163" s="14" t="s">
        <v>90</v>
      </c>
      <c r="C163" s="15"/>
      <c r="D163" s="15"/>
      <c r="E163" s="15"/>
      <c r="F163" s="15"/>
      <c r="G163" s="15"/>
      <c r="H163" s="15"/>
      <c r="I163" s="15"/>
      <c r="J163" s="15"/>
    </row>
    <row r="164" spans="1:10" ht="25.5" x14ac:dyDescent="0.2">
      <c r="A164" s="15" t="str">
        <f>'PLANILHA ORÇAMENTÁRIA'!A31</f>
        <v>2.1.1</v>
      </c>
      <c r="B164" s="16" t="str">
        <f>'PLANILHA ORÇAMENTÁRIA'!D31</f>
        <v>Placa de obra nas dimensões de 2.0 x 4.0 m, padrão DER</v>
      </c>
      <c r="C164" s="15" t="str">
        <f>'PLANILHA ORÇAMENTÁRIA'!E31</f>
        <v>m2</v>
      </c>
      <c r="D164" s="67" t="s">
        <v>441</v>
      </c>
      <c r="E164" s="67" t="s">
        <v>442</v>
      </c>
      <c r="F164" s="67" t="s">
        <v>443</v>
      </c>
      <c r="G164" s="67" t="s">
        <v>444</v>
      </c>
      <c r="H164" s="67" t="s">
        <v>445</v>
      </c>
      <c r="I164" s="67" t="s">
        <v>446</v>
      </c>
      <c r="J164" s="67" t="s">
        <v>447</v>
      </c>
    </row>
    <row r="165" spans="1:10" x14ac:dyDescent="0.2">
      <c r="A165" s="15"/>
      <c r="B165" s="61" t="s">
        <v>496</v>
      </c>
      <c r="C165" s="15"/>
      <c r="D165" s="15"/>
      <c r="E165" s="15"/>
      <c r="F165" s="62">
        <v>4</v>
      </c>
      <c r="G165" s="62">
        <v>2</v>
      </c>
      <c r="H165" s="62">
        <f>F165*G165</f>
        <v>8</v>
      </c>
      <c r="I165" s="62"/>
      <c r="J165" s="62">
        <f>H165</f>
        <v>8</v>
      </c>
    </row>
    <row r="166" spans="1:10" x14ac:dyDescent="0.2">
      <c r="A166" s="15"/>
      <c r="B166" s="16"/>
      <c r="C166" s="15"/>
      <c r="D166" s="15"/>
      <c r="E166" s="15"/>
      <c r="F166" s="15"/>
      <c r="G166" s="15"/>
      <c r="H166" s="15"/>
      <c r="I166" s="64" t="s">
        <v>452</v>
      </c>
      <c r="J166" s="65">
        <f>SUM(J165)</f>
        <v>8</v>
      </c>
    </row>
    <row r="167" spans="1:10" x14ac:dyDescent="0.2">
      <c r="A167" s="15"/>
      <c r="B167" s="16"/>
      <c r="C167" s="15"/>
      <c r="D167" s="15"/>
      <c r="E167" s="15"/>
      <c r="F167" s="15"/>
      <c r="G167" s="15"/>
      <c r="H167" s="15"/>
      <c r="I167" s="108"/>
      <c r="J167" s="63"/>
    </row>
    <row r="168" spans="1:10" ht="25.5" x14ac:dyDescent="0.2">
      <c r="A168" s="15" t="str">
        <f>'PLANILHA ORÇAMENTÁRIA'!A32</f>
        <v>2.1.2</v>
      </c>
      <c r="B168" s="16" t="str">
        <f>'PLANILHA ORÇAMENTÁRIA'!D32</f>
        <v>Mobilização e desmobilização de conteiner locado para barracão de obra</v>
      </c>
      <c r="C168" s="15" t="str">
        <f>'PLANILHA ORÇAMENTÁRIA'!E32</f>
        <v>und</v>
      </c>
      <c r="D168" s="67" t="s">
        <v>441</v>
      </c>
      <c r="E168" s="67" t="s">
        <v>442</v>
      </c>
      <c r="F168" s="67" t="s">
        <v>443</v>
      </c>
      <c r="G168" s="67" t="s">
        <v>444</v>
      </c>
      <c r="H168" s="67" t="s">
        <v>445</v>
      </c>
      <c r="I168" s="67" t="s">
        <v>446</v>
      </c>
      <c r="J168" s="67" t="s">
        <v>447</v>
      </c>
    </row>
    <row r="169" spans="1:10" x14ac:dyDescent="0.2">
      <c r="A169" s="15"/>
      <c r="B169" s="61"/>
      <c r="C169" s="15"/>
      <c r="D169" s="66">
        <v>1</v>
      </c>
      <c r="E169" s="66"/>
      <c r="F169" s="66"/>
      <c r="G169" s="66"/>
      <c r="H169" s="66"/>
      <c r="I169" s="66"/>
      <c r="J169" s="67">
        <f>D169</f>
        <v>1</v>
      </c>
    </row>
    <row r="170" spans="1:10" x14ac:dyDescent="0.2">
      <c r="A170" s="15"/>
      <c r="B170" s="16"/>
      <c r="C170" s="15"/>
      <c r="D170" s="66"/>
      <c r="E170" s="66"/>
      <c r="F170" s="66"/>
      <c r="G170" s="66"/>
      <c r="H170" s="66"/>
      <c r="I170" s="64" t="s">
        <v>452</v>
      </c>
      <c r="J170" s="65">
        <f>SUM(J169)</f>
        <v>1</v>
      </c>
    </row>
    <row r="171" spans="1:10" x14ac:dyDescent="0.2">
      <c r="A171" s="15"/>
      <c r="B171" s="16"/>
      <c r="C171" s="15"/>
      <c r="D171" s="15"/>
      <c r="E171" s="62"/>
      <c r="F171" s="62"/>
      <c r="G171" s="62"/>
      <c r="H171" s="62"/>
      <c r="I171" s="62"/>
      <c r="J171" s="62"/>
    </row>
    <row r="172" spans="1:10" ht="38.25" x14ac:dyDescent="0.2">
      <c r="A172" s="119" t="str">
        <f>'PLANILHA ORÇAMENTÁRIA'!A33</f>
        <v>2.1.3</v>
      </c>
      <c r="B172" s="293" t="str">
        <f>'PLANILHA ORÇAMENTÁRIA'!D33</f>
        <v>Aluguel mensal container para almoxarifado, incl. porta, 2 janelas, 1 pt iluminação, Isolamento térmico (teto), piso em comp. Naval pintado, cert. NR18, incl. laudo descontaminação.</v>
      </c>
      <c r="C172" s="119" t="str">
        <f>'PLANILHA ORÇAMENTÁRIA'!E33</f>
        <v>mês</v>
      </c>
      <c r="D172" s="294" t="s">
        <v>441</v>
      </c>
      <c r="E172" s="294" t="s">
        <v>442</v>
      </c>
      <c r="F172" s="294" t="s">
        <v>443</v>
      </c>
      <c r="G172" s="294" t="s">
        <v>444</v>
      </c>
      <c r="H172" s="294" t="s">
        <v>445</v>
      </c>
      <c r="I172" s="294" t="s">
        <v>446</v>
      </c>
      <c r="J172" s="294" t="s">
        <v>447</v>
      </c>
    </row>
    <row r="173" spans="1:10" x14ac:dyDescent="0.2">
      <c r="A173" s="15"/>
      <c r="B173" s="61" t="s">
        <v>497</v>
      </c>
      <c r="C173" s="15"/>
      <c r="D173" s="66">
        <v>6</v>
      </c>
      <c r="E173" s="66"/>
      <c r="F173" s="66"/>
      <c r="G173" s="66"/>
      <c r="H173" s="66"/>
      <c r="I173" s="66"/>
      <c r="J173" s="67">
        <f>D173</f>
        <v>6</v>
      </c>
    </row>
    <row r="174" spans="1:10" x14ac:dyDescent="0.2">
      <c r="A174" s="15"/>
      <c r="B174" s="16"/>
      <c r="C174" s="15"/>
      <c r="D174" s="66"/>
      <c r="E174" s="66"/>
      <c r="F174" s="66"/>
      <c r="G174" s="66"/>
      <c r="H174" s="66"/>
      <c r="I174" s="64" t="s">
        <v>452</v>
      </c>
      <c r="J174" s="65">
        <f>SUM(J173)</f>
        <v>6</v>
      </c>
    </row>
    <row r="175" spans="1:10" x14ac:dyDescent="0.2">
      <c r="A175" s="15"/>
      <c r="B175" s="16"/>
      <c r="C175" s="15"/>
      <c r="D175" s="66"/>
      <c r="E175" s="66"/>
      <c r="F175" s="66"/>
      <c r="G175" s="66"/>
      <c r="H175" s="66"/>
      <c r="I175" s="66"/>
      <c r="J175" s="67"/>
    </row>
    <row r="176" spans="1:10" x14ac:dyDescent="0.2">
      <c r="A176" s="5">
        <f>'PLANILHA ORÇAMENTÁRIA'!A35</f>
        <v>3</v>
      </c>
      <c r="B176" s="7" t="str">
        <f>'PLANILHA ORÇAMENTÁRIA'!D35</f>
        <v>MOVIMENTO DE TERRA</v>
      </c>
      <c r="C176" s="5"/>
      <c r="D176" s="120"/>
      <c r="E176" s="58"/>
      <c r="F176" s="58"/>
      <c r="G176" s="58"/>
      <c r="H176" s="58"/>
      <c r="I176" s="58"/>
      <c r="J176" s="58"/>
    </row>
    <row r="177" spans="1:10" x14ac:dyDescent="0.2">
      <c r="A177" s="312" t="str">
        <f>'PLANILHA ORÇAMENTÁRIA'!A36</f>
        <v>3.1</v>
      </c>
      <c r="B177" s="387" t="str">
        <f>'PLANILHA ORÇAMENTÁRIA'!D36</f>
        <v>TRANSPORTES</v>
      </c>
      <c r="C177" s="387"/>
      <c r="D177" s="387"/>
      <c r="E177" s="387"/>
      <c r="F177" s="387"/>
      <c r="G177" s="387"/>
      <c r="H177" s="387"/>
      <c r="I177" s="387"/>
      <c r="J177" s="387"/>
    </row>
    <row r="178" spans="1:10" ht="38.25" x14ac:dyDescent="0.2">
      <c r="A178" s="15" t="str">
        <f>'PLANILHA ORÇAMENTÁRIA'!A37</f>
        <v>3.1.1</v>
      </c>
      <c r="B178" s="16" t="str">
        <f>'PLANILHA ORÇAMENTÁRIA'!D37</f>
        <v>Índice de preço para remoção de entulho decorrente da execução de obras (Classe A CONAMA - NBR 10.004 - Classe II-B), incluindo aluguel da caçamba, carga, transporte e descarga em área licenciada</v>
      </c>
      <c r="C178" s="15" t="str">
        <f>'PLANILHA ORÇAMENTÁRIA'!E37</f>
        <v>m3</v>
      </c>
      <c r="D178" s="66" t="s">
        <v>441</v>
      </c>
      <c r="E178" s="66" t="s">
        <v>442</v>
      </c>
      <c r="F178" s="66" t="s">
        <v>443</v>
      </c>
      <c r="G178" s="66" t="s">
        <v>444</v>
      </c>
      <c r="H178" s="66" t="s">
        <v>445</v>
      </c>
      <c r="I178" s="66" t="s">
        <v>446</v>
      </c>
      <c r="J178" s="67" t="s">
        <v>447</v>
      </c>
    </row>
    <row r="179" spans="1:10" x14ac:dyDescent="0.2">
      <c r="A179" s="15"/>
      <c r="B179" s="61" t="s">
        <v>26</v>
      </c>
      <c r="C179" s="15"/>
      <c r="D179" s="66"/>
      <c r="E179" s="66"/>
      <c r="F179" s="66"/>
      <c r="G179" s="66">
        <v>0.02</v>
      </c>
      <c r="H179" s="66">
        <f>J13</f>
        <v>42.9</v>
      </c>
      <c r="I179" s="66">
        <f>G179*H179</f>
        <v>0.85799999999999998</v>
      </c>
      <c r="J179" s="67">
        <f t="shared" ref="J179:J188" si="6">I179</f>
        <v>0.85799999999999998</v>
      </c>
    </row>
    <row r="180" spans="1:10" ht="13.5" customHeight="1" x14ac:dyDescent="0.2">
      <c r="A180" s="15"/>
      <c r="B180" s="61" t="s">
        <v>30</v>
      </c>
      <c r="C180" s="15"/>
      <c r="D180" s="66"/>
      <c r="E180" s="66"/>
      <c r="F180" s="66"/>
      <c r="G180" s="66">
        <v>0.02</v>
      </c>
      <c r="H180" s="66">
        <f>J20</f>
        <v>93.432400000000015</v>
      </c>
      <c r="I180" s="66">
        <f>G180*H180</f>
        <v>1.8686480000000003</v>
      </c>
      <c r="J180" s="67">
        <f t="shared" si="6"/>
        <v>1.8686480000000003</v>
      </c>
    </row>
    <row r="181" spans="1:10" ht="13.5" customHeight="1" x14ac:dyDescent="0.2">
      <c r="A181" s="15"/>
      <c r="B181" s="61" t="s">
        <v>33</v>
      </c>
      <c r="C181" s="15"/>
      <c r="D181" s="66"/>
      <c r="E181" s="66"/>
      <c r="F181" s="66"/>
      <c r="G181" s="66">
        <v>0.02</v>
      </c>
      <c r="H181" s="66">
        <f>J28</f>
        <v>51.185999999999993</v>
      </c>
      <c r="I181" s="66">
        <f>G181*H181</f>
        <v>1.02372</v>
      </c>
      <c r="J181" s="67">
        <f t="shared" si="6"/>
        <v>1.02372</v>
      </c>
    </row>
    <row r="182" spans="1:10" ht="13.5" customHeight="1" x14ac:dyDescent="0.2">
      <c r="A182" s="15"/>
      <c r="B182" s="61" t="s">
        <v>876</v>
      </c>
      <c r="C182" s="15"/>
      <c r="D182" s="66"/>
      <c r="E182" s="66"/>
      <c r="F182" s="66"/>
      <c r="G182" s="66"/>
      <c r="I182" s="66">
        <f>J33</f>
        <v>0.29264300000000004</v>
      </c>
      <c r="J182" s="206">
        <f t="shared" si="6"/>
        <v>0.29264300000000004</v>
      </c>
    </row>
    <row r="183" spans="1:10" ht="13.5" customHeight="1" x14ac:dyDescent="0.2">
      <c r="A183" s="15"/>
      <c r="B183" s="61" t="s">
        <v>43</v>
      </c>
      <c r="C183" s="15"/>
      <c r="D183" s="66"/>
      <c r="E183" s="66"/>
      <c r="F183" s="66"/>
      <c r="G183" s="66">
        <v>0.02</v>
      </c>
      <c r="H183" s="66">
        <f>J63</f>
        <v>470.35</v>
      </c>
      <c r="I183" s="66">
        <f>G183*H183</f>
        <v>9.407</v>
      </c>
      <c r="J183" s="67">
        <f t="shared" si="6"/>
        <v>9.407</v>
      </c>
    </row>
    <row r="184" spans="1:10" ht="13.5" customHeight="1" x14ac:dyDescent="0.2">
      <c r="A184" s="15"/>
      <c r="B184" s="61" t="s">
        <v>53</v>
      </c>
      <c r="C184" s="15"/>
      <c r="D184" s="66"/>
      <c r="E184" s="66"/>
      <c r="F184" s="66"/>
      <c r="G184" s="66">
        <v>0.01</v>
      </c>
      <c r="H184" s="66">
        <f>J80</f>
        <v>70.180000000000007</v>
      </c>
      <c r="I184" s="66">
        <f>G184*H184</f>
        <v>0.70180000000000009</v>
      </c>
      <c r="J184" s="67">
        <f t="shared" si="6"/>
        <v>0.70180000000000009</v>
      </c>
    </row>
    <row r="185" spans="1:10" ht="13.5" customHeight="1" x14ac:dyDescent="0.2">
      <c r="A185" s="15"/>
      <c r="B185" s="61" t="s">
        <v>59</v>
      </c>
      <c r="C185" s="15"/>
      <c r="D185" s="66"/>
      <c r="E185" s="66"/>
      <c r="F185" s="66"/>
      <c r="G185" s="66">
        <v>0.01</v>
      </c>
      <c r="H185" s="66">
        <f>H313</f>
        <v>19.149999999999999</v>
      </c>
      <c r="I185" s="67">
        <f>G185*H185</f>
        <v>0.1915</v>
      </c>
      <c r="J185" s="206">
        <f t="shared" si="6"/>
        <v>0.1915</v>
      </c>
    </row>
    <row r="186" spans="1:10" ht="13.5" customHeight="1" x14ac:dyDescent="0.2">
      <c r="A186" s="15"/>
      <c r="B186" s="182" t="s">
        <v>62</v>
      </c>
      <c r="C186" s="62"/>
      <c r="D186" s="66"/>
      <c r="E186" s="66"/>
      <c r="F186" s="66"/>
      <c r="G186" s="221">
        <v>6.0000000000000001E-3</v>
      </c>
      <c r="H186" s="66">
        <f>H127</f>
        <v>558.07720000000006</v>
      </c>
      <c r="I186" s="67">
        <f>G186*H186</f>
        <v>3.3484632000000003</v>
      </c>
      <c r="J186" s="67">
        <f t="shared" si="6"/>
        <v>3.3484632000000003</v>
      </c>
    </row>
    <row r="187" spans="1:10" x14ac:dyDescent="0.2">
      <c r="A187" s="15"/>
      <c r="B187" s="302" t="s">
        <v>71</v>
      </c>
      <c r="C187" s="205"/>
      <c r="D187" s="194"/>
      <c r="E187" s="194"/>
      <c r="F187" s="194"/>
      <c r="G187" s="194">
        <v>0.08</v>
      </c>
      <c r="H187" s="194">
        <f>J144</f>
        <v>577.22920000000011</v>
      </c>
      <c r="I187" s="206">
        <f>G187*H187</f>
        <v>46.178336000000009</v>
      </c>
      <c r="J187" s="206">
        <f t="shared" si="6"/>
        <v>46.178336000000009</v>
      </c>
    </row>
    <row r="188" spans="1:10" x14ac:dyDescent="0.2">
      <c r="A188" s="15"/>
      <c r="B188" s="423" t="s">
        <v>84</v>
      </c>
      <c r="C188" s="24"/>
      <c r="D188" s="24"/>
      <c r="E188" s="24"/>
      <c r="F188" s="24"/>
      <c r="G188" s="69">
        <v>0.05</v>
      </c>
      <c r="H188" s="71">
        <f>J160</f>
        <v>500</v>
      </c>
      <c r="I188" s="71">
        <f>H188*G188</f>
        <v>25</v>
      </c>
      <c r="J188" s="71">
        <f t="shared" si="6"/>
        <v>25</v>
      </c>
    </row>
    <row r="189" spans="1:10" x14ac:dyDescent="0.2">
      <c r="A189" s="15"/>
      <c r="B189" s="418"/>
      <c r="C189" s="196"/>
      <c r="D189" s="195"/>
      <c r="E189" s="195"/>
      <c r="F189" s="195"/>
      <c r="G189" s="195"/>
      <c r="H189" s="419"/>
      <c r="I189" s="420" t="s">
        <v>452</v>
      </c>
      <c r="J189" s="421">
        <f>SUM(J179:J188)</f>
        <v>88.870110200000013</v>
      </c>
    </row>
    <row r="190" spans="1:10" x14ac:dyDescent="0.2">
      <c r="A190" s="15"/>
      <c r="B190" s="158"/>
      <c r="C190" s="15"/>
      <c r="D190" s="66"/>
      <c r="E190" s="66"/>
      <c r="F190" s="66"/>
      <c r="G190" s="222"/>
      <c r="H190" s="212"/>
      <c r="I190" s="186"/>
      <c r="J190" s="227"/>
    </row>
    <row r="191" spans="1:10" x14ac:dyDescent="0.2">
      <c r="A191" s="220">
        <f>'PLANILHA ORÇAMENTÁRIA'!A39</f>
        <v>4</v>
      </c>
      <c r="B191" s="7" t="str">
        <f>'PLANILHA ORÇAMENTÁRIA'!D39</f>
        <v>ESTRUTURAS</v>
      </c>
      <c r="C191" s="7"/>
      <c r="D191" s="7"/>
      <c r="E191" s="7"/>
      <c r="F191" s="7"/>
      <c r="G191" s="7"/>
      <c r="H191" s="7"/>
      <c r="I191" s="7"/>
      <c r="J191" s="7"/>
    </row>
    <row r="192" spans="1:10" x14ac:dyDescent="0.2">
      <c r="A192" s="17" t="str">
        <f>'PLANILHA ORÇAMENTÁRIA'!A40</f>
        <v>4.1</v>
      </c>
      <c r="B192" s="14" t="str">
        <f>'PLANILHA ORÇAMENTÁRIA'!D40</f>
        <v>RECUPERAÇÃO DE ESTRUTURAS</v>
      </c>
      <c r="C192" s="15"/>
      <c r="D192" s="66"/>
      <c r="E192" s="66"/>
      <c r="F192" s="66"/>
      <c r="G192" s="222"/>
      <c r="H192" s="212"/>
      <c r="I192" s="186"/>
      <c r="J192" s="186"/>
    </row>
    <row r="193" spans="1:10" ht="25.5" x14ac:dyDescent="0.2">
      <c r="A193" s="15" t="str">
        <f>'PLANILHA ORÇAMENTÁRIA'!A41</f>
        <v>4.1.1</v>
      </c>
      <c r="B193" s="16" t="str">
        <f>'PLANILHA ORÇAMENTÁRIA'!D41</f>
        <v>Preparação do substrato para reparo em estrutura de concreto por apicoamento manual da superfície</v>
      </c>
      <c r="C193" s="15" t="str">
        <f>'PLANILHA ORÇAMENTÁRIA'!E41</f>
        <v>m2</v>
      </c>
      <c r="D193" s="66" t="s">
        <v>441</v>
      </c>
      <c r="E193" s="66" t="s">
        <v>442</v>
      </c>
      <c r="F193" s="66" t="s">
        <v>443</v>
      </c>
      <c r="G193" s="66" t="s">
        <v>444</v>
      </c>
      <c r="H193" s="66" t="s">
        <v>445</v>
      </c>
      <c r="I193" s="66" t="s">
        <v>446</v>
      </c>
      <c r="J193" s="67" t="s">
        <v>447</v>
      </c>
    </row>
    <row r="194" spans="1:10" x14ac:dyDescent="0.2">
      <c r="A194" s="15"/>
      <c r="B194" s="61" t="s">
        <v>498</v>
      </c>
      <c r="C194" s="15"/>
      <c r="D194" s="66">
        <v>3</v>
      </c>
      <c r="E194" s="66">
        <f>(0.2+0.3)*2</f>
        <v>1</v>
      </c>
      <c r="F194" s="66"/>
      <c r="G194" s="222">
        <v>0.3</v>
      </c>
      <c r="H194" s="212">
        <f>G194*E194</f>
        <v>0.3</v>
      </c>
      <c r="I194" s="186"/>
      <c r="J194" s="199">
        <f>H194*D194</f>
        <v>0.89999999999999991</v>
      </c>
    </row>
    <row r="195" spans="1:10" x14ac:dyDescent="0.2">
      <c r="A195" s="15"/>
      <c r="B195" s="158"/>
      <c r="C195" s="15"/>
      <c r="D195" s="66"/>
      <c r="E195" s="66"/>
      <c r="F195" s="66"/>
      <c r="G195" s="222"/>
      <c r="H195" s="212"/>
      <c r="I195" s="223" t="s">
        <v>452</v>
      </c>
      <c r="J195" s="224">
        <f>SUM(J194:J194)</f>
        <v>0.89999999999999991</v>
      </c>
    </row>
    <row r="196" spans="1:10" x14ac:dyDescent="0.2">
      <c r="A196" s="15"/>
      <c r="B196" s="158"/>
      <c r="C196" s="15"/>
      <c r="D196" s="66"/>
      <c r="E196" s="66"/>
      <c r="F196" s="66"/>
      <c r="G196" s="222"/>
      <c r="H196" s="212"/>
      <c r="I196" s="186"/>
      <c r="J196" s="199"/>
    </row>
    <row r="197" spans="1:10" ht="43.5" customHeight="1" x14ac:dyDescent="0.2">
      <c r="A197" s="15" t="str">
        <f>'PLANILHA ORÇAMENTÁRIA'!A42</f>
        <v>4.1.2</v>
      </c>
      <c r="B197" s="16" t="str">
        <f>'PLANILHA ORÇAMENTÁRIA'!D42</f>
        <v>Limpeza de aço com lixamento e escovamento com escova de aço, até a completa remoção de partículas soltas, materiais indesejáveis e corrosão</v>
      </c>
      <c r="C197" s="15" t="str">
        <f>'PLANILHA ORÇAMENTÁRIA'!E42</f>
        <v>m2</v>
      </c>
      <c r="D197" s="66" t="s">
        <v>441</v>
      </c>
      <c r="E197" s="66" t="s">
        <v>442</v>
      </c>
      <c r="F197" s="66" t="s">
        <v>443</v>
      </c>
      <c r="G197" s="66" t="s">
        <v>444</v>
      </c>
      <c r="H197" s="66" t="s">
        <v>445</v>
      </c>
      <c r="I197" s="66" t="s">
        <v>446</v>
      </c>
      <c r="J197" s="67" t="s">
        <v>447</v>
      </c>
    </row>
    <row r="198" spans="1:10" x14ac:dyDescent="0.2">
      <c r="A198" s="15"/>
      <c r="B198" s="61" t="s">
        <v>498</v>
      </c>
      <c r="C198" s="15"/>
      <c r="D198" s="66">
        <v>3</v>
      </c>
      <c r="E198" s="66">
        <f>(0.2+0.3)*2</f>
        <v>1</v>
      </c>
      <c r="F198" s="66"/>
      <c r="G198" s="222">
        <v>0.3</v>
      </c>
      <c r="H198" s="212">
        <f>G198*E198</f>
        <v>0.3</v>
      </c>
      <c r="I198" s="186"/>
      <c r="J198" s="199">
        <f>H198*D198</f>
        <v>0.89999999999999991</v>
      </c>
    </row>
    <row r="199" spans="1:10" x14ac:dyDescent="0.2">
      <c r="A199" s="15"/>
      <c r="B199" s="158"/>
      <c r="C199" s="15"/>
      <c r="D199" s="66"/>
      <c r="E199" s="66"/>
      <c r="F199" s="66"/>
      <c r="G199" s="222"/>
      <c r="H199" s="212"/>
      <c r="I199" s="223" t="s">
        <v>452</v>
      </c>
      <c r="J199" s="224">
        <f>SUM(J198:J198)</f>
        <v>0.89999999999999991</v>
      </c>
    </row>
    <row r="200" spans="1:10" x14ac:dyDescent="0.2">
      <c r="A200" s="15"/>
      <c r="B200" s="158"/>
      <c r="C200" s="15"/>
      <c r="D200" s="66"/>
      <c r="E200" s="66"/>
      <c r="F200" s="66"/>
      <c r="G200" s="222"/>
      <c r="H200" s="212"/>
      <c r="I200" s="186"/>
      <c r="J200" s="199"/>
    </row>
    <row r="201" spans="1:10" ht="25.5" x14ac:dyDescent="0.2">
      <c r="A201" s="15" t="str">
        <f>'PLANILHA ORÇAMENTÁRIA'!A43</f>
        <v>4.1.3</v>
      </c>
      <c r="B201" s="16" t="str">
        <f>'PLANILHA ORÇAMENTÁRIA'!D43</f>
        <v>Aplicação de Sika Top 108 Armatec ou equivalente, nas ferragens a serem recuperadas</v>
      </c>
      <c r="C201" s="15" t="str">
        <f>'PLANILHA ORÇAMENTÁRIA'!E43</f>
        <v>m2</v>
      </c>
      <c r="D201" s="66" t="s">
        <v>441</v>
      </c>
      <c r="E201" s="66" t="s">
        <v>442</v>
      </c>
      <c r="F201" s="66" t="s">
        <v>443</v>
      </c>
      <c r="G201" s="66" t="s">
        <v>444</v>
      </c>
      <c r="H201" s="66" t="s">
        <v>445</v>
      </c>
      <c r="I201" s="66" t="s">
        <v>446</v>
      </c>
      <c r="J201" s="67" t="s">
        <v>447</v>
      </c>
    </row>
    <row r="202" spans="1:10" x14ac:dyDescent="0.2">
      <c r="A202" s="15"/>
      <c r="B202" s="61" t="s">
        <v>498</v>
      </c>
      <c r="C202" s="15"/>
      <c r="D202" s="66">
        <v>3</v>
      </c>
      <c r="E202" s="66">
        <f>(0.2+0.3)*2</f>
        <v>1</v>
      </c>
      <c r="F202" s="66"/>
      <c r="G202" s="222">
        <v>0.3</v>
      </c>
      <c r="H202" s="212">
        <f>G202*E202</f>
        <v>0.3</v>
      </c>
      <c r="I202" s="186"/>
      <c r="J202" s="199">
        <f>H202*D202</f>
        <v>0.89999999999999991</v>
      </c>
    </row>
    <row r="203" spans="1:10" x14ac:dyDescent="0.2">
      <c r="A203" s="15"/>
      <c r="B203" s="158"/>
      <c r="C203" s="15"/>
      <c r="D203" s="66"/>
      <c r="E203" s="66"/>
      <c r="F203" s="66"/>
      <c r="G203" s="66"/>
      <c r="H203" s="66"/>
      <c r="I203" s="223" t="s">
        <v>452</v>
      </c>
      <c r="J203" s="224">
        <f>SUM(J202:J202)</f>
        <v>0.89999999999999991</v>
      </c>
    </row>
    <row r="204" spans="1:10" x14ac:dyDescent="0.2">
      <c r="A204" s="15"/>
      <c r="B204" s="158"/>
      <c r="C204" s="15"/>
      <c r="D204" s="66"/>
      <c r="E204" s="66"/>
      <c r="F204" s="66"/>
      <c r="G204" s="66"/>
      <c r="H204" s="66"/>
      <c r="I204" s="66"/>
      <c r="J204" s="67"/>
    </row>
    <row r="205" spans="1:10" ht="25.5" x14ac:dyDescent="0.2">
      <c r="A205" s="15" t="str">
        <f>'PLANILHA ORÇAMENTÁRIA'!A44</f>
        <v>4.1.4</v>
      </c>
      <c r="B205" s="16" t="str">
        <f>'PLANILHA ORÇAMENTÁRIA'!D44</f>
        <v>Recomposição de concreto danificado, com utilização de argamassa Sika Grout ou equivalente (considerando esp. 5cm)</v>
      </c>
      <c r="C205" s="15" t="str">
        <f>'PLANILHA ORÇAMENTÁRIA'!E44</f>
        <v>m2</v>
      </c>
      <c r="D205" s="66" t="s">
        <v>441</v>
      </c>
      <c r="E205" s="66" t="s">
        <v>442</v>
      </c>
      <c r="F205" s="66" t="s">
        <v>443</v>
      </c>
      <c r="G205" s="66" t="s">
        <v>444</v>
      </c>
      <c r="H205" s="66" t="s">
        <v>445</v>
      </c>
      <c r="I205" s="66" t="s">
        <v>446</v>
      </c>
      <c r="J205" s="67" t="s">
        <v>447</v>
      </c>
    </row>
    <row r="206" spans="1:10" x14ac:dyDescent="0.2">
      <c r="A206" s="15"/>
      <c r="B206" s="158"/>
      <c r="C206" s="15"/>
      <c r="D206" s="66"/>
      <c r="E206" s="66"/>
      <c r="F206" s="66"/>
      <c r="G206" s="66"/>
      <c r="H206" s="66"/>
      <c r="I206" s="66"/>
      <c r="J206" s="67"/>
    </row>
    <row r="207" spans="1:10" x14ac:dyDescent="0.2">
      <c r="A207" s="15"/>
      <c r="B207" s="61" t="s">
        <v>498</v>
      </c>
      <c r="C207" s="15"/>
      <c r="D207" s="66">
        <v>3</v>
      </c>
      <c r="E207" s="66">
        <f>(0.2+0.3)*2</f>
        <v>1</v>
      </c>
      <c r="F207" s="66"/>
      <c r="G207" s="222">
        <v>0.3</v>
      </c>
      <c r="H207" s="212">
        <f>G207*E207</f>
        <v>0.3</v>
      </c>
      <c r="I207" s="186"/>
      <c r="J207" s="199">
        <f>H207*D207</f>
        <v>0.89999999999999991</v>
      </c>
    </row>
    <row r="208" spans="1:10" x14ac:dyDescent="0.2">
      <c r="A208" s="15"/>
      <c r="B208" s="61"/>
      <c r="C208" s="15"/>
      <c r="D208" s="66"/>
      <c r="E208" s="66"/>
      <c r="F208" s="66"/>
      <c r="G208" s="222"/>
      <c r="H208" s="66"/>
      <c r="I208" s="64" t="s">
        <v>452</v>
      </c>
      <c r="J208" s="65">
        <f>SUM(J207:J207)</f>
        <v>0.89999999999999991</v>
      </c>
    </row>
    <row r="209" spans="1:10" x14ac:dyDescent="0.2">
      <c r="A209" s="15"/>
      <c r="B209" s="61"/>
      <c r="C209" s="15"/>
      <c r="D209" s="66"/>
      <c r="E209" s="66"/>
      <c r="F209" s="66"/>
      <c r="G209" s="222"/>
      <c r="H209" s="66"/>
      <c r="I209" s="108"/>
      <c r="J209" s="63"/>
    </row>
    <row r="210" spans="1:10" x14ac:dyDescent="0.2">
      <c r="A210" s="220">
        <f>'PLANILHA ORÇAMENTÁRIA'!A46</f>
        <v>5</v>
      </c>
      <c r="B210" s="7" t="str">
        <f>'PLANILHA ORÇAMENTÁRIA'!D46</f>
        <v>PAREDES E PAINÉIS</v>
      </c>
      <c r="C210" s="7"/>
      <c r="D210" s="7"/>
      <c r="E210" s="7"/>
      <c r="F210" s="7"/>
      <c r="G210" s="7"/>
      <c r="H210" s="7"/>
      <c r="I210" s="7"/>
      <c r="J210" s="7"/>
    </row>
    <row r="211" spans="1:10" x14ac:dyDescent="0.2">
      <c r="A211" s="17" t="str">
        <f>'PLANILHA ORÇAMENTÁRIA'!A47</f>
        <v>5.1</v>
      </c>
      <c r="B211" s="14" t="str">
        <f>'PLANILHA ORÇAMENTÁRIA'!D47</f>
        <v>VERGAS/CONTRAVERGA</v>
      </c>
      <c r="C211" s="15"/>
      <c r="D211" s="66"/>
      <c r="E211" s="66"/>
      <c r="F211" s="66"/>
      <c r="G211" s="222"/>
      <c r="H211" s="66"/>
      <c r="I211" s="108"/>
      <c r="J211" s="63"/>
    </row>
    <row r="212" spans="1:10" ht="25.5" x14ac:dyDescent="0.2">
      <c r="A212" s="15" t="str">
        <f>'PLANILHA ORÇAMENTÁRIA'!A48</f>
        <v>5.1.1</v>
      </c>
      <c r="B212" s="118" t="str">
        <f>'PLANILHA ORÇAMENTÁRIA'!D48</f>
        <v>Verga/contraverga reta de concreto armado 10 x 5 cm, Fck = 15 MPa, inclusive forma, armação e desforma</v>
      </c>
      <c r="C212" s="15" t="str">
        <f>'PLANILHA ORÇAMENTÁRIA'!E48</f>
        <v>m</v>
      </c>
      <c r="D212" s="66" t="s">
        <v>441</v>
      </c>
      <c r="E212" s="66" t="s">
        <v>442</v>
      </c>
      <c r="F212" s="66" t="s">
        <v>443</v>
      </c>
      <c r="G212" s="66" t="s">
        <v>444</v>
      </c>
      <c r="H212" s="66" t="s">
        <v>445</v>
      </c>
      <c r="I212" s="66" t="s">
        <v>446</v>
      </c>
      <c r="J212" s="67" t="s">
        <v>447</v>
      </c>
    </row>
    <row r="213" spans="1:10" x14ac:dyDescent="0.2">
      <c r="A213" s="15"/>
      <c r="B213" s="61" t="s">
        <v>499</v>
      </c>
      <c r="C213" s="15"/>
      <c r="D213" s="66">
        <v>1</v>
      </c>
      <c r="E213" s="66">
        <v>2.4500000000000002</v>
      </c>
      <c r="F213" s="66"/>
      <c r="G213" s="222"/>
      <c r="H213" s="66"/>
      <c r="I213" s="108"/>
      <c r="J213" s="62">
        <f>E213</f>
        <v>2.4500000000000002</v>
      </c>
    </row>
    <row r="214" spans="1:10" x14ac:dyDescent="0.2">
      <c r="A214" s="15"/>
      <c r="B214" s="61" t="s">
        <v>500</v>
      </c>
      <c r="C214" s="15"/>
      <c r="D214" s="66">
        <v>1</v>
      </c>
      <c r="E214" s="66">
        <v>2.75</v>
      </c>
      <c r="F214" s="66"/>
      <c r="G214" s="222"/>
      <c r="H214" s="66"/>
      <c r="I214" s="108"/>
      <c r="J214" s="62">
        <f>E214</f>
        <v>2.75</v>
      </c>
    </row>
    <row r="215" spans="1:10" ht="13.5" customHeight="1" x14ac:dyDescent="0.2">
      <c r="A215" s="15"/>
      <c r="B215" s="61"/>
      <c r="C215" s="15"/>
      <c r="D215" s="66"/>
      <c r="E215" s="66"/>
      <c r="F215" s="66"/>
      <c r="G215" s="222"/>
      <c r="H215" s="66"/>
      <c r="I215" s="64" t="s">
        <v>452</v>
      </c>
      <c r="J215" s="65">
        <f>SUM(J213:J214)</f>
        <v>5.2</v>
      </c>
    </row>
    <row r="216" spans="1:10" x14ac:dyDescent="0.2">
      <c r="A216" s="15"/>
      <c r="B216" s="61"/>
      <c r="C216" s="15"/>
      <c r="D216" s="66"/>
      <c r="E216" s="66"/>
      <c r="F216" s="66"/>
      <c r="G216" s="222"/>
      <c r="H216" s="66"/>
      <c r="I216" s="108"/>
      <c r="J216" s="63"/>
    </row>
    <row r="217" spans="1:10" ht="25.5" x14ac:dyDescent="0.2">
      <c r="A217" s="17" t="str">
        <f>'PLANILHA ORÇAMENTÁRIA'!A49</f>
        <v>5.2</v>
      </c>
      <c r="B217" s="14" t="str">
        <f>'PLANILHA ORÇAMENTÁRIA'!D49</f>
        <v>ALVENARIA DE VEDAÇÃO EMPREGANDO ARGAMASSA DE CIMENTO, CAL E AREIA</v>
      </c>
      <c r="C217" s="15"/>
      <c r="D217" s="66"/>
      <c r="E217" s="66"/>
      <c r="F217" s="66"/>
      <c r="G217" s="222"/>
      <c r="H217" s="66"/>
      <c r="I217" s="108"/>
      <c r="J217" s="63"/>
    </row>
    <row r="218" spans="1:10" ht="51" x14ac:dyDescent="0.2">
      <c r="A218" s="15" t="str">
        <f>'PLANILHA ORÇAMENTÁRIA'!A50</f>
        <v>5.2.1</v>
      </c>
      <c r="B218" s="118" t="str">
        <f>'PLANILHA ORÇAMENTÁRIA'!D50</f>
        <v>Alvenaria de blocos cerâmicos 10 furos 10x20x20cm, assentados c/argamassa de cimento, cal hidratada CH1 e areia traço 1:0,5:8, esp. das juntas 12mm e esp. das paredes s/revestimento, 10cm (bloco comprado na fábrica, posto obra)</v>
      </c>
      <c r="C218" s="15" t="str">
        <f>'PLANILHA ORÇAMENTÁRIA'!E50</f>
        <v>m2</v>
      </c>
      <c r="D218" s="66" t="s">
        <v>441</v>
      </c>
      <c r="E218" s="66" t="s">
        <v>442</v>
      </c>
      <c r="F218" s="66" t="s">
        <v>443</v>
      </c>
      <c r="G218" s="66" t="s">
        <v>444</v>
      </c>
      <c r="H218" s="66" t="s">
        <v>445</v>
      </c>
      <c r="I218" s="66" t="s">
        <v>446</v>
      </c>
      <c r="J218" s="67" t="s">
        <v>447</v>
      </c>
    </row>
    <row r="219" spans="1:10" x14ac:dyDescent="0.2">
      <c r="A219" s="15"/>
      <c r="B219" s="61" t="s">
        <v>501</v>
      </c>
      <c r="C219" s="15"/>
      <c r="D219" s="66"/>
      <c r="E219" s="66"/>
      <c r="F219" s="66"/>
      <c r="G219" s="222"/>
      <c r="H219" s="66">
        <f>(0.5*0.7)+(0.55*0.35)</f>
        <v>0.54249999999999998</v>
      </c>
      <c r="I219" s="108"/>
      <c r="J219" s="62">
        <f>H219</f>
        <v>0.54249999999999998</v>
      </c>
    </row>
    <row r="220" spans="1:10" x14ac:dyDescent="0.2">
      <c r="A220" s="15"/>
      <c r="B220" s="61"/>
      <c r="C220" s="15"/>
      <c r="D220" s="66"/>
      <c r="E220" s="66"/>
      <c r="F220" s="66"/>
      <c r="G220" s="222"/>
      <c r="H220" s="66"/>
      <c r="I220" s="64" t="s">
        <v>452</v>
      </c>
      <c r="J220" s="65">
        <f>SUM(J219:J219)</f>
        <v>0.54249999999999998</v>
      </c>
    </row>
    <row r="221" spans="1:10" x14ac:dyDescent="0.2">
      <c r="A221" s="15"/>
      <c r="B221" s="61"/>
      <c r="C221" s="15"/>
      <c r="D221" s="66"/>
      <c r="E221" s="66"/>
      <c r="F221" s="66"/>
      <c r="G221" s="222"/>
      <c r="H221" s="66"/>
      <c r="I221" s="108"/>
      <c r="J221" s="63"/>
    </row>
    <row r="222" spans="1:10" x14ac:dyDescent="0.2">
      <c r="A222" s="220">
        <f>'PLANILHA ORÇAMENTÁRIA'!A52</f>
        <v>6</v>
      </c>
      <c r="B222" s="7" t="str">
        <f>'PLANILHA ORÇAMENTÁRIA'!D52</f>
        <v>ESQUADRIAS DE MADEIRA</v>
      </c>
      <c r="C222" s="7"/>
      <c r="D222" s="7"/>
      <c r="E222" s="7"/>
      <c r="F222" s="7"/>
      <c r="G222" s="7"/>
      <c r="H222" s="7"/>
      <c r="I222" s="7"/>
      <c r="J222" s="7"/>
    </row>
    <row r="223" spans="1:10" x14ac:dyDescent="0.2">
      <c r="A223" s="17" t="str">
        <f>'PLANILHA ORÇAMENTÁRIA'!A53</f>
        <v>6.1</v>
      </c>
      <c r="B223" s="14" t="str">
        <f>'PLANILHA ORÇAMENTÁRIA'!D53</f>
        <v>MARCOS E ALIZARES</v>
      </c>
      <c r="C223" s="15"/>
      <c r="D223" s="66"/>
      <c r="E223" s="66"/>
      <c r="F223" s="66"/>
      <c r="G223" s="222"/>
      <c r="H223" s="66"/>
      <c r="I223" s="108"/>
      <c r="J223" s="63"/>
    </row>
    <row r="224" spans="1:10" ht="25.5" x14ac:dyDescent="0.2">
      <c r="A224" s="15" t="str">
        <f>'PLANILHA ORÇAMENTÁRIA'!A54</f>
        <v>6.1.1</v>
      </c>
      <c r="B224" s="118" t="str">
        <f>'PLANILHA ORÇAMENTÁRIA'!D54</f>
        <v>Marco de madeira de lei de 1ª (Peroba, Ipê, Angelim Pedra ou equivalente) com 15x3 cm de batente, nas dimensões de 0.60 x 2.10 m</v>
      </c>
      <c r="C224" s="15" t="str">
        <f>'PLANILHA ORÇAMENTÁRIA'!E54</f>
        <v>und</v>
      </c>
      <c r="D224" s="66" t="s">
        <v>441</v>
      </c>
      <c r="E224" s="66" t="s">
        <v>442</v>
      </c>
      <c r="F224" s="66" t="s">
        <v>443</v>
      </c>
      <c r="G224" s="66" t="s">
        <v>444</v>
      </c>
      <c r="H224" s="66" t="s">
        <v>445</v>
      </c>
      <c r="I224" s="66" t="s">
        <v>446</v>
      </c>
      <c r="J224" s="67" t="s">
        <v>447</v>
      </c>
    </row>
    <row r="225" spans="1:10" x14ac:dyDescent="0.2">
      <c r="A225" s="15"/>
      <c r="B225" s="61" t="s">
        <v>502</v>
      </c>
      <c r="C225" s="15"/>
      <c r="D225" s="66">
        <v>1</v>
      </c>
      <c r="E225" s="66"/>
      <c r="F225" s="66"/>
      <c r="G225" s="222"/>
      <c r="H225" s="66"/>
      <c r="I225" s="108"/>
      <c r="J225" s="62">
        <f>D225</f>
        <v>1</v>
      </c>
    </row>
    <row r="226" spans="1:10" x14ac:dyDescent="0.2">
      <c r="A226" s="15"/>
      <c r="B226" s="61"/>
      <c r="C226" s="15"/>
      <c r="D226" s="66"/>
      <c r="E226" s="66"/>
      <c r="F226" s="66"/>
      <c r="G226" s="222"/>
      <c r="H226" s="66"/>
      <c r="I226" s="64" t="s">
        <v>452</v>
      </c>
      <c r="J226" s="65">
        <f>SUM(J225:J225)</f>
        <v>1</v>
      </c>
    </row>
    <row r="227" spans="1:10" x14ac:dyDescent="0.2">
      <c r="A227" s="17"/>
      <c r="B227" s="14"/>
      <c r="C227" s="15"/>
      <c r="D227" s="66"/>
      <c r="E227" s="66"/>
      <c r="F227" s="66"/>
      <c r="G227" s="222"/>
      <c r="H227" s="66"/>
      <c r="I227" s="108"/>
      <c r="J227" s="63"/>
    </row>
    <row r="228" spans="1:10" ht="25.5" x14ac:dyDescent="0.2">
      <c r="A228" s="15" t="str">
        <f>'PLANILHA ORÇAMENTÁRIA'!A55</f>
        <v>6.1.2</v>
      </c>
      <c r="B228" s="118" t="str">
        <f>'PLANILHA ORÇAMENTÁRIA'!D55</f>
        <v>Marco de madeira de lei de 1ª (Peroba, Ipê, Angelim Pedra ou equivalente) com 15x3 cm de batente, nas dimensões de 0.70 x 2.10 m</v>
      </c>
      <c r="C228" s="15" t="str">
        <f>'PLANILHA ORÇAMENTÁRIA'!E55</f>
        <v>und</v>
      </c>
      <c r="D228" s="66" t="s">
        <v>441</v>
      </c>
      <c r="E228" s="66" t="s">
        <v>442</v>
      </c>
      <c r="F228" s="66" t="s">
        <v>443</v>
      </c>
      <c r="G228" s="66" t="s">
        <v>444</v>
      </c>
      <c r="H228" s="66" t="s">
        <v>445</v>
      </c>
      <c r="I228" s="66" t="s">
        <v>446</v>
      </c>
      <c r="J228" s="67" t="s">
        <v>447</v>
      </c>
    </row>
    <row r="229" spans="1:10" x14ac:dyDescent="0.2">
      <c r="A229" s="15"/>
      <c r="B229" s="61" t="s">
        <v>503</v>
      </c>
      <c r="C229" s="15"/>
      <c r="D229" s="66">
        <v>1</v>
      </c>
      <c r="E229" s="66"/>
      <c r="F229" s="66"/>
      <c r="G229" s="222"/>
      <c r="H229" s="66"/>
      <c r="I229" s="108"/>
      <c r="J229" s="62">
        <f>D229</f>
        <v>1</v>
      </c>
    </row>
    <row r="230" spans="1:10" x14ac:dyDescent="0.2">
      <c r="A230" s="15"/>
      <c r="B230" s="61" t="s">
        <v>504</v>
      </c>
      <c r="C230" s="15"/>
      <c r="D230" s="66">
        <v>1</v>
      </c>
      <c r="E230" s="66"/>
      <c r="F230" s="66"/>
      <c r="G230" s="222"/>
      <c r="H230" s="66"/>
      <c r="I230" s="108"/>
      <c r="J230" s="62">
        <f>D230</f>
        <v>1</v>
      </c>
    </row>
    <row r="231" spans="1:10" x14ac:dyDescent="0.2">
      <c r="A231" s="15"/>
      <c r="B231" s="61" t="s">
        <v>505</v>
      </c>
      <c r="C231" s="15"/>
      <c r="D231" s="66">
        <v>1</v>
      </c>
      <c r="E231" s="66"/>
      <c r="F231" s="66"/>
      <c r="G231" s="222"/>
      <c r="H231" s="66"/>
      <c r="I231" s="108"/>
      <c r="J231" s="62">
        <f>D231</f>
        <v>1</v>
      </c>
    </row>
    <row r="232" spans="1:10" ht="13.5" customHeight="1" x14ac:dyDescent="0.2">
      <c r="A232" s="15"/>
      <c r="B232" s="61"/>
      <c r="C232" s="15"/>
      <c r="D232" s="66"/>
      <c r="E232" s="66"/>
      <c r="F232" s="66"/>
      <c r="G232" s="222"/>
      <c r="H232" s="66"/>
      <c r="I232" s="64" t="s">
        <v>452</v>
      </c>
      <c r="J232" s="65">
        <f>SUM(J229:J231)</f>
        <v>3</v>
      </c>
    </row>
    <row r="233" spans="1:10" x14ac:dyDescent="0.2">
      <c r="A233" s="15"/>
      <c r="B233" s="61"/>
      <c r="C233" s="15"/>
      <c r="D233" s="66"/>
      <c r="E233" s="66"/>
      <c r="F233" s="66"/>
      <c r="G233" s="222"/>
      <c r="H233" s="66"/>
      <c r="I233" s="108"/>
      <c r="J233" s="63"/>
    </row>
    <row r="234" spans="1:10" ht="25.5" x14ac:dyDescent="0.2">
      <c r="A234" s="15" t="str">
        <f>'PLANILHA ORÇAMENTÁRIA'!A56</f>
        <v>6.1.3</v>
      </c>
      <c r="B234" s="118" t="str">
        <f>'PLANILHA ORÇAMENTÁRIA'!D56</f>
        <v>Marco de madeira de lei de 1ª (Peroba, Ipê, Angelim Pedra ou equivalente) com 15x3 cm de batente, nas dimensões de 0.80 x 2.10 m</v>
      </c>
      <c r="C234" s="15" t="str">
        <f>'PLANILHA ORÇAMENTÁRIA'!E56</f>
        <v>und</v>
      </c>
      <c r="D234" s="66" t="s">
        <v>441</v>
      </c>
      <c r="E234" s="66" t="s">
        <v>442</v>
      </c>
      <c r="F234" s="66" t="s">
        <v>443</v>
      </c>
      <c r="G234" s="66" t="s">
        <v>444</v>
      </c>
      <c r="H234" s="66" t="s">
        <v>445</v>
      </c>
      <c r="I234" s="66" t="s">
        <v>446</v>
      </c>
      <c r="J234" s="67" t="s">
        <v>447</v>
      </c>
    </row>
    <row r="235" spans="1:10" x14ac:dyDescent="0.2">
      <c r="A235" s="15"/>
      <c r="B235" s="61" t="s">
        <v>506</v>
      </c>
      <c r="C235" s="15"/>
      <c r="D235" s="66">
        <v>1</v>
      </c>
      <c r="E235" s="66"/>
      <c r="F235" s="66"/>
      <c r="G235" s="222"/>
      <c r="H235" s="66"/>
      <c r="I235" s="108"/>
      <c r="J235" s="62">
        <f>D235</f>
        <v>1</v>
      </c>
    </row>
    <row r="236" spans="1:10" ht="13.5" customHeight="1" x14ac:dyDescent="0.2">
      <c r="A236" s="15"/>
      <c r="B236" s="61"/>
      <c r="C236" s="15"/>
      <c r="D236" s="66"/>
      <c r="E236" s="66"/>
      <c r="F236" s="66"/>
      <c r="G236" s="222"/>
      <c r="H236" s="66"/>
      <c r="I236" s="64" t="s">
        <v>452</v>
      </c>
      <c r="J236" s="65">
        <f>SUM(J235:J235)</f>
        <v>1</v>
      </c>
    </row>
    <row r="237" spans="1:10" ht="13.5" customHeight="1" x14ac:dyDescent="0.2">
      <c r="A237" s="15"/>
      <c r="B237" s="61"/>
      <c r="C237" s="15"/>
      <c r="D237" s="66"/>
      <c r="E237" s="66"/>
      <c r="F237" s="66"/>
      <c r="G237" s="222"/>
      <c r="H237" s="66"/>
      <c r="I237" s="108"/>
      <c r="J237" s="63"/>
    </row>
    <row r="238" spans="1:10" ht="51" x14ac:dyDescent="0.2">
      <c r="A238" s="17" t="str">
        <f>'PLANILHA ORÇAMENTÁRIA'!A57</f>
        <v>6.2</v>
      </c>
      <c r="B238" s="14" t="str">
        <f>'PLANILHA ORÇAMENTÁRIA'!D57</f>
        <v>PORTA EM MADEIRA DE LEI TIPO ANGELIM PEDRA OU EQUIV.C/ENCHIMENTO EM MADEIRA 1A.QUALIDADE ESP. 30MM P/ PINTURA, INCLUSIVE ALIZARES, DOBRADIÇAS E FECHADURA EXTERNA, EXCLUSIVE MARCO</v>
      </c>
      <c r="C238" s="15"/>
      <c r="D238" s="66"/>
      <c r="E238" s="66"/>
      <c r="F238" s="66"/>
      <c r="G238" s="222"/>
      <c r="H238" s="66"/>
      <c r="I238" s="108"/>
      <c r="J238" s="63"/>
    </row>
    <row r="239" spans="1:10" ht="51" x14ac:dyDescent="0.2">
      <c r="A239" s="15" t="str">
        <f>'PLANILHA ORÇAMENTÁRIA'!A58</f>
        <v>6.2.1</v>
      </c>
      <c r="B239" s="118" t="str">
        <f>'PLANILHA ORÇAMENTÁRIA'!D58</f>
        <v>Porta em madeira de lei tipo angelim pedra ou equiv.c/enchimento em madeira 1a.qualidade esp. 30mm p/ pintura, inclusive alizares, dobradiças e fechadura externa em latão cromado LaFonte ou equiv., exclusive marco, nas dim.:0.60 x 2.10 m</v>
      </c>
      <c r="C239" s="15" t="str">
        <f>'PLANILHA ORÇAMENTÁRIA'!E58</f>
        <v xml:space="preserve">und </v>
      </c>
      <c r="D239" s="66" t="s">
        <v>441</v>
      </c>
      <c r="E239" s="66" t="s">
        <v>442</v>
      </c>
      <c r="F239" s="66" t="s">
        <v>443</v>
      </c>
      <c r="G239" s="66" t="s">
        <v>444</v>
      </c>
      <c r="H239" s="66" t="s">
        <v>445</v>
      </c>
      <c r="I239" s="66" t="s">
        <v>446</v>
      </c>
      <c r="J239" s="67" t="s">
        <v>447</v>
      </c>
    </row>
    <row r="240" spans="1:10" x14ac:dyDescent="0.2">
      <c r="A240" s="17"/>
      <c r="B240" s="61" t="s">
        <v>502</v>
      </c>
      <c r="C240" s="15"/>
      <c r="D240" s="66">
        <v>1</v>
      </c>
      <c r="E240" s="66"/>
      <c r="F240" s="66"/>
      <c r="G240" s="222"/>
      <c r="H240" s="66"/>
      <c r="I240" s="108"/>
      <c r="J240" s="62">
        <f>D240</f>
        <v>1</v>
      </c>
    </row>
    <row r="241" spans="1:10" x14ac:dyDescent="0.2">
      <c r="A241" s="17"/>
      <c r="B241" s="14"/>
      <c r="C241" s="15"/>
      <c r="D241" s="66"/>
      <c r="E241" s="66"/>
      <c r="F241" s="66"/>
      <c r="G241" s="222"/>
      <c r="H241" s="66"/>
      <c r="I241" s="64" t="s">
        <v>452</v>
      </c>
      <c r="J241" s="65">
        <f>SUM(J240)</f>
        <v>1</v>
      </c>
    </row>
    <row r="242" spans="1:10" x14ac:dyDescent="0.2">
      <c r="A242" s="17"/>
      <c r="B242" s="14"/>
      <c r="C242" s="15"/>
      <c r="D242" s="66"/>
      <c r="E242" s="66"/>
      <c r="F242" s="66"/>
      <c r="G242" s="222"/>
      <c r="H242" s="66"/>
      <c r="I242" s="108"/>
      <c r="J242" s="63"/>
    </row>
    <row r="243" spans="1:10" ht="51" x14ac:dyDescent="0.2">
      <c r="A243" s="15" t="str">
        <f>'PLANILHA ORÇAMENTÁRIA'!A59</f>
        <v>6.2.2</v>
      </c>
      <c r="B243" s="118" t="str">
        <f>'PLANILHA ORÇAMENTÁRIA'!D59</f>
        <v>Porta em madeira de lei tipo angelim pedra ou equiv.c/enchimento em madeira 1a.qualidade esp. 30mm p/ pintura, inclusive alizares, dobradiças e fechadura externa em latão cromado LaFonte ou equiv., exclusive marco, nas dim.: 0.70 x 2.10 m</v>
      </c>
      <c r="C243" s="15" t="str">
        <f>'PLANILHA ORÇAMENTÁRIA'!E59</f>
        <v>und</v>
      </c>
      <c r="D243" s="66" t="s">
        <v>441</v>
      </c>
      <c r="E243" s="66" t="s">
        <v>442</v>
      </c>
      <c r="F243" s="66" t="s">
        <v>443</v>
      </c>
      <c r="G243" s="66" t="s">
        <v>444</v>
      </c>
      <c r="H243" s="66" t="s">
        <v>445</v>
      </c>
      <c r="I243" s="66" t="s">
        <v>446</v>
      </c>
      <c r="J243" s="67" t="s">
        <v>447</v>
      </c>
    </row>
    <row r="244" spans="1:10" x14ac:dyDescent="0.2">
      <c r="A244" s="15"/>
      <c r="B244" s="61" t="s">
        <v>503</v>
      </c>
      <c r="C244" s="15"/>
      <c r="D244" s="66">
        <v>1</v>
      </c>
      <c r="E244" s="66"/>
      <c r="F244" s="66"/>
      <c r="G244" s="222"/>
      <c r="H244" s="66"/>
      <c r="I244" s="108"/>
      <c r="J244" s="62">
        <f>D244</f>
        <v>1</v>
      </c>
    </row>
    <row r="245" spans="1:10" x14ac:dyDescent="0.2">
      <c r="A245" s="15"/>
      <c r="B245" s="61" t="s">
        <v>504</v>
      </c>
      <c r="C245" s="15"/>
      <c r="D245" s="66">
        <v>1</v>
      </c>
      <c r="E245" s="66"/>
      <c r="F245" s="66"/>
      <c r="G245" s="222"/>
      <c r="H245" s="66"/>
      <c r="I245" s="108"/>
      <c r="J245" s="62">
        <f>D245</f>
        <v>1</v>
      </c>
    </row>
    <row r="246" spans="1:10" x14ac:dyDescent="0.2">
      <c r="A246" s="15"/>
      <c r="B246" s="61" t="s">
        <v>505</v>
      </c>
      <c r="C246" s="15"/>
      <c r="D246" s="66">
        <v>1</v>
      </c>
      <c r="E246" s="66"/>
      <c r="F246" s="66"/>
      <c r="G246" s="222"/>
      <c r="H246" s="66"/>
      <c r="I246" s="108"/>
      <c r="J246" s="62">
        <f>D246</f>
        <v>1</v>
      </c>
    </row>
    <row r="247" spans="1:10" ht="13.5" customHeight="1" x14ac:dyDescent="0.2">
      <c r="A247" s="15"/>
      <c r="B247" s="61"/>
      <c r="C247" s="15"/>
      <c r="D247" s="66"/>
      <c r="E247" s="66"/>
      <c r="F247" s="66"/>
      <c r="G247" s="222"/>
      <c r="H247" s="66"/>
      <c r="I247" s="64" t="s">
        <v>452</v>
      </c>
      <c r="J247" s="65">
        <f>SUM(J244:J246)</f>
        <v>3</v>
      </c>
    </row>
    <row r="248" spans="1:10" x14ac:dyDescent="0.2">
      <c r="A248" s="15"/>
      <c r="B248" s="61"/>
      <c r="C248" s="15"/>
      <c r="D248" s="66"/>
      <c r="E248" s="66"/>
      <c r="F248" s="66"/>
      <c r="G248" s="222"/>
      <c r="H248" s="66"/>
      <c r="I248" s="108"/>
      <c r="J248" s="63"/>
    </row>
    <row r="249" spans="1:10" ht="51" x14ac:dyDescent="0.2">
      <c r="A249" s="15" t="str">
        <f>'PLANILHA ORÇAMENTÁRIA'!A60</f>
        <v>6.2.3</v>
      </c>
      <c r="B249" s="118" t="str">
        <f>'PLANILHA ORÇAMENTÁRIA'!D60</f>
        <v>Porta em madeira de lei tipo angelim pedra ou equiv.c/enchimento em madeira 1a.qualidade esp. 30mm p/ pintura, inclusive alizares, dobradiças e fechadura externa em latão cromado LaFonte ou equiv., exclusive marco, nas dim.: 0.80 x 2.10 m</v>
      </c>
      <c r="C249" s="15" t="str">
        <f>'PLANILHA ORÇAMENTÁRIA'!E60</f>
        <v>und</v>
      </c>
      <c r="D249" s="66" t="s">
        <v>441</v>
      </c>
      <c r="E249" s="66" t="s">
        <v>442</v>
      </c>
      <c r="F249" s="66" t="s">
        <v>443</v>
      </c>
      <c r="G249" s="66" t="s">
        <v>444</v>
      </c>
      <c r="H249" s="66" t="s">
        <v>445</v>
      </c>
      <c r="I249" s="66" t="s">
        <v>446</v>
      </c>
      <c r="J249" s="67" t="s">
        <v>447</v>
      </c>
    </row>
    <row r="250" spans="1:10" x14ac:dyDescent="0.2">
      <c r="A250" s="15"/>
      <c r="B250" s="61" t="s">
        <v>506</v>
      </c>
      <c r="C250" s="15"/>
      <c r="D250" s="66">
        <v>1</v>
      </c>
      <c r="E250" s="66"/>
      <c r="F250" s="66"/>
      <c r="G250" s="222"/>
      <c r="H250" s="66"/>
      <c r="I250" s="108"/>
      <c r="J250" s="62">
        <f>D250</f>
        <v>1</v>
      </c>
    </row>
    <row r="251" spans="1:10" ht="13.5" customHeight="1" x14ac:dyDescent="0.2">
      <c r="A251" s="15"/>
      <c r="B251" s="61"/>
      <c r="C251" s="15"/>
      <c r="D251" s="66"/>
      <c r="E251" s="66"/>
      <c r="F251" s="66"/>
      <c r="G251" s="222"/>
      <c r="H251" s="66"/>
      <c r="I251" s="64" t="s">
        <v>452</v>
      </c>
      <c r="J251" s="65">
        <f>SUM(J250:J250)</f>
        <v>1</v>
      </c>
    </row>
    <row r="252" spans="1:10" ht="13.5" customHeight="1" x14ac:dyDescent="0.2">
      <c r="A252" s="15"/>
      <c r="B252" s="61"/>
      <c r="C252" s="15"/>
      <c r="D252" s="66"/>
      <c r="E252" s="66"/>
      <c r="F252" s="66"/>
      <c r="G252" s="222"/>
      <c r="H252" s="66"/>
      <c r="I252" s="108"/>
      <c r="J252" s="63"/>
    </row>
    <row r="253" spans="1:10" x14ac:dyDescent="0.2">
      <c r="A253" s="220">
        <f>'PLANILHA ORÇAMENTÁRIA'!A62</f>
        <v>7</v>
      </c>
      <c r="B253" s="7" t="str">
        <f>'PLANILHA ORÇAMENTÁRIA'!D62</f>
        <v>ESQUADRIAS METÁLICAS</v>
      </c>
      <c r="C253" s="7"/>
      <c r="D253" s="7"/>
      <c r="E253" s="7"/>
      <c r="F253" s="7"/>
      <c r="G253" s="7"/>
      <c r="H253" s="7"/>
      <c r="I253" s="7"/>
      <c r="J253" s="7"/>
    </row>
    <row r="254" spans="1:10" x14ac:dyDescent="0.2">
      <c r="A254" s="17" t="str">
        <f>'PLANILHA ORÇAMENTÁRIA'!A63</f>
        <v>7.1</v>
      </c>
      <c r="B254" s="254" t="str">
        <f>'PLANILHA ORÇAMENTÁRIA'!D63</f>
        <v>GRADES E PORTÕES</v>
      </c>
      <c r="C254" s="252"/>
      <c r="D254" s="255"/>
      <c r="E254" s="255"/>
      <c r="F254" s="255"/>
      <c r="G254" s="303"/>
      <c r="H254" s="311"/>
      <c r="I254" s="264"/>
      <c r="J254" s="279"/>
    </row>
    <row r="255" spans="1:10" ht="25.5" x14ac:dyDescent="0.2">
      <c r="A255" s="252" t="str">
        <f>'PLANILHA ORÇAMENTÁRIA'!A64</f>
        <v>7.1.1</v>
      </c>
      <c r="B255" s="286" t="str">
        <f>'PLANILHA ORÇAMENTÁRIA'!D64</f>
        <v xml:space="preserve">Grade de ferro em barra chata, inclusive chumbamento </v>
      </c>
      <c r="C255" s="252"/>
      <c r="D255" s="255" t="s">
        <v>441</v>
      </c>
      <c r="E255" s="255" t="s">
        <v>442</v>
      </c>
      <c r="F255" s="255" t="s">
        <v>443</v>
      </c>
      <c r="G255" s="315" t="s">
        <v>444</v>
      </c>
      <c r="H255" s="315" t="s">
        <v>445</v>
      </c>
      <c r="I255" s="315" t="s">
        <v>446</v>
      </c>
      <c r="J255" s="316" t="s">
        <v>447</v>
      </c>
    </row>
    <row r="256" spans="1:10" x14ac:dyDescent="0.2">
      <c r="A256" s="312"/>
      <c r="B256" s="304" t="s">
        <v>507</v>
      </c>
      <c r="C256" s="252"/>
      <c r="D256" s="255"/>
      <c r="E256" s="255"/>
      <c r="F256" s="255"/>
      <c r="G256" s="255"/>
      <c r="H256" s="255"/>
      <c r="I256" s="314"/>
      <c r="J256" s="318"/>
    </row>
    <row r="257" spans="1:12" x14ac:dyDescent="0.2">
      <c r="A257" s="312"/>
      <c r="B257" s="183" t="s">
        <v>508</v>
      </c>
      <c r="C257" s="252"/>
      <c r="D257" s="255"/>
      <c r="E257" s="255">
        <v>2.1</v>
      </c>
      <c r="F257" s="255"/>
      <c r="G257" s="255">
        <v>0.83</v>
      </c>
      <c r="H257" s="255">
        <f>E257*G257</f>
        <v>1.7429999999999999</v>
      </c>
      <c r="I257" s="314"/>
      <c r="J257" s="318">
        <f>H257</f>
        <v>1.7429999999999999</v>
      </c>
    </row>
    <row r="258" spans="1:12" x14ac:dyDescent="0.2">
      <c r="A258" s="312"/>
      <c r="B258" s="304" t="s">
        <v>509</v>
      </c>
      <c r="C258" s="252"/>
      <c r="D258" s="255"/>
      <c r="E258" s="255"/>
      <c r="F258" s="255"/>
      <c r="G258" s="255"/>
      <c r="H258" s="255"/>
      <c r="I258" s="314"/>
      <c r="J258" s="318"/>
    </row>
    <row r="259" spans="1:12" x14ac:dyDescent="0.2">
      <c r="A259" s="312"/>
      <c r="B259" s="183" t="s">
        <v>510</v>
      </c>
      <c r="C259" s="252"/>
      <c r="D259" s="255">
        <v>4</v>
      </c>
      <c r="E259" s="255">
        <v>1.2</v>
      </c>
      <c r="F259" s="255"/>
      <c r="G259" s="255">
        <v>1</v>
      </c>
      <c r="H259" s="255">
        <f>D259*E259*G259</f>
        <v>4.8</v>
      </c>
      <c r="I259" s="314"/>
      <c r="J259" s="324">
        <f>H259</f>
        <v>4.8</v>
      </c>
    </row>
    <row r="260" spans="1:12" x14ac:dyDescent="0.2">
      <c r="A260" s="312"/>
      <c r="B260" s="323"/>
      <c r="C260" s="323"/>
      <c r="D260" s="323"/>
      <c r="E260" s="323"/>
      <c r="F260" s="322"/>
      <c r="G260" s="321"/>
      <c r="H260" s="321"/>
      <c r="I260" s="310" t="s">
        <v>452</v>
      </c>
      <c r="J260" s="309">
        <f>SUM(J256:J259)</f>
        <v>6.5429999999999993</v>
      </c>
    </row>
    <row r="261" spans="1:12" x14ac:dyDescent="0.2">
      <c r="A261" s="312"/>
      <c r="B261" s="323"/>
      <c r="C261" s="323"/>
      <c r="D261" s="323"/>
      <c r="E261" s="323"/>
      <c r="F261" s="322"/>
      <c r="G261" s="321"/>
      <c r="H261" s="321"/>
      <c r="I261" s="314"/>
      <c r="J261" s="314"/>
    </row>
    <row r="262" spans="1:12" ht="20.25" customHeight="1" x14ac:dyDescent="0.2">
      <c r="A262" s="17" t="str">
        <f>'PLANILHA ORÇAMENTÁRIA'!A65</f>
        <v>7.2</v>
      </c>
      <c r="B262" s="254" t="str">
        <f>'PLANILHA ORÇAMENTÁRIA'!D65</f>
        <v>ESQUADRIAS METÁLICAS (M2)</v>
      </c>
      <c r="C262" s="252"/>
      <c r="D262" s="255"/>
      <c r="E262" s="255"/>
      <c r="F262" s="255"/>
      <c r="G262" s="320"/>
      <c r="H262" s="319"/>
      <c r="I262" s="227"/>
      <c r="J262" s="317"/>
    </row>
    <row r="263" spans="1:12" ht="38.25" customHeight="1" x14ac:dyDescent="0.2">
      <c r="A263" s="15" t="str">
        <f>'PLANILHA ORÇAMENTÁRIA'!A66</f>
        <v>7.2.1</v>
      </c>
      <c r="B263" s="118" t="str">
        <f>'PLANILHA ORÇAMENTÁRIA'!D66</f>
        <v>Janela de correr para vidro em alumínio anodizado cor natural, linha 25, completa, incl. puxador com tranca, alizar, caixilho e contramarco, exclusive vidro</v>
      </c>
      <c r="C263" s="15" t="str">
        <f>'PLANILHA ORÇAMENTÁRIA'!E66</f>
        <v>m2</v>
      </c>
      <c r="D263" s="66" t="s">
        <v>441</v>
      </c>
      <c r="E263" s="66" t="s">
        <v>442</v>
      </c>
      <c r="F263" s="66" t="s">
        <v>443</v>
      </c>
      <c r="G263" s="66" t="s">
        <v>444</v>
      </c>
      <c r="H263" s="66" t="s">
        <v>445</v>
      </c>
      <c r="I263" s="66" t="s">
        <v>446</v>
      </c>
      <c r="J263" s="67" t="s">
        <v>447</v>
      </c>
    </row>
    <row r="264" spans="1:12" x14ac:dyDescent="0.2">
      <c r="A264" s="15"/>
      <c r="B264" s="61" t="s">
        <v>464</v>
      </c>
      <c r="C264" s="15"/>
      <c r="D264" s="66"/>
      <c r="E264" s="66"/>
      <c r="F264" s="66">
        <v>1.45</v>
      </c>
      <c r="G264" s="222">
        <v>1.1599999999999999</v>
      </c>
      <c r="H264" s="212">
        <f>F264*G264</f>
        <v>1.6819999999999999</v>
      </c>
      <c r="I264" s="186"/>
      <c r="J264" s="199">
        <f>H264</f>
        <v>1.6819999999999999</v>
      </c>
    </row>
    <row r="265" spans="1:12" x14ac:dyDescent="0.2">
      <c r="A265" s="15"/>
      <c r="B265" s="61"/>
      <c r="C265" s="15"/>
      <c r="D265" s="66"/>
      <c r="E265" s="66"/>
      <c r="F265" s="66"/>
      <c r="G265" s="222"/>
      <c r="H265" s="212"/>
      <c r="I265" s="223" t="s">
        <v>452</v>
      </c>
      <c r="J265" s="224">
        <f>SUM(J264:J264)</f>
        <v>1.6819999999999999</v>
      </c>
    </row>
    <row r="266" spans="1:12" x14ac:dyDescent="0.2">
      <c r="A266" s="15"/>
      <c r="B266" s="61"/>
      <c r="C266" s="15"/>
      <c r="D266" s="66"/>
      <c r="E266" s="66"/>
      <c r="F266" s="66"/>
      <c r="G266" s="222"/>
      <c r="H266" s="212"/>
      <c r="I266" s="186"/>
      <c r="J266" s="199"/>
    </row>
    <row r="267" spans="1:12" ht="25.5" x14ac:dyDescent="0.2">
      <c r="A267" s="15" t="str">
        <f>'PLANILHA ORÇAMENTÁRIA'!A67</f>
        <v>7.2.2</v>
      </c>
      <c r="B267" s="118" t="str">
        <f>'PLANILHA ORÇAMENTÁRIA'!D67</f>
        <v>Báscula para vidro em alumínio anodizado cor natural, linha 25, completa, com tranca, caixilho, alizar e contramarco, exclusive vidro</v>
      </c>
      <c r="C267" s="15" t="str">
        <f>'PLANILHA ORÇAMENTÁRIA'!E67</f>
        <v>m2</v>
      </c>
      <c r="D267" s="66" t="s">
        <v>441</v>
      </c>
      <c r="E267" s="66" t="s">
        <v>442</v>
      </c>
      <c r="F267" s="66" t="s">
        <v>443</v>
      </c>
      <c r="G267" s="66" t="s">
        <v>444</v>
      </c>
      <c r="H267" s="66" t="s">
        <v>445</v>
      </c>
      <c r="I267" s="66" t="s">
        <v>446</v>
      </c>
      <c r="J267" s="67" t="s">
        <v>447</v>
      </c>
    </row>
    <row r="268" spans="1:12" x14ac:dyDescent="0.2">
      <c r="A268" s="15"/>
      <c r="B268" s="61" t="s">
        <v>467</v>
      </c>
      <c r="C268" s="15"/>
      <c r="D268" s="66"/>
      <c r="E268" s="66"/>
      <c r="F268" s="66">
        <v>1.94</v>
      </c>
      <c r="G268" s="66">
        <v>0.44</v>
      </c>
      <c r="H268" s="66">
        <f>F268*G268</f>
        <v>0.85360000000000003</v>
      </c>
      <c r="I268" s="66"/>
      <c r="J268" s="67">
        <f>H268</f>
        <v>0.85360000000000003</v>
      </c>
    </row>
    <row r="269" spans="1:12" x14ac:dyDescent="0.2">
      <c r="A269" s="15"/>
      <c r="B269" s="61" t="s">
        <v>464</v>
      </c>
      <c r="C269" s="15"/>
      <c r="D269" s="66"/>
      <c r="E269" s="66"/>
      <c r="F269" s="66">
        <v>1.7</v>
      </c>
      <c r="G269" s="66">
        <v>0.43</v>
      </c>
      <c r="H269" s="66">
        <f>F269*G269</f>
        <v>0.73099999999999998</v>
      </c>
      <c r="I269" s="24"/>
      <c r="J269" s="67">
        <f t="shared" ref="J269:J271" si="7">H269</f>
        <v>0.73099999999999998</v>
      </c>
    </row>
    <row r="270" spans="1:12" x14ac:dyDescent="0.2">
      <c r="A270" s="468"/>
      <c r="B270" s="470" t="s">
        <v>466</v>
      </c>
      <c r="C270" s="15"/>
      <c r="D270" s="66"/>
      <c r="E270" s="66"/>
      <c r="F270" s="66">
        <v>0.6</v>
      </c>
      <c r="G270" s="225">
        <v>0.4</v>
      </c>
      <c r="H270" s="66">
        <f t="shared" ref="H270:H271" si="8">F270*G270</f>
        <v>0.24</v>
      </c>
      <c r="I270" s="227"/>
      <c r="J270" s="67">
        <f t="shared" si="7"/>
        <v>0.24</v>
      </c>
    </row>
    <row r="271" spans="1:12" x14ac:dyDescent="0.2">
      <c r="A271" s="469"/>
      <c r="B271" s="471"/>
      <c r="C271" s="15"/>
      <c r="D271" s="66"/>
      <c r="E271" s="66"/>
      <c r="F271" s="66">
        <v>0.75</v>
      </c>
      <c r="G271" s="225">
        <v>0.55000000000000004</v>
      </c>
      <c r="H271" s="66">
        <f t="shared" si="8"/>
        <v>0.41250000000000003</v>
      </c>
      <c r="I271" s="227"/>
      <c r="J271" s="67">
        <f t="shared" si="7"/>
        <v>0.41250000000000003</v>
      </c>
      <c r="L271" s="214"/>
    </row>
    <row r="272" spans="1:12" x14ac:dyDescent="0.2">
      <c r="A272" s="15"/>
      <c r="B272" s="376" t="s">
        <v>511</v>
      </c>
      <c r="C272" s="15"/>
      <c r="D272" s="66">
        <v>2</v>
      </c>
      <c r="E272" s="66"/>
      <c r="F272" s="66">
        <v>0.8</v>
      </c>
      <c r="G272" s="222">
        <v>0.6</v>
      </c>
      <c r="H272" s="66">
        <f>F272*G272*D272</f>
        <v>0.96</v>
      </c>
      <c r="I272" s="201"/>
      <c r="J272" s="206">
        <f>H272*D272</f>
        <v>1.92</v>
      </c>
    </row>
    <row r="273" spans="1:11" x14ac:dyDescent="0.2">
      <c r="A273" s="15"/>
      <c r="B273" s="61" t="s">
        <v>512</v>
      </c>
      <c r="C273" s="15"/>
      <c r="D273" s="66">
        <v>2</v>
      </c>
      <c r="E273" s="66"/>
      <c r="F273" s="66">
        <v>0.8</v>
      </c>
      <c r="G273" s="222">
        <v>0.6</v>
      </c>
      <c r="H273" s="66">
        <f>F273*G273*D273</f>
        <v>0.96</v>
      </c>
      <c r="I273" s="24"/>
      <c r="J273" s="206">
        <f>H273*D273</f>
        <v>1.92</v>
      </c>
    </row>
    <row r="274" spans="1:11" x14ac:dyDescent="0.2">
      <c r="A274" s="205"/>
      <c r="B274" s="302"/>
      <c r="C274" s="205"/>
      <c r="D274" s="194"/>
      <c r="E274" s="194"/>
      <c r="F274" s="194"/>
      <c r="G274" s="194"/>
      <c r="H274" s="231"/>
      <c r="I274" s="223" t="s">
        <v>452</v>
      </c>
      <c r="J274" s="229">
        <f>SUM(J268:J273)</f>
        <v>6.0770999999999997</v>
      </c>
      <c r="K274" s="214"/>
    </row>
    <row r="275" spans="1:11" x14ac:dyDescent="0.2">
      <c r="A275" s="338"/>
      <c r="B275" s="341"/>
      <c r="C275" s="338"/>
      <c r="D275" s="342"/>
      <c r="E275" s="342"/>
      <c r="F275" s="342"/>
      <c r="G275" s="342"/>
      <c r="H275" s="342"/>
      <c r="I275" s="215"/>
      <c r="J275" s="343"/>
      <c r="K275" s="214"/>
    </row>
    <row r="276" spans="1:11" ht="25.5" x14ac:dyDescent="0.2">
      <c r="A276" s="15" t="str">
        <f>'PLANILHA ORÇAMENTÁRIA'!A68</f>
        <v>7.2.3</v>
      </c>
      <c r="B276" s="118" t="str">
        <f>'PLANILHA ORÇAMENTÁRIA'!D68</f>
        <v>Porta de abrir tipo veneziana em alumínio anodizado, linha 25, completa, incl. puxador com tranca, caixilho, alizar e contramarco</v>
      </c>
      <c r="C276" s="15">
        <f>'PLANILHA ORÇAMENTÁRIA'!E76</f>
        <v>0</v>
      </c>
      <c r="D276" s="66" t="s">
        <v>441</v>
      </c>
      <c r="E276" s="66" t="s">
        <v>442</v>
      </c>
      <c r="F276" s="66" t="s">
        <v>443</v>
      </c>
      <c r="G276" s="66" t="s">
        <v>444</v>
      </c>
      <c r="H276" s="66" t="s">
        <v>445</v>
      </c>
      <c r="I276" s="66" t="s">
        <v>446</v>
      </c>
      <c r="J276" s="67" t="s">
        <v>447</v>
      </c>
      <c r="K276" s="214"/>
    </row>
    <row r="277" spans="1:11" x14ac:dyDescent="0.2">
      <c r="A277" s="338"/>
      <c r="B277" s="346" t="s">
        <v>448</v>
      </c>
      <c r="C277" s="338"/>
      <c r="D277" s="342"/>
      <c r="E277" s="342"/>
      <c r="F277" s="342"/>
      <c r="G277" s="342"/>
      <c r="H277" s="342"/>
      <c r="I277" s="215"/>
      <c r="J277" s="343"/>
      <c r="K277" s="214"/>
    </row>
    <row r="278" spans="1:11" x14ac:dyDescent="0.2">
      <c r="A278" s="338"/>
      <c r="B278" s="341" t="s">
        <v>513</v>
      </c>
      <c r="C278" s="338"/>
      <c r="D278" s="342">
        <v>1</v>
      </c>
      <c r="E278" s="342">
        <v>0.6</v>
      </c>
      <c r="F278" s="342"/>
      <c r="G278" s="342">
        <v>1.6</v>
      </c>
      <c r="H278" s="342">
        <f>E278*G278</f>
        <v>0.96</v>
      </c>
      <c r="I278" s="215"/>
      <c r="J278" s="211">
        <f>H278</f>
        <v>0.96</v>
      </c>
      <c r="K278" s="214"/>
    </row>
    <row r="279" spans="1:11" x14ac:dyDescent="0.2">
      <c r="A279" s="338"/>
      <c r="B279" s="346" t="s">
        <v>449</v>
      </c>
      <c r="C279" s="338"/>
      <c r="D279" s="342"/>
      <c r="E279" s="342"/>
      <c r="F279" s="342"/>
      <c r="G279" s="342"/>
      <c r="H279" s="342"/>
      <c r="I279" s="215"/>
      <c r="J279" s="343"/>
      <c r="K279" s="214"/>
    </row>
    <row r="280" spans="1:11" x14ac:dyDescent="0.2">
      <c r="A280" s="338"/>
      <c r="B280" s="341" t="s">
        <v>514</v>
      </c>
      <c r="C280" s="338"/>
      <c r="D280" s="342">
        <v>4</v>
      </c>
      <c r="E280" s="342">
        <v>0.6</v>
      </c>
      <c r="F280" s="342"/>
      <c r="G280" s="342">
        <v>1.6</v>
      </c>
      <c r="H280" s="342">
        <f>E280*G280</f>
        <v>0.96</v>
      </c>
      <c r="I280" s="215"/>
      <c r="J280" s="211">
        <f>D280*H280</f>
        <v>3.84</v>
      </c>
      <c r="K280" s="214"/>
    </row>
    <row r="281" spans="1:11" x14ac:dyDescent="0.2">
      <c r="A281" s="338"/>
      <c r="B281" s="341"/>
      <c r="C281" s="338"/>
      <c r="D281" s="342"/>
      <c r="E281" s="342"/>
      <c r="F281" s="342"/>
      <c r="G281" s="342"/>
      <c r="H281" s="342"/>
      <c r="I281" s="223" t="s">
        <v>452</v>
      </c>
      <c r="J281" s="229">
        <f>SUM(J277:J280)</f>
        <v>4.8</v>
      </c>
      <c r="K281" s="214"/>
    </row>
    <row r="282" spans="1:11" x14ac:dyDescent="0.2">
      <c r="A282" s="338"/>
      <c r="B282" s="341"/>
      <c r="C282" s="338"/>
      <c r="D282" s="342"/>
      <c r="E282" s="342"/>
      <c r="F282" s="342"/>
      <c r="G282" s="342"/>
      <c r="H282" s="342"/>
      <c r="I282" s="215"/>
      <c r="J282" s="343"/>
      <c r="K282" s="214"/>
    </row>
    <row r="283" spans="1:11" x14ac:dyDescent="0.2">
      <c r="A283" s="344">
        <f>'PLANILHA ORÇAMENTÁRIA'!A70</f>
        <v>8</v>
      </c>
      <c r="B283" s="345" t="str">
        <f>'PLANILHA ORÇAMENTÁRIA'!D70</f>
        <v>VIDROS E ESPELHOS</v>
      </c>
      <c r="C283" s="345"/>
      <c r="D283" s="345"/>
      <c r="E283" s="345"/>
      <c r="F283" s="345"/>
      <c r="G283" s="345"/>
      <c r="H283" s="345"/>
      <c r="I283" s="345"/>
      <c r="J283" s="345"/>
    </row>
    <row r="284" spans="1:11" x14ac:dyDescent="0.2">
      <c r="A284" s="17" t="str">
        <f>'PLANILHA ORÇAMENTÁRIA'!A71</f>
        <v>8.1</v>
      </c>
      <c r="B284" s="14" t="str">
        <f>'PLANILHA ORÇAMENTÁRIA'!D71</f>
        <v>VIDROS PARA ESQUADRIAS</v>
      </c>
      <c r="C284" s="15"/>
      <c r="D284" s="66"/>
      <c r="E284" s="66"/>
      <c r="F284" s="66"/>
      <c r="G284" s="222"/>
      <c r="H284" s="212"/>
      <c r="I284" s="186"/>
      <c r="J284" s="199"/>
    </row>
    <row r="285" spans="1:11" ht="25.5" x14ac:dyDescent="0.2">
      <c r="A285" s="15" t="str">
        <f>'PLANILHA ORÇAMENTÁRIA'!A72</f>
        <v>8.1.1</v>
      </c>
      <c r="B285" s="118" t="str">
        <f>'PLANILHA ORÇAMENTÁRIA'!D72</f>
        <v>Vidro plano transparente liso, com 4 mm de espessura</v>
      </c>
      <c r="C285" s="15" t="str">
        <f>'PLANILHA ORÇAMENTÁRIA'!E72</f>
        <v>m2</v>
      </c>
      <c r="D285" s="66" t="s">
        <v>441</v>
      </c>
      <c r="E285" s="66" t="s">
        <v>442</v>
      </c>
      <c r="F285" s="66" t="s">
        <v>443</v>
      </c>
      <c r="G285" s="66" t="s">
        <v>444</v>
      </c>
      <c r="H285" s="66" t="s">
        <v>445</v>
      </c>
      <c r="I285" s="66" t="s">
        <v>446</v>
      </c>
      <c r="J285" s="67" t="s">
        <v>447</v>
      </c>
    </row>
    <row r="286" spans="1:11" x14ac:dyDescent="0.2">
      <c r="A286" s="15"/>
      <c r="B286" s="61" t="s">
        <v>515</v>
      </c>
      <c r="C286" s="15"/>
      <c r="D286" s="66"/>
      <c r="E286" s="66">
        <v>1.45</v>
      </c>
      <c r="F286" s="24"/>
      <c r="G286" s="66">
        <v>1.1599999999999999</v>
      </c>
      <c r="H286" s="233">
        <f>E286*G286</f>
        <v>1.6819999999999999</v>
      </c>
      <c r="I286" s="186"/>
      <c r="J286" s="67">
        <f>H286</f>
        <v>1.6819999999999999</v>
      </c>
    </row>
    <row r="287" spans="1:11" x14ac:dyDescent="0.2">
      <c r="A287" s="15"/>
      <c r="B287" s="61" t="s">
        <v>516</v>
      </c>
      <c r="C287" s="15"/>
      <c r="D287" s="66"/>
      <c r="E287" s="66">
        <v>1.94</v>
      </c>
      <c r="F287" s="24"/>
      <c r="G287" s="66">
        <v>0.44</v>
      </c>
      <c r="H287" s="234">
        <f>E287*G287</f>
        <v>0.85360000000000003</v>
      </c>
      <c r="I287" s="186"/>
      <c r="J287" s="67">
        <f t="shared" ref="J287:J290" si="9">H287</f>
        <v>0.85360000000000003</v>
      </c>
    </row>
    <row r="288" spans="1:11" x14ac:dyDescent="0.2">
      <c r="A288" s="15"/>
      <c r="B288" s="61" t="s">
        <v>517</v>
      </c>
      <c r="C288" s="15"/>
      <c r="D288" s="66"/>
      <c r="E288" s="66">
        <v>1.7</v>
      </c>
      <c r="F288" s="24"/>
      <c r="G288" s="66">
        <v>0.43</v>
      </c>
      <c r="H288" s="234">
        <f>E288*G288</f>
        <v>0.73099999999999998</v>
      </c>
      <c r="I288" s="186"/>
      <c r="J288" s="67">
        <f t="shared" si="9"/>
        <v>0.73099999999999998</v>
      </c>
    </row>
    <row r="289" spans="1:10" x14ac:dyDescent="0.2">
      <c r="A289" s="468"/>
      <c r="B289" s="470" t="s">
        <v>518</v>
      </c>
      <c r="C289" s="15"/>
      <c r="D289" s="66"/>
      <c r="E289" s="66">
        <v>0.6</v>
      </c>
      <c r="F289" s="24"/>
      <c r="G289" s="66">
        <v>0.4</v>
      </c>
      <c r="H289" s="234">
        <f>E289*G289</f>
        <v>0.24</v>
      </c>
      <c r="I289" s="186"/>
      <c r="J289" s="67">
        <f t="shared" si="9"/>
        <v>0.24</v>
      </c>
    </row>
    <row r="290" spans="1:10" x14ac:dyDescent="0.2">
      <c r="A290" s="469"/>
      <c r="B290" s="470"/>
      <c r="C290" s="15"/>
      <c r="D290" s="66"/>
      <c r="E290" s="66">
        <v>0.75</v>
      </c>
      <c r="F290" s="24"/>
      <c r="G290" s="66">
        <v>0.55000000000000004</v>
      </c>
      <c r="H290" s="234">
        <f>E290*G290</f>
        <v>0.41250000000000003</v>
      </c>
      <c r="I290" s="186"/>
      <c r="J290" s="67">
        <f t="shared" si="9"/>
        <v>0.41250000000000003</v>
      </c>
    </row>
    <row r="291" spans="1:10" x14ac:dyDescent="0.2">
      <c r="A291" s="15"/>
      <c r="B291" s="61" t="s">
        <v>519</v>
      </c>
      <c r="C291" s="15"/>
      <c r="D291" s="66">
        <v>2</v>
      </c>
      <c r="E291" s="66">
        <v>0.8</v>
      </c>
      <c r="F291" s="24"/>
      <c r="G291" s="66">
        <v>0.6</v>
      </c>
      <c r="H291" s="234">
        <f>E291*G291*D291</f>
        <v>0.96</v>
      </c>
      <c r="I291" s="201"/>
      <c r="J291" s="206">
        <f>H291*D291</f>
        <v>1.92</v>
      </c>
    </row>
    <row r="292" spans="1:10" x14ac:dyDescent="0.2">
      <c r="A292" s="15"/>
      <c r="B292" s="61" t="s">
        <v>520</v>
      </c>
      <c r="C292" s="15"/>
      <c r="D292" s="66">
        <v>2</v>
      </c>
      <c r="E292" s="66">
        <v>0.8</v>
      </c>
      <c r="F292" s="24"/>
      <c r="G292" s="66">
        <v>0.6</v>
      </c>
      <c r="H292" s="234">
        <f>E292*G292*D292</f>
        <v>0.96</v>
      </c>
      <c r="I292" s="24"/>
      <c r="J292" s="206">
        <f t="shared" ref="J292" si="10">H292*D292</f>
        <v>1.92</v>
      </c>
    </row>
    <row r="293" spans="1:10" x14ac:dyDescent="0.2">
      <c r="A293" s="15"/>
      <c r="B293" s="61"/>
      <c r="C293" s="15"/>
      <c r="D293" s="66"/>
      <c r="E293" s="66"/>
      <c r="F293" s="66"/>
      <c r="G293" s="66"/>
      <c r="H293" s="66"/>
      <c r="I293" s="64" t="s">
        <v>452</v>
      </c>
      <c r="J293" s="65">
        <f>SUM(J286:J292)</f>
        <v>7.7591000000000001</v>
      </c>
    </row>
    <row r="294" spans="1:10" x14ac:dyDescent="0.2">
      <c r="A294" s="15"/>
      <c r="B294" s="61"/>
      <c r="C294" s="15"/>
      <c r="D294" s="66"/>
      <c r="E294" s="66"/>
      <c r="F294" s="66"/>
      <c r="G294" s="66"/>
      <c r="H294" s="66"/>
      <c r="I294" s="24"/>
      <c r="J294" s="71"/>
    </row>
    <row r="295" spans="1:10" x14ac:dyDescent="0.2">
      <c r="A295" s="17" t="str">
        <f>'PLANILHA ORÇAMENTÁRIA'!A73</f>
        <v>8.2</v>
      </c>
      <c r="B295" s="14" t="str">
        <f>'PLANILHA ORÇAMENTÁRIA'!D73</f>
        <v>ESPELHOS</v>
      </c>
      <c r="C295" s="15"/>
      <c r="D295" s="66"/>
      <c r="E295" s="66"/>
      <c r="F295" s="66"/>
      <c r="G295" s="222"/>
      <c r="H295" s="212"/>
      <c r="I295" s="186"/>
      <c r="J295" s="199"/>
    </row>
    <row r="296" spans="1:10" ht="25.5" x14ac:dyDescent="0.2">
      <c r="A296" s="15" t="str">
        <f>'PLANILHA ORÇAMENTÁRIA'!A74</f>
        <v>8.2.1</v>
      </c>
      <c r="B296" s="118" t="str">
        <f>'PLANILHA ORÇAMENTÁRIA'!D74</f>
        <v>Espelho para banheiros espessura 4 mm, incluindo chapa compensada 10 mm, moldura de alumínio em perfil L 3/4", fixado com parafusos cromados</v>
      </c>
      <c r="C296" s="15" t="str">
        <f>'PLANILHA ORÇAMENTÁRIA'!E74</f>
        <v>m2</v>
      </c>
      <c r="D296" s="66" t="s">
        <v>441</v>
      </c>
      <c r="E296" s="66" t="s">
        <v>442</v>
      </c>
      <c r="F296" s="66" t="s">
        <v>443</v>
      </c>
      <c r="G296" s="66" t="s">
        <v>444</v>
      </c>
      <c r="H296" s="66" t="s">
        <v>445</v>
      </c>
      <c r="I296" s="194" t="s">
        <v>446</v>
      </c>
      <c r="J296" s="67" t="s">
        <v>447</v>
      </c>
    </row>
    <row r="297" spans="1:10" x14ac:dyDescent="0.2">
      <c r="A297" s="15"/>
      <c r="B297" s="61" t="s">
        <v>521</v>
      </c>
      <c r="C297" s="15"/>
      <c r="D297" s="66">
        <v>3</v>
      </c>
      <c r="E297" s="66"/>
      <c r="F297" s="66">
        <v>0.6</v>
      </c>
      <c r="G297" s="66">
        <v>0.7</v>
      </c>
      <c r="H297" s="3">
        <f>F297*G297</f>
        <v>0.42</v>
      </c>
      <c r="I297" s="212"/>
      <c r="J297" s="295">
        <f>D297*H297</f>
        <v>1.26</v>
      </c>
    </row>
    <row r="298" spans="1:10" x14ac:dyDescent="0.2">
      <c r="A298" s="15"/>
      <c r="B298" s="61"/>
      <c r="C298" s="15"/>
      <c r="D298" s="66"/>
      <c r="E298" s="66"/>
      <c r="F298" s="24"/>
      <c r="G298" s="66"/>
      <c r="H298" s="233"/>
      <c r="I298" s="64" t="s">
        <v>452</v>
      </c>
      <c r="J298" s="65">
        <f>SUM(J297)</f>
        <v>1.26</v>
      </c>
    </row>
    <row r="299" spans="1:10" x14ac:dyDescent="0.2">
      <c r="A299" s="15"/>
      <c r="B299" s="61"/>
      <c r="C299" s="15"/>
      <c r="D299" s="66"/>
      <c r="E299" s="66"/>
      <c r="F299" s="24"/>
      <c r="G299" s="66"/>
      <c r="H299" s="3"/>
      <c r="I299" s="186"/>
      <c r="J299" s="67"/>
    </row>
    <row r="300" spans="1:10" x14ac:dyDescent="0.2">
      <c r="A300" s="59">
        <f>'PLANILHA ORÇAMENTÁRIA'!A76</f>
        <v>9</v>
      </c>
      <c r="B300" s="7" t="str">
        <f>'PLANILHA ORÇAMENTÁRIA'!D76</f>
        <v>COBERTURA</v>
      </c>
      <c r="C300" s="58"/>
      <c r="D300" s="120"/>
      <c r="E300" s="58"/>
      <c r="F300" s="58"/>
      <c r="G300" s="58"/>
      <c r="H300" s="58"/>
      <c r="I300" s="58"/>
      <c r="J300" s="58"/>
    </row>
    <row r="301" spans="1:10" x14ac:dyDescent="0.2">
      <c r="A301" s="17" t="str">
        <f>'PLANILHA ORÇAMENTÁRIA'!A77</f>
        <v>9.1</v>
      </c>
      <c r="B301" s="14" t="str">
        <f>'PLANILHA ORÇAMENTÁRIA'!D77</f>
        <v>ESTRUTURA PARA TELHADO</v>
      </c>
      <c r="C301" s="24"/>
      <c r="D301" s="69"/>
      <c r="E301" s="24"/>
      <c r="F301" s="24"/>
      <c r="G301" s="24"/>
      <c r="H301" s="24"/>
      <c r="I301" s="24"/>
      <c r="J301" s="24"/>
    </row>
    <row r="302" spans="1:10" ht="25.5" x14ac:dyDescent="0.2">
      <c r="A302" s="15" t="str">
        <f>'PLANILHA ORÇAMENTÁRIA'!A78</f>
        <v>9.1.1</v>
      </c>
      <c r="B302" s="107" t="str">
        <f>'PLANILHA ORÇAMENTÁRIA'!D78</f>
        <v>Calha em chapa galvanizada com largura de 40 cm</v>
      </c>
      <c r="C302" s="205" t="str">
        <f>'PLANILHA ORÇAMENTÁRIA'!E78</f>
        <v>m</v>
      </c>
      <c r="D302" s="194" t="s">
        <v>441</v>
      </c>
      <c r="E302" s="194" t="s">
        <v>442</v>
      </c>
      <c r="F302" s="194" t="s">
        <v>443</v>
      </c>
      <c r="G302" s="194" t="s">
        <v>444</v>
      </c>
      <c r="H302" s="194" t="s">
        <v>445</v>
      </c>
      <c r="I302" s="194" t="s">
        <v>446</v>
      </c>
      <c r="J302" s="206" t="s">
        <v>447</v>
      </c>
    </row>
    <row r="303" spans="1:10" x14ac:dyDescent="0.2">
      <c r="B303" s="217" t="s">
        <v>522</v>
      </c>
      <c r="C303" s="186"/>
      <c r="D303" s="210"/>
      <c r="E303" s="211">
        <v>23.3</v>
      </c>
      <c r="F303" s="186"/>
      <c r="G303" s="186"/>
      <c r="H303" s="186"/>
      <c r="I303" s="186"/>
      <c r="J303" s="199">
        <f>E303</f>
        <v>23.3</v>
      </c>
    </row>
    <row r="304" spans="1:10" x14ac:dyDescent="0.2">
      <c r="A304" s="15"/>
      <c r="B304" s="213"/>
      <c r="C304" s="207"/>
      <c r="D304" s="195"/>
      <c r="E304" s="195"/>
      <c r="F304" s="195"/>
      <c r="G304" s="195"/>
      <c r="H304" s="195"/>
      <c r="I304" s="189" t="s">
        <v>452</v>
      </c>
      <c r="J304" s="190">
        <f>SUM(J303:J303)</f>
        <v>23.3</v>
      </c>
    </row>
    <row r="305" spans="1:10" x14ac:dyDescent="0.2">
      <c r="A305" s="15"/>
      <c r="B305" s="16"/>
      <c r="C305" s="15"/>
      <c r="D305" s="66"/>
      <c r="E305" s="66"/>
      <c r="F305" s="66"/>
      <c r="G305" s="66"/>
      <c r="H305" s="66"/>
      <c r="I305" s="66"/>
      <c r="J305" s="67"/>
    </row>
    <row r="306" spans="1:10" ht="25.5" x14ac:dyDescent="0.2">
      <c r="A306" s="15" t="str">
        <f>'PLANILHA ORÇAMENTÁRIA'!A79</f>
        <v>9.1.2</v>
      </c>
      <c r="B306" s="16" t="str">
        <f>'PLANILHA ORÇAMENTÁRIA'!D79</f>
        <v>Telhamento com Telha Metálica Termoacústica E = 30 Mm, Com Até 2 Águas, Incluso Içamento</v>
      </c>
      <c r="C306" s="15" t="str">
        <f>'PLANILHA ORÇAMENTÁRIA'!E79</f>
        <v>m2</v>
      </c>
      <c r="D306" s="66" t="s">
        <v>441</v>
      </c>
      <c r="E306" s="66" t="s">
        <v>442</v>
      </c>
      <c r="F306" s="66" t="s">
        <v>443</v>
      </c>
      <c r="G306" s="66" t="s">
        <v>444</v>
      </c>
      <c r="H306" s="66" t="s">
        <v>445</v>
      </c>
      <c r="I306" s="66" t="s">
        <v>446</v>
      </c>
      <c r="J306" s="67" t="s">
        <v>447</v>
      </c>
    </row>
    <row r="307" spans="1:10" x14ac:dyDescent="0.2">
      <c r="A307" s="15"/>
      <c r="B307" s="61" t="s">
        <v>523</v>
      </c>
      <c r="C307" s="15"/>
      <c r="D307" s="66"/>
      <c r="E307" s="66"/>
      <c r="F307" s="66"/>
      <c r="G307" s="66"/>
      <c r="H307" s="66">
        <v>560.97</v>
      </c>
      <c r="I307" s="66"/>
      <c r="J307" s="67">
        <f>H307</f>
        <v>560.97</v>
      </c>
    </row>
    <row r="308" spans="1:10" x14ac:dyDescent="0.2">
      <c r="A308" s="15"/>
      <c r="B308" s="109" t="s">
        <v>485</v>
      </c>
      <c r="C308" s="15"/>
      <c r="D308" s="66"/>
      <c r="E308" s="66"/>
      <c r="F308" s="66"/>
      <c r="G308" s="66"/>
      <c r="H308" s="66">
        <v>19.149999999999999</v>
      </c>
      <c r="I308" s="66"/>
      <c r="J308" s="67">
        <f>H308</f>
        <v>19.149999999999999</v>
      </c>
    </row>
    <row r="309" spans="1:10" x14ac:dyDescent="0.2">
      <c r="A309" s="15"/>
      <c r="B309" s="16"/>
      <c r="C309" s="15"/>
      <c r="D309" s="66"/>
      <c r="E309" s="66"/>
      <c r="F309" s="66"/>
      <c r="G309" s="66"/>
      <c r="H309" s="66"/>
      <c r="I309" s="64" t="s">
        <v>452</v>
      </c>
      <c r="J309" s="65">
        <f>SUM(J307:J308)</f>
        <v>580.12</v>
      </c>
    </row>
    <row r="310" spans="1:10" x14ac:dyDescent="0.2">
      <c r="A310" s="24"/>
      <c r="B310" s="16"/>
      <c r="C310" s="24"/>
      <c r="D310" s="69"/>
      <c r="E310" s="24"/>
      <c r="F310" s="24"/>
      <c r="G310" s="24"/>
      <c r="H310" s="24"/>
      <c r="I310" s="24"/>
      <c r="J310" s="24"/>
    </row>
    <row r="311" spans="1:10" ht="38.25" x14ac:dyDescent="0.2">
      <c r="A311" s="15" t="str">
        <f>'PLANILHA ORÇAMENTÁRIA'!A80</f>
        <v>9.1.3</v>
      </c>
      <c r="B311" s="16" t="str">
        <f>'PLANILHA ORÇAMENTÁRIA'!D80</f>
        <v>Trama de Aço Composta por Terças para Telhados de Até 2 Águas Para Telha Ondulada de Fibrocimento, metálica, plástica ou Termoacústica, Incluso Tranporte Vertical</v>
      </c>
      <c r="C311" s="15" t="str">
        <f>'PLANILHA ORÇAMENTÁRIA'!E80</f>
        <v>m2</v>
      </c>
      <c r="D311" s="66" t="s">
        <v>441</v>
      </c>
      <c r="E311" s="66" t="s">
        <v>442</v>
      </c>
      <c r="F311" s="66" t="s">
        <v>443</v>
      </c>
      <c r="G311" s="66" t="s">
        <v>444</v>
      </c>
      <c r="H311" s="66" t="s">
        <v>445</v>
      </c>
      <c r="I311" s="66" t="s">
        <v>446</v>
      </c>
      <c r="J311" s="67" t="s">
        <v>447</v>
      </c>
    </row>
    <row r="312" spans="1:10" x14ac:dyDescent="0.2">
      <c r="A312" s="15"/>
      <c r="B312" s="61" t="s">
        <v>523</v>
      </c>
      <c r="C312" s="62"/>
      <c r="D312" s="62"/>
      <c r="E312" s="62"/>
      <c r="F312" s="62"/>
      <c r="G312" s="62"/>
      <c r="H312" s="66">
        <v>560.97</v>
      </c>
      <c r="I312" s="66"/>
      <c r="J312" s="67">
        <f>H312</f>
        <v>560.97</v>
      </c>
    </row>
    <row r="313" spans="1:10" x14ac:dyDescent="0.2">
      <c r="A313" s="15"/>
      <c r="B313" s="109" t="s">
        <v>485</v>
      </c>
      <c r="C313" s="62"/>
      <c r="D313" s="62"/>
      <c r="E313" s="62"/>
      <c r="F313" s="62"/>
      <c r="G313" s="62"/>
      <c r="H313" s="66">
        <v>19.149999999999999</v>
      </c>
      <c r="I313" s="66"/>
      <c r="J313" s="67">
        <f>H313</f>
        <v>19.149999999999999</v>
      </c>
    </row>
    <row r="314" spans="1:10" x14ac:dyDescent="0.2">
      <c r="A314" s="15"/>
      <c r="B314" s="109"/>
      <c r="C314" s="62"/>
      <c r="D314" s="62"/>
      <c r="E314" s="62"/>
      <c r="F314" s="62"/>
      <c r="G314" s="62"/>
      <c r="H314" s="62"/>
      <c r="I314" s="64" t="s">
        <v>452</v>
      </c>
      <c r="J314" s="65">
        <f>SUM(J312:J313)</f>
        <v>580.12</v>
      </c>
    </row>
    <row r="315" spans="1:10" x14ac:dyDescent="0.2">
      <c r="A315" s="24"/>
      <c r="B315" s="16"/>
      <c r="C315" s="24"/>
      <c r="D315" s="69"/>
      <c r="E315" s="24"/>
      <c r="F315" s="24"/>
      <c r="G315" s="24"/>
      <c r="H315" s="24"/>
      <c r="I315" s="24"/>
      <c r="J315" s="24"/>
    </row>
    <row r="316" spans="1:10" ht="25.5" x14ac:dyDescent="0.2">
      <c r="A316" s="15" t="str">
        <f>'PLANILHA ORÇAMENTÁRIA'!A81</f>
        <v>9.1.4</v>
      </c>
      <c r="B316" s="16" t="str">
        <f>'PLANILHA ORÇAMENTÁRIA'!D81</f>
        <v>Calha Em Chapa de Aço Galvanizado Número 24, Desenvolvimento De 33 Cm Incluso Transporte Vertical</v>
      </c>
      <c r="C316" s="15" t="str">
        <f>'PLANILHA ORÇAMENTÁRIA'!E81</f>
        <v>m</v>
      </c>
      <c r="D316" s="66" t="s">
        <v>441</v>
      </c>
      <c r="E316" s="66" t="s">
        <v>442</v>
      </c>
      <c r="F316" s="66" t="s">
        <v>443</v>
      </c>
      <c r="G316" s="66" t="s">
        <v>444</v>
      </c>
      <c r="H316" s="66" t="s">
        <v>445</v>
      </c>
      <c r="I316" s="66" t="s">
        <v>446</v>
      </c>
      <c r="J316" s="67" t="s">
        <v>447</v>
      </c>
    </row>
    <row r="317" spans="1:10" x14ac:dyDescent="0.2">
      <c r="A317" s="15"/>
      <c r="B317" s="61" t="s">
        <v>524</v>
      </c>
      <c r="C317" s="15"/>
      <c r="D317" s="66"/>
      <c r="E317" s="66">
        <f>9.8+2.32+8.31+22.23</f>
        <v>42.66</v>
      </c>
      <c r="F317" s="66"/>
      <c r="G317" s="66"/>
      <c r="H317" s="66"/>
      <c r="I317" s="66"/>
      <c r="J317" s="67">
        <f>E317</f>
        <v>42.66</v>
      </c>
    </row>
    <row r="318" spans="1:10" x14ac:dyDescent="0.2">
      <c r="A318" s="15"/>
      <c r="B318" s="158"/>
      <c r="C318" s="62"/>
      <c r="D318" s="66"/>
      <c r="E318" s="66"/>
      <c r="F318" s="66"/>
      <c r="G318" s="66"/>
      <c r="H318" s="66"/>
      <c r="I318" s="64" t="s">
        <v>452</v>
      </c>
      <c r="J318" s="190">
        <f>SUM(J317:J317)</f>
        <v>42.66</v>
      </c>
    </row>
    <row r="319" spans="1:10" x14ac:dyDescent="0.2">
      <c r="A319" s="15"/>
      <c r="B319" s="158"/>
      <c r="C319" s="62"/>
      <c r="D319" s="66"/>
      <c r="E319" s="66"/>
      <c r="F319" s="66"/>
      <c r="G319" s="66"/>
      <c r="H319" s="66"/>
      <c r="I319" s="108"/>
      <c r="J319" s="192"/>
    </row>
    <row r="320" spans="1:10" x14ac:dyDescent="0.2">
      <c r="A320" s="220">
        <f>'PLANILHA ORÇAMENTÁRIA'!A83</f>
        <v>10</v>
      </c>
      <c r="B320" s="7" t="str">
        <f>'PLANILHA ORÇAMENTÁRIA'!D83</f>
        <v>IMPERMEABILIZAÇÃO</v>
      </c>
      <c r="C320" s="7"/>
      <c r="D320" s="7"/>
      <c r="E320" s="7"/>
      <c r="F320" s="7"/>
      <c r="G320" s="7"/>
      <c r="H320" s="7"/>
      <c r="I320" s="7"/>
      <c r="J320" s="7"/>
    </row>
    <row r="321" spans="1:10" ht="31.5" customHeight="1" x14ac:dyDescent="0.2">
      <c r="A321" s="17" t="str">
        <f>'PLANILHA ORÇAMENTÁRIA'!A84</f>
        <v>10.1</v>
      </c>
      <c r="B321" s="14" t="str">
        <f>'PLANILHA ORÇAMENTÁRIA'!D84</f>
        <v>IMPERMEABILIZAÇÃO CALHAS, LAJES DESCOBERTAS, BALDRAMES, PAREDES E JARDINEIRAS</v>
      </c>
      <c r="C321" s="15"/>
      <c r="D321" s="66"/>
      <c r="E321" s="66"/>
      <c r="F321" s="66"/>
      <c r="G321" s="222"/>
      <c r="H321" s="212"/>
      <c r="I321" s="186"/>
      <c r="J321" s="199"/>
    </row>
    <row r="322" spans="1:10" ht="38.25" x14ac:dyDescent="0.2">
      <c r="A322" s="15" t="str">
        <f>'PLANILHA ORÇAMENTÁRIA'!A85</f>
        <v>10.1.1</v>
      </c>
      <c r="B322" s="118" t="str">
        <f>'PLANILHA ORÇAMENTÁRIA'!D85</f>
        <v>Índice de imperm.c/ manta asfáltica atendendo NBR 9952, asfalto polimerizado esp.3mm, reforç.c/ filme int. polietileno, regul. base c/ arg.1:4 esp.mín.15mm, proteção mec. arg.1:4 esp.20mm e juntas dilat.</v>
      </c>
      <c r="C322" s="15" t="str">
        <f>'PLANILHA ORÇAMENTÁRIA'!E85</f>
        <v>m2</v>
      </c>
      <c r="D322" s="66" t="s">
        <v>441</v>
      </c>
      <c r="E322" s="66" t="s">
        <v>442</v>
      </c>
      <c r="F322" s="66" t="s">
        <v>443</v>
      </c>
      <c r="G322" s="66" t="s">
        <v>444</v>
      </c>
      <c r="H322" s="66" t="s">
        <v>445</v>
      </c>
      <c r="I322" s="66" t="s">
        <v>446</v>
      </c>
      <c r="J322" s="67" t="s">
        <v>447</v>
      </c>
    </row>
    <row r="323" spans="1:10" x14ac:dyDescent="0.2">
      <c r="A323" s="15"/>
      <c r="B323" s="61" t="s">
        <v>525</v>
      </c>
      <c r="C323" s="15"/>
      <c r="D323" s="66"/>
      <c r="E323" s="66">
        <v>3.2</v>
      </c>
      <c r="F323" s="66">
        <v>7.51</v>
      </c>
      <c r="G323" s="222"/>
      <c r="H323" s="212">
        <f>E323*F323</f>
        <v>24.032</v>
      </c>
      <c r="I323" s="186"/>
      <c r="J323" s="206">
        <f t="shared" ref="J323:J324" si="11">H323</f>
        <v>24.032</v>
      </c>
    </row>
    <row r="324" spans="1:10" x14ac:dyDescent="0.2">
      <c r="A324" s="15"/>
      <c r="B324" s="61" t="s">
        <v>526</v>
      </c>
      <c r="C324" s="15"/>
      <c r="D324" s="66"/>
      <c r="E324" s="66">
        <v>2.5</v>
      </c>
      <c r="F324" s="66">
        <v>2.69</v>
      </c>
      <c r="G324" s="222"/>
      <c r="H324" s="212">
        <f>E324*F324</f>
        <v>6.7249999999999996</v>
      </c>
      <c r="I324" s="186"/>
      <c r="J324" s="206">
        <f t="shared" si="11"/>
        <v>6.7249999999999996</v>
      </c>
    </row>
    <row r="325" spans="1:10" x14ac:dyDescent="0.2">
      <c r="A325" s="15"/>
      <c r="B325" s="61"/>
      <c r="C325" s="15"/>
      <c r="D325" s="66"/>
      <c r="E325" s="66"/>
      <c r="F325" s="66"/>
      <c r="G325" s="222"/>
      <c r="H325" s="212"/>
      <c r="I325" s="64" t="s">
        <v>452</v>
      </c>
      <c r="J325" s="65">
        <f>SUM(J323:J324)</f>
        <v>30.756999999999998</v>
      </c>
    </row>
    <row r="326" spans="1:10" x14ac:dyDescent="0.2">
      <c r="A326" s="15"/>
      <c r="B326" s="61"/>
      <c r="C326" s="15"/>
      <c r="D326" s="66"/>
      <c r="E326" s="66"/>
      <c r="F326" s="66"/>
      <c r="G326" s="222"/>
      <c r="H326" s="212"/>
      <c r="I326" s="186"/>
      <c r="J326" s="199"/>
    </row>
    <row r="327" spans="1:10" x14ac:dyDescent="0.2">
      <c r="A327" s="220">
        <f>'PLANILHA ORÇAMENTÁRIA'!A87</f>
        <v>11</v>
      </c>
      <c r="B327" s="7" t="str">
        <f>'PLANILHA ORÇAMENTÁRIA'!D87</f>
        <v>TETOS E FORROS</v>
      </c>
      <c r="C327" s="7"/>
      <c r="D327" s="7"/>
      <c r="E327" s="7"/>
      <c r="F327" s="7"/>
      <c r="G327" s="7"/>
      <c r="H327" s="7"/>
      <c r="I327" s="7"/>
      <c r="J327" s="7"/>
    </row>
    <row r="328" spans="1:10" x14ac:dyDescent="0.2">
      <c r="A328" s="17" t="s">
        <v>229</v>
      </c>
      <c r="B328" s="14" t="str">
        <f>'PLANILHA ORÇAMENTÁRIA'!D88</f>
        <v>REVESTIMENTO COM ARGAMASSA</v>
      </c>
      <c r="C328" s="15"/>
      <c r="D328" s="66"/>
      <c r="E328" s="66"/>
      <c r="F328" s="66"/>
      <c r="G328" s="222"/>
      <c r="H328" s="212"/>
      <c r="I328" s="186"/>
      <c r="J328" s="199"/>
    </row>
    <row r="329" spans="1:10" ht="25.5" x14ac:dyDescent="0.2">
      <c r="A329" s="15" t="str">
        <f>'PLANILHA ORÇAMENTÁRIA'!A89</f>
        <v>11.1.1</v>
      </c>
      <c r="B329" s="118" t="str">
        <f>'PLANILHA ORÇAMENTÁRIA'!D89</f>
        <v>Chapisco com argamassa de cimento e areia média ou grossa lavada no traço 1:3, espessura 5 mm</v>
      </c>
      <c r="C329" s="15" t="str">
        <f>'PLANILHA ORÇAMENTÁRIA'!E89</f>
        <v>m2</v>
      </c>
      <c r="D329" s="66" t="s">
        <v>441</v>
      </c>
      <c r="E329" s="66" t="s">
        <v>442</v>
      </c>
      <c r="F329" s="66" t="s">
        <v>443</v>
      </c>
      <c r="G329" s="66" t="s">
        <v>444</v>
      </c>
      <c r="H329" s="66" t="s">
        <v>445</v>
      </c>
      <c r="I329" s="66" t="s">
        <v>446</v>
      </c>
      <c r="J329" s="67" t="s">
        <v>447</v>
      </c>
    </row>
    <row r="330" spans="1:10" x14ac:dyDescent="0.2">
      <c r="A330" s="15"/>
      <c r="B330" s="61" t="s">
        <v>527</v>
      </c>
      <c r="C330" s="15"/>
      <c r="D330" s="66"/>
      <c r="E330" s="66"/>
      <c r="F330" s="66"/>
      <c r="G330" s="222"/>
      <c r="H330" s="212">
        <v>7.13</v>
      </c>
      <c r="I330" s="201"/>
      <c r="J330" s="230">
        <f>H330</f>
        <v>7.13</v>
      </c>
    </row>
    <row r="331" spans="1:10" x14ac:dyDescent="0.2">
      <c r="A331" s="15"/>
      <c r="B331" s="61" t="s">
        <v>454</v>
      </c>
      <c r="C331" s="15"/>
      <c r="D331" s="66"/>
      <c r="E331" s="66"/>
      <c r="F331" s="66"/>
      <c r="G331" s="222"/>
      <c r="H331" s="296">
        <v>12.35</v>
      </c>
      <c r="I331" s="186"/>
      <c r="J331" s="199">
        <f>H331</f>
        <v>12.35</v>
      </c>
    </row>
    <row r="332" spans="1:10" x14ac:dyDescent="0.2">
      <c r="A332" s="15"/>
      <c r="B332" s="61" t="s">
        <v>528</v>
      </c>
      <c r="C332" s="15"/>
      <c r="D332" s="66"/>
      <c r="E332" s="66"/>
      <c r="F332" s="66"/>
      <c r="G332" s="222"/>
      <c r="H332" s="296">
        <v>8.5299999999999994</v>
      </c>
      <c r="I332" s="186"/>
      <c r="J332" s="199">
        <f>H332</f>
        <v>8.5299999999999994</v>
      </c>
    </row>
    <row r="333" spans="1:10" x14ac:dyDescent="0.2">
      <c r="A333" s="15"/>
      <c r="B333" s="61" t="s">
        <v>529</v>
      </c>
      <c r="C333" s="15"/>
      <c r="D333" s="66"/>
      <c r="E333" s="66"/>
      <c r="F333" s="66"/>
      <c r="G333" s="222"/>
      <c r="H333" s="296">
        <v>2.7</v>
      </c>
      <c r="I333" s="201"/>
      <c r="J333" s="230">
        <f>H333</f>
        <v>2.7</v>
      </c>
    </row>
    <row r="334" spans="1:10" x14ac:dyDescent="0.2">
      <c r="A334" s="15"/>
      <c r="B334" s="61" t="s">
        <v>530</v>
      </c>
      <c r="C334" s="15"/>
      <c r="D334" s="66"/>
      <c r="E334" s="66"/>
      <c r="F334" s="66"/>
      <c r="G334" s="222"/>
      <c r="H334" s="296">
        <v>2.4300000000000002</v>
      </c>
      <c r="I334" s="186"/>
      <c r="J334" s="199">
        <f>H334</f>
        <v>2.4300000000000002</v>
      </c>
    </row>
    <row r="335" spans="1:10" x14ac:dyDescent="0.2">
      <c r="A335" s="15"/>
      <c r="B335" s="61"/>
      <c r="C335" s="15"/>
      <c r="D335" s="66"/>
      <c r="E335" s="66"/>
      <c r="F335" s="66"/>
      <c r="G335" s="222"/>
      <c r="H335" s="212"/>
      <c r="I335" s="189" t="s">
        <v>452</v>
      </c>
      <c r="J335" s="190">
        <f>SUM(J330:J334)</f>
        <v>33.14</v>
      </c>
    </row>
    <row r="336" spans="1:10" x14ac:dyDescent="0.2">
      <c r="A336" s="15"/>
      <c r="B336" s="61"/>
      <c r="C336" s="15"/>
      <c r="D336" s="66"/>
      <c r="E336" s="66"/>
      <c r="F336" s="66"/>
      <c r="G336" s="222"/>
      <c r="H336" s="212"/>
      <c r="I336" s="186"/>
      <c r="J336" s="199"/>
    </row>
    <row r="337" spans="1:12" ht="12.75" customHeight="1" x14ac:dyDescent="0.2">
      <c r="A337" s="353" t="str">
        <f>'PLANILHA ORÇAMENTÁRIA'!A90</f>
        <v>11.2</v>
      </c>
      <c r="B337" s="254" t="str">
        <f>'PLANILHA ORÇAMENTÁRIA'!D90</f>
        <v>REBAIXAMENTOS</v>
      </c>
      <c r="C337" s="252"/>
      <c r="D337" s="255"/>
      <c r="E337" s="255"/>
      <c r="F337" s="255"/>
      <c r="G337" s="303"/>
      <c r="H337" s="311"/>
      <c r="I337" s="264"/>
      <c r="J337" s="279"/>
      <c r="K337" s="203"/>
      <c r="L337" s="203"/>
    </row>
    <row r="338" spans="1:12" ht="25.5" x14ac:dyDescent="0.2">
      <c r="A338" s="252" t="str">
        <f>'PLANILHA ORÇAMENTÁRIA'!A91</f>
        <v>11.2.1</v>
      </c>
      <c r="B338" s="286" t="str">
        <f>'PLANILHA ORÇAMENTÁRIA'!D91</f>
        <v>Forro PVC branco L = 20 cm, frisado, colocado</v>
      </c>
      <c r="C338" s="252" t="str">
        <f>'PLANILHA ORÇAMENTÁRIA'!E91</f>
        <v>m2</v>
      </c>
      <c r="D338" s="255" t="s">
        <v>441</v>
      </c>
      <c r="E338" s="255" t="s">
        <v>442</v>
      </c>
      <c r="F338" s="255" t="s">
        <v>443</v>
      </c>
      <c r="G338" s="255" t="s">
        <v>444</v>
      </c>
      <c r="H338" s="255" t="s">
        <v>445</v>
      </c>
      <c r="I338" s="255" t="s">
        <v>446</v>
      </c>
      <c r="J338" s="256" t="s">
        <v>447</v>
      </c>
      <c r="K338" s="203"/>
      <c r="L338" s="203"/>
    </row>
    <row r="339" spans="1:12" x14ac:dyDescent="0.2">
      <c r="A339" s="252"/>
      <c r="B339" s="182" t="s">
        <v>467</v>
      </c>
      <c r="C339" s="252"/>
      <c r="D339" s="259"/>
      <c r="E339" s="258"/>
      <c r="F339" s="258"/>
      <c r="G339" s="257"/>
      <c r="H339" s="257">
        <v>21.9</v>
      </c>
      <c r="I339" s="257"/>
      <c r="J339" s="257">
        <f>H339</f>
        <v>21.9</v>
      </c>
      <c r="K339" s="203"/>
      <c r="L339" s="203"/>
    </row>
    <row r="340" spans="1:12" x14ac:dyDescent="0.2">
      <c r="A340" s="252"/>
      <c r="B340" s="183" t="s">
        <v>464</v>
      </c>
      <c r="C340" s="252"/>
      <c r="D340" s="259"/>
      <c r="E340" s="258"/>
      <c r="F340" s="258"/>
      <c r="G340" s="257"/>
      <c r="H340" s="257">
        <v>24.6</v>
      </c>
      <c r="I340" s="262"/>
      <c r="J340" s="257">
        <f>H340</f>
        <v>24.6</v>
      </c>
      <c r="K340" s="203"/>
      <c r="L340" s="203"/>
    </row>
    <row r="341" spans="1:12" x14ac:dyDescent="0.2">
      <c r="A341" s="252"/>
      <c r="B341" s="182" t="s">
        <v>466</v>
      </c>
      <c r="C341" s="258"/>
      <c r="D341" s="259"/>
      <c r="E341" s="258"/>
      <c r="F341" s="258"/>
      <c r="G341" s="257"/>
      <c r="H341" s="263">
        <v>23.68</v>
      </c>
      <c r="I341" s="264"/>
      <c r="J341" s="257">
        <f>H341</f>
        <v>23.68</v>
      </c>
      <c r="K341" s="203"/>
      <c r="L341" s="203"/>
    </row>
    <row r="342" spans="1:12" x14ac:dyDescent="0.2">
      <c r="A342" s="252"/>
      <c r="B342" s="253"/>
      <c r="C342" s="258"/>
      <c r="D342" s="259"/>
      <c r="E342" s="258"/>
      <c r="F342" s="258"/>
      <c r="G342" s="257"/>
      <c r="H342" s="257"/>
      <c r="I342" s="265" t="s">
        <v>452</v>
      </c>
      <c r="J342" s="266">
        <f>SUM(J339:J341)</f>
        <v>70.180000000000007</v>
      </c>
      <c r="K342" s="203"/>
      <c r="L342" s="203"/>
    </row>
    <row r="343" spans="1:12" x14ac:dyDescent="0.2">
      <c r="A343" s="252"/>
      <c r="B343" s="182"/>
      <c r="C343" s="252"/>
      <c r="D343" s="255"/>
      <c r="E343" s="255"/>
      <c r="F343" s="255"/>
      <c r="G343" s="303"/>
      <c r="H343" s="352"/>
      <c r="I343" s="264"/>
      <c r="J343" s="279"/>
      <c r="K343" s="203"/>
      <c r="L343" s="203"/>
    </row>
    <row r="344" spans="1:12" ht="26.25" customHeight="1" x14ac:dyDescent="0.2">
      <c r="A344" s="17" t="str">
        <f>'PLANILHA ORÇAMENTÁRIA'!A92</f>
        <v>11.3</v>
      </c>
      <c r="B344" s="14" t="str">
        <f>'PLANILHA ORÇAMENTÁRIA'!D92</f>
        <v>REVESTIMENTO EMPREGANDO ARGAMASSA DE CIMENTO, CAL E AREIA</v>
      </c>
      <c r="C344" s="15"/>
      <c r="D344" s="66"/>
      <c r="E344" s="66"/>
      <c r="F344" s="66"/>
      <c r="G344" s="222"/>
      <c r="H344" s="212"/>
      <c r="I344" s="186"/>
      <c r="J344" s="199"/>
    </row>
    <row r="345" spans="1:12" ht="25.5" x14ac:dyDescent="0.2">
      <c r="A345" s="15" t="str">
        <f>'PLANILHA ORÇAMENTÁRIA'!A93</f>
        <v>11.3.1</v>
      </c>
      <c r="B345" s="118" t="str">
        <f>'PLANILHA ORÇAMENTÁRIA'!D93</f>
        <v>Reboco tipo paulista de argamassa de cimento, cal hidratada CH1 e areia lavada traço 1:0.5:6, espessura 25 mm</v>
      </c>
      <c r="C345" s="15" t="str">
        <f>'PLANILHA ORÇAMENTÁRIA'!E93</f>
        <v>m2</v>
      </c>
      <c r="D345" s="66" t="s">
        <v>441</v>
      </c>
      <c r="E345" s="66" t="s">
        <v>442</v>
      </c>
      <c r="F345" s="66" t="s">
        <v>443</v>
      </c>
      <c r="G345" s="66" t="s">
        <v>444</v>
      </c>
      <c r="H345" s="66" t="s">
        <v>445</v>
      </c>
      <c r="I345" s="66" t="s">
        <v>446</v>
      </c>
      <c r="J345" s="67" t="s">
        <v>447</v>
      </c>
    </row>
    <row r="346" spans="1:12" x14ac:dyDescent="0.2">
      <c r="A346" s="15"/>
      <c r="B346" s="61" t="s">
        <v>527</v>
      </c>
      <c r="C346" s="15"/>
      <c r="D346" s="66"/>
      <c r="E346" s="66"/>
      <c r="F346" s="66"/>
      <c r="G346" s="222"/>
      <c r="H346" s="212">
        <v>7.13</v>
      </c>
      <c r="I346" s="201"/>
      <c r="J346" s="230">
        <f>H346</f>
        <v>7.13</v>
      </c>
    </row>
    <row r="347" spans="1:12" x14ac:dyDescent="0.2">
      <c r="A347" s="15"/>
      <c r="B347" s="61" t="s">
        <v>454</v>
      </c>
      <c r="C347" s="15"/>
      <c r="D347" s="66"/>
      <c r="E347" s="66"/>
      <c r="F347" s="66"/>
      <c r="G347" s="222"/>
      <c r="H347" s="296">
        <v>12.35</v>
      </c>
      <c r="I347" s="186"/>
      <c r="J347" s="199">
        <f>H347</f>
        <v>12.35</v>
      </c>
    </row>
    <row r="348" spans="1:12" x14ac:dyDescent="0.2">
      <c r="A348" s="15"/>
      <c r="B348" s="61" t="s">
        <v>528</v>
      </c>
      <c r="C348" s="15"/>
      <c r="D348" s="66"/>
      <c r="E348" s="66"/>
      <c r="F348" s="66"/>
      <c r="G348" s="222"/>
      <c r="H348" s="296">
        <v>8.5299999999999994</v>
      </c>
      <c r="I348" s="186"/>
      <c r="J348" s="199">
        <f>H348</f>
        <v>8.5299999999999994</v>
      </c>
    </row>
    <row r="349" spans="1:12" x14ac:dyDescent="0.2">
      <c r="A349" s="15"/>
      <c r="B349" s="61" t="s">
        <v>529</v>
      </c>
      <c r="C349" s="15"/>
      <c r="D349" s="66"/>
      <c r="E349" s="66"/>
      <c r="F349" s="66"/>
      <c r="G349" s="222"/>
      <c r="H349" s="296">
        <v>2.7</v>
      </c>
      <c r="I349" s="201"/>
      <c r="J349" s="230">
        <f>H349</f>
        <v>2.7</v>
      </c>
    </row>
    <row r="350" spans="1:12" x14ac:dyDescent="0.2">
      <c r="A350" s="15"/>
      <c r="B350" s="61" t="s">
        <v>530</v>
      </c>
      <c r="C350" s="15"/>
      <c r="D350" s="66"/>
      <c r="E350" s="66"/>
      <c r="F350" s="66"/>
      <c r="G350" s="222"/>
      <c r="H350" s="296">
        <v>2.4300000000000002</v>
      </c>
      <c r="I350" s="186"/>
      <c r="J350" s="199">
        <f>H350</f>
        <v>2.4300000000000002</v>
      </c>
    </row>
    <row r="351" spans="1:12" x14ac:dyDescent="0.2">
      <c r="A351" s="15"/>
      <c r="B351" s="61"/>
      <c r="C351" s="15"/>
      <c r="D351" s="66"/>
      <c r="E351" s="66"/>
      <c r="F351" s="66"/>
      <c r="G351" s="222"/>
      <c r="H351" s="212"/>
      <c r="I351" s="64" t="s">
        <v>452</v>
      </c>
      <c r="J351" s="65">
        <f>SUM(J346:J350)</f>
        <v>33.14</v>
      </c>
    </row>
    <row r="352" spans="1:12" x14ac:dyDescent="0.2">
      <c r="A352" s="15"/>
      <c r="B352" s="61"/>
      <c r="C352" s="15"/>
      <c r="D352" s="66"/>
      <c r="E352" s="66"/>
      <c r="F352" s="66"/>
      <c r="G352" s="222"/>
      <c r="H352" s="212"/>
      <c r="I352" s="186"/>
      <c r="J352" s="199"/>
    </row>
    <row r="353" spans="1:10" x14ac:dyDescent="0.2">
      <c r="A353" s="220">
        <f>'PLANILHA ORÇAMENTÁRIA'!A95</f>
        <v>12</v>
      </c>
      <c r="B353" s="7" t="str">
        <f>'PLANILHA ORÇAMENTÁRIA'!D95</f>
        <v>REVESTIMENTO DE PAREDES</v>
      </c>
      <c r="C353" s="7"/>
      <c r="D353" s="7"/>
      <c r="E353" s="7"/>
      <c r="F353" s="7"/>
      <c r="G353" s="7"/>
      <c r="H353" s="7"/>
      <c r="I353" s="7"/>
      <c r="J353" s="7"/>
    </row>
    <row r="354" spans="1:10" x14ac:dyDescent="0.2">
      <c r="A354" s="17" t="str">
        <f>'PLANILHA ORÇAMENTÁRIA'!A96</f>
        <v>12.1</v>
      </c>
      <c r="B354" s="14" t="str">
        <f>'PLANILHA ORÇAMENTÁRIA'!D96</f>
        <v>REVESTIMENTO COM ARGAMASSA</v>
      </c>
      <c r="C354" s="15"/>
      <c r="D354" s="66"/>
      <c r="E354" s="66"/>
      <c r="F354" s="66"/>
      <c r="G354" s="222"/>
      <c r="H354" s="212"/>
      <c r="I354" s="186"/>
      <c r="J354" s="199"/>
    </row>
    <row r="355" spans="1:10" ht="25.5" x14ac:dyDescent="0.2">
      <c r="A355" s="15" t="str">
        <f>'PLANILHA ORÇAMENTÁRIA'!A97</f>
        <v>12.1.1</v>
      </c>
      <c r="B355" s="286" t="str">
        <f>'PLANILHA ORÇAMENTÁRIA'!D97</f>
        <v>Chapisco com argamassa de cimento e areia média ou grossa lavada no traço 1:3, espessura 5 mm</v>
      </c>
      <c r="C355" s="15" t="str">
        <f>'PLANILHA ORÇAMENTÁRIA'!E97</f>
        <v>m2</v>
      </c>
      <c r="D355" s="66" t="s">
        <v>441</v>
      </c>
      <c r="E355" s="66" t="s">
        <v>442</v>
      </c>
      <c r="F355" s="66" t="s">
        <v>443</v>
      </c>
      <c r="G355" s="66" t="s">
        <v>444</v>
      </c>
      <c r="H355" s="66" t="s">
        <v>445</v>
      </c>
      <c r="I355" s="66" t="s">
        <v>446</v>
      </c>
      <c r="J355" s="67" t="s">
        <v>447</v>
      </c>
    </row>
    <row r="356" spans="1:10" ht="25.5" x14ac:dyDescent="0.2">
      <c r="A356" s="15"/>
      <c r="B356" s="61" t="s">
        <v>531</v>
      </c>
      <c r="C356" s="15"/>
      <c r="D356" s="66">
        <v>2</v>
      </c>
      <c r="E356" s="66"/>
      <c r="F356" s="66"/>
      <c r="G356" s="66"/>
      <c r="H356" s="66">
        <f>H219</f>
        <v>0.54249999999999998</v>
      </c>
      <c r="I356" s="108"/>
      <c r="J356" s="273">
        <f>H356*D356</f>
        <v>1.085</v>
      </c>
    </row>
    <row r="357" spans="1:10" x14ac:dyDescent="0.2">
      <c r="A357" s="15"/>
      <c r="B357" s="61"/>
      <c r="C357" s="15"/>
      <c r="D357" s="66"/>
      <c r="E357" s="66"/>
      <c r="F357" s="66"/>
      <c r="G357" s="66"/>
      <c r="H357" s="66"/>
      <c r="I357" s="223" t="s">
        <v>452</v>
      </c>
      <c r="J357" s="229">
        <f>SUM(J356)</f>
        <v>1.085</v>
      </c>
    </row>
    <row r="358" spans="1:10" x14ac:dyDescent="0.2">
      <c r="A358" s="15"/>
      <c r="B358" s="61"/>
      <c r="C358" s="15"/>
      <c r="D358" s="66"/>
      <c r="E358" s="66"/>
      <c r="F358" s="66"/>
      <c r="G358" s="66"/>
      <c r="H358" s="66"/>
      <c r="I358" s="108"/>
      <c r="J358" s="232"/>
    </row>
    <row r="359" spans="1:10" x14ac:dyDescent="0.2">
      <c r="A359" s="17" t="str">
        <f>'PLANILHA ORÇAMENTÁRIA'!A98</f>
        <v>12.2</v>
      </c>
      <c r="B359" s="14" t="str">
        <f>'PLANILHA ORÇAMENTÁRIA'!D98</f>
        <v>ACABAMENTOS</v>
      </c>
      <c r="C359" s="15"/>
      <c r="D359" s="66"/>
      <c r="E359" s="66"/>
      <c r="F359" s="66"/>
      <c r="G359" s="222"/>
      <c r="H359" s="212"/>
      <c r="I359" s="186"/>
      <c r="J359" s="199"/>
    </row>
    <row r="360" spans="1:10" ht="38.25" x14ac:dyDescent="0.2">
      <c r="A360" s="15" t="str">
        <f>'PLANILHA ORÇAMENTÁRIA'!A99</f>
        <v>12.2.1</v>
      </c>
      <c r="B360" s="118" t="str">
        <f>'PLANILHA ORÇAMENTÁRIA'!D99</f>
        <v>Porcelanato natural, acabamento acetinado, dim. 60x60cm, ref. PLATINA NA Eliane/equiv, utilizando dupla colagem de argamassa colante para porcelanato tipo ACIII e rejunte 1mm para porcelanato</v>
      </c>
      <c r="C360" s="15" t="str">
        <f>'PLANILHA ORÇAMENTÁRIA'!E99</f>
        <v>m2</v>
      </c>
      <c r="D360" s="66" t="s">
        <v>441</v>
      </c>
      <c r="E360" s="66" t="s">
        <v>442</v>
      </c>
      <c r="F360" s="66" t="s">
        <v>443</v>
      </c>
      <c r="G360" s="66" t="s">
        <v>444</v>
      </c>
      <c r="H360" s="66" t="s">
        <v>445</v>
      </c>
      <c r="I360" s="66" t="s">
        <v>446</v>
      </c>
      <c r="J360" s="67" t="s">
        <v>447</v>
      </c>
    </row>
    <row r="361" spans="1:10" ht="25.5" x14ac:dyDescent="0.2">
      <c r="A361" s="15"/>
      <c r="B361" s="118"/>
      <c r="C361" s="15"/>
      <c r="D361" s="66"/>
      <c r="E361" s="66"/>
      <c r="F361" s="66"/>
      <c r="G361" s="66"/>
      <c r="H361" s="66"/>
      <c r="I361" s="66" t="s">
        <v>453</v>
      </c>
      <c r="J361" s="67"/>
    </row>
    <row r="362" spans="1:10" x14ac:dyDescent="0.2">
      <c r="A362" s="15"/>
      <c r="B362" s="182" t="s">
        <v>448</v>
      </c>
      <c r="C362" s="15"/>
      <c r="D362" s="66"/>
      <c r="E362" s="66"/>
      <c r="F362" s="66">
        <f>(2.94+2.9+2.94+2.9+1.06+1.06+1.6+1.6+1.15+1.15)</f>
        <v>19.299999999999997</v>
      </c>
      <c r="G362" s="66">
        <v>1.85</v>
      </c>
      <c r="H362" s="66">
        <f>F362*G362</f>
        <v>35.704999999999998</v>
      </c>
      <c r="I362" s="66">
        <f>(0.7*1.85)+(0.6*1.85*2)</f>
        <v>3.5150000000000001</v>
      </c>
      <c r="J362" s="67">
        <f>H362-I362</f>
        <v>32.19</v>
      </c>
    </row>
    <row r="363" spans="1:10" x14ac:dyDescent="0.2">
      <c r="A363" s="15"/>
      <c r="B363" s="183" t="s">
        <v>449</v>
      </c>
      <c r="C363" s="15"/>
      <c r="D363" s="66"/>
      <c r="E363" s="66"/>
      <c r="F363" s="66">
        <f>(2.94+2.94+4.2+4.2+1.98+1.98+1.46+1.46+1.46+1.46+2.94+2.94+1.13+1.13)</f>
        <v>32.220000000000006</v>
      </c>
      <c r="G363" s="66">
        <v>1.85</v>
      </c>
      <c r="H363" s="66">
        <f>(F363*G363)</f>
        <v>59.607000000000014</v>
      </c>
      <c r="I363" s="66">
        <f>(0.7*1.85)+(0.6*1.85*8)</f>
        <v>10.175000000000001</v>
      </c>
      <c r="J363" s="67">
        <f t="shared" ref="J363:J364" si="12">H363-I363</f>
        <v>49.432000000000016</v>
      </c>
    </row>
    <row r="364" spans="1:10" x14ac:dyDescent="0.2">
      <c r="A364" s="15"/>
      <c r="B364" s="183" t="s">
        <v>450</v>
      </c>
      <c r="C364" s="15"/>
      <c r="D364" s="66"/>
      <c r="E364" s="66"/>
      <c r="F364" s="66">
        <f>(1.11+1.11+2.43+2.43)</f>
        <v>7.08</v>
      </c>
      <c r="G364" s="66">
        <v>1.85</v>
      </c>
      <c r="H364" s="66">
        <f>(F364*G364)</f>
        <v>13.098000000000001</v>
      </c>
      <c r="I364" s="66">
        <f>(0.6*1.85)+1.11*0.16</f>
        <v>1.2876000000000001</v>
      </c>
      <c r="J364" s="67">
        <f t="shared" si="12"/>
        <v>11.810400000000001</v>
      </c>
    </row>
    <row r="365" spans="1:10" x14ac:dyDescent="0.2">
      <c r="A365" s="15"/>
      <c r="B365" s="16"/>
      <c r="C365" s="15"/>
      <c r="D365" s="66"/>
      <c r="E365" s="66"/>
      <c r="F365" s="66"/>
      <c r="G365" s="66"/>
      <c r="H365" s="66"/>
      <c r="I365" s="64" t="s">
        <v>452</v>
      </c>
      <c r="J365" s="65">
        <f>SUM(J362:J364)</f>
        <v>93.432400000000015</v>
      </c>
    </row>
    <row r="366" spans="1:10" x14ac:dyDescent="0.2">
      <c r="A366" s="15"/>
      <c r="B366" s="61"/>
      <c r="C366" s="15"/>
      <c r="D366" s="66"/>
      <c r="E366" s="66"/>
      <c r="F366" s="66"/>
      <c r="G366" s="222"/>
      <c r="H366" s="212"/>
      <c r="I366" s="186"/>
      <c r="J366" s="199"/>
    </row>
    <row r="367" spans="1:10" ht="25.5" x14ac:dyDescent="0.2">
      <c r="A367" s="17" t="str">
        <f>'PLANILHA ORÇAMENTÁRIA'!A100</f>
        <v>12.3</v>
      </c>
      <c r="B367" s="14" t="str">
        <f>'PLANILHA ORÇAMENTÁRIA'!D100</f>
        <v>REVESTIMENTO EMPREGANDO ARGAMASSA DE CIMENTO, CAL E AREIA</v>
      </c>
      <c r="C367" s="15"/>
      <c r="D367" s="66"/>
      <c r="E367" s="66"/>
      <c r="F367" s="66"/>
      <c r="G367" s="222"/>
      <c r="H367" s="212"/>
      <c r="I367" s="186"/>
      <c r="J367" s="199"/>
    </row>
    <row r="368" spans="1:10" ht="25.5" x14ac:dyDescent="0.2">
      <c r="A368" s="15" t="str">
        <f>'PLANILHA ORÇAMENTÁRIA'!A101</f>
        <v>12.3.1</v>
      </c>
      <c r="B368" s="118" t="str">
        <f>'PLANILHA ORÇAMENTÁRIA'!D101</f>
        <v>Chapisco de argamassa de cimento e areia média ou grossa lavada no traço 1:3, espessura 5mm, com utilização de impermeabilizante</v>
      </c>
      <c r="C368" s="15" t="str">
        <f>'PLANILHA ORÇAMENTÁRIA'!E101</f>
        <v>m2</v>
      </c>
      <c r="D368" s="66" t="s">
        <v>441</v>
      </c>
      <c r="E368" s="66" t="s">
        <v>442</v>
      </c>
      <c r="F368" s="66" t="s">
        <v>443</v>
      </c>
      <c r="G368" s="66" t="s">
        <v>444</v>
      </c>
      <c r="H368" s="66" t="s">
        <v>445</v>
      </c>
      <c r="I368" s="66" t="s">
        <v>446</v>
      </c>
      <c r="J368" s="67" t="s">
        <v>447</v>
      </c>
    </row>
    <row r="369" spans="1:10" x14ac:dyDescent="0.2">
      <c r="A369" s="15"/>
      <c r="B369" s="61" t="s">
        <v>458</v>
      </c>
      <c r="C369" s="15"/>
      <c r="D369" s="66"/>
      <c r="E369" s="67">
        <f>20.18+6.82+3.12+2.84+9</f>
        <v>41.96</v>
      </c>
      <c r="F369" s="66"/>
      <c r="G369" s="222">
        <v>0.6</v>
      </c>
      <c r="H369" s="212">
        <f>E369*G369</f>
        <v>25.175999999999998</v>
      </c>
      <c r="I369" s="186"/>
      <c r="J369" s="199">
        <f>H369</f>
        <v>25.175999999999998</v>
      </c>
    </row>
    <row r="370" spans="1:10" x14ac:dyDescent="0.2">
      <c r="A370" s="15"/>
      <c r="B370" s="61"/>
      <c r="C370" s="15"/>
      <c r="D370" s="66"/>
      <c r="E370" s="66"/>
      <c r="F370" s="66"/>
      <c r="G370" s="222"/>
      <c r="H370" s="212"/>
      <c r="I370" s="186"/>
      <c r="J370" s="199"/>
    </row>
    <row r="371" spans="1:10" x14ac:dyDescent="0.2">
      <c r="A371" s="15"/>
      <c r="B371" s="61"/>
      <c r="C371" s="15"/>
      <c r="D371" s="66"/>
      <c r="E371" s="66"/>
      <c r="F371" s="66"/>
      <c r="G371" s="231"/>
      <c r="H371" s="228"/>
      <c r="I371" s="223" t="s">
        <v>452</v>
      </c>
      <c r="J371" s="229">
        <f>SUM(J369:J370)</f>
        <v>25.175999999999998</v>
      </c>
    </row>
    <row r="372" spans="1:10" x14ac:dyDescent="0.2">
      <c r="A372" s="15"/>
      <c r="B372" s="61"/>
      <c r="C372" s="15"/>
      <c r="D372" s="66"/>
      <c r="E372" s="66"/>
      <c r="F372" s="66"/>
      <c r="G372" s="66"/>
      <c r="H372" s="66"/>
      <c r="I372" s="108"/>
      <c r="J372" s="232"/>
    </row>
    <row r="373" spans="1:10" ht="25.5" x14ac:dyDescent="0.2">
      <c r="A373" s="15" t="str">
        <f>'PLANILHA ORÇAMENTÁRIA'!A102</f>
        <v>12.3.2</v>
      </c>
      <c r="B373" s="286" t="str">
        <f>'PLANILHA ORÇAMENTÁRIA'!D102</f>
        <v>Reboco tipo paulista de argamassa de cimento, cal hidratada CH1 e areia média ou grossa lavada no traço 1:0.5:6, espessura 25 mm</v>
      </c>
      <c r="C373" s="15" t="str">
        <f>'PLANILHA ORÇAMENTÁRIA'!E102</f>
        <v>m2</v>
      </c>
      <c r="D373" s="66" t="s">
        <v>441</v>
      </c>
      <c r="E373" s="66" t="s">
        <v>442</v>
      </c>
      <c r="F373" s="66" t="s">
        <v>443</v>
      </c>
      <c r="G373" s="66" t="s">
        <v>444</v>
      </c>
      <c r="H373" s="66" t="s">
        <v>445</v>
      </c>
      <c r="I373" s="66" t="s">
        <v>446</v>
      </c>
      <c r="J373" s="67" t="s">
        <v>447</v>
      </c>
    </row>
    <row r="374" spans="1:10" x14ac:dyDescent="0.2">
      <c r="A374" s="15"/>
      <c r="B374" s="61" t="s">
        <v>532</v>
      </c>
      <c r="C374" s="15"/>
      <c r="D374" s="66"/>
      <c r="E374" s="66"/>
      <c r="F374" s="66"/>
      <c r="G374" s="66"/>
      <c r="H374" s="66">
        <f>H356</f>
        <v>0.54249999999999998</v>
      </c>
      <c r="I374" s="108"/>
      <c r="J374" s="273">
        <f>H374</f>
        <v>0.54249999999999998</v>
      </c>
    </row>
    <row r="375" spans="1:10" x14ac:dyDescent="0.2">
      <c r="A375" s="15"/>
      <c r="B375" s="61"/>
      <c r="C375" s="15"/>
      <c r="D375" s="66"/>
      <c r="E375" s="66"/>
      <c r="F375" s="66"/>
      <c r="G375" s="66"/>
      <c r="H375" s="66"/>
      <c r="I375" s="223" t="s">
        <v>452</v>
      </c>
      <c r="J375" s="229">
        <f>SUM(J373:J374)</f>
        <v>0.54249999999999998</v>
      </c>
    </row>
    <row r="376" spans="1:10" x14ac:dyDescent="0.2">
      <c r="A376" s="15"/>
      <c r="B376" s="61"/>
      <c r="C376" s="15"/>
      <c r="D376" s="66"/>
      <c r="E376" s="66"/>
      <c r="F376" s="66"/>
      <c r="G376" s="66"/>
      <c r="H376" s="66"/>
      <c r="I376" s="108"/>
      <c r="J376" s="63"/>
    </row>
    <row r="377" spans="1:10" x14ac:dyDescent="0.2">
      <c r="A377" s="220">
        <f>'PLANILHA ORÇAMENTÁRIA'!A104</f>
        <v>13</v>
      </c>
      <c r="B377" s="7" t="str">
        <f>'PLANILHA ORÇAMENTÁRIA'!D104</f>
        <v>PISOS INTERNOS E EXTERNOS</v>
      </c>
      <c r="C377" s="7"/>
      <c r="D377" s="7"/>
      <c r="E377" s="7"/>
      <c r="F377" s="7"/>
      <c r="G377" s="7"/>
      <c r="H377" s="7"/>
      <c r="I377" s="7"/>
      <c r="J377" s="7"/>
    </row>
    <row r="378" spans="1:10" x14ac:dyDescent="0.2">
      <c r="A378" s="17" t="str">
        <f>'PLANILHA ORÇAMENTÁRIA'!A105</f>
        <v>13.1</v>
      </c>
      <c r="B378" s="14" t="str">
        <f>'PLANILHA ORÇAMENTÁRIA'!D105</f>
        <v>ACABAMENTOS</v>
      </c>
      <c r="C378" s="15"/>
      <c r="D378" s="66"/>
      <c r="E378" s="66"/>
      <c r="F378" s="66"/>
      <c r="G378" s="222"/>
      <c r="H378" s="66"/>
      <c r="I378" s="108"/>
      <c r="J378" s="63"/>
    </row>
    <row r="379" spans="1:10" ht="51.75" customHeight="1" x14ac:dyDescent="0.2">
      <c r="A379" s="15" t="str">
        <f>'PLANILHA ORÇAMENTÁRIA'!A106</f>
        <v>13.1.1</v>
      </c>
      <c r="B379" s="118" t="str">
        <f>'PLANILHA ORÇAMENTÁRIA'!D106</f>
        <v>Piso argamassa alta resistência tipo granilite ou equiv de qualidade comprovada, esp de 10mm, com juntas plástica em quadros de 1m, na cor natural, com acabamento anti-derrapante mecanizado, inclusive regularização e=3.0cm</v>
      </c>
      <c r="C379" s="15" t="str">
        <f>'PLANILHA ORÇAMENTÁRIA'!E106</f>
        <v>m2</v>
      </c>
      <c r="D379" s="66" t="s">
        <v>441</v>
      </c>
      <c r="E379" s="66" t="s">
        <v>442</v>
      </c>
      <c r="F379" s="66" t="s">
        <v>443</v>
      </c>
      <c r="G379" s="66" t="s">
        <v>444</v>
      </c>
      <c r="H379" s="66" t="s">
        <v>445</v>
      </c>
      <c r="I379" s="66" t="s">
        <v>446</v>
      </c>
      <c r="J379" s="67" t="s">
        <v>447</v>
      </c>
    </row>
    <row r="380" spans="1:10" x14ac:dyDescent="0.2">
      <c r="A380" s="15"/>
      <c r="B380" s="61" t="s">
        <v>451</v>
      </c>
      <c r="C380" s="15"/>
      <c r="D380" s="66"/>
      <c r="E380" s="66"/>
      <c r="F380" s="66"/>
      <c r="G380" s="66"/>
      <c r="H380" s="66">
        <v>30.3</v>
      </c>
      <c r="I380" s="66"/>
      <c r="J380" s="67">
        <f>H380</f>
        <v>30.3</v>
      </c>
    </row>
    <row r="381" spans="1:10" x14ac:dyDescent="0.2">
      <c r="A381" s="15"/>
      <c r="B381" s="61" t="s">
        <v>468</v>
      </c>
      <c r="C381" s="15"/>
      <c r="D381" s="67"/>
      <c r="E381" s="67"/>
      <c r="F381" s="67"/>
      <c r="G381" s="67"/>
      <c r="H381" s="67">
        <v>341.5</v>
      </c>
      <c r="I381" s="67"/>
      <c r="J381" s="67">
        <f>H381</f>
        <v>341.5</v>
      </c>
    </row>
    <row r="382" spans="1:10" x14ac:dyDescent="0.2">
      <c r="A382" s="15"/>
      <c r="B382" s="61" t="s">
        <v>469</v>
      </c>
      <c r="C382" s="15"/>
      <c r="D382" s="67"/>
      <c r="E382" s="67"/>
      <c r="F382" s="67"/>
      <c r="G382" s="67"/>
      <c r="H382" s="67">
        <v>13.08</v>
      </c>
      <c r="I382" s="67"/>
      <c r="J382" s="67">
        <f t="shared" ref="J382:J387" si="13">H382</f>
        <v>13.08</v>
      </c>
    </row>
    <row r="383" spans="1:10" x14ac:dyDescent="0.2">
      <c r="A383" s="15"/>
      <c r="B383" s="61" t="s">
        <v>470</v>
      </c>
      <c r="C383" s="15"/>
      <c r="D383" s="67"/>
      <c r="E383" s="67"/>
      <c r="F383" s="67"/>
      <c r="G383" s="67"/>
      <c r="H383" s="67">
        <v>36.03</v>
      </c>
      <c r="I383" s="67"/>
      <c r="J383" s="67">
        <f t="shared" si="13"/>
        <v>36.03</v>
      </c>
    </row>
    <row r="384" spans="1:10" x14ac:dyDescent="0.2">
      <c r="A384" s="15"/>
      <c r="B384" s="61" t="s">
        <v>471</v>
      </c>
      <c r="C384" s="15"/>
      <c r="D384" s="67"/>
      <c r="E384" s="67"/>
      <c r="F384" s="67"/>
      <c r="G384" s="67"/>
      <c r="H384" s="67">
        <v>21.9</v>
      </c>
      <c r="I384" s="67"/>
      <c r="J384" s="67">
        <f t="shared" si="13"/>
        <v>21.9</v>
      </c>
    </row>
    <row r="385" spans="1:10" x14ac:dyDescent="0.2">
      <c r="A385" s="15"/>
      <c r="B385" s="61" t="s">
        <v>464</v>
      </c>
      <c r="C385" s="15"/>
      <c r="D385" s="67"/>
      <c r="E385" s="67"/>
      <c r="F385" s="67"/>
      <c r="G385" s="67"/>
      <c r="H385" s="67">
        <v>24.6</v>
      </c>
      <c r="I385" s="67"/>
      <c r="J385" s="67">
        <f t="shared" si="13"/>
        <v>24.6</v>
      </c>
    </row>
    <row r="386" spans="1:10" x14ac:dyDescent="0.2">
      <c r="A386" s="15"/>
      <c r="B386" s="61" t="s">
        <v>472</v>
      </c>
      <c r="C386" s="15"/>
      <c r="D386" s="67"/>
      <c r="E386" s="67"/>
      <c r="F386" s="67"/>
      <c r="G386" s="67"/>
      <c r="H386" s="67">
        <v>7.13</v>
      </c>
      <c r="I386" s="67"/>
      <c r="J386" s="67">
        <f t="shared" si="13"/>
        <v>7.13</v>
      </c>
    </row>
    <row r="387" spans="1:10" x14ac:dyDescent="0.2">
      <c r="A387" s="15"/>
      <c r="B387" s="61" t="s">
        <v>533</v>
      </c>
      <c r="C387" s="15"/>
      <c r="D387" s="256"/>
      <c r="E387" s="256"/>
      <c r="F387" s="256"/>
      <c r="G387" s="256"/>
      <c r="H387" s="256">
        <v>23.68</v>
      </c>
      <c r="I387" s="256"/>
      <c r="J387" s="67">
        <f t="shared" si="13"/>
        <v>23.68</v>
      </c>
    </row>
    <row r="388" spans="1:10" x14ac:dyDescent="0.2">
      <c r="A388" s="15"/>
      <c r="B388" s="182" t="s">
        <v>474</v>
      </c>
      <c r="C388" s="252"/>
      <c r="D388" s="256"/>
      <c r="E388" s="256"/>
      <c r="F388" s="256"/>
      <c r="G388" s="256"/>
      <c r="H388" s="256">
        <v>2.4300000000000002</v>
      </c>
      <c r="I388" s="256"/>
      <c r="J388" s="256">
        <f>H388</f>
        <v>2.4300000000000002</v>
      </c>
    </row>
    <row r="389" spans="1:10" x14ac:dyDescent="0.2">
      <c r="A389" s="15"/>
      <c r="B389" s="182" t="s">
        <v>481</v>
      </c>
      <c r="C389" s="252"/>
      <c r="D389" s="256"/>
      <c r="E389" s="256"/>
      <c r="F389" s="256"/>
      <c r="G389" s="256"/>
      <c r="H389" s="256">
        <v>8.5299999999999994</v>
      </c>
      <c r="I389" s="256"/>
      <c r="J389" s="256">
        <f>H389</f>
        <v>8.5299999999999994</v>
      </c>
    </row>
    <row r="390" spans="1:10" x14ac:dyDescent="0.2">
      <c r="A390" s="15"/>
      <c r="B390" s="182" t="s">
        <v>449</v>
      </c>
      <c r="C390" s="252"/>
      <c r="D390" s="256"/>
      <c r="E390" s="256"/>
      <c r="F390" s="256"/>
      <c r="G390" s="256"/>
      <c r="H390" s="256">
        <v>12.35</v>
      </c>
      <c r="I390" s="256"/>
      <c r="J390" s="256">
        <f>H390</f>
        <v>12.35</v>
      </c>
    </row>
    <row r="391" spans="1:10" x14ac:dyDescent="0.2">
      <c r="A391" s="15"/>
      <c r="B391" s="61" t="s">
        <v>450</v>
      </c>
      <c r="C391" s="15"/>
      <c r="D391" s="256"/>
      <c r="E391" s="256"/>
      <c r="F391" s="256"/>
      <c r="G391" s="256"/>
      <c r="H391" s="256">
        <v>2.7</v>
      </c>
      <c r="I391" s="256"/>
      <c r="J391" s="256">
        <f>H391</f>
        <v>2.7</v>
      </c>
    </row>
    <row r="392" spans="1:10" x14ac:dyDescent="0.2">
      <c r="A392" s="15"/>
      <c r="B392" s="61"/>
      <c r="C392" s="15"/>
      <c r="D392" s="66"/>
      <c r="E392" s="66"/>
      <c r="F392" s="66"/>
      <c r="G392" s="222"/>
      <c r="H392" s="212"/>
      <c r="I392" s="64" t="s">
        <v>452</v>
      </c>
      <c r="J392" s="229">
        <f>SUM(J380:J391)</f>
        <v>524.23</v>
      </c>
    </row>
    <row r="393" spans="1:10" x14ac:dyDescent="0.2">
      <c r="A393" s="15"/>
      <c r="B393" s="61"/>
      <c r="C393" s="15"/>
      <c r="D393" s="66"/>
      <c r="E393" s="66"/>
      <c r="F393" s="66"/>
      <c r="G393" s="222"/>
      <c r="H393" s="212"/>
      <c r="I393" s="303"/>
      <c r="J393" s="326"/>
    </row>
    <row r="394" spans="1:10" x14ac:dyDescent="0.2">
      <c r="A394" s="17" t="str">
        <f>'PLANILHA ORÇAMENTÁRIA'!A107</f>
        <v>13.2</v>
      </c>
      <c r="B394" s="14" t="str">
        <f>'PLANILHA ORÇAMENTÁRIA'!D107</f>
        <v>DEGRAUS, RODAPÉS, SOLEIRAS E PEITORIS</v>
      </c>
      <c r="C394" s="15"/>
      <c r="D394" s="66"/>
      <c r="E394" s="66"/>
      <c r="F394" s="66"/>
      <c r="G394" s="222"/>
      <c r="H394" s="212"/>
      <c r="I394" s="186"/>
      <c r="J394" s="317"/>
    </row>
    <row r="395" spans="1:10" ht="25.5" x14ac:dyDescent="0.2">
      <c r="A395" s="15" t="str">
        <f>'PLANILHA ORÇAMENTÁRIA'!A108</f>
        <v>13.2.1</v>
      </c>
      <c r="B395" s="118" t="str">
        <f>'PLANILHA ORÇAMENTÁRIA'!D108</f>
        <v>Peitoril de granito cinza polido, 15 cm, esp. 3cm</v>
      </c>
      <c r="C395" s="15" t="str">
        <f>'PLANILHA ORÇAMENTÁRIA'!E108</f>
        <v>m</v>
      </c>
      <c r="D395" s="66" t="s">
        <v>441</v>
      </c>
      <c r="E395" s="311" t="s">
        <v>442</v>
      </c>
      <c r="F395" s="66" t="s">
        <v>443</v>
      </c>
      <c r="G395" s="66" t="s">
        <v>444</v>
      </c>
      <c r="H395" s="66" t="s">
        <v>445</v>
      </c>
      <c r="I395" s="66" t="s">
        <v>446</v>
      </c>
      <c r="J395" s="67" t="s">
        <v>447</v>
      </c>
    </row>
    <row r="396" spans="1:10" x14ac:dyDescent="0.2">
      <c r="A396" s="15"/>
      <c r="B396" s="61" t="s">
        <v>515</v>
      </c>
      <c r="C396" s="15"/>
      <c r="D396" s="66"/>
      <c r="E396" s="66">
        <v>1.45</v>
      </c>
      <c r="F396" s="66"/>
      <c r="G396" s="222"/>
      <c r="H396" s="228"/>
      <c r="I396" s="201"/>
      <c r="J396" s="230">
        <f>E396</f>
        <v>1.45</v>
      </c>
    </row>
    <row r="397" spans="1:10" x14ac:dyDescent="0.2">
      <c r="A397" s="15"/>
      <c r="B397" s="61" t="s">
        <v>517</v>
      </c>
      <c r="C397" s="15"/>
      <c r="D397" s="66"/>
      <c r="E397" s="66">
        <v>1.7</v>
      </c>
      <c r="F397" s="66"/>
      <c r="G397" s="222"/>
      <c r="H397" s="66"/>
      <c r="I397" s="24"/>
      <c r="J397" s="230">
        <f t="shared" ref="J397:J400" si="14">E397</f>
        <v>1.7</v>
      </c>
    </row>
    <row r="398" spans="1:10" x14ac:dyDescent="0.2">
      <c r="A398" s="15"/>
      <c r="B398" s="61" t="s">
        <v>516</v>
      </c>
      <c r="C398" s="15"/>
      <c r="D398" s="66"/>
      <c r="E398" s="66">
        <v>1.94</v>
      </c>
      <c r="F398" s="66"/>
      <c r="G398" s="222"/>
      <c r="H398" s="66"/>
      <c r="I398" s="24"/>
      <c r="J398" s="230">
        <f>E398</f>
        <v>1.94</v>
      </c>
    </row>
    <row r="399" spans="1:10" x14ac:dyDescent="0.2">
      <c r="A399" s="15"/>
      <c r="B399" s="470" t="s">
        <v>534</v>
      </c>
      <c r="C399" s="15"/>
      <c r="D399" s="66"/>
      <c r="E399" s="66">
        <v>0.6</v>
      </c>
      <c r="F399" s="66"/>
      <c r="G399" s="222"/>
      <c r="H399" s="66"/>
      <c r="I399" s="24"/>
      <c r="J399" s="230">
        <f t="shared" si="14"/>
        <v>0.6</v>
      </c>
    </row>
    <row r="400" spans="1:10" x14ac:dyDescent="0.2">
      <c r="A400" s="15"/>
      <c r="B400" s="472"/>
      <c r="C400" s="15"/>
      <c r="D400" s="66"/>
      <c r="E400" s="66">
        <v>0.75</v>
      </c>
      <c r="F400" s="66"/>
      <c r="G400" s="222"/>
      <c r="H400" s="226"/>
      <c r="I400" s="227"/>
      <c r="J400" s="230">
        <f t="shared" si="14"/>
        <v>0.75</v>
      </c>
    </row>
    <row r="401" spans="1:10" x14ac:dyDescent="0.2">
      <c r="A401" s="15"/>
      <c r="B401" s="61" t="s">
        <v>519</v>
      </c>
      <c r="C401" s="15"/>
      <c r="D401" s="66">
        <v>2</v>
      </c>
      <c r="E401" s="66">
        <v>0.8</v>
      </c>
      <c r="F401" s="66"/>
      <c r="G401" s="222"/>
      <c r="H401" s="212"/>
      <c r="I401" s="186"/>
      <c r="J401" s="230">
        <f>D401*E401</f>
        <v>1.6</v>
      </c>
    </row>
    <row r="402" spans="1:10" x14ac:dyDescent="0.2">
      <c r="A402" s="15"/>
      <c r="B402" s="61" t="s">
        <v>520</v>
      </c>
      <c r="C402" s="15"/>
      <c r="D402" s="66">
        <v>2</v>
      </c>
      <c r="E402" s="66">
        <v>0.8</v>
      </c>
      <c r="F402" s="66"/>
      <c r="G402" s="222"/>
      <c r="H402" s="212"/>
      <c r="I402" s="186"/>
      <c r="J402" s="230">
        <f>D402*E402</f>
        <v>1.6</v>
      </c>
    </row>
    <row r="403" spans="1:10" x14ac:dyDescent="0.2">
      <c r="A403" s="15"/>
      <c r="B403" s="61"/>
      <c r="C403" s="15"/>
      <c r="D403" s="66"/>
      <c r="E403" s="66"/>
      <c r="F403" s="66"/>
      <c r="G403" s="222"/>
      <c r="H403" s="228"/>
      <c r="I403" s="64" t="s">
        <v>452</v>
      </c>
      <c r="J403" s="65">
        <f>SUM(J396:J402)</f>
        <v>9.6399999999999988</v>
      </c>
    </row>
    <row r="404" spans="1:10" x14ac:dyDescent="0.2">
      <c r="A404" s="15"/>
      <c r="B404" s="61"/>
      <c r="C404" s="15"/>
      <c r="D404" s="66"/>
      <c r="E404" s="66"/>
      <c r="F404" s="66"/>
      <c r="G404" s="222"/>
      <c r="H404" s="212"/>
      <c r="I404" s="327"/>
      <c r="J404" s="326"/>
    </row>
    <row r="405" spans="1:10" ht="38.25" x14ac:dyDescent="0.2">
      <c r="A405" s="15" t="str">
        <f>'PLANILHA ORÇAMENTÁRIA'!A109</f>
        <v>13.2.2</v>
      </c>
      <c r="B405" s="118" t="str">
        <f>'PLANILHA ORÇAMENTÁRIA'!D109</f>
        <v>Rodapé de argamassa de alta resistência tipo granilite ou equivalente de qualidade comprovada, altura de 10 cm e espessura de 10 mm, com cantos boleados, executado com cimento e granitina grana N.1, inclusive polimento</v>
      </c>
      <c r="C405" s="15" t="str">
        <f>'PLANILHA ORÇAMENTÁRIA'!E109</f>
        <v>m</v>
      </c>
      <c r="D405" s="66" t="s">
        <v>441</v>
      </c>
      <c r="E405" s="66" t="s">
        <v>442</v>
      </c>
      <c r="F405" s="66" t="s">
        <v>443</v>
      </c>
      <c r="G405" s="66" t="s">
        <v>444</v>
      </c>
      <c r="H405" s="195" t="s">
        <v>445</v>
      </c>
      <c r="I405" s="66" t="s">
        <v>446</v>
      </c>
      <c r="J405" s="67" t="s">
        <v>447</v>
      </c>
    </row>
    <row r="406" spans="1:10" x14ac:dyDescent="0.2">
      <c r="A406" s="15"/>
      <c r="B406" s="61" t="s">
        <v>468</v>
      </c>
      <c r="C406" s="15"/>
      <c r="D406" s="66"/>
      <c r="E406" s="66">
        <v>90.4</v>
      </c>
      <c r="F406" s="66"/>
      <c r="G406" s="222"/>
      <c r="H406" s="228"/>
      <c r="I406" s="201"/>
      <c r="J406" s="230">
        <f>E406</f>
        <v>90.4</v>
      </c>
    </row>
    <row r="407" spans="1:10" x14ac:dyDescent="0.2">
      <c r="A407" s="15"/>
      <c r="B407" s="61" t="s">
        <v>466</v>
      </c>
      <c r="C407" s="15"/>
      <c r="D407" s="66"/>
      <c r="E407" s="66">
        <v>22.2</v>
      </c>
      <c r="F407" s="66"/>
      <c r="G407" s="222"/>
      <c r="H407" s="66"/>
      <c r="I407" s="24"/>
      <c r="J407" s="230">
        <f t="shared" ref="J407:J408" si="15">E407</f>
        <v>22.2</v>
      </c>
    </row>
    <row r="408" spans="1:10" x14ac:dyDescent="0.2">
      <c r="A408" s="15"/>
      <c r="B408" s="61" t="s">
        <v>472</v>
      </c>
      <c r="C408" s="15"/>
      <c r="D408" s="66"/>
      <c r="E408" s="66">
        <v>9.94</v>
      </c>
      <c r="F408" s="66"/>
      <c r="G408" s="222"/>
      <c r="H408" s="66"/>
      <c r="I408" s="24"/>
      <c r="J408" s="230">
        <f t="shared" si="15"/>
        <v>9.94</v>
      </c>
    </row>
    <row r="409" spans="1:10" x14ac:dyDescent="0.2">
      <c r="A409" s="15"/>
      <c r="B409" s="61"/>
      <c r="C409" s="15"/>
      <c r="D409" s="66"/>
      <c r="E409" s="66"/>
      <c r="F409" s="66"/>
      <c r="G409" s="222"/>
      <c r="H409" s="212"/>
      <c r="I409" s="64" t="s">
        <v>452</v>
      </c>
      <c r="J409" s="65">
        <f>SUM(J406:J408)</f>
        <v>122.54</v>
      </c>
    </row>
    <row r="410" spans="1:10" x14ac:dyDescent="0.2">
      <c r="A410" s="15"/>
      <c r="B410" s="61"/>
      <c r="C410" s="15"/>
      <c r="D410" s="66"/>
      <c r="E410" s="66"/>
      <c r="F410" s="66"/>
      <c r="G410" s="66"/>
      <c r="H410" s="66"/>
      <c r="I410" s="66"/>
      <c r="J410" s="66"/>
    </row>
    <row r="411" spans="1:10" ht="38.25" x14ac:dyDescent="0.2">
      <c r="A411" s="15" t="str">
        <f>'PLANILHA ORÇAMENTÁRIA'!A110</f>
        <v>13.2.3</v>
      </c>
      <c r="B411" s="118" t="str">
        <f>'PLANILHA ORÇAMENTÁRIA'!D110</f>
        <v>Soleira de argamassa de alta resistência tipo granilite ou equivalente de qualidade comprovada, largura de 15cm, executado com cimento e granitina grana N.1</v>
      </c>
      <c r="C411" s="15" t="str">
        <f>'PLANILHA ORÇAMENTÁRIA'!E110</f>
        <v>m</v>
      </c>
      <c r="D411" s="66" t="s">
        <v>441</v>
      </c>
      <c r="E411" s="66" t="s">
        <v>442</v>
      </c>
      <c r="F411" s="66" t="s">
        <v>443</v>
      </c>
      <c r="G411" s="66" t="s">
        <v>444</v>
      </c>
      <c r="H411" s="66" t="s">
        <v>445</v>
      </c>
      <c r="I411" s="66" t="s">
        <v>446</v>
      </c>
      <c r="J411" s="67" t="s">
        <v>447</v>
      </c>
    </row>
    <row r="412" spans="1:10" x14ac:dyDescent="0.2">
      <c r="A412" s="15"/>
      <c r="B412" s="61" t="s">
        <v>535</v>
      </c>
      <c r="C412" s="15"/>
      <c r="D412" s="66"/>
      <c r="E412" s="66">
        <v>3.55</v>
      </c>
      <c r="F412" s="66"/>
      <c r="G412" s="222"/>
      <c r="H412" s="66"/>
      <c r="I412" s="66"/>
      <c r="J412" s="66">
        <f>E412</f>
        <v>3.55</v>
      </c>
    </row>
    <row r="413" spans="1:10" x14ac:dyDescent="0.2">
      <c r="A413" s="15"/>
      <c r="B413" s="61" t="s">
        <v>536</v>
      </c>
      <c r="C413" s="15"/>
      <c r="D413" s="66"/>
      <c r="E413" s="66">
        <v>1</v>
      </c>
      <c r="F413" s="66"/>
      <c r="G413" s="66"/>
      <c r="H413" s="66"/>
      <c r="I413" s="66"/>
      <c r="J413" s="66">
        <f t="shared" ref="J413:J422" si="16">E413</f>
        <v>1</v>
      </c>
    </row>
    <row r="414" spans="1:10" x14ac:dyDescent="0.2">
      <c r="A414" s="15"/>
      <c r="B414" s="61" t="s">
        <v>537</v>
      </c>
      <c r="C414" s="15"/>
      <c r="D414" s="66"/>
      <c r="E414" s="66">
        <v>0.8</v>
      </c>
      <c r="F414" s="66"/>
      <c r="G414" s="222"/>
      <c r="H414" s="66"/>
      <c r="I414" s="66"/>
      <c r="J414" s="66">
        <f t="shared" si="16"/>
        <v>0.8</v>
      </c>
    </row>
    <row r="415" spans="1:10" x14ac:dyDescent="0.2">
      <c r="A415" s="15"/>
      <c r="B415" s="61" t="s">
        <v>538</v>
      </c>
      <c r="C415" s="15"/>
      <c r="D415" s="66"/>
      <c r="E415" s="66">
        <v>0.8</v>
      </c>
      <c r="F415" s="66"/>
      <c r="G415" s="222"/>
      <c r="H415" s="66"/>
      <c r="I415" s="66"/>
      <c r="J415" s="66">
        <f t="shared" si="16"/>
        <v>0.8</v>
      </c>
    </row>
    <row r="416" spans="1:10" x14ac:dyDescent="0.2">
      <c r="A416" s="15"/>
      <c r="B416" s="61" t="s">
        <v>539</v>
      </c>
      <c r="C416" s="15"/>
      <c r="D416" s="66"/>
      <c r="E416" s="66">
        <v>0.7</v>
      </c>
      <c r="F416" s="66"/>
      <c r="G416" s="222"/>
      <c r="H416" s="66"/>
      <c r="I416" s="66"/>
      <c r="J416" s="66">
        <f t="shared" si="16"/>
        <v>0.7</v>
      </c>
    </row>
    <row r="417" spans="1:10" x14ac:dyDescent="0.2">
      <c r="A417" s="15"/>
      <c r="B417" s="61" t="s">
        <v>540</v>
      </c>
      <c r="C417" s="15"/>
      <c r="D417" s="66"/>
      <c r="E417" s="66">
        <v>0.7</v>
      </c>
      <c r="F417" s="66"/>
      <c r="G417" s="222"/>
      <c r="H417" s="66"/>
      <c r="I417" s="66"/>
      <c r="J417" s="66">
        <f t="shared" si="16"/>
        <v>0.7</v>
      </c>
    </row>
    <row r="418" spans="1:10" x14ac:dyDescent="0.2">
      <c r="A418" s="15"/>
      <c r="B418" s="61" t="s">
        <v>541</v>
      </c>
      <c r="C418" s="15"/>
      <c r="D418" s="66"/>
      <c r="E418" s="66">
        <v>0.6</v>
      </c>
      <c r="F418" s="66"/>
      <c r="G418" s="222"/>
      <c r="H418" s="66"/>
      <c r="I418" s="66"/>
      <c r="J418" s="66">
        <f t="shared" si="16"/>
        <v>0.6</v>
      </c>
    </row>
    <row r="419" spans="1:10" x14ac:dyDescent="0.2">
      <c r="A419" s="15"/>
      <c r="B419" s="61" t="s">
        <v>542</v>
      </c>
      <c r="C419" s="15"/>
      <c r="D419" s="66"/>
      <c r="E419" s="66">
        <v>0.8</v>
      </c>
      <c r="F419" s="66"/>
      <c r="G419" s="222"/>
      <c r="H419" s="66"/>
      <c r="I419" s="66"/>
      <c r="J419" s="66">
        <f t="shared" si="16"/>
        <v>0.8</v>
      </c>
    </row>
    <row r="420" spans="1:10" x14ac:dyDescent="0.2">
      <c r="A420" s="15"/>
      <c r="B420" s="61" t="s">
        <v>543</v>
      </c>
      <c r="C420" s="15"/>
      <c r="D420" s="66"/>
      <c r="E420" s="66">
        <v>0.7</v>
      </c>
      <c r="F420" s="66"/>
      <c r="G420" s="222"/>
      <c r="H420" s="66"/>
      <c r="I420" s="66"/>
      <c r="J420" s="66">
        <f t="shared" si="16"/>
        <v>0.7</v>
      </c>
    </row>
    <row r="421" spans="1:10" x14ac:dyDescent="0.2">
      <c r="A421" s="15"/>
      <c r="B421" s="61" t="s">
        <v>544</v>
      </c>
      <c r="C421" s="15"/>
      <c r="D421" s="66"/>
      <c r="E421" s="66">
        <v>0.7</v>
      </c>
      <c r="F421" s="66"/>
      <c r="G421" s="222"/>
      <c r="H421" s="66"/>
      <c r="I421" s="66"/>
      <c r="J421" s="66">
        <f t="shared" si="16"/>
        <v>0.7</v>
      </c>
    </row>
    <row r="422" spans="1:10" x14ac:dyDescent="0.2">
      <c r="A422" s="15"/>
      <c r="B422" s="61" t="s">
        <v>545</v>
      </c>
      <c r="C422" s="15"/>
      <c r="D422" s="66"/>
      <c r="E422" s="66">
        <v>0.7</v>
      </c>
      <c r="F422" s="66"/>
      <c r="G422" s="222"/>
      <c r="H422" s="66"/>
      <c r="I422" s="66"/>
      <c r="J422" s="66">
        <f t="shared" si="16"/>
        <v>0.7</v>
      </c>
    </row>
    <row r="423" spans="1:10" x14ac:dyDescent="0.2">
      <c r="A423" s="15"/>
      <c r="B423" s="61"/>
      <c r="C423" s="15"/>
      <c r="D423" s="66"/>
      <c r="E423" s="66"/>
      <c r="F423" s="66"/>
      <c r="G423" s="222"/>
      <c r="H423" s="66"/>
      <c r="I423" s="64" t="s">
        <v>452</v>
      </c>
      <c r="J423" s="65">
        <f>SUM(J412:J422)</f>
        <v>11.049999999999999</v>
      </c>
    </row>
    <row r="424" spans="1:10" x14ac:dyDescent="0.2">
      <c r="A424" s="15"/>
      <c r="B424" s="61"/>
      <c r="C424" s="15"/>
      <c r="D424" s="66"/>
      <c r="E424" s="66"/>
      <c r="F424" s="66"/>
      <c r="G424" s="222"/>
      <c r="H424" s="212"/>
      <c r="I424" s="186"/>
      <c r="J424" s="199"/>
    </row>
    <row r="425" spans="1:10" x14ac:dyDescent="0.2">
      <c r="A425" s="220">
        <f>'PLANILHA ORÇAMENTÁRIA'!A112</f>
        <v>14</v>
      </c>
      <c r="B425" s="7" t="str">
        <f>'PLANILHA ORÇAMENTÁRIA'!D112</f>
        <v>INSTALAÇÕES HIDRO-SANITÁRIAS</v>
      </c>
      <c r="C425" s="7"/>
      <c r="D425" s="7"/>
      <c r="E425" s="7"/>
      <c r="F425" s="7"/>
      <c r="G425" s="7"/>
      <c r="H425" s="7"/>
      <c r="I425" s="7"/>
      <c r="J425" s="7"/>
    </row>
    <row r="426" spans="1:10" x14ac:dyDescent="0.2">
      <c r="A426" s="17" t="str">
        <f>'PLANILHA ORÇAMENTÁRIA'!A113</f>
        <v>14.1</v>
      </c>
      <c r="B426" s="14" t="str">
        <f>'PLANILHA ORÇAMENTÁRIA'!D113</f>
        <v>PONTOS HIDRO-SANITÁRIOS</v>
      </c>
      <c r="C426" s="15"/>
      <c r="D426" s="66"/>
      <c r="E426" s="66"/>
      <c r="F426" s="66"/>
      <c r="G426" s="222"/>
      <c r="H426" s="66"/>
      <c r="I426" s="108"/>
      <c r="J426" s="63"/>
    </row>
    <row r="427" spans="1:10" ht="25.5" x14ac:dyDescent="0.2">
      <c r="A427" s="15" t="str">
        <f>'PLANILHA ORÇAMENTÁRIA'!A114</f>
        <v>14.1.1</v>
      </c>
      <c r="B427" s="118" t="str">
        <f>'PLANILHA ORÇAMENTÁRIA'!D114</f>
        <v>Ponto de água fria (lavatório, tanque, pia de cozinha, etc...)</v>
      </c>
      <c r="C427" s="15" t="str">
        <f>'PLANILHA ORÇAMENTÁRIA'!E114</f>
        <v>pt</v>
      </c>
      <c r="D427" s="66" t="s">
        <v>441</v>
      </c>
      <c r="E427" s="66" t="s">
        <v>442</v>
      </c>
      <c r="F427" s="66" t="s">
        <v>443</v>
      </c>
      <c r="G427" s="66" t="s">
        <v>444</v>
      </c>
      <c r="H427" s="66" t="s">
        <v>445</v>
      </c>
      <c r="I427" s="66" t="s">
        <v>446</v>
      </c>
      <c r="J427" s="67" t="s">
        <v>447</v>
      </c>
    </row>
    <row r="428" spans="1:10" x14ac:dyDescent="0.2">
      <c r="A428" s="15"/>
      <c r="B428" s="61" t="s">
        <v>546</v>
      </c>
      <c r="C428" s="15"/>
      <c r="D428" s="66">
        <v>1</v>
      </c>
      <c r="E428" s="66"/>
      <c r="F428" s="66"/>
      <c r="G428" s="222"/>
      <c r="H428" s="212"/>
      <c r="I428" s="186"/>
      <c r="J428" s="199">
        <f>D428</f>
        <v>1</v>
      </c>
    </row>
    <row r="429" spans="1:10" x14ac:dyDescent="0.2">
      <c r="A429" s="15"/>
      <c r="B429" s="61"/>
      <c r="C429" s="15"/>
      <c r="D429" s="66"/>
      <c r="E429" s="66"/>
      <c r="F429" s="66"/>
      <c r="G429" s="222"/>
      <c r="H429" s="212"/>
      <c r="I429" s="64" t="s">
        <v>452</v>
      </c>
      <c r="J429" s="65">
        <f>SUM(J428)</f>
        <v>1</v>
      </c>
    </row>
    <row r="430" spans="1:10" x14ac:dyDescent="0.2">
      <c r="A430" s="15"/>
      <c r="B430" s="61"/>
      <c r="C430" s="15"/>
      <c r="D430" s="66"/>
      <c r="E430" s="66"/>
      <c r="F430" s="66"/>
      <c r="G430" s="222"/>
      <c r="H430" s="212"/>
      <c r="I430" s="186"/>
      <c r="J430" s="199"/>
    </row>
    <row r="431" spans="1:10" ht="25.5" x14ac:dyDescent="0.2">
      <c r="A431" s="15" t="str">
        <f>'PLANILHA ORÇAMENTÁRIA'!A115</f>
        <v>14.1.2</v>
      </c>
      <c r="B431" s="118" t="str">
        <f>'PLANILHA ORÇAMENTÁRIA'!D115</f>
        <v>Ponto para esgoto secundário (pia, lavatório, mictório, tanque, bidê, etc...)</v>
      </c>
      <c r="C431" s="15" t="str">
        <f>'PLANILHA ORÇAMENTÁRIA'!E115</f>
        <v>pt</v>
      </c>
      <c r="D431" s="66" t="s">
        <v>441</v>
      </c>
      <c r="E431" s="66" t="s">
        <v>442</v>
      </c>
      <c r="F431" s="66" t="s">
        <v>443</v>
      </c>
      <c r="G431" s="66" t="s">
        <v>444</v>
      </c>
      <c r="H431" s="66" t="s">
        <v>445</v>
      </c>
      <c r="I431" s="66" t="s">
        <v>446</v>
      </c>
      <c r="J431" s="67" t="s">
        <v>447</v>
      </c>
    </row>
    <row r="432" spans="1:10" x14ac:dyDescent="0.2">
      <c r="A432" s="15"/>
      <c r="B432" s="61" t="s">
        <v>546</v>
      </c>
      <c r="C432" s="15"/>
      <c r="D432" s="66">
        <v>1</v>
      </c>
      <c r="E432" s="66"/>
      <c r="F432" s="66"/>
      <c r="G432" s="222"/>
      <c r="H432" s="212"/>
      <c r="I432" s="186"/>
      <c r="J432" s="199">
        <f>D432</f>
        <v>1</v>
      </c>
    </row>
    <row r="433" spans="1:10" x14ac:dyDescent="0.2">
      <c r="A433" s="15"/>
      <c r="B433" s="158"/>
      <c r="C433" s="15"/>
      <c r="D433" s="66"/>
      <c r="E433" s="66"/>
      <c r="F433" s="66"/>
      <c r="G433" s="222"/>
      <c r="H433" s="212"/>
      <c r="I433" s="64" t="s">
        <v>452</v>
      </c>
      <c r="J433" s="65">
        <f>SUM(J432)</f>
        <v>1</v>
      </c>
    </row>
    <row r="434" spans="1:10" x14ac:dyDescent="0.2">
      <c r="A434" s="15"/>
      <c r="B434" s="158"/>
      <c r="C434" s="15"/>
      <c r="D434" s="66"/>
      <c r="E434" s="66"/>
      <c r="F434" s="66"/>
      <c r="G434" s="66"/>
      <c r="H434" s="66"/>
      <c r="I434" s="24"/>
      <c r="J434" s="24"/>
    </row>
    <row r="435" spans="1:10" x14ac:dyDescent="0.2">
      <c r="A435" s="17" t="str">
        <f>'PLANILHA ORÇAMENTÁRIA'!A116</f>
        <v>14.2</v>
      </c>
      <c r="B435" s="14" t="str">
        <f>'PLANILHA ORÇAMENTÁRIA'!D116</f>
        <v>REDE DE ESGOTO - TUBOS DE PVC</v>
      </c>
      <c r="C435" s="15"/>
      <c r="D435" s="66"/>
      <c r="E435" s="66"/>
      <c r="F435" s="66"/>
      <c r="G435" s="222"/>
      <c r="H435" s="66"/>
      <c r="I435" s="108"/>
      <c r="J435" s="63"/>
    </row>
    <row r="436" spans="1:10" ht="25.5" x14ac:dyDescent="0.2">
      <c r="A436" s="15" t="str">
        <f>'PLANILHA ORÇAMENTÁRIA'!A117</f>
        <v>14.2.1</v>
      </c>
      <c r="B436" s="118" t="str">
        <f>'PLANILHA ORÇAMENTÁRIA'!D117</f>
        <v>Tubo de PVC rígido soldável branco, para esgoto, diâmetro 150mm (6"), inclusive conexões</v>
      </c>
      <c r="C436" s="15" t="str">
        <f>'PLANILHA ORÇAMENTÁRIA'!E117</f>
        <v>m</v>
      </c>
      <c r="D436" s="66" t="s">
        <v>441</v>
      </c>
      <c r="E436" s="66" t="s">
        <v>442</v>
      </c>
      <c r="F436" s="66" t="s">
        <v>443</v>
      </c>
      <c r="G436" s="66" t="s">
        <v>444</v>
      </c>
      <c r="H436" s="66" t="s">
        <v>445</v>
      </c>
      <c r="I436" s="66" t="s">
        <v>446</v>
      </c>
      <c r="J436" s="67" t="s">
        <v>447</v>
      </c>
    </row>
    <row r="437" spans="1:10" x14ac:dyDescent="0.2">
      <c r="A437" s="15"/>
      <c r="B437" s="61" t="s">
        <v>547</v>
      </c>
      <c r="C437" s="15"/>
      <c r="D437" s="66">
        <v>3</v>
      </c>
      <c r="E437" s="66"/>
      <c r="F437" s="66"/>
      <c r="G437" s="66">
        <v>3.5</v>
      </c>
      <c r="H437" s="66"/>
      <c r="I437" s="24"/>
      <c r="J437" s="199">
        <f>D437*G437</f>
        <v>10.5</v>
      </c>
    </row>
    <row r="438" spans="1:10" x14ac:dyDescent="0.2">
      <c r="A438" s="15"/>
      <c r="B438" s="158"/>
      <c r="C438" s="15"/>
      <c r="D438" s="66"/>
      <c r="E438" s="66"/>
      <c r="F438" s="66"/>
      <c r="G438" s="66"/>
      <c r="H438" s="66"/>
      <c r="I438" s="64" t="s">
        <v>452</v>
      </c>
      <c r="J438" s="65">
        <f>SUM(J437)</f>
        <v>10.5</v>
      </c>
    </row>
    <row r="439" spans="1:10" x14ac:dyDescent="0.2">
      <c r="A439" s="15"/>
      <c r="B439" s="158"/>
      <c r="C439" s="15"/>
      <c r="D439" s="66"/>
      <c r="E439" s="66"/>
      <c r="F439" s="66"/>
      <c r="G439" s="66"/>
      <c r="H439" s="66"/>
      <c r="I439" s="24"/>
      <c r="J439" s="199"/>
    </row>
    <row r="440" spans="1:10" x14ac:dyDescent="0.2">
      <c r="A440" s="220">
        <f>'PLANILHA ORÇAMENTÁRIA'!A119</f>
        <v>15</v>
      </c>
      <c r="B440" s="7" t="str">
        <f>'PLANILHA ORÇAMENTÁRIA'!D119</f>
        <v>INSTALAÇÕES ELÉTRICAS</v>
      </c>
      <c r="C440" s="7"/>
      <c r="D440" s="7"/>
      <c r="E440" s="7"/>
      <c r="F440" s="7"/>
      <c r="G440" s="7"/>
      <c r="H440" s="7"/>
      <c r="I440" s="7"/>
      <c r="J440" s="7"/>
    </row>
    <row r="441" spans="1:10" x14ac:dyDescent="0.2">
      <c r="A441" s="17" t="str">
        <f>'PLANILHA ORÇAMENTÁRIA'!A120</f>
        <v>15.1</v>
      </c>
      <c r="B441" s="14" t="str">
        <f>'PLANILHA ORÇAMENTÁRIA'!D120</f>
        <v>QUADRO DE DISTRIBUIÇÃO</v>
      </c>
      <c r="C441" s="15"/>
      <c r="D441" s="66"/>
      <c r="E441" s="66"/>
      <c r="F441" s="66"/>
      <c r="G441" s="222"/>
      <c r="H441" s="66"/>
      <c r="I441" s="108"/>
      <c r="J441" s="63"/>
    </row>
    <row r="442" spans="1:10" ht="25.5" x14ac:dyDescent="0.2">
      <c r="A442" s="15" t="str">
        <f>'PLANILHA ORÇAMENTÁRIA'!A121</f>
        <v>15.1.1</v>
      </c>
      <c r="B442" s="118" t="str">
        <f>'PLANILHA ORÇAMENTÁRIA'!D121</f>
        <v>Quadro de distribuição de energia, de embutir, com 12 divisões modulares, sem barramento</v>
      </c>
      <c r="C442" s="15" t="str">
        <f>'PLANILHA ORÇAMENTÁRIA'!E121</f>
        <v>und</v>
      </c>
      <c r="D442" s="66" t="s">
        <v>441</v>
      </c>
      <c r="E442" s="66" t="s">
        <v>442</v>
      </c>
      <c r="F442" s="66" t="s">
        <v>443</v>
      </c>
      <c r="G442" s="66" t="s">
        <v>444</v>
      </c>
      <c r="H442" s="66" t="s">
        <v>445</v>
      </c>
      <c r="I442" s="66" t="s">
        <v>446</v>
      </c>
      <c r="J442" s="67" t="s">
        <v>447</v>
      </c>
    </row>
    <row r="443" spans="1:10" x14ac:dyDescent="0.2">
      <c r="B443" s="61" t="s">
        <v>548</v>
      </c>
      <c r="C443" s="15"/>
      <c r="D443" s="66">
        <v>1</v>
      </c>
      <c r="E443" s="66"/>
      <c r="F443" s="66"/>
      <c r="G443" s="66"/>
      <c r="H443" s="66"/>
      <c r="I443" s="24"/>
      <c r="J443" s="199">
        <f>D443</f>
        <v>1</v>
      </c>
    </row>
    <row r="444" spans="1:10" x14ac:dyDescent="0.2">
      <c r="A444" s="15"/>
      <c r="B444" s="158"/>
      <c r="C444" s="15"/>
      <c r="D444" s="66"/>
      <c r="E444" s="66"/>
      <c r="F444" s="66"/>
      <c r="G444" s="66"/>
      <c r="H444" s="66"/>
      <c r="I444" s="64" t="s">
        <v>452</v>
      </c>
      <c r="J444" s="65">
        <f>SUM(J443)</f>
        <v>1</v>
      </c>
    </row>
    <row r="445" spans="1:10" x14ac:dyDescent="0.2">
      <c r="A445" s="15"/>
      <c r="B445" s="158"/>
      <c r="C445" s="15"/>
      <c r="D445" s="66"/>
      <c r="E445" s="66"/>
      <c r="F445" s="66"/>
      <c r="G445" s="66"/>
      <c r="H445" s="66"/>
      <c r="I445" s="24"/>
      <c r="J445" s="199"/>
    </row>
    <row r="446" spans="1:10" x14ac:dyDescent="0.2">
      <c r="A446" s="17" t="str">
        <f>'PLANILHA ORÇAMENTÁRIA'!A122</f>
        <v>15.2</v>
      </c>
      <c r="B446" s="14" t="str">
        <f>'PLANILHA ORÇAMENTÁRIA'!D122</f>
        <v>ELETRODUTOS E CONEXÕES</v>
      </c>
      <c r="C446" s="15"/>
      <c r="D446" s="66"/>
      <c r="E446" s="66"/>
      <c r="F446" s="66"/>
      <c r="G446" s="66"/>
      <c r="H446" s="66"/>
      <c r="I446" s="24"/>
      <c r="J446" s="24"/>
    </row>
    <row r="447" spans="1:10" ht="25.5" x14ac:dyDescent="0.2">
      <c r="A447" s="15" t="str">
        <f>'PLANILHA ORÇAMENTÁRIA'!A123</f>
        <v>15.2.1</v>
      </c>
      <c r="B447" s="118" t="str">
        <f>'PLANILHA ORÇAMENTÁRIA'!D123</f>
        <v>Eletroduto flexível corrugado 3/4" , marca de referência TIGRE</v>
      </c>
      <c r="C447" s="15" t="str">
        <f>'PLANILHA ORÇAMENTÁRIA'!E123</f>
        <v>m</v>
      </c>
      <c r="D447" s="66" t="s">
        <v>441</v>
      </c>
      <c r="E447" s="66" t="s">
        <v>442</v>
      </c>
      <c r="F447" s="66" t="s">
        <v>443</v>
      </c>
      <c r="G447" s="66" t="s">
        <v>444</v>
      </c>
      <c r="H447" s="66" t="s">
        <v>445</v>
      </c>
      <c r="I447" s="66" t="s">
        <v>446</v>
      </c>
      <c r="J447" s="67" t="s">
        <v>447</v>
      </c>
    </row>
    <row r="448" spans="1:10" x14ac:dyDescent="0.2">
      <c r="A448" s="15"/>
      <c r="B448" s="61" t="s">
        <v>549</v>
      </c>
      <c r="C448" s="15"/>
      <c r="D448" s="66"/>
      <c r="E448" s="66">
        <f>J481</f>
        <v>11</v>
      </c>
      <c r="F448" s="66"/>
      <c r="G448" s="66"/>
      <c r="H448" s="66"/>
      <c r="I448" s="24"/>
      <c r="J448" s="199">
        <f>E448</f>
        <v>11</v>
      </c>
    </row>
    <row r="449" spans="1:10" x14ac:dyDescent="0.2">
      <c r="A449" s="15"/>
      <c r="B449" s="61"/>
      <c r="C449" s="15"/>
      <c r="D449" s="66"/>
      <c r="E449" s="66"/>
      <c r="F449" s="66"/>
      <c r="G449" s="66"/>
      <c r="H449" s="66"/>
      <c r="I449" s="64" t="s">
        <v>452</v>
      </c>
      <c r="J449" s="65">
        <f>SUM(J448)</f>
        <v>11</v>
      </c>
    </row>
    <row r="450" spans="1:10" x14ac:dyDescent="0.2">
      <c r="A450" s="17" t="str">
        <f>'PLANILHA ORÇAMENTÁRIA'!A124</f>
        <v>15.3</v>
      </c>
      <c r="B450" s="14" t="str">
        <f>'PLANILHA ORÇAMENTÁRIA'!D124</f>
        <v>CHAVES, FUSIVEIS E DISJUNTORES</v>
      </c>
      <c r="C450" s="15"/>
      <c r="D450" s="66"/>
      <c r="E450" s="66"/>
      <c r="F450" s="66"/>
      <c r="G450" s="66"/>
      <c r="H450" s="66"/>
      <c r="I450" s="24"/>
      <c r="J450" s="199"/>
    </row>
    <row r="451" spans="1:10" ht="25.5" x14ac:dyDescent="0.2">
      <c r="A451" s="15" t="str">
        <f>'PLANILHA ORÇAMENTÁRIA'!A125</f>
        <v>15.3.1</v>
      </c>
      <c r="B451" s="118" t="str">
        <f>'PLANILHA ORÇAMENTÁRIA'!D125</f>
        <v>Mini-Disjuntor monopolar 16 A, curva C - 5KA 220/127VCA (NBR IEC 60947-2), Ref. Siemens, GE, Schneider ou equivalente</v>
      </c>
      <c r="C451" s="15" t="str">
        <f>'PLANILHA ORÇAMENTÁRIA'!E125</f>
        <v>und</v>
      </c>
      <c r="D451" s="66" t="s">
        <v>441</v>
      </c>
      <c r="E451" s="66" t="s">
        <v>442</v>
      </c>
      <c r="F451" s="66" t="s">
        <v>443</v>
      </c>
      <c r="G451" s="66" t="s">
        <v>444</v>
      </c>
      <c r="H451" s="66" t="s">
        <v>445</v>
      </c>
      <c r="I451" s="66" t="s">
        <v>446</v>
      </c>
      <c r="J451" s="67" t="s">
        <v>447</v>
      </c>
    </row>
    <row r="452" spans="1:10" x14ac:dyDescent="0.2">
      <c r="A452" s="15"/>
      <c r="B452" s="158"/>
      <c r="C452" s="15"/>
      <c r="D452" s="66">
        <v>5</v>
      </c>
      <c r="E452" s="66"/>
      <c r="F452" s="66"/>
      <c r="G452" s="66"/>
      <c r="H452" s="66"/>
      <c r="I452" s="24"/>
      <c r="J452" s="199">
        <f>D452</f>
        <v>5</v>
      </c>
    </row>
    <row r="453" spans="1:10" x14ac:dyDescent="0.2">
      <c r="A453" s="15"/>
      <c r="B453" s="158"/>
      <c r="C453" s="15"/>
      <c r="D453" s="66"/>
      <c r="E453" s="66"/>
      <c r="F453" s="66"/>
      <c r="G453" s="66"/>
      <c r="H453" s="66"/>
      <c r="I453" s="64" t="s">
        <v>452</v>
      </c>
      <c r="J453" s="65">
        <f>SUM(J452)</f>
        <v>5</v>
      </c>
    </row>
    <row r="454" spans="1:10" x14ac:dyDescent="0.2">
      <c r="A454" s="15"/>
      <c r="B454" s="158"/>
      <c r="C454" s="15"/>
      <c r="D454" s="66"/>
      <c r="E454" s="66"/>
      <c r="F454" s="66"/>
      <c r="G454" s="66"/>
      <c r="H454" s="66"/>
      <c r="I454" s="24"/>
      <c r="J454" s="24"/>
    </row>
    <row r="455" spans="1:10" ht="25.5" x14ac:dyDescent="0.2">
      <c r="A455" s="15" t="str">
        <f>'PLANILHA ORÇAMENTÁRIA'!A126</f>
        <v>15.3.2</v>
      </c>
      <c r="B455" s="118" t="str">
        <f>'PLANILHA ORÇAMENTÁRIA'!D126</f>
        <v>Mini-Disjuntor monopolar 20 A, curva C - 5KA 220/127VCA (NBR IEC 60947-2), Ref. Siemens, GE, Schneider ou equivalente</v>
      </c>
      <c r="C455" s="15" t="str">
        <f>'PLANILHA ORÇAMENTÁRIA'!E126</f>
        <v>und</v>
      </c>
      <c r="D455" s="66" t="s">
        <v>441</v>
      </c>
      <c r="E455" s="66" t="s">
        <v>442</v>
      </c>
      <c r="F455" s="66" t="s">
        <v>443</v>
      </c>
      <c r="G455" s="66" t="s">
        <v>444</v>
      </c>
      <c r="H455" s="66" t="s">
        <v>445</v>
      </c>
      <c r="I455" s="66" t="s">
        <v>446</v>
      </c>
      <c r="J455" s="67" t="s">
        <v>447</v>
      </c>
    </row>
    <row r="456" spans="1:10" x14ac:dyDescent="0.2">
      <c r="A456" s="15"/>
      <c r="B456" s="158"/>
      <c r="C456" s="15"/>
      <c r="D456" s="66">
        <v>2</v>
      </c>
      <c r="E456" s="66"/>
      <c r="F456" s="66"/>
      <c r="G456" s="66"/>
      <c r="H456" s="66"/>
      <c r="I456" s="24"/>
      <c r="J456" s="199">
        <f>D456</f>
        <v>2</v>
      </c>
    </row>
    <row r="457" spans="1:10" x14ac:dyDescent="0.2">
      <c r="A457" s="15"/>
      <c r="B457" s="158"/>
      <c r="C457" s="15"/>
      <c r="D457" s="66"/>
      <c r="E457" s="66"/>
      <c r="F457" s="66"/>
      <c r="G457" s="66"/>
      <c r="H457" s="66"/>
      <c r="I457" s="64" t="s">
        <v>452</v>
      </c>
      <c r="J457" s="65">
        <f>SUM(J456)</f>
        <v>2</v>
      </c>
    </row>
    <row r="458" spans="1:10" x14ac:dyDescent="0.2">
      <c r="A458" s="15"/>
      <c r="B458" s="158"/>
      <c r="C458" s="15"/>
      <c r="D458" s="66"/>
      <c r="E458" s="66"/>
      <c r="F458" s="66"/>
      <c r="G458" s="66"/>
      <c r="H458" s="66"/>
      <c r="I458" s="24"/>
      <c r="J458" s="24"/>
    </row>
    <row r="459" spans="1:10" ht="25.5" x14ac:dyDescent="0.2">
      <c r="A459" s="15" t="str">
        <f>'PLANILHA ORÇAMENTÁRIA'!A127</f>
        <v>15.3.3</v>
      </c>
      <c r="B459" s="118" t="str">
        <f>'PLANILHA ORÇAMENTÁRIA'!D127</f>
        <v>Mini-Disjuntor monopolar 32 A, curva C - 5KA 220/127VCA (NBR IEC 60947-2), Ref. Siemens, GE, Schneider ou equivalente</v>
      </c>
      <c r="C459" s="15" t="str">
        <f>'PLANILHA ORÇAMENTÁRIA'!E127</f>
        <v>und</v>
      </c>
      <c r="D459" s="66" t="s">
        <v>441</v>
      </c>
      <c r="E459" s="66" t="s">
        <v>442</v>
      </c>
      <c r="F459" s="66" t="s">
        <v>443</v>
      </c>
      <c r="G459" s="66" t="s">
        <v>444</v>
      </c>
      <c r="H459" s="66" t="s">
        <v>445</v>
      </c>
      <c r="I459" s="66" t="s">
        <v>446</v>
      </c>
      <c r="J459" s="67" t="s">
        <v>447</v>
      </c>
    </row>
    <row r="460" spans="1:10" x14ac:dyDescent="0.2">
      <c r="A460" s="15"/>
      <c r="B460" s="158"/>
      <c r="C460" s="15"/>
      <c r="D460" s="66">
        <v>2</v>
      </c>
      <c r="E460" s="66"/>
      <c r="F460" s="66"/>
      <c r="G460" s="66"/>
      <c r="H460" s="66"/>
      <c r="I460" s="24"/>
      <c r="J460" s="199">
        <f>D460</f>
        <v>2</v>
      </c>
    </row>
    <row r="461" spans="1:10" x14ac:dyDescent="0.2">
      <c r="A461" s="15"/>
      <c r="B461" s="158"/>
      <c r="C461" s="15"/>
      <c r="D461" s="66"/>
      <c r="E461" s="66"/>
      <c r="F461" s="66"/>
      <c r="G461" s="66"/>
      <c r="H461" s="66"/>
      <c r="I461" s="64" t="s">
        <v>452</v>
      </c>
      <c r="J461" s="65">
        <f>SUM(J460)</f>
        <v>2</v>
      </c>
    </row>
    <row r="462" spans="1:10" x14ac:dyDescent="0.2">
      <c r="A462" s="15"/>
      <c r="B462" s="158"/>
      <c r="C462" s="15"/>
      <c r="D462" s="66"/>
      <c r="E462" s="66"/>
      <c r="F462" s="66"/>
      <c r="G462" s="66"/>
      <c r="H462" s="66"/>
      <c r="I462" s="24"/>
      <c r="J462" s="24"/>
    </row>
    <row r="463" spans="1:10" ht="25.5" x14ac:dyDescent="0.2">
      <c r="A463" s="15" t="str">
        <f>'PLANILHA ORÇAMENTÁRIA'!A128</f>
        <v>15.3.4</v>
      </c>
      <c r="B463" s="118" t="str">
        <f>'PLANILHA ORÇAMENTÁRIA'!D128</f>
        <v>Mini-Disjuntor monopolar 40 A, curva C - 5KA 220/127VCA (NBR IEC 60947-2), Ref. Siemens, GE, Schneider ou equivalente</v>
      </c>
      <c r="C463" s="15" t="str">
        <f>'PLANILHA ORÇAMENTÁRIA'!E128</f>
        <v>und</v>
      </c>
      <c r="D463" s="66" t="s">
        <v>441</v>
      </c>
      <c r="E463" s="66" t="s">
        <v>442</v>
      </c>
      <c r="F463" s="66" t="s">
        <v>443</v>
      </c>
      <c r="G463" s="66" t="s">
        <v>444</v>
      </c>
      <c r="H463" s="66" t="s">
        <v>445</v>
      </c>
      <c r="I463" s="66" t="s">
        <v>446</v>
      </c>
      <c r="J463" s="67" t="s">
        <v>447</v>
      </c>
    </row>
    <row r="464" spans="1:10" x14ac:dyDescent="0.2">
      <c r="A464" s="15"/>
      <c r="B464" s="158"/>
      <c r="C464" s="15"/>
      <c r="D464" s="66">
        <v>1</v>
      </c>
      <c r="E464" s="66"/>
      <c r="F464" s="66"/>
      <c r="G464" s="66"/>
      <c r="H464" s="66"/>
      <c r="I464" s="24"/>
      <c r="J464" s="199">
        <f>D464</f>
        <v>1</v>
      </c>
    </row>
    <row r="465" spans="1:10" x14ac:dyDescent="0.2">
      <c r="A465" s="15"/>
      <c r="B465" s="158"/>
      <c r="C465" s="15"/>
      <c r="D465" s="66"/>
      <c r="E465" s="66"/>
      <c r="F465" s="66"/>
      <c r="G465" s="66"/>
      <c r="H465" s="66"/>
      <c r="I465" s="64" t="s">
        <v>452</v>
      </c>
      <c r="J465" s="65">
        <f>SUM(J464)</f>
        <v>1</v>
      </c>
    </row>
    <row r="466" spans="1:10" x14ac:dyDescent="0.2">
      <c r="A466" s="15"/>
      <c r="B466" s="158"/>
      <c r="C466" s="15"/>
      <c r="D466" s="66"/>
      <c r="E466" s="66"/>
      <c r="F466" s="66"/>
      <c r="G466" s="66"/>
      <c r="H466" s="66"/>
      <c r="I466" s="24"/>
      <c r="J466" s="24"/>
    </row>
    <row r="467" spans="1:10" ht="25.5" x14ac:dyDescent="0.2">
      <c r="A467" s="15" t="str">
        <f>'PLANILHA ORÇAMENTÁRIA'!A129</f>
        <v>15.3.5</v>
      </c>
      <c r="B467" s="118" t="str">
        <f>'PLANILHA ORÇAMENTÁRIA'!D129</f>
        <v>Mini-Disjuntor bipolar 16 A, curva C - 5KA 220/127VCA (NBR IEC 60947-2), Ref. Siemens, GE, Schneider ou equivalente</v>
      </c>
      <c r="C467" s="15" t="str">
        <f>'PLANILHA ORÇAMENTÁRIA'!E129</f>
        <v>und</v>
      </c>
      <c r="D467" s="66" t="s">
        <v>441</v>
      </c>
      <c r="E467" s="66" t="s">
        <v>442</v>
      </c>
      <c r="F467" s="66" t="s">
        <v>443</v>
      </c>
      <c r="G467" s="66" t="s">
        <v>444</v>
      </c>
      <c r="H467" s="66" t="s">
        <v>445</v>
      </c>
      <c r="I467" s="66" t="s">
        <v>446</v>
      </c>
      <c r="J467" s="67" t="s">
        <v>447</v>
      </c>
    </row>
    <row r="468" spans="1:10" x14ac:dyDescent="0.2">
      <c r="A468" s="15"/>
      <c r="B468" s="158"/>
      <c r="C468" s="15"/>
      <c r="D468" s="66">
        <v>1</v>
      </c>
      <c r="E468" s="66"/>
      <c r="F468" s="66"/>
      <c r="G468" s="66"/>
      <c r="H468" s="66"/>
      <c r="I468" s="24"/>
      <c r="J468" s="199">
        <f>D468</f>
        <v>1</v>
      </c>
    </row>
    <row r="469" spans="1:10" x14ac:dyDescent="0.2">
      <c r="A469" s="15"/>
      <c r="B469" s="158"/>
      <c r="C469" s="15"/>
      <c r="D469" s="66"/>
      <c r="E469" s="66"/>
      <c r="F469" s="66"/>
      <c r="G469" s="66"/>
      <c r="H469" s="66"/>
      <c r="I469" s="64" t="s">
        <v>452</v>
      </c>
      <c r="J469" s="65">
        <f>SUM(J468)</f>
        <v>1</v>
      </c>
    </row>
    <row r="470" spans="1:10" x14ac:dyDescent="0.2">
      <c r="A470" s="15"/>
      <c r="B470" s="158"/>
      <c r="C470" s="15"/>
      <c r="D470" s="66"/>
      <c r="E470" s="66"/>
      <c r="F470" s="66"/>
      <c r="G470" s="66"/>
      <c r="H470" s="66"/>
      <c r="I470" s="24"/>
      <c r="J470" s="24"/>
    </row>
    <row r="471" spans="1:10" x14ac:dyDescent="0.2">
      <c r="A471" s="17" t="str">
        <f>'PLANILHA ORÇAMENTÁRIA'!A130</f>
        <v>15.4</v>
      </c>
      <c r="B471" s="14" t="str">
        <f>'PLANILHA ORÇAMENTÁRIA'!D130</f>
        <v>FIOS E CABOS</v>
      </c>
      <c r="C471" s="15"/>
      <c r="D471" s="66"/>
      <c r="E471" s="66"/>
      <c r="F471" s="66"/>
      <c r="G471" s="66"/>
      <c r="H471" s="66"/>
      <c r="I471" s="24"/>
      <c r="J471" s="24"/>
    </row>
    <row r="472" spans="1:10" ht="25.5" x14ac:dyDescent="0.2">
      <c r="A472" s="15" t="str">
        <f>'PLANILHA ORÇAMENTÁRIA'!A131</f>
        <v>15.4.1</v>
      </c>
      <c r="B472" s="118" t="str">
        <f>'PLANILHA ORÇAMENTÁRIA'!D131</f>
        <v>Fio de cobre termoplástico, com isolamento para 750V, seção de 2.5 mm2</v>
      </c>
      <c r="C472" s="15" t="str">
        <f>'PLANILHA ORÇAMENTÁRIA'!E131</f>
        <v>m</v>
      </c>
      <c r="D472" s="66" t="s">
        <v>441</v>
      </c>
      <c r="E472" s="66" t="s">
        <v>442</v>
      </c>
      <c r="F472" s="66" t="s">
        <v>443</v>
      </c>
      <c r="G472" s="66" t="s">
        <v>444</v>
      </c>
      <c r="H472" s="66" t="s">
        <v>445</v>
      </c>
      <c r="I472" s="66" t="s">
        <v>446</v>
      </c>
      <c r="J472" s="67" t="s">
        <v>447</v>
      </c>
    </row>
    <row r="473" spans="1:10" x14ac:dyDescent="0.2">
      <c r="A473" s="15"/>
      <c r="B473" s="61" t="s">
        <v>550</v>
      </c>
      <c r="C473" s="15"/>
      <c r="D473" s="66">
        <v>10</v>
      </c>
      <c r="E473" s="66">
        <v>33</v>
      </c>
      <c r="F473" s="66"/>
      <c r="G473" s="66"/>
      <c r="H473" s="66"/>
      <c r="I473" s="24"/>
      <c r="J473" s="199">
        <f>D473*E473</f>
        <v>330</v>
      </c>
    </row>
    <row r="474" spans="1:10" x14ac:dyDescent="0.2">
      <c r="A474" s="15"/>
      <c r="B474" s="158"/>
      <c r="C474" s="15"/>
      <c r="D474" s="66"/>
      <c r="E474" s="66"/>
      <c r="F474" s="66"/>
      <c r="G474" s="66"/>
      <c r="H474" s="66"/>
      <c r="I474" s="64" t="s">
        <v>452</v>
      </c>
      <c r="J474" s="65">
        <f>SUM(J473)</f>
        <v>330</v>
      </c>
    </row>
    <row r="475" spans="1:10" x14ac:dyDescent="0.2">
      <c r="A475" s="15"/>
      <c r="B475" s="158"/>
      <c r="C475" s="15"/>
      <c r="D475" s="66"/>
      <c r="E475" s="66"/>
      <c r="F475" s="66"/>
      <c r="G475" s="66"/>
      <c r="H475" s="66"/>
      <c r="I475" s="24"/>
      <c r="J475" s="24"/>
    </row>
    <row r="476" spans="1:10" ht="25.5" x14ac:dyDescent="0.2">
      <c r="A476" s="17" t="str">
        <f>'PLANILHA ORÇAMENTÁRIA'!A132</f>
        <v>15.5</v>
      </c>
      <c r="B476" s="14" t="str">
        <f>'PLANILHA ORÇAMENTÁRIA'!D132</f>
        <v>ABERTURA E FECHAMENTO DE RASGOS (inclusive preparo e aplicação de argamassa)</v>
      </c>
      <c r="C476" s="15"/>
      <c r="D476" s="66"/>
      <c r="E476" s="66"/>
      <c r="F476" s="66"/>
      <c r="G476" s="66"/>
      <c r="H476" s="66"/>
      <c r="I476" s="24"/>
      <c r="J476" s="24"/>
    </row>
    <row r="477" spans="1:10" ht="25.5" x14ac:dyDescent="0.2">
      <c r="A477" s="15" t="str">
        <f>'PLANILHA ORÇAMENTÁRIA'!A133</f>
        <v>15.5.1</v>
      </c>
      <c r="B477" s="118" t="str">
        <f>'PLANILHA ORÇAMENTÁRIA'!D133</f>
        <v>Abertura e fechamento de rasgos em alvenaria, para passagem de eletrodutos diâm. 1/2" a 1"</v>
      </c>
      <c r="C477" s="15" t="str">
        <f>'PLANILHA ORÇAMENTÁRIA'!E133</f>
        <v>m</v>
      </c>
      <c r="D477" s="66" t="s">
        <v>441</v>
      </c>
      <c r="E477" s="66" t="s">
        <v>442</v>
      </c>
      <c r="F477" s="66" t="s">
        <v>443</v>
      </c>
      <c r="G477" s="66" t="s">
        <v>444</v>
      </c>
      <c r="H477" s="66" t="s">
        <v>445</v>
      </c>
      <c r="I477" s="66" t="s">
        <v>446</v>
      </c>
      <c r="J477" s="67" t="s">
        <v>447</v>
      </c>
    </row>
    <row r="478" spans="1:10" x14ac:dyDescent="0.2">
      <c r="A478" s="15"/>
      <c r="B478" s="61" t="s">
        <v>467</v>
      </c>
      <c r="C478" s="15"/>
      <c r="D478" s="69"/>
      <c r="E478" s="66">
        <v>5</v>
      </c>
      <c r="F478" s="66"/>
      <c r="G478" s="66"/>
      <c r="H478" s="66"/>
      <c r="I478" s="24"/>
      <c r="J478" s="199">
        <f>E478</f>
        <v>5</v>
      </c>
    </row>
    <row r="479" spans="1:10" x14ac:dyDescent="0.2">
      <c r="A479" s="15"/>
      <c r="B479" s="61" t="s">
        <v>464</v>
      </c>
      <c r="C479" s="15"/>
      <c r="D479" s="69"/>
      <c r="E479" s="66">
        <v>2</v>
      </c>
      <c r="F479" s="66"/>
      <c r="G479" s="66"/>
      <c r="H479" s="66"/>
      <c r="I479" s="24"/>
      <c r="J479" s="199">
        <f t="shared" ref="J479:J480" si="17">E479</f>
        <v>2</v>
      </c>
    </row>
    <row r="480" spans="1:10" x14ac:dyDescent="0.2">
      <c r="A480" s="15"/>
      <c r="B480" s="61" t="s">
        <v>551</v>
      </c>
      <c r="C480" s="15"/>
      <c r="D480" s="69"/>
      <c r="E480" s="66">
        <v>4</v>
      </c>
      <c r="F480" s="66"/>
      <c r="G480" s="66"/>
      <c r="H480" s="66"/>
      <c r="I480" s="24"/>
      <c r="J480" s="199">
        <f t="shared" si="17"/>
        <v>4</v>
      </c>
    </row>
    <row r="481" spans="1:12" x14ac:dyDescent="0.2">
      <c r="A481" s="15"/>
      <c r="B481" s="61"/>
      <c r="C481" s="15"/>
      <c r="D481" s="66"/>
      <c r="E481" s="66"/>
      <c r="F481" s="66"/>
      <c r="G481" s="66"/>
      <c r="H481" s="66"/>
      <c r="I481" s="64" t="s">
        <v>452</v>
      </c>
      <c r="J481" s="65">
        <f>SUM(J478:J480)</f>
        <v>11</v>
      </c>
    </row>
    <row r="482" spans="1:12" x14ac:dyDescent="0.2">
      <c r="A482" s="15"/>
      <c r="B482" s="61"/>
      <c r="C482" s="15"/>
      <c r="D482" s="66"/>
      <c r="E482" s="66"/>
      <c r="F482" s="66"/>
      <c r="G482" s="66"/>
      <c r="H482" s="66"/>
      <c r="I482" s="24"/>
      <c r="J482" s="24"/>
    </row>
    <row r="483" spans="1:12" x14ac:dyDescent="0.2">
      <c r="A483" s="220">
        <f>'PLANILHA ORÇAMENTÁRIA'!A135</f>
        <v>16</v>
      </c>
      <c r="B483" s="7" t="str">
        <f>'PLANILHA ORÇAMENTÁRIA'!D135</f>
        <v>APARELHOS HIDRO-SANITÁRIOS</v>
      </c>
      <c r="C483" s="7"/>
      <c r="D483" s="7"/>
      <c r="E483" s="7"/>
      <c r="F483" s="7"/>
      <c r="G483" s="7"/>
      <c r="H483" s="7"/>
      <c r="I483" s="7"/>
      <c r="J483" s="7"/>
    </row>
    <row r="484" spans="1:12" x14ac:dyDescent="0.2">
      <c r="A484" s="17" t="str">
        <f>'PLANILHA ORÇAMENTÁRIA'!A136</f>
        <v>16.1</v>
      </c>
      <c r="B484" s="254" t="str">
        <f>'PLANILHA ORÇAMENTÁRIA'!D136</f>
        <v>LOUÇAS</v>
      </c>
      <c r="C484" s="15"/>
      <c r="D484" s="66"/>
      <c r="E484" s="66"/>
      <c r="F484" s="66"/>
      <c r="G484" s="222"/>
      <c r="H484" s="66"/>
      <c r="I484" s="108"/>
      <c r="J484" s="63"/>
    </row>
    <row r="485" spans="1:12" ht="25.5" x14ac:dyDescent="0.2">
      <c r="A485" s="15" t="str">
        <f>'PLANILHA ORÇAMENTÁRIA'!A137</f>
        <v>16.1.1</v>
      </c>
      <c r="B485" s="118" t="str">
        <f>'PLANILHA ORÇAMENTÁRIA'!D137</f>
        <v>Lavatório de louça branca, padrão popular, marcas de referência Deca, Celite ou Ideal Standard, inclusive acessórios em PVC, exceto torneira</v>
      </c>
      <c r="C485" s="15" t="str">
        <f>'PLANILHA ORÇAMENTÁRIA'!E137</f>
        <v xml:space="preserve">und </v>
      </c>
      <c r="D485" s="66" t="s">
        <v>441</v>
      </c>
      <c r="E485" s="66" t="s">
        <v>442</v>
      </c>
      <c r="F485" s="66" t="s">
        <v>443</v>
      </c>
      <c r="G485" s="66" t="s">
        <v>444</v>
      </c>
      <c r="H485" s="66" t="s">
        <v>445</v>
      </c>
      <c r="I485" s="66" t="s">
        <v>446</v>
      </c>
      <c r="J485" s="67" t="s">
        <v>447</v>
      </c>
    </row>
    <row r="486" spans="1:12" x14ac:dyDescent="0.2">
      <c r="A486" s="15"/>
      <c r="B486" s="182" t="s">
        <v>448</v>
      </c>
      <c r="C486" s="15"/>
      <c r="D486" s="71">
        <v>1</v>
      </c>
      <c r="E486" s="24"/>
      <c r="F486" s="24"/>
      <c r="G486" s="71"/>
      <c r="H486" s="71"/>
      <c r="I486" s="71"/>
      <c r="J486" s="71">
        <f>D486</f>
        <v>1</v>
      </c>
    </row>
    <row r="487" spans="1:12" x14ac:dyDescent="0.2">
      <c r="A487" s="15"/>
      <c r="B487" s="183" t="s">
        <v>552</v>
      </c>
      <c r="C487" s="15"/>
      <c r="D487" s="71">
        <v>1</v>
      </c>
      <c r="E487" s="24"/>
      <c r="F487" s="24"/>
      <c r="G487" s="71"/>
      <c r="H487" s="71"/>
      <c r="I487" s="71"/>
      <c r="J487" s="71">
        <f>D487</f>
        <v>1</v>
      </c>
    </row>
    <row r="488" spans="1:12" x14ac:dyDescent="0.2">
      <c r="A488" s="15"/>
      <c r="B488" s="16"/>
      <c r="C488" s="24"/>
      <c r="D488" s="69"/>
      <c r="E488" s="24"/>
      <c r="F488" s="24"/>
      <c r="G488" s="71"/>
      <c r="H488" s="71"/>
      <c r="I488" s="64" t="s">
        <v>452</v>
      </c>
      <c r="J488" s="65">
        <f>SUM(J486:J487)</f>
        <v>2</v>
      </c>
    </row>
    <row r="489" spans="1:12" x14ac:dyDescent="0.2">
      <c r="A489" s="15"/>
      <c r="B489" s="158"/>
      <c r="C489" s="15"/>
      <c r="D489" s="66"/>
      <c r="E489" s="66"/>
      <c r="F489" s="66"/>
      <c r="G489" s="66"/>
      <c r="H489" s="66"/>
      <c r="I489" s="24"/>
      <c r="J489" s="24"/>
    </row>
    <row r="490" spans="1:12" ht="38.25" x14ac:dyDescent="0.2">
      <c r="A490" s="15" t="str">
        <f>'PLANILHA ORÇAMENTÁRIA'!A138</f>
        <v>16.1.2</v>
      </c>
      <c r="B490" s="286" t="str">
        <f>'PLANILHA ORÇAMENTÁRIA'!D138</f>
        <v>Recolocação de vaso sanitário, inclusive fornecimento de acessórios (parafusos de fixação e anel de vedação), exclusive fornecimento do vaso e tampa</v>
      </c>
      <c r="C490" s="15" t="str">
        <f>'PLANILHA ORÇAMENTÁRIA'!E138</f>
        <v>und</v>
      </c>
      <c r="D490" s="66" t="s">
        <v>441</v>
      </c>
      <c r="E490" s="66" t="s">
        <v>442</v>
      </c>
      <c r="F490" s="66" t="s">
        <v>443</v>
      </c>
      <c r="G490" s="66" t="s">
        <v>444</v>
      </c>
      <c r="H490" s="66" t="s">
        <v>445</v>
      </c>
      <c r="I490" s="66" t="s">
        <v>446</v>
      </c>
      <c r="J490" s="67" t="s">
        <v>447</v>
      </c>
    </row>
    <row r="491" spans="1:12" x14ac:dyDescent="0.2">
      <c r="A491" s="15"/>
      <c r="B491" s="182" t="s">
        <v>448</v>
      </c>
      <c r="C491" s="15"/>
      <c r="D491" s="71">
        <v>1</v>
      </c>
      <c r="E491" s="24"/>
      <c r="F491" s="24"/>
      <c r="G491" s="71"/>
      <c r="H491" s="71"/>
      <c r="I491" s="71"/>
      <c r="J491" s="71">
        <f>D491</f>
        <v>1</v>
      </c>
    </row>
    <row r="492" spans="1:12" x14ac:dyDescent="0.2">
      <c r="A492" s="15"/>
      <c r="B492" s="183" t="s">
        <v>449</v>
      </c>
      <c r="C492" s="15"/>
      <c r="D492" s="71">
        <v>4</v>
      </c>
      <c r="E492" s="24"/>
      <c r="F492" s="24"/>
      <c r="G492" s="71"/>
      <c r="H492" s="71"/>
      <c r="I492" s="71"/>
      <c r="J492" s="71">
        <f>D492</f>
        <v>4</v>
      </c>
    </row>
    <row r="493" spans="1:12" x14ac:dyDescent="0.2">
      <c r="A493" s="15"/>
      <c r="B493" s="183" t="s">
        <v>553</v>
      </c>
      <c r="C493" s="15"/>
      <c r="D493" s="71">
        <v>1</v>
      </c>
      <c r="E493" s="24"/>
      <c r="F493" s="24"/>
      <c r="G493" s="71"/>
      <c r="H493" s="71"/>
      <c r="I493" s="71"/>
      <c r="J493" s="71">
        <f>D493</f>
        <v>1</v>
      </c>
    </row>
    <row r="494" spans="1:12" x14ac:dyDescent="0.2">
      <c r="A494" s="15"/>
      <c r="B494" s="16"/>
      <c r="C494" s="24"/>
      <c r="D494" s="71"/>
      <c r="E494" s="24"/>
      <c r="F494" s="24"/>
      <c r="G494" s="71"/>
      <c r="H494" s="71"/>
      <c r="I494" s="64" t="s">
        <v>452</v>
      </c>
      <c r="J494" s="65">
        <f>SUM(J491:J493)</f>
        <v>6</v>
      </c>
    </row>
    <row r="495" spans="1:12" x14ac:dyDescent="0.2">
      <c r="A495" s="15"/>
      <c r="B495" s="16"/>
      <c r="C495" s="24"/>
      <c r="D495" s="71"/>
      <c r="E495" s="24"/>
      <c r="F495" s="24"/>
      <c r="G495" s="71"/>
      <c r="H495" s="71"/>
      <c r="I495" s="108"/>
      <c r="J495" s="63"/>
    </row>
    <row r="496" spans="1:12" x14ac:dyDescent="0.2">
      <c r="A496" s="17" t="str">
        <f>'PLANILHA ORÇAMENTÁRIA'!A139</f>
        <v>16.2</v>
      </c>
      <c r="B496" s="254" t="str">
        <f>'PLANILHA ORÇAMENTÁRIA'!D139</f>
        <v>TORNEIRAS, REGISTROS, VÁLVULAS E METAIS</v>
      </c>
      <c r="C496" s="252"/>
      <c r="D496" s="255"/>
      <c r="E496" s="255"/>
      <c r="F496" s="255"/>
      <c r="G496" s="303"/>
      <c r="H496" s="255"/>
      <c r="I496" s="260"/>
      <c r="J496" s="261"/>
      <c r="K496" s="203"/>
      <c r="L496" s="203"/>
    </row>
    <row r="497" spans="1:12" ht="30.75" customHeight="1" x14ac:dyDescent="0.2">
      <c r="A497" s="15" t="str">
        <f>'PLANILHA ORÇAMENTÁRIA'!A140</f>
        <v>16.2.1</v>
      </c>
      <c r="B497" s="16" t="str">
        <f>'PLANILHA ORÇAMENTÁRIA'!D140</f>
        <v>Torneira pressão cromada diâm. 1/2" para lavatório, marcas de referência Fabrimar, Deca ou Docol</v>
      </c>
      <c r="C497" s="252" t="str">
        <f>'PLANILHA ORÇAMENTÁRIA'!E140</f>
        <v xml:space="preserve"> und </v>
      </c>
      <c r="D497" s="255" t="s">
        <v>441</v>
      </c>
      <c r="E497" s="255" t="s">
        <v>442</v>
      </c>
      <c r="F497" s="255" t="s">
        <v>443</v>
      </c>
      <c r="G497" s="255" t="s">
        <v>444</v>
      </c>
      <c r="H497" s="255" t="s">
        <v>445</v>
      </c>
      <c r="I497" s="255" t="s">
        <v>446</v>
      </c>
      <c r="J497" s="256" t="s">
        <v>447</v>
      </c>
    </row>
    <row r="498" spans="1:12" x14ac:dyDescent="0.2">
      <c r="A498" s="252"/>
      <c r="B498" s="182" t="s">
        <v>448</v>
      </c>
      <c r="C498" s="252"/>
      <c r="D498" s="257">
        <v>1</v>
      </c>
      <c r="E498" s="258"/>
      <c r="F498" s="258"/>
      <c r="G498" s="257"/>
      <c r="H498" s="257"/>
      <c r="I498" s="257"/>
      <c r="J498" s="257">
        <f>D498</f>
        <v>1</v>
      </c>
      <c r="K498" s="203"/>
      <c r="L498" s="203"/>
    </row>
    <row r="499" spans="1:12" x14ac:dyDescent="0.2">
      <c r="A499" s="252"/>
      <c r="B499" s="183" t="s">
        <v>449</v>
      </c>
      <c r="C499" s="252"/>
      <c r="D499" s="257">
        <v>2</v>
      </c>
      <c r="E499" s="258"/>
      <c r="F499" s="258"/>
      <c r="G499" s="257"/>
      <c r="H499" s="257"/>
      <c r="I499" s="257"/>
      <c r="J499" s="257">
        <f>D499</f>
        <v>2</v>
      </c>
      <c r="K499" s="203"/>
      <c r="L499" s="203"/>
    </row>
    <row r="500" spans="1:12" x14ac:dyDescent="0.2">
      <c r="A500" s="252"/>
      <c r="B500" s="183" t="s">
        <v>554</v>
      </c>
      <c r="C500" s="252"/>
      <c r="D500" s="257">
        <v>1</v>
      </c>
      <c r="E500" s="258"/>
      <c r="F500" s="258"/>
      <c r="G500" s="257"/>
      <c r="H500" s="257"/>
      <c r="I500" s="257"/>
      <c r="J500" s="257">
        <f>D500</f>
        <v>1</v>
      </c>
      <c r="K500" s="203"/>
      <c r="L500" s="203"/>
    </row>
    <row r="501" spans="1:12" x14ac:dyDescent="0.2">
      <c r="A501" s="252"/>
      <c r="B501" s="253"/>
      <c r="C501" s="258"/>
      <c r="D501" s="257"/>
      <c r="E501" s="258"/>
      <c r="F501" s="258"/>
      <c r="G501" s="257"/>
      <c r="H501" s="257"/>
      <c r="I501" s="282" t="s">
        <v>452</v>
      </c>
      <c r="J501" s="283">
        <f>SUM(J498:J500)</f>
        <v>4</v>
      </c>
      <c r="K501" s="203"/>
      <c r="L501" s="203"/>
    </row>
    <row r="502" spans="1:12" x14ac:dyDescent="0.2">
      <c r="A502" s="15"/>
      <c r="B502" s="158"/>
      <c r="C502" s="15"/>
      <c r="D502" s="66"/>
      <c r="E502" s="66"/>
      <c r="F502" s="66"/>
      <c r="G502" s="66"/>
      <c r="H502" s="66"/>
      <c r="I502" s="24"/>
      <c r="J502" s="24"/>
    </row>
    <row r="503" spans="1:12" ht="29.25" customHeight="1" x14ac:dyDescent="0.2">
      <c r="A503" s="252" t="str">
        <f>'PLANILHA ORÇAMENTÁRIA'!A141</f>
        <v>16.2.2</v>
      </c>
      <c r="B503" s="253" t="str">
        <f>'PLANILHA ORÇAMENTÁRIA'!D141</f>
        <v>Torneira de parede cromada, marcas de referência Fabrimar (linha prática, ref.1157) , Deca ou Docol</v>
      </c>
      <c r="C503" s="252" t="str">
        <f>'PLANILHA ORÇAMENTÁRIA'!E141</f>
        <v xml:space="preserve">und </v>
      </c>
      <c r="D503" s="255" t="s">
        <v>441</v>
      </c>
      <c r="E503" s="255" t="s">
        <v>442</v>
      </c>
      <c r="F503" s="255" t="s">
        <v>443</v>
      </c>
      <c r="G503" s="255" t="s">
        <v>444</v>
      </c>
      <c r="H503" s="255" t="s">
        <v>445</v>
      </c>
      <c r="I503" s="255" t="s">
        <v>446</v>
      </c>
      <c r="J503" s="256" t="s">
        <v>447</v>
      </c>
      <c r="K503" s="203"/>
      <c r="L503" s="203"/>
    </row>
    <row r="504" spans="1:12" x14ac:dyDescent="0.2">
      <c r="A504" s="252"/>
      <c r="B504" s="182" t="s">
        <v>464</v>
      </c>
      <c r="C504" s="252"/>
      <c r="D504" s="257">
        <v>2</v>
      </c>
      <c r="E504" s="258"/>
      <c r="F504" s="258"/>
      <c r="G504" s="257"/>
      <c r="H504" s="257"/>
      <c r="I504" s="257"/>
      <c r="J504" s="257">
        <f>D504</f>
        <v>2</v>
      </c>
      <c r="K504" s="203"/>
      <c r="L504" s="203"/>
    </row>
    <row r="505" spans="1:12" x14ac:dyDescent="0.2">
      <c r="A505" s="252"/>
      <c r="B505" s="183"/>
      <c r="C505" s="252"/>
      <c r="D505" s="257"/>
      <c r="E505" s="258"/>
      <c r="F505" s="258"/>
      <c r="G505" s="257"/>
      <c r="H505" s="257"/>
      <c r="I505" s="282" t="s">
        <v>452</v>
      </c>
      <c r="J505" s="283">
        <f>SUM(J504:J504)</f>
        <v>2</v>
      </c>
      <c r="K505" s="203"/>
      <c r="L505" s="203"/>
    </row>
    <row r="506" spans="1:12" x14ac:dyDescent="0.2">
      <c r="A506" s="252"/>
      <c r="B506" s="183"/>
      <c r="C506" s="252"/>
      <c r="D506" s="257"/>
      <c r="E506" s="258"/>
      <c r="F506" s="258"/>
      <c r="G506" s="257"/>
      <c r="H506" s="257"/>
      <c r="I506" s="257"/>
      <c r="J506" s="257"/>
      <c r="K506" s="203"/>
      <c r="L506" s="203"/>
    </row>
    <row r="507" spans="1:12" x14ac:dyDescent="0.2">
      <c r="A507" s="17" t="str">
        <f>'PLANILHA ORÇAMENTÁRIA'!A142</f>
        <v>16.3</v>
      </c>
      <c r="B507" s="254" t="str">
        <f>'PLANILHA ORÇAMENTÁRIA'!D142</f>
        <v>OUTROS APARELHOS</v>
      </c>
      <c r="C507" s="252"/>
      <c r="D507" s="255"/>
      <c r="E507" s="255"/>
      <c r="F507" s="255"/>
      <c r="G507" s="303"/>
      <c r="H507" s="255"/>
      <c r="I507" s="260"/>
      <c r="J507" s="261"/>
      <c r="K507" s="203"/>
      <c r="L507" s="203"/>
    </row>
    <row r="508" spans="1:12" ht="25.5" x14ac:dyDescent="0.2">
      <c r="A508" s="252" t="str">
        <f>'PLANILHA ORÇAMENTÁRIA'!A143</f>
        <v>16.3.1</v>
      </c>
      <c r="B508" s="253" t="str">
        <f>'PLANILHA ORÇAMENTÁRIA'!D143</f>
        <v>Assento plástico para vaso sanitário, marcas de referência Deca, Celite ou Ideal Standard</v>
      </c>
      <c r="C508" s="252" t="str">
        <f>'PLANILHA ORÇAMENTÁRIA'!E143</f>
        <v>und</v>
      </c>
      <c r="D508" s="255" t="s">
        <v>441</v>
      </c>
      <c r="E508" s="255" t="s">
        <v>442</v>
      </c>
      <c r="F508" s="255" t="s">
        <v>443</v>
      </c>
      <c r="G508" s="255" t="s">
        <v>444</v>
      </c>
      <c r="H508" s="255" t="s">
        <v>445</v>
      </c>
      <c r="I508" s="255" t="s">
        <v>446</v>
      </c>
      <c r="J508" s="256" t="s">
        <v>447</v>
      </c>
      <c r="K508" s="203"/>
      <c r="L508" s="203"/>
    </row>
    <row r="509" spans="1:12" x14ac:dyDescent="0.2">
      <c r="A509" s="252"/>
      <c r="B509" s="182" t="s">
        <v>448</v>
      </c>
      <c r="C509" s="252"/>
      <c r="D509" s="257">
        <v>1</v>
      </c>
      <c r="E509" s="258"/>
      <c r="F509" s="258"/>
      <c r="G509" s="257"/>
      <c r="H509" s="257"/>
      <c r="I509" s="257"/>
      <c r="J509" s="257">
        <f>D509</f>
        <v>1</v>
      </c>
      <c r="K509" s="203"/>
      <c r="L509" s="203"/>
    </row>
    <row r="510" spans="1:12" x14ac:dyDescent="0.2">
      <c r="A510" s="252"/>
      <c r="B510" s="183" t="s">
        <v>449</v>
      </c>
      <c r="C510" s="252"/>
      <c r="D510" s="257">
        <v>4</v>
      </c>
      <c r="E510" s="258"/>
      <c r="F510" s="258"/>
      <c r="G510" s="257"/>
      <c r="H510" s="257"/>
      <c r="I510" s="257"/>
      <c r="J510" s="257">
        <f>D510</f>
        <v>4</v>
      </c>
      <c r="K510" s="203"/>
      <c r="L510" s="203"/>
    </row>
    <row r="511" spans="1:12" x14ac:dyDescent="0.2">
      <c r="A511" s="252"/>
      <c r="B511" s="183" t="s">
        <v>554</v>
      </c>
      <c r="C511" s="252"/>
      <c r="D511" s="257">
        <v>1</v>
      </c>
      <c r="E511" s="258"/>
      <c r="F511" s="258"/>
      <c r="G511" s="257"/>
      <c r="H511" s="257"/>
      <c r="I511" s="257"/>
      <c r="J511" s="257">
        <f>D511</f>
        <v>1</v>
      </c>
      <c r="K511" s="203"/>
      <c r="L511" s="203"/>
    </row>
    <row r="512" spans="1:12" x14ac:dyDescent="0.2">
      <c r="A512" s="252"/>
      <c r="B512" s="253"/>
      <c r="C512" s="258"/>
      <c r="D512" s="257"/>
      <c r="E512" s="258"/>
      <c r="F512" s="258"/>
      <c r="G512" s="257"/>
      <c r="H512" s="257"/>
      <c r="I512" s="282" t="s">
        <v>452</v>
      </c>
      <c r="J512" s="283">
        <f>SUM(J509:J511)</f>
        <v>6</v>
      </c>
      <c r="K512" s="203"/>
      <c r="L512" s="203"/>
    </row>
    <row r="513" spans="1:12" x14ac:dyDescent="0.2">
      <c r="A513" s="252"/>
      <c r="B513" s="253"/>
      <c r="C513" s="258"/>
      <c r="D513" s="257"/>
      <c r="E513" s="258"/>
      <c r="F513" s="258"/>
      <c r="G513" s="257"/>
      <c r="H513" s="257"/>
      <c r="I513" s="260"/>
      <c r="J513" s="261"/>
      <c r="K513" s="203"/>
      <c r="L513" s="203"/>
    </row>
    <row r="514" spans="1:12" ht="25.5" x14ac:dyDescent="0.2">
      <c r="A514" s="252" t="str">
        <f>'PLANILHA ORÇAMENTÁRIA'!A144</f>
        <v>16.3.2</v>
      </c>
      <c r="B514" s="253" t="str">
        <f>'PLANILHA ORÇAMENTÁRIA'!D144</f>
        <v xml:space="preserve">Chuveiro frio de PVC, marcas de referência Atlas, Cipla ou Akros </v>
      </c>
      <c r="C514" s="252" t="str">
        <f>'PLANILHA ORÇAMENTÁRIA'!E144</f>
        <v xml:space="preserve">und </v>
      </c>
      <c r="D514" s="255" t="s">
        <v>441</v>
      </c>
      <c r="E514" s="255" t="s">
        <v>442</v>
      </c>
      <c r="F514" s="255" t="s">
        <v>443</v>
      </c>
      <c r="G514" s="255" t="s">
        <v>444</v>
      </c>
      <c r="H514" s="255" t="s">
        <v>445</v>
      </c>
      <c r="I514" s="255" t="s">
        <v>446</v>
      </c>
      <c r="J514" s="256" t="s">
        <v>447</v>
      </c>
      <c r="K514" s="203"/>
      <c r="L514" s="203"/>
    </row>
    <row r="515" spans="1:12" x14ac:dyDescent="0.2">
      <c r="A515" s="252"/>
      <c r="B515" s="182" t="s">
        <v>448</v>
      </c>
      <c r="C515" s="252"/>
      <c r="D515" s="257">
        <v>1</v>
      </c>
      <c r="E515" s="258"/>
      <c r="F515" s="258"/>
      <c r="G515" s="257"/>
      <c r="H515" s="257"/>
      <c r="I515" s="257"/>
      <c r="J515" s="257">
        <f>D515</f>
        <v>1</v>
      </c>
      <c r="K515" s="203"/>
      <c r="L515" s="203"/>
    </row>
    <row r="516" spans="1:12" x14ac:dyDescent="0.2">
      <c r="A516" s="252"/>
      <c r="B516" s="253"/>
      <c r="C516" s="258"/>
      <c r="D516" s="257"/>
      <c r="E516" s="258"/>
      <c r="F516" s="258"/>
      <c r="G516" s="257"/>
      <c r="H516" s="257"/>
      <c r="I516" s="282" t="s">
        <v>452</v>
      </c>
      <c r="J516" s="283">
        <f>SUM(J515:J515)</f>
        <v>1</v>
      </c>
      <c r="K516" s="203"/>
      <c r="L516" s="203"/>
    </row>
    <row r="517" spans="1:12" x14ac:dyDescent="0.2">
      <c r="A517" s="252"/>
      <c r="B517" s="253"/>
      <c r="C517" s="258"/>
      <c r="D517" s="257"/>
      <c r="E517" s="258"/>
      <c r="F517" s="258"/>
      <c r="G517" s="257"/>
      <c r="H517" s="257"/>
      <c r="I517" s="260"/>
      <c r="J517" s="261"/>
      <c r="K517" s="203"/>
      <c r="L517" s="203"/>
    </row>
    <row r="518" spans="1:12" x14ac:dyDescent="0.2">
      <c r="A518" s="220">
        <f>'PLANILHA ORÇAMENTÁRIA'!A146</f>
        <v>17</v>
      </c>
      <c r="B518" s="7" t="s">
        <v>371</v>
      </c>
      <c r="C518" s="7"/>
      <c r="D518" s="7"/>
      <c r="E518" s="7"/>
      <c r="F518" s="7"/>
      <c r="G518" s="7"/>
      <c r="H518" s="7"/>
      <c r="I518" s="7"/>
      <c r="J518" s="7"/>
    </row>
    <row r="519" spans="1:12" x14ac:dyDescent="0.2">
      <c r="A519" s="17" t="str">
        <f>'PLANILHA ORÇAMENTÁRIA'!A147</f>
        <v>17.1</v>
      </c>
      <c r="B519" s="14" t="str">
        <f>'PLANILHA ORÇAMENTÁRIA'!D147</f>
        <v>INTERRUPTORES E TOMADAS</v>
      </c>
      <c r="C519" s="15"/>
      <c r="D519" s="66"/>
      <c r="E519" s="66"/>
      <c r="F519" s="66"/>
      <c r="G519" s="66"/>
      <c r="H519" s="66"/>
      <c r="I519" s="24"/>
      <c r="J519" s="24"/>
    </row>
    <row r="520" spans="1:12" ht="25.5" x14ac:dyDescent="0.2">
      <c r="A520" s="15" t="str">
        <f>'PLANILHA ORÇAMENTÁRIA'!A148</f>
        <v>17.1.1</v>
      </c>
      <c r="B520" s="118" t="str">
        <f>'PLANILHA ORÇAMENTÁRIA'!D148</f>
        <v>Tomada padrão brasileiro linha branca, NBR 14136 2 polos + terra 10A/250V, com placa 4x2"</v>
      </c>
      <c r="C520" s="15" t="str">
        <f>'PLANILHA ORÇAMENTÁRIA'!E148</f>
        <v>und</v>
      </c>
      <c r="D520" s="66" t="s">
        <v>441</v>
      </c>
      <c r="E520" s="66" t="s">
        <v>442</v>
      </c>
      <c r="F520" s="66" t="s">
        <v>443</v>
      </c>
      <c r="G520" s="66" t="s">
        <v>444</v>
      </c>
      <c r="H520" s="66" t="s">
        <v>445</v>
      </c>
      <c r="I520" s="66" t="s">
        <v>446</v>
      </c>
      <c r="J520" s="67" t="s">
        <v>447</v>
      </c>
    </row>
    <row r="521" spans="1:12" x14ac:dyDescent="0.2">
      <c r="A521" s="15"/>
      <c r="B521" s="183" t="s">
        <v>451</v>
      </c>
      <c r="C521" s="15"/>
      <c r="D521" s="66">
        <v>1</v>
      </c>
      <c r="E521" s="66"/>
      <c r="F521" s="66"/>
      <c r="G521" s="66"/>
      <c r="H521" s="66"/>
      <c r="I521" s="24"/>
      <c r="J521" s="70">
        <f>D521</f>
        <v>1</v>
      </c>
    </row>
    <row r="522" spans="1:12" x14ac:dyDescent="0.2">
      <c r="A522" s="15"/>
      <c r="B522" s="183" t="s">
        <v>468</v>
      </c>
      <c r="C522" s="15"/>
      <c r="D522" s="66">
        <v>8</v>
      </c>
      <c r="E522" s="66"/>
      <c r="F522" s="66"/>
      <c r="G522" s="66"/>
      <c r="H522" s="66"/>
      <c r="I522" s="24"/>
      <c r="J522" s="70">
        <f t="shared" ref="J522:J525" si="18">D522</f>
        <v>8</v>
      </c>
    </row>
    <row r="523" spans="1:12" x14ac:dyDescent="0.2">
      <c r="A523" s="15"/>
      <c r="B523" s="183" t="s">
        <v>472</v>
      </c>
      <c r="C523" s="15"/>
      <c r="D523" s="66">
        <v>6</v>
      </c>
      <c r="E523" s="66"/>
      <c r="F523" s="66"/>
      <c r="G523" s="66"/>
      <c r="H523" s="66"/>
      <c r="I523" s="24"/>
      <c r="J523" s="70">
        <f t="shared" si="18"/>
        <v>6</v>
      </c>
    </row>
    <row r="524" spans="1:12" x14ac:dyDescent="0.2">
      <c r="A524" s="15"/>
      <c r="B524" s="183" t="s">
        <v>467</v>
      </c>
      <c r="C524" s="15"/>
      <c r="D524" s="66">
        <v>5</v>
      </c>
      <c r="E524" s="66"/>
      <c r="F524" s="66"/>
      <c r="G524" s="66"/>
      <c r="H524" s="66"/>
      <c r="I524" s="24"/>
      <c r="J524" s="70">
        <f t="shared" si="18"/>
        <v>5</v>
      </c>
    </row>
    <row r="525" spans="1:12" x14ac:dyDescent="0.2">
      <c r="A525" s="15"/>
      <c r="B525" s="183" t="s">
        <v>464</v>
      </c>
      <c r="C525" s="15"/>
      <c r="D525" s="66">
        <v>7</v>
      </c>
      <c r="E525" s="66"/>
      <c r="F525" s="66"/>
      <c r="G525" s="66"/>
      <c r="H525" s="66"/>
      <c r="I525" s="24"/>
      <c r="J525" s="70">
        <f t="shared" si="18"/>
        <v>7</v>
      </c>
    </row>
    <row r="526" spans="1:12" x14ac:dyDescent="0.2">
      <c r="A526" s="15"/>
      <c r="B526" s="158"/>
      <c r="C526" s="15"/>
      <c r="D526" s="66"/>
      <c r="E526" s="66"/>
      <c r="F526" s="66"/>
      <c r="G526" s="66"/>
      <c r="H526" s="66"/>
      <c r="I526" s="64" t="s">
        <v>452</v>
      </c>
      <c r="J526" s="65">
        <f>SUM(J521:J525)</f>
        <v>27</v>
      </c>
    </row>
    <row r="527" spans="1:12" x14ac:dyDescent="0.2">
      <c r="A527" s="15"/>
      <c r="B527" s="158"/>
      <c r="C527" s="15"/>
      <c r="D527" s="66"/>
      <c r="E527" s="66"/>
      <c r="F527" s="66"/>
      <c r="G527" s="66"/>
      <c r="H527" s="66"/>
      <c r="I527" s="24"/>
      <c r="J527" s="24"/>
    </row>
    <row r="528" spans="1:12" ht="25.5" x14ac:dyDescent="0.2">
      <c r="A528" s="15" t="str">
        <f>'PLANILHA ORÇAMENTÁRIA'!A149</f>
        <v>17.1.2</v>
      </c>
      <c r="B528" s="118" t="str">
        <f>'PLANILHA ORÇAMENTÁRIA'!D149</f>
        <v>Interruptor de uma tecla simples 10A/250V, com placa 4x2"</v>
      </c>
      <c r="C528" s="15" t="str">
        <f>'PLANILHA ORÇAMENTÁRIA'!E149</f>
        <v>und</v>
      </c>
      <c r="D528" s="66" t="s">
        <v>441</v>
      </c>
      <c r="E528" s="66" t="s">
        <v>442</v>
      </c>
      <c r="F528" s="66" t="s">
        <v>443</v>
      </c>
      <c r="G528" s="66" t="s">
        <v>444</v>
      </c>
      <c r="H528" s="66" t="s">
        <v>445</v>
      </c>
      <c r="I528" s="66" t="s">
        <v>446</v>
      </c>
      <c r="J528" s="67" t="s">
        <v>447</v>
      </c>
    </row>
    <row r="529" spans="1:10" x14ac:dyDescent="0.2">
      <c r="A529" s="15"/>
      <c r="B529" s="183" t="s">
        <v>451</v>
      </c>
      <c r="C529" s="15"/>
      <c r="D529" s="66">
        <v>1</v>
      </c>
      <c r="E529" s="66"/>
      <c r="F529" s="66"/>
      <c r="G529" s="66"/>
      <c r="H529" s="66"/>
      <c r="I529" s="24"/>
      <c r="J529" s="70">
        <f t="shared" ref="J529:J534" si="19">D529</f>
        <v>1</v>
      </c>
    </row>
    <row r="530" spans="1:10" x14ac:dyDescent="0.2">
      <c r="A530" s="15"/>
      <c r="B530" s="183" t="s">
        <v>468</v>
      </c>
      <c r="C530" s="15"/>
      <c r="D530" s="66">
        <v>2</v>
      </c>
      <c r="E530" s="66"/>
      <c r="F530" s="66"/>
      <c r="G530" s="66"/>
      <c r="H530" s="66"/>
      <c r="I530" s="24"/>
      <c r="J530" s="70">
        <f t="shared" si="19"/>
        <v>2</v>
      </c>
    </row>
    <row r="531" spans="1:10" x14ac:dyDescent="0.2">
      <c r="A531" s="15"/>
      <c r="B531" s="183" t="s">
        <v>472</v>
      </c>
      <c r="C531" s="15"/>
      <c r="D531" s="66">
        <v>1</v>
      </c>
      <c r="E531" s="66"/>
      <c r="F531" s="66"/>
      <c r="G531" s="66"/>
      <c r="H531" s="66"/>
      <c r="I531" s="24"/>
      <c r="J531" s="70">
        <f t="shared" si="19"/>
        <v>1</v>
      </c>
    </row>
    <row r="532" spans="1:10" x14ac:dyDescent="0.2">
      <c r="A532" s="15"/>
      <c r="B532" s="183" t="s">
        <v>467</v>
      </c>
      <c r="C532" s="15"/>
      <c r="D532" s="66">
        <v>2</v>
      </c>
      <c r="E532" s="66"/>
      <c r="F532" s="66"/>
      <c r="G532" s="66"/>
      <c r="H532" s="66"/>
      <c r="I532" s="24"/>
      <c r="J532" s="70">
        <f t="shared" si="19"/>
        <v>2</v>
      </c>
    </row>
    <row r="533" spans="1:10" x14ac:dyDescent="0.2">
      <c r="A533" s="15"/>
      <c r="B533" s="183" t="s">
        <v>481</v>
      </c>
      <c r="C533" s="15"/>
      <c r="D533" s="66">
        <v>1</v>
      </c>
      <c r="E533" s="66"/>
      <c r="F533" s="66"/>
      <c r="G533" s="66"/>
      <c r="H533" s="66"/>
      <c r="I533" s="24"/>
      <c r="J533" s="70">
        <f t="shared" si="19"/>
        <v>1</v>
      </c>
    </row>
    <row r="534" spans="1:10" x14ac:dyDescent="0.2">
      <c r="A534" s="15"/>
      <c r="B534" s="183" t="s">
        <v>450</v>
      </c>
      <c r="C534" s="15"/>
      <c r="D534" s="66">
        <v>1</v>
      </c>
      <c r="E534" s="66"/>
      <c r="F534" s="66"/>
      <c r="G534" s="66"/>
      <c r="H534" s="66"/>
      <c r="I534" s="24"/>
      <c r="J534" s="70">
        <f t="shared" si="19"/>
        <v>1</v>
      </c>
    </row>
    <row r="535" spans="1:10" x14ac:dyDescent="0.2">
      <c r="A535" s="15"/>
      <c r="B535" s="158"/>
      <c r="C535" s="15"/>
      <c r="D535" s="66"/>
      <c r="E535" s="66"/>
      <c r="F535" s="66"/>
      <c r="G535" s="66"/>
      <c r="H535" s="66"/>
      <c r="I535" s="64" t="s">
        <v>452</v>
      </c>
      <c r="J535" s="65">
        <f>SUM(J529:J534)</f>
        <v>8</v>
      </c>
    </row>
    <row r="536" spans="1:10" x14ac:dyDescent="0.2">
      <c r="A536" s="15"/>
      <c r="B536" s="158"/>
      <c r="C536" s="15"/>
      <c r="D536" s="66"/>
      <c r="E536" s="66"/>
      <c r="F536" s="66"/>
      <c r="G536" s="66"/>
      <c r="H536" s="66"/>
      <c r="I536" s="24"/>
      <c r="J536" s="24"/>
    </row>
    <row r="537" spans="1:10" ht="25.5" x14ac:dyDescent="0.2">
      <c r="A537" s="15" t="str">
        <f>'PLANILHA ORÇAMENTÁRIA'!A150</f>
        <v>17.1.3</v>
      </c>
      <c r="B537" s="118" t="str">
        <f>'PLANILHA ORÇAMENTÁRIA'!D150</f>
        <v>Interruptor de duas teclas simples 10A/250V, com placa 4x2"</v>
      </c>
      <c r="C537" s="15" t="str">
        <f>'PLANILHA ORÇAMENTÁRIA'!E150</f>
        <v>und</v>
      </c>
      <c r="D537" s="66" t="s">
        <v>441</v>
      </c>
      <c r="E537" s="66" t="s">
        <v>442</v>
      </c>
      <c r="F537" s="66" t="s">
        <v>443</v>
      </c>
      <c r="G537" s="66" t="s">
        <v>444</v>
      </c>
      <c r="H537" s="66" t="s">
        <v>445</v>
      </c>
      <c r="I537" s="66" t="s">
        <v>446</v>
      </c>
      <c r="J537" s="67" t="s">
        <v>447</v>
      </c>
    </row>
    <row r="538" spans="1:10" x14ac:dyDescent="0.2">
      <c r="A538" s="15"/>
      <c r="B538" s="183" t="s">
        <v>468</v>
      </c>
      <c r="C538" s="15"/>
      <c r="D538" s="66">
        <v>1</v>
      </c>
      <c r="E538" s="66"/>
      <c r="F538" s="66"/>
      <c r="G538" s="66"/>
      <c r="H538" s="66"/>
      <c r="I538" s="24"/>
      <c r="J538" s="70">
        <f t="shared" ref="J538" si="20">D538</f>
        <v>1</v>
      </c>
    </row>
    <row r="539" spans="1:10" x14ac:dyDescent="0.2">
      <c r="A539" s="15"/>
      <c r="B539" s="183" t="s">
        <v>449</v>
      </c>
      <c r="C539" s="15"/>
      <c r="D539" s="66">
        <v>1</v>
      </c>
      <c r="E539" s="66"/>
      <c r="F539" s="66"/>
      <c r="G539" s="66"/>
      <c r="H539" s="66"/>
      <c r="I539" s="24"/>
      <c r="J539" s="70">
        <f t="shared" ref="J539" si="21">D539</f>
        <v>1</v>
      </c>
    </row>
    <row r="540" spans="1:10" x14ac:dyDescent="0.2">
      <c r="A540" s="15"/>
      <c r="B540" s="158"/>
      <c r="C540" s="15"/>
      <c r="D540" s="66"/>
      <c r="E540" s="66"/>
      <c r="F540" s="66"/>
      <c r="G540" s="66"/>
      <c r="H540" s="66"/>
      <c r="I540" s="64" t="s">
        <v>452</v>
      </c>
      <c r="J540" s="65">
        <f>SUM(J538:J539)</f>
        <v>2</v>
      </c>
    </row>
    <row r="541" spans="1:10" x14ac:dyDescent="0.2">
      <c r="A541" s="15"/>
      <c r="B541" s="158"/>
      <c r="C541" s="15"/>
      <c r="D541" s="66"/>
      <c r="E541" s="66"/>
      <c r="F541" s="66"/>
      <c r="G541" s="66"/>
      <c r="H541" s="66"/>
      <c r="I541" s="24"/>
      <c r="J541" s="24"/>
    </row>
    <row r="542" spans="1:10" ht="25.5" x14ac:dyDescent="0.2">
      <c r="A542" s="15" t="str">
        <f>'PLANILHA ORÇAMENTÁRIA'!A151</f>
        <v>17.1.4</v>
      </c>
      <c r="B542" s="115" t="str">
        <f>'PLANILHA ORÇAMENTÁRIA'!D151</f>
        <v>Interruptor de uma tecla simples 10A/250V e uma tomada 3 polos 10A/250V, padrão brasileiro, NBR 14136, linha branca, com placa 4x2"</v>
      </c>
      <c r="C542" s="15" t="str">
        <f>'PLANILHA ORÇAMENTÁRIA'!E152</f>
        <v>und</v>
      </c>
      <c r="D542" s="66" t="s">
        <v>441</v>
      </c>
      <c r="E542" s="66" t="s">
        <v>442</v>
      </c>
      <c r="F542" s="66" t="s">
        <v>443</v>
      </c>
      <c r="G542" s="66" t="s">
        <v>444</v>
      </c>
      <c r="H542" s="66" t="s">
        <v>445</v>
      </c>
      <c r="I542" s="66" t="s">
        <v>446</v>
      </c>
      <c r="J542" s="67" t="s">
        <v>447</v>
      </c>
    </row>
    <row r="543" spans="1:10" x14ac:dyDescent="0.2">
      <c r="A543" s="15"/>
      <c r="B543" s="183" t="s">
        <v>555</v>
      </c>
      <c r="C543" s="15"/>
      <c r="D543" s="66">
        <v>1</v>
      </c>
      <c r="E543" s="66"/>
      <c r="F543" s="66"/>
      <c r="G543" s="66"/>
      <c r="H543" s="66"/>
      <c r="I543" s="24"/>
      <c r="J543" s="70">
        <f t="shared" ref="J543" si="22">D543</f>
        <v>1</v>
      </c>
    </row>
    <row r="544" spans="1:10" x14ac:dyDescent="0.2">
      <c r="A544" s="15"/>
      <c r="B544" s="158"/>
      <c r="C544" s="15"/>
      <c r="D544" s="66"/>
      <c r="E544" s="66"/>
      <c r="F544" s="66"/>
      <c r="G544" s="66"/>
      <c r="H544" s="66"/>
      <c r="I544" s="64" t="s">
        <v>452</v>
      </c>
      <c r="J544" s="65">
        <f>SUM(J543)</f>
        <v>1</v>
      </c>
    </row>
    <row r="545" spans="1:12" x14ac:dyDescent="0.2">
      <c r="A545" s="15"/>
      <c r="B545" s="158"/>
      <c r="C545" s="15"/>
      <c r="D545" s="66"/>
      <c r="E545" s="66"/>
      <c r="F545" s="66"/>
      <c r="G545" s="66"/>
      <c r="H545" s="66"/>
      <c r="I545" s="24"/>
      <c r="J545" s="24"/>
    </row>
    <row r="546" spans="1:12" ht="25.5" x14ac:dyDescent="0.2">
      <c r="A546" s="15" t="str">
        <f>'PLANILHA ORÇAMENTÁRIA'!A152</f>
        <v>17.1.5</v>
      </c>
      <c r="B546" s="115" t="str">
        <f>'PLANILHA ORÇAMENTÁRIA'!D152</f>
        <v>Interruptor de duas teclas simples 10A/250V e uma tomada 3 polos universal 10A/250V, com placa 4x2"</v>
      </c>
      <c r="C546" s="15" t="str">
        <f>'PLANILHA ORÇAMENTÁRIA'!E152</f>
        <v>und</v>
      </c>
      <c r="D546" s="66" t="s">
        <v>441</v>
      </c>
      <c r="E546" s="66" t="s">
        <v>442</v>
      </c>
      <c r="F546" s="66" t="s">
        <v>443</v>
      </c>
      <c r="G546" s="66" t="s">
        <v>444</v>
      </c>
      <c r="H546" s="66" t="s">
        <v>445</v>
      </c>
      <c r="I546" s="66" t="s">
        <v>446</v>
      </c>
      <c r="J546" s="67" t="s">
        <v>447</v>
      </c>
    </row>
    <row r="547" spans="1:12" x14ac:dyDescent="0.2">
      <c r="A547" s="15"/>
      <c r="B547" s="183" t="s">
        <v>464</v>
      </c>
      <c r="C547" s="15"/>
      <c r="D547" s="66">
        <v>1</v>
      </c>
      <c r="E547" s="66"/>
      <c r="F547" s="66"/>
      <c r="G547" s="66"/>
      <c r="H547" s="66"/>
      <c r="I547" s="24"/>
      <c r="J547" s="70">
        <f t="shared" ref="J547" si="23">D547</f>
        <v>1</v>
      </c>
    </row>
    <row r="548" spans="1:12" x14ac:dyDescent="0.2">
      <c r="A548" s="15"/>
      <c r="B548" s="158"/>
      <c r="C548" s="15"/>
      <c r="D548" s="66"/>
      <c r="E548" s="66"/>
      <c r="F548" s="66"/>
      <c r="G548" s="66"/>
      <c r="H548" s="66"/>
      <c r="I548" s="64" t="s">
        <v>452</v>
      </c>
      <c r="J548" s="65">
        <f>SUM(J547)</f>
        <v>1</v>
      </c>
    </row>
    <row r="549" spans="1:12" x14ac:dyDescent="0.2">
      <c r="A549" s="15"/>
      <c r="B549" s="158"/>
      <c r="C549" s="15"/>
      <c r="D549" s="66"/>
      <c r="E549" s="66"/>
      <c r="F549" s="66"/>
      <c r="G549" s="66"/>
      <c r="H549" s="66"/>
      <c r="I549" s="24"/>
      <c r="J549" s="24"/>
    </row>
    <row r="550" spans="1:12" ht="25.5" x14ac:dyDescent="0.2">
      <c r="A550" s="15" t="str">
        <f>'PLANILHA ORÇAMENTÁRIA'!A153</f>
        <v>17.1.6</v>
      </c>
      <c r="B550" s="118" t="str">
        <f>'PLANILHA ORÇAMENTÁRIA'!D153</f>
        <v>Tomada dupla padrão brasileiro linha branca, NBR 14136 2 polos + terra 10A/250V, com placa 4x2"</v>
      </c>
      <c r="C550" s="15" t="str">
        <f>'PLANILHA ORÇAMENTÁRIA'!E153</f>
        <v>und</v>
      </c>
      <c r="D550" s="66" t="s">
        <v>441</v>
      </c>
      <c r="E550" s="66" t="s">
        <v>442</v>
      </c>
      <c r="F550" s="66" t="s">
        <v>443</v>
      </c>
      <c r="G550" s="66" t="s">
        <v>444</v>
      </c>
      <c r="H550" s="66" t="s">
        <v>445</v>
      </c>
      <c r="I550" s="66" t="s">
        <v>446</v>
      </c>
      <c r="J550" s="67" t="s">
        <v>447</v>
      </c>
    </row>
    <row r="551" spans="1:12" x14ac:dyDescent="0.2">
      <c r="A551" s="15"/>
      <c r="B551" s="183" t="s">
        <v>555</v>
      </c>
      <c r="C551" s="15"/>
      <c r="D551" s="66">
        <v>1</v>
      </c>
      <c r="E551" s="66"/>
      <c r="F551" s="66"/>
      <c r="G551" s="66"/>
      <c r="H551" s="66"/>
      <c r="I551" s="24"/>
      <c r="J551" s="70">
        <f t="shared" ref="J551" si="24">D551</f>
        <v>1</v>
      </c>
    </row>
    <row r="552" spans="1:12" x14ac:dyDescent="0.2">
      <c r="A552" s="15"/>
      <c r="B552" s="158"/>
      <c r="C552" s="15"/>
      <c r="D552" s="66"/>
      <c r="E552" s="66"/>
      <c r="F552" s="66"/>
      <c r="G552" s="66"/>
      <c r="H552" s="66"/>
      <c r="I552" s="64" t="s">
        <v>452</v>
      </c>
      <c r="J552" s="65">
        <f>SUM(J551)</f>
        <v>1</v>
      </c>
    </row>
    <row r="553" spans="1:12" x14ac:dyDescent="0.2">
      <c r="A553" s="15"/>
      <c r="B553" s="158"/>
      <c r="C553" s="15"/>
      <c r="D553" s="66"/>
      <c r="E553" s="66"/>
      <c r="F553" s="66"/>
      <c r="G553" s="66"/>
      <c r="H553" s="66"/>
      <c r="I553" s="24"/>
      <c r="J553" s="24"/>
    </row>
    <row r="554" spans="1:12" x14ac:dyDescent="0.2">
      <c r="A554" s="17" t="str">
        <f>'PLANILHA ORÇAMENTÁRIA'!A154</f>
        <v>17.2</v>
      </c>
      <c r="B554" s="254" t="str">
        <f>'PLANILHA ORÇAMENTÁRIA'!D154</f>
        <v>VENTILADORES</v>
      </c>
      <c r="C554" s="252"/>
      <c r="D554" s="255"/>
      <c r="E554" s="255"/>
      <c r="F554" s="255"/>
      <c r="G554" s="255"/>
      <c r="H554" s="255"/>
      <c r="I554" s="258"/>
      <c r="J554" s="258"/>
      <c r="K554" s="203"/>
      <c r="L554" s="203"/>
    </row>
    <row r="555" spans="1:12" ht="25.5" x14ac:dyDescent="0.2">
      <c r="A555" s="252" t="str">
        <f>'PLANILHA ORÇAMENTÁRIA'!A155</f>
        <v>17.2.1</v>
      </c>
      <c r="B555" s="286" t="str">
        <f>'PLANILHA ORÇAMENTÁRIA'!D155</f>
        <v>Ventilador de parede, 60 cm, bivolt, 200 a 210 watts</v>
      </c>
      <c r="C555" s="252" t="str">
        <f>'PLANILHA ORÇAMENTÁRIA'!E155</f>
        <v>und</v>
      </c>
      <c r="D555" s="255" t="s">
        <v>441</v>
      </c>
      <c r="E555" s="255" t="s">
        <v>442</v>
      </c>
      <c r="F555" s="255" t="s">
        <v>443</v>
      </c>
      <c r="G555" s="255" t="s">
        <v>444</v>
      </c>
      <c r="H555" s="255" t="s">
        <v>445</v>
      </c>
      <c r="I555" s="255" t="s">
        <v>446</v>
      </c>
      <c r="J555" s="256" t="s">
        <v>447</v>
      </c>
      <c r="K555" s="203"/>
      <c r="L555" s="203"/>
    </row>
    <row r="556" spans="1:12" x14ac:dyDescent="0.2">
      <c r="A556" s="252"/>
      <c r="B556" s="183" t="s">
        <v>468</v>
      </c>
      <c r="C556" s="252"/>
      <c r="D556" s="255">
        <v>6</v>
      </c>
      <c r="E556" s="255"/>
      <c r="F556" s="255"/>
      <c r="G556" s="255"/>
      <c r="H556" s="255"/>
      <c r="I556" s="258"/>
      <c r="J556" s="300">
        <f>D556</f>
        <v>6</v>
      </c>
      <c r="K556" s="203"/>
      <c r="L556" s="203"/>
    </row>
    <row r="557" spans="1:12" x14ac:dyDescent="0.2">
      <c r="A557" s="252"/>
      <c r="B557" s="183"/>
      <c r="C557" s="252"/>
      <c r="D557" s="255"/>
      <c r="E557" s="255"/>
      <c r="F557" s="255"/>
      <c r="G557" s="255"/>
      <c r="H557" s="255"/>
      <c r="I557" s="282" t="s">
        <v>452</v>
      </c>
      <c r="J557" s="283">
        <f>SUM(J556)</f>
        <v>6</v>
      </c>
      <c r="K557" s="203"/>
      <c r="L557" s="203"/>
    </row>
    <row r="558" spans="1:12" x14ac:dyDescent="0.2">
      <c r="A558" s="252"/>
      <c r="B558" s="183"/>
      <c r="C558" s="252"/>
      <c r="D558" s="255"/>
      <c r="E558" s="255"/>
      <c r="F558" s="255"/>
      <c r="G558" s="255"/>
      <c r="H558" s="255"/>
      <c r="I558" s="258"/>
      <c r="J558" s="300"/>
      <c r="K558" s="203"/>
      <c r="L558" s="203"/>
    </row>
    <row r="559" spans="1:12" x14ac:dyDescent="0.2">
      <c r="A559" s="17" t="str">
        <f>'PLANILHA ORÇAMENTÁRIA'!A156</f>
        <v>17.3</v>
      </c>
      <c r="B559" s="14" t="str">
        <f>'PLANILHA ORÇAMENTÁRIA'!D156</f>
        <v>LUMINARIAS PARA LÂMPADAS LED</v>
      </c>
      <c r="C559" s="15"/>
      <c r="D559" s="66"/>
      <c r="E559" s="66"/>
      <c r="F559" s="66"/>
      <c r="G559" s="222"/>
      <c r="H559" s="66"/>
      <c r="I559" s="108"/>
      <c r="J559" s="63"/>
    </row>
    <row r="560" spans="1:12" ht="51" x14ac:dyDescent="0.2">
      <c r="A560" s="15" t="str">
        <f>'PLANILHA ORÇAMENTÁRIA'!A157</f>
        <v>17.3.1</v>
      </c>
      <c r="B560" s="118" t="str">
        <f>'PLANILHA ORÇAMENTÁRIA'!D157</f>
        <v>Luminaria sobrepor compl., corpo ch. aço pintada branca, refletor, aletas parabólicas alum.alta pureza e refletância inclusive 2 lâmpadas LED T8 9W temp. de cor 5000k c/ 60cm - Ref. CS216AL-N - AMES, 663 - LUMAVI OU EQUIVALENTE</v>
      </c>
      <c r="C560" s="15" t="str">
        <f>'PLANILHA ORÇAMENTÁRIA'!E157</f>
        <v>und</v>
      </c>
      <c r="D560" s="66" t="s">
        <v>441</v>
      </c>
      <c r="E560" s="66" t="s">
        <v>442</v>
      </c>
      <c r="F560" s="66" t="s">
        <v>443</v>
      </c>
      <c r="G560" s="66" t="s">
        <v>444</v>
      </c>
      <c r="H560" s="66" t="s">
        <v>445</v>
      </c>
      <c r="I560" s="66" t="s">
        <v>446</v>
      </c>
      <c r="J560" s="67" t="s">
        <v>447</v>
      </c>
    </row>
    <row r="561" spans="1:10" x14ac:dyDescent="0.2">
      <c r="A561" s="15"/>
      <c r="B561" s="183" t="s">
        <v>472</v>
      </c>
      <c r="C561" s="15"/>
      <c r="D561" s="66">
        <v>1</v>
      </c>
      <c r="E561" s="66"/>
      <c r="F561" s="66"/>
      <c r="G561" s="66"/>
      <c r="H561" s="66"/>
      <c r="I561" s="24"/>
      <c r="J561" s="70">
        <f t="shared" ref="J561:J568" si="25">D561</f>
        <v>1</v>
      </c>
    </row>
    <row r="562" spans="1:10" x14ac:dyDescent="0.2">
      <c r="A562" s="15"/>
      <c r="B562" s="183" t="s">
        <v>466</v>
      </c>
      <c r="C562" s="15"/>
      <c r="D562" s="66">
        <v>2</v>
      </c>
      <c r="E562" s="66"/>
      <c r="F562" s="66"/>
      <c r="G562" s="66"/>
      <c r="H562" s="66"/>
      <c r="I562" s="24"/>
      <c r="J562" s="70">
        <f t="shared" si="25"/>
        <v>2</v>
      </c>
    </row>
    <row r="563" spans="1:10" x14ac:dyDescent="0.2">
      <c r="A563" s="15"/>
      <c r="B563" s="183" t="s">
        <v>489</v>
      </c>
      <c r="C563" s="15"/>
      <c r="D563" s="66">
        <v>1</v>
      </c>
      <c r="E563" s="66"/>
      <c r="F563" s="66"/>
      <c r="G563" s="66"/>
      <c r="H563" s="66"/>
      <c r="I563" s="24"/>
      <c r="J563" s="70">
        <f t="shared" si="25"/>
        <v>1</v>
      </c>
    </row>
    <row r="564" spans="1:10" x14ac:dyDescent="0.2">
      <c r="A564" s="15"/>
      <c r="B564" s="183" t="s">
        <v>488</v>
      </c>
      <c r="C564" s="15"/>
      <c r="D564" s="66">
        <v>2</v>
      </c>
      <c r="E564" s="66"/>
      <c r="F564" s="66"/>
      <c r="G564" s="66"/>
      <c r="H564" s="66"/>
      <c r="I564" s="24"/>
      <c r="J564" s="70">
        <f t="shared" si="25"/>
        <v>2</v>
      </c>
    </row>
    <row r="565" spans="1:10" x14ac:dyDescent="0.2">
      <c r="A565" s="15"/>
      <c r="B565" s="183" t="s">
        <v>467</v>
      </c>
      <c r="C565" s="15"/>
      <c r="D565" s="67">
        <v>2</v>
      </c>
      <c r="E565" s="66"/>
      <c r="F565" s="66"/>
      <c r="G565" s="66"/>
      <c r="H565" s="66"/>
      <c r="I565" s="24"/>
      <c r="J565" s="70">
        <f t="shared" si="25"/>
        <v>2</v>
      </c>
    </row>
    <row r="566" spans="1:10" x14ac:dyDescent="0.2">
      <c r="A566" s="15"/>
      <c r="B566" s="183" t="s">
        <v>464</v>
      </c>
      <c r="C566" s="15"/>
      <c r="D566" s="67">
        <v>2</v>
      </c>
      <c r="E566" s="66"/>
      <c r="F566" s="66"/>
      <c r="G566" s="66"/>
      <c r="H566" s="66"/>
      <c r="I566" s="24"/>
      <c r="J566" s="70">
        <f t="shared" si="25"/>
        <v>2</v>
      </c>
    </row>
    <row r="567" spans="1:10" x14ac:dyDescent="0.2">
      <c r="A567" s="15"/>
      <c r="B567" s="183" t="s">
        <v>554</v>
      </c>
      <c r="C567" s="15"/>
      <c r="D567" s="67">
        <v>1</v>
      </c>
      <c r="E567" s="66"/>
      <c r="F567" s="66"/>
      <c r="G567" s="66"/>
      <c r="H567" s="66"/>
      <c r="I567" s="24"/>
      <c r="J567" s="70">
        <f t="shared" si="25"/>
        <v>1</v>
      </c>
    </row>
    <row r="568" spans="1:10" x14ac:dyDescent="0.2">
      <c r="A568" s="15"/>
      <c r="B568" s="183" t="s">
        <v>556</v>
      </c>
      <c r="C568" s="15"/>
      <c r="D568" s="67">
        <v>1</v>
      </c>
      <c r="E568" s="66"/>
      <c r="F568" s="66"/>
      <c r="G568" s="66"/>
      <c r="H568" s="66"/>
      <c r="I568" s="24"/>
      <c r="J568" s="70">
        <f t="shared" si="25"/>
        <v>1</v>
      </c>
    </row>
    <row r="569" spans="1:10" x14ac:dyDescent="0.2">
      <c r="A569" s="15"/>
      <c r="B569" s="158"/>
      <c r="C569" s="15"/>
      <c r="D569" s="66"/>
      <c r="E569" s="66"/>
      <c r="F569" s="66"/>
      <c r="G569" s="66"/>
      <c r="H569" s="66"/>
      <c r="I569" s="64" t="s">
        <v>452</v>
      </c>
      <c r="J569" s="65">
        <f>SUM(J561:J568)</f>
        <v>12</v>
      </c>
    </row>
    <row r="570" spans="1:10" x14ac:dyDescent="0.2">
      <c r="A570" s="15"/>
      <c r="B570" s="158"/>
      <c r="C570" s="15"/>
      <c r="D570" s="66"/>
      <c r="E570" s="66"/>
      <c r="F570" s="66"/>
      <c r="G570" s="66"/>
      <c r="H570" s="66"/>
      <c r="I570" s="24"/>
      <c r="J570" s="24"/>
    </row>
    <row r="571" spans="1:10" ht="51" x14ac:dyDescent="0.2">
      <c r="A571" s="15" t="str">
        <f>'PLANILHA ORÇAMENTÁRIA'!A158</f>
        <v>17.3.2</v>
      </c>
      <c r="B571" s="118" t="str">
        <f>'PLANILHA ORÇAMENTÁRIA'!D158</f>
        <v>Luminaria sobrepor compl., corpo ch. aço pintada branca, refletor aletas parabólicas alum.alta pureza e refletância inclusive 2 lâmpadas LED T8 20W temp. de cor 5000k bivolt c/ 1,20m - Ref. CS232AL-N - AMES, 664 - LUMAVI OU EQUIVALENTE</v>
      </c>
      <c r="C571" s="15" t="str">
        <f>'PLANILHA ORÇAMENTÁRIA'!E158</f>
        <v>und</v>
      </c>
      <c r="D571" s="66" t="s">
        <v>441</v>
      </c>
      <c r="E571" s="66" t="s">
        <v>442</v>
      </c>
      <c r="F571" s="66" t="s">
        <v>443</v>
      </c>
      <c r="G571" s="66" t="s">
        <v>444</v>
      </c>
      <c r="H571" s="66" t="s">
        <v>445</v>
      </c>
      <c r="I571" s="66" t="s">
        <v>446</v>
      </c>
      <c r="J571" s="67" t="s">
        <v>447</v>
      </c>
    </row>
    <row r="572" spans="1:10" x14ac:dyDescent="0.2">
      <c r="A572" s="15"/>
      <c r="B572" s="183" t="s">
        <v>557</v>
      </c>
      <c r="C572" s="15"/>
      <c r="D572" s="66">
        <v>11</v>
      </c>
      <c r="E572" s="66"/>
      <c r="F572" s="66"/>
      <c r="G572" s="66"/>
      <c r="H572" s="66"/>
      <c r="I572" s="24"/>
      <c r="J572" s="70">
        <f>D572</f>
        <v>11</v>
      </c>
    </row>
    <row r="573" spans="1:10" x14ac:dyDescent="0.2">
      <c r="A573" s="15"/>
      <c r="B573" s="183" t="s">
        <v>451</v>
      </c>
      <c r="C573" s="15"/>
      <c r="D573" s="66">
        <v>1</v>
      </c>
      <c r="E573" s="66"/>
      <c r="F573" s="66"/>
      <c r="G573" s="66"/>
      <c r="H573" s="66"/>
      <c r="I573" s="24"/>
      <c r="J573" s="70">
        <f>D573</f>
        <v>1</v>
      </c>
    </row>
    <row r="574" spans="1:10" x14ac:dyDescent="0.2">
      <c r="A574" s="15"/>
      <c r="B574" s="158"/>
      <c r="C574" s="15"/>
      <c r="D574" s="66"/>
      <c r="E574" s="66"/>
      <c r="F574" s="66"/>
      <c r="G574" s="66"/>
      <c r="H574" s="66"/>
      <c r="I574" s="64" t="s">
        <v>452</v>
      </c>
      <c r="J574" s="65">
        <f>SUM(J572:J573)</f>
        <v>12</v>
      </c>
    </row>
    <row r="575" spans="1:10" x14ac:dyDescent="0.2">
      <c r="A575" s="220">
        <v>18</v>
      </c>
      <c r="B575" s="7" t="s">
        <v>407</v>
      </c>
      <c r="C575" s="7"/>
      <c r="D575" s="7"/>
      <c r="E575" s="7"/>
      <c r="F575" s="7"/>
      <c r="G575" s="7"/>
      <c r="H575" s="7"/>
      <c r="I575" s="7"/>
      <c r="J575" s="7"/>
    </row>
    <row r="576" spans="1:10" x14ac:dyDescent="0.2">
      <c r="A576" s="17" t="s">
        <v>408</v>
      </c>
      <c r="B576" s="332" t="s">
        <v>409</v>
      </c>
      <c r="C576" s="15"/>
      <c r="D576" s="66"/>
      <c r="E576" s="66"/>
      <c r="F576" s="66"/>
      <c r="G576" s="66"/>
      <c r="H576" s="66"/>
      <c r="I576" s="66"/>
      <c r="J576" s="67"/>
    </row>
    <row r="577" spans="1:10" ht="25.5" x14ac:dyDescent="0.2">
      <c r="A577" s="15" t="s">
        <v>410</v>
      </c>
      <c r="B577" s="333" t="str">
        <f>'PLANILHA ORÇAMENTÁRIA'!D162</f>
        <v xml:space="preserve">Pintura com tinta acrílica, marcas de referência Suvinil, Coral e Metalatex, inclusive selador acrílico, em paredes e forros, a duas demãos </v>
      </c>
      <c r="C577" s="15" t="str">
        <f>'PLANILHA ORÇAMENTÁRIA'!E162</f>
        <v>m2</v>
      </c>
      <c r="D577" s="66" t="s">
        <v>441</v>
      </c>
      <c r="E577" s="66" t="s">
        <v>442</v>
      </c>
      <c r="F577" s="66" t="s">
        <v>443</v>
      </c>
      <c r="G577" s="66" t="s">
        <v>444</v>
      </c>
      <c r="H577" s="66" t="s">
        <v>445</v>
      </c>
      <c r="I577" s="66" t="s">
        <v>446</v>
      </c>
      <c r="J577" s="67" t="s">
        <v>447</v>
      </c>
    </row>
    <row r="578" spans="1:10" ht="25.5" x14ac:dyDescent="0.2">
      <c r="A578" s="15"/>
      <c r="B578" s="333"/>
      <c r="C578" s="15"/>
      <c r="D578" s="66"/>
      <c r="E578" s="66"/>
      <c r="F578" s="66"/>
      <c r="G578" s="66"/>
      <c r="H578" s="66"/>
      <c r="I578" s="402" t="s">
        <v>453</v>
      </c>
      <c r="J578" s="67"/>
    </row>
    <row r="579" spans="1:10" x14ac:dyDescent="0.2">
      <c r="A579" s="15"/>
      <c r="B579" s="304" t="s">
        <v>558</v>
      </c>
      <c r="C579" s="15"/>
      <c r="D579" s="66"/>
      <c r="E579" s="66"/>
      <c r="F579" s="66"/>
      <c r="G579" s="66"/>
      <c r="H579" s="66"/>
      <c r="I579" s="66"/>
      <c r="J579" s="67"/>
    </row>
    <row r="580" spans="1:10" x14ac:dyDescent="0.2">
      <c r="A580" s="15"/>
      <c r="B580" s="183" t="s">
        <v>559</v>
      </c>
      <c r="C580" s="15"/>
      <c r="D580" s="66"/>
      <c r="E580" s="66">
        <v>19.920000000000002</v>
      </c>
      <c r="F580" s="66"/>
      <c r="G580" s="66">
        <v>3.9</v>
      </c>
      <c r="H580" s="66">
        <f>E580*G580</f>
        <v>77.688000000000002</v>
      </c>
      <c r="I580" s="66">
        <f>5.88+6.66+6.56+6.68+6.19</f>
        <v>31.97</v>
      </c>
      <c r="J580" s="67">
        <f>H580-I580</f>
        <v>45.718000000000004</v>
      </c>
    </row>
    <row r="581" spans="1:10" x14ac:dyDescent="0.2">
      <c r="A581" s="15"/>
      <c r="B581" s="183" t="s">
        <v>560</v>
      </c>
      <c r="C581" s="15"/>
      <c r="D581" s="66"/>
      <c r="E581" s="66"/>
      <c r="F581" s="66"/>
      <c r="G581" s="66"/>
      <c r="H581" s="66">
        <v>45.62</v>
      </c>
      <c r="I581" s="66">
        <f>6.68+4.44+2+4.31</f>
        <v>17.43</v>
      </c>
      <c r="J581" s="67">
        <f>H581-I581</f>
        <v>28.189999999999998</v>
      </c>
    </row>
    <row r="582" spans="1:10" x14ac:dyDescent="0.2">
      <c r="A582" s="15"/>
      <c r="B582" s="183" t="s">
        <v>561</v>
      </c>
      <c r="C582" s="15"/>
      <c r="D582" s="66"/>
      <c r="E582" s="66">
        <v>29.61</v>
      </c>
      <c r="F582" s="66"/>
      <c r="G582" s="66">
        <v>3.3</v>
      </c>
      <c r="H582" s="66">
        <f>E582+G582</f>
        <v>32.909999999999997</v>
      </c>
      <c r="I582" s="66"/>
      <c r="J582" s="67">
        <f>H582-I582</f>
        <v>32.909999999999997</v>
      </c>
    </row>
    <row r="583" spans="1:10" x14ac:dyDescent="0.2">
      <c r="A583" s="15"/>
      <c r="B583" s="183" t="s">
        <v>562</v>
      </c>
      <c r="C583" s="15"/>
      <c r="D583" s="66"/>
      <c r="E583" s="66"/>
      <c r="F583" s="66"/>
      <c r="G583" s="66"/>
      <c r="H583" s="66">
        <v>58.56</v>
      </c>
      <c r="I583" s="66">
        <f>6.68+9.59</f>
        <v>16.27</v>
      </c>
      <c r="J583" s="67">
        <f>H583-I583</f>
        <v>42.290000000000006</v>
      </c>
    </row>
    <row r="584" spans="1:10" x14ac:dyDescent="0.2">
      <c r="A584" s="15"/>
      <c r="B584" s="183" t="s">
        <v>563</v>
      </c>
      <c r="C584" s="15"/>
      <c r="D584" s="66">
        <v>5</v>
      </c>
      <c r="E584" s="66">
        <f>0.3+0.3+0.13+0.13</f>
        <v>0.86</v>
      </c>
      <c r="F584" s="66"/>
      <c r="G584" s="66">
        <v>2.96</v>
      </c>
      <c r="H584" s="66">
        <f>D584*E584*G584</f>
        <v>12.728</v>
      </c>
      <c r="I584" s="66"/>
      <c r="J584" s="67">
        <f t="shared" ref="J584" si="26">H584-I584</f>
        <v>12.728</v>
      </c>
    </row>
    <row r="585" spans="1:10" x14ac:dyDescent="0.2">
      <c r="A585" s="15"/>
      <c r="B585" s="183" t="s">
        <v>564</v>
      </c>
      <c r="C585" s="15"/>
      <c r="D585" s="66">
        <v>4</v>
      </c>
      <c r="E585" s="66">
        <f>0.3+0.3+0.13+0.13</f>
        <v>0.86</v>
      </c>
      <c r="F585" s="66"/>
      <c r="G585" s="66">
        <v>3.67</v>
      </c>
      <c r="H585" s="66">
        <f>D585*E585*G585</f>
        <v>12.624799999999999</v>
      </c>
      <c r="I585" s="66"/>
      <c r="J585" s="67">
        <f t="shared" ref="J585:J586" si="27">H585-I585</f>
        <v>12.624799999999999</v>
      </c>
    </row>
    <row r="586" spans="1:10" x14ac:dyDescent="0.2">
      <c r="A586" s="15"/>
      <c r="B586" s="183" t="s">
        <v>565</v>
      </c>
      <c r="C586" s="15"/>
      <c r="D586" s="66">
        <v>2</v>
      </c>
      <c r="E586" s="403">
        <v>19.920000000000002</v>
      </c>
      <c r="F586" s="66">
        <f>0.3+0.3+0.13+0.13</f>
        <v>0.86</v>
      </c>
      <c r="G586" s="66"/>
      <c r="H586" s="66">
        <f>D586*E586*F586</f>
        <v>34.2624</v>
      </c>
      <c r="I586" s="66"/>
      <c r="J586" s="67">
        <f t="shared" si="27"/>
        <v>34.2624</v>
      </c>
    </row>
    <row r="587" spans="1:10" x14ac:dyDescent="0.2">
      <c r="A587" s="15"/>
      <c r="B587" s="476" t="s">
        <v>566</v>
      </c>
      <c r="C587" s="15"/>
      <c r="D587" s="66">
        <v>4</v>
      </c>
      <c r="E587" s="66">
        <v>9.84</v>
      </c>
      <c r="F587" s="66">
        <f>0.3+0.3+0.13+0.13</f>
        <v>0.86</v>
      </c>
      <c r="G587" s="66"/>
      <c r="H587" s="66">
        <f>D587*E587*F587</f>
        <v>33.849600000000002</v>
      </c>
      <c r="I587" s="66"/>
      <c r="J587" s="67">
        <f>H587-I587</f>
        <v>33.849600000000002</v>
      </c>
    </row>
    <row r="588" spans="1:10" x14ac:dyDescent="0.2">
      <c r="A588" s="15"/>
      <c r="B588" s="477"/>
      <c r="C588" s="15"/>
      <c r="D588" s="66">
        <v>1</v>
      </c>
      <c r="E588" s="194">
        <v>7.83</v>
      </c>
      <c r="F588" s="194">
        <f>0.3+0.3+0.13+0.13</f>
        <v>0.86</v>
      </c>
      <c r="G588" s="194"/>
      <c r="H588" s="194">
        <f>D588*E588*F588</f>
        <v>6.7337999999999996</v>
      </c>
      <c r="I588" s="194"/>
      <c r="J588" s="206">
        <f>H588-I588</f>
        <v>6.7337999999999996</v>
      </c>
    </row>
    <row r="589" spans="1:10" x14ac:dyDescent="0.2">
      <c r="A589" s="15"/>
      <c r="B589" s="304" t="s">
        <v>567</v>
      </c>
      <c r="C589" s="15"/>
      <c r="D589" s="222"/>
      <c r="E589" s="186"/>
      <c r="F589" s="186"/>
      <c r="G589" s="186"/>
      <c r="H589" s="186"/>
      <c r="I589" s="212"/>
      <c r="J589" s="342"/>
    </row>
    <row r="590" spans="1:10" x14ac:dyDescent="0.2">
      <c r="A590" s="15"/>
      <c r="B590" s="183" t="s">
        <v>568</v>
      </c>
      <c r="C590" s="15"/>
      <c r="D590" s="66"/>
      <c r="E590" s="195">
        <v>6.46</v>
      </c>
      <c r="F590" s="195"/>
      <c r="G590" s="195">
        <v>3.67</v>
      </c>
      <c r="H590" s="195">
        <f>E590*G590</f>
        <v>23.708199999999998</v>
      </c>
      <c r="I590" s="195"/>
      <c r="J590" s="206">
        <f>H590-I590</f>
        <v>23.708199999999998</v>
      </c>
    </row>
    <row r="591" spans="1:10" x14ac:dyDescent="0.2">
      <c r="A591" s="15"/>
      <c r="B591" s="183" t="s">
        <v>569</v>
      </c>
      <c r="C591" s="15"/>
      <c r="D591" s="66"/>
      <c r="E591" s="66">
        <f>(2.53+3.1)*2</f>
        <v>11.26</v>
      </c>
      <c r="F591" s="66"/>
      <c r="G591" s="66">
        <v>2.96</v>
      </c>
      <c r="H591" s="66">
        <f>E591*G591</f>
        <v>33.329599999999999</v>
      </c>
      <c r="I591" s="66"/>
      <c r="J591" s="206">
        <f>H591-I591</f>
        <v>33.329599999999999</v>
      </c>
    </row>
    <row r="592" spans="1:10" x14ac:dyDescent="0.2">
      <c r="A592" s="15"/>
      <c r="B592" s="183" t="s">
        <v>570</v>
      </c>
      <c r="C592" s="15"/>
      <c r="D592" s="66"/>
      <c r="E592" s="66"/>
      <c r="F592" s="66"/>
      <c r="G592" s="66"/>
      <c r="H592" s="66">
        <v>13.12</v>
      </c>
      <c r="I592" s="66">
        <v>6.83</v>
      </c>
      <c r="J592" s="206">
        <f>H592-I592</f>
        <v>6.2899999999999991</v>
      </c>
    </row>
    <row r="593" spans="1:10" x14ac:dyDescent="0.2">
      <c r="A593" s="15"/>
      <c r="B593" s="183" t="s">
        <v>571</v>
      </c>
      <c r="C593" s="15"/>
      <c r="D593" s="66"/>
      <c r="E593" s="66">
        <f>(1.22+0.94)*2</f>
        <v>4.32</v>
      </c>
      <c r="F593" s="194"/>
      <c r="G593" s="194">
        <v>1.9</v>
      </c>
      <c r="H593" s="194">
        <f>E593*G593</f>
        <v>8.2080000000000002</v>
      </c>
      <c r="I593" s="194"/>
      <c r="J593" s="206">
        <f>H593-I593</f>
        <v>8.2080000000000002</v>
      </c>
    </row>
    <row r="594" spans="1:10" x14ac:dyDescent="0.2">
      <c r="A594" s="15"/>
      <c r="B594" s="406" t="s">
        <v>488</v>
      </c>
      <c r="C594" s="205"/>
      <c r="D594" s="194"/>
      <c r="E594" s="231"/>
      <c r="F594" s="201"/>
      <c r="G594" s="201"/>
      <c r="H594" s="201"/>
      <c r="I594" s="212"/>
      <c r="J594" s="295"/>
    </row>
    <row r="595" spans="1:10" x14ac:dyDescent="0.2">
      <c r="A595" s="404"/>
      <c r="B595" s="217" t="s">
        <v>572</v>
      </c>
      <c r="C595" s="186"/>
      <c r="D595" s="186"/>
      <c r="E595" s="201"/>
      <c r="F595" s="228">
        <f>(2.94+2.94+4.2+4.2+1.98+1.98+1.46+1.46+1.46+1.46+2.94+2.94+1.13+1.13)</f>
        <v>32.220000000000006</v>
      </c>
      <c r="G595" s="228">
        <f>2.8-1.85</f>
        <v>0.94999999999999973</v>
      </c>
      <c r="H595" s="228">
        <f>F595*G595</f>
        <v>30.608999999999998</v>
      </c>
      <c r="I595" s="408"/>
      <c r="J595" s="206">
        <f>H595-I595</f>
        <v>30.608999999999998</v>
      </c>
    </row>
    <row r="596" spans="1:10" x14ac:dyDescent="0.2">
      <c r="A596" s="404"/>
      <c r="B596" s="409" t="s">
        <v>448</v>
      </c>
      <c r="C596" s="407"/>
      <c r="D596" s="410"/>
      <c r="E596" s="212"/>
      <c r="F596" s="186"/>
      <c r="G596" s="186"/>
      <c r="H596" s="186"/>
      <c r="I596" s="212"/>
      <c r="J596" s="206"/>
    </row>
    <row r="597" spans="1:10" x14ac:dyDescent="0.2">
      <c r="A597" s="404"/>
      <c r="B597" s="217" t="s">
        <v>573</v>
      </c>
      <c r="C597" s="186"/>
      <c r="D597" s="243"/>
      <c r="E597" s="186"/>
      <c r="F597" s="228">
        <f>(2.94+2.9+2.94+2.9+1.06+1.06+1.6+1.6+1.15+1.15)</f>
        <v>19.299999999999997</v>
      </c>
      <c r="G597" s="228">
        <f>2.8-1.85</f>
        <v>0.94999999999999973</v>
      </c>
      <c r="H597" s="228">
        <f>F597*G597</f>
        <v>18.334999999999994</v>
      </c>
      <c r="I597" s="228"/>
      <c r="J597" s="206">
        <f t="shared" ref="J597:J599" si="28">H597-I597</f>
        <v>18.334999999999994</v>
      </c>
    </row>
    <row r="598" spans="1:10" x14ac:dyDescent="0.2">
      <c r="A598" s="404"/>
      <c r="B598" s="346" t="s">
        <v>450</v>
      </c>
      <c r="C598" s="338"/>
      <c r="D598" s="296"/>
      <c r="E598" s="296"/>
      <c r="F598" s="186"/>
      <c r="G598" s="201"/>
      <c r="H598" s="186"/>
      <c r="I598" s="212"/>
      <c r="J598" s="206"/>
    </row>
    <row r="599" spans="1:10" x14ac:dyDescent="0.2">
      <c r="A599" s="404"/>
      <c r="B599" s="411" t="s">
        <v>572</v>
      </c>
      <c r="C599" s="338"/>
      <c r="D599" s="296"/>
      <c r="E599" s="296"/>
      <c r="F599" s="296">
        <f>(1.11+1.11+2.43+2.43)</f>
        <v>7.08</v>
      </c>
      <c r="G599" s="212">
        <f>2.8-1.85</f>
        <v>0.94999999999999973</v>
      </c>
      <c r="H599" s="233">
        <f>F599*G599</f>
        <v>6.7259999999999982</v>
      </c>
      <c r="I599" s="212"/>
      <c r="J599" s="206">
        <f t="shared" si="28"/>
        <v>6.7259999999999982</v>
      </c>
    </row>
    <row r="600" spans="1:10" x14ac:dyDescent="0.2">
      <c r="A600" s="15"/>
      <c r="B600" s="412" t="s">
        <v>467</v>
      </c>
      <c r="C600" s="207"/>
      <c r="D600" s="195"/>
      <c r="E600" s="195"/>
      <c r="F600" s="225"/>
      <c r="G600" s="212"/>
      <c r="H600" s="405"/>
      <c r="I600" s="195"/>
      <c r="J600" s="67"/>
    </row>
    <row r="601" spans="1:10" x14ac:dyDescent="0.2">
      <c r="A601" s="15"/>
      <c r="B601" s="183" t="s">
        <v>572</v>
      </c>
      <c r="C601" s="15"/>
      <c r="D601" s="66"/>
      <c r="E601" s="66">
        <f>(5+5+4.38+4.38)</f>
        <v>18.759999999999998</v>
      </c>
      <c r="F601" s="66"/>
      <c r="G601" s="195">
        <f>2.94-1.45</f>
        <v>1.49</v>
      </c>
      <c r="H601" s="66">
        <f>E601*G601</f>
        <v>27.952399999999997</v>
      </c>
      <c r="I601" s="66">
        <f>2.95*0.97</f>
        <v>2.8614999999999999</v>
      </c>
      <c r="J601" s="67">
        <f>H601-I601</f>
        <v>25.090899999999998</v>
      </c>
    </row>
    <row r="602" spans="1:10" x14ac:dyDescent="0.2">
      <c r="A602" s="15"/>
      <c r="B602" s="304" t="s">
        <v>464</v>
      </c>
      <c r="C602" s="15"/>
      <c r="D602" s="66"/>
      <c r="E602" s="66"/>
      <c r="F602" s="66"/>
      <c r="G602" s="66"/>
      <c r="H602" s="66"/>
      <c r="I602" s="66"/>
      <c r="J602" s="67"/>
    </row>
    <row r="603" spans="1:10" x14ac:dyDescent="0.2">
      <c r="A603" s="15"/>
      <c r="B603" s="183" t="s">
        <v>574</v>
      </c>
      <c r="C603" s="15"/>
      <c r="D603" s="66"/>
      <c r="E603" s="66">
        <f>2.1+4.92+2.1+0.8</f>
        <v>9.92</v>
      </c>
      <c r="F603" s="66"/>
      <c r="G603" s="66">
        <f>2.94-1.45</f>
        <v>1.49</v>
      </c>
      <c r="H603" s="66">
        <f>E603*G603</f>
        <v>14.780799999999999</v>
      </c>
      <c r="I603" s="66"/>
      <c r="J603" s="67">
        <f t="shared" ref="J603:J606" si="29">H603-I603</f>
        <v>14.780799999999999</v>
      </c>
    </row>
    <row r="604" spans="1:10" x14ac:dyDescent="0.2">
      <c r="A604" s="15"/>
      <c r="B604" s="183" t="s">
        <v>575</v>
      </c>
      <c r="C604" s="15"/>
      <c r="D604" s="66"/>
      <c r="E604" s="66">
        <f>2.1+4.92+2.1</f>
        <v>9.1199999999999992</v>
      </c>
      <c r="F604" s="66"/>
      <c r="G604" s="66">
        <v>2.94</v>
      </c>
      <c r="H604" s="66">
        <f>E604*G604</f>
        <v>26.812799999999996</v>
      </c>
      <c r="I604" s="66"/>
      <c r="J604" s="67">
        <f t="shared" si="29"/>
        <v>26.812799999999996</v>
      </c>
    </row>
    <row r="605" spans="1:10" x14ac:dyDescent="0.2">
      <c r="A605" s="15"/>
      <c r="B605" s="304" t="s">
        <v>466</v>
      </c>
      <c r="C605" s="15"/>
      <c r="D605" s="66"/>
      <c r="E605" s="66"/>
      <c r="F605" s="66"/>
      <c r="G605" s="66"/>
      <c r="H605" s="66"/>
      <c r="I605" s="66"/>
      <c r="J605" s="67"/>
    </row>
    <row r="606" spans="1:10" x14ac:dyDescent="0.2">
      <c r="A606" s="15"/>
      <c r="B606" s="183" t="s">
        <v>576</v>
      </c>
      <c r="C606" s="15"/>
      <c r="D606" s="66"/>
      <c r="E606" s="66">
        <v>8.74</v>
      </c>
      <c r="F606" s="66"/>
      <c r="G606" s="66">
        <v>2.36</v>
      </c>
      <c r="H606" s="66">
        <f>E606*G606</f>
        <v>20.6264</v>
      </c>
      <c r="I606" s="66"/>
      <c r="J606" s="67">
        <f t="shared" si="29"/>
        <v>20.6264</v>
      </c>
    </row>
    <row r="607" spans="1:10" x14ac:dyDescent="0.2">
      <c r="A607" s="15"/>
      <c r="B607" s="183" t="s">
        <v>568</v>
      </c>
      <c r="C607" s="15"/>
      <c r="D607" s="66"/>
      <c r="E607" s="66">
        <v>8.74</v>
      </c>
      <c r="F607" s="66"/>
      <c r="G607" s="66">
        <v>2.94</v>
      </c>
      <c r="H607" s="66">
        <f>E607*G607</f>
        <v>25.695599999999999</v>
      </c>
      <c r="I607" s="66"/>
      <c r="J607" s="67">
        <f>H607-I607</f>
        <v>25.695599999999999</v>
      </c>
    </row>
    <row r="608" spans="1:10" x14ac:dyDescent="0.2">
      <c r="A608" s="15"/>
      <c r="B608" s="183" t="s">
        <v>577</v>
      </c>
      <c r="C608" s="15"/>
      <c r="D608" s="66">
        <v>2</v>
      </c>
      <c r="E608" s="66"/>
      <c r="F608" s="66"/>
      <c r="G608" s="66"/>
      <c r="H608" s="66">
        <v>7.53</v>
      </c>
      <c r="I608" s="66"/>
      <c r="J608" s="67">
        <f>D608*H608-I608</f>
        <v>15.06</v>
      </c>
    </row>
    <row r="609" spans="1:12" x14ac:dyDescent="0.2">
      <c r="A609" s="15"/>
      <c r="B609" s="304" t="s">
        <v>474</v>
      </c>
      <c r="C609" s="15"/>
      <c r="D609" s="66"/>
      <c r="E609" s="66"/>
      <c r="F609" s="66"/>
      <c r="G609" s="66"/>
      <c r="H609" s="66"/>
      <c r="I609" s="66"/>
      <c r="J609" s="67"/>
    </row>
    <row r="610" spans="1:12" x14ac:dyDescent="0.2">
      <c r="A610" s="15"/>
      <c r="B610" s="183" t="s">
        <v>572</v>
      </c>
      <c r="C610" s="15"/>
      <c r="D610" s="66"/>
      <c r="E610" s="66">
        <f>2+2.43+2.43</f>
        <v>6.8599999999999994</v>
      </c>
      <c r="F610" s="66"/>
      <c r="G610" s="66">
        <v>2.8</v>
      </c>
      <c r="H610" s="66">
        <f>E610*G610</f>
        <v>19.207999999999998</v>
      </c>
      <c r="I610" s="66"/>
      <c r="J610" s="67">
        <f t="shared" ref="J610:J612" si="30">H610-I610</f>
        <v>19.207999999999998</v>
      </c>
    </row>
    <row r="611" spans="1:12" x14ac:dyDescent="0.2">
      <c r="A611" s="15"/>
      <c r="B611" s="304" t="s">
        <v>483</v>
      </c>
      <c r="C611" s="15"/>
      <c r="D611" s="66"/>
      <c r="E611" s="66"/>
      <c r="F611" s="66"/>
      <c r="G611" s="66"/>
      <c r="H611" s="66"/>
      <c r="I611" s="66"/>
      <c r="J611" s="67"/>
    </row>
    <row r="612" spans="1:12" x14ac:dyDescent="0.2">
      <c r="A612" s="15"/>
      <c r="B612" s="183" t="s">
        <v>572</v>
      </c>
      <c r="C612" s="15"/>
      <c r="D612" s="66"/>
      <c r="E612" s="66">
        <f>1.11+1.11+2.43+2.43</f>
        <v>7.08</v>
      </c>
      <c r="F612" s="66"/>
      <c r="G612" s="66">
        <f>2.8-1.85</f>
        <v>0.94999999999999973</v>
      </c>
      <c r="H612" s="66">
        <f>E612*G612</f>
        <v>6.7259999999999982</v>
      </c>
      <c r="I612" s="66"/>
      <c r="J612" s="67">
        <f t="shared" si="30"/>
        <v>6.7259999999999982</v>
      </c>
    </row>
    <row r="613" spans="1:12" x14ac:dyDescent="0.2">
      <c r="A613" s="252"/>
      <c r="B613" s="417" t="s">
        <v>578</v>
      </c>
      <c r="C613" s="415"/>
      <c r="D613" s="279">
        <v>2</v>
      </c>
      <c r="E613" s="416">
        <f>12.4+25</f>
        <v>37.4</v>
      </c>
      <c r="F613" s="264"/>
      <c r="G613" s="280">
        <v>2</v>
      </c>
      <c r="H613" s="257">
        <f>D613*E613*G613</f>
        <v>149.6</v>
      </c>
      <c r="I613" s="401">
        <f>(4.3*2*2)+(1.2*2*2)</f>
        <v>22</v>
      </c>
      <c r="J613" s="257">
        <f>H613-I613</f>
        <v>127.6</v>
      </c>
      <c r="K613" s="203"/>
      <c r="L613" s="203"/>
    </row>
    <row r="614" spans="1:12" x14ac:dyDescent="0.2">
      <c r="A614" s="15"/>
      <c r="B614" s="304" t="s">
        <v>579</v>
      </c>
      <c r="C614" s="15"/>
      <c r="D614" s="66"/>
      <c r="E614" s="66"/>
      <c r="F614" s="66"/>
      <c r="G614" s="66"/>
      <c r="H614" s="66"/>
      <c r="I614" s="66"/>
      <c r="J614" s="67"/>
    </row>
    <row r="615" spans="1:12" x14ac:dyDescent="0.2">
      <c r="A615" s="15"/>
      <c r="B615" s="348" t="s">
        <v>472</v>
      </c>
      <c r="C615" s="205"/>
      <c r="D615" s="194"/>
      <c r="E615" s="231"/>
      <c r="F615" s="255"/>
      <c r="G615" s="255"/>
      <c r="H615" s="255">
        <v>7.13</v>
      </c>
      <c r="I615" s="255"/>
      <c r="J615" s="316">
        <f>H615-I615</f>
        <v>7.13</v>
      </c>
    </row>
    <row r="616" spans="1:12" x14ac:dyDescent="0.2">
      <c r="A616" s="205"/>
      <c r="B616" s="348" t="s">
        <v>449</v>
      </c>
      <c r="C616" s="205"/>
      <c r="D616" s="194"/>
      <c r="E616" s="194"/>
      <c r="F616" s="194"/>
      <c r="G616" s="194"/>
      <c r="H616" s="194">
        <v>12.35</v>
      </c>
      <c r="I616" s="375"/>
      <c r="J616" s="316">
        <f>H616-I616</f>
        <v>12.35</v>
      </c>
    </row>
    <row r="617" spans="1:12" x14ac:dyDescent="0.2">
      <c r="A617" s="390"/>
      <c r="B617" s="348" t="s">
        <v>481</v>
      </c>
      <c r="C617" s="390"/>
      <c r="D617" s="315"/>
      <c r="E617" s="315"/>
      <c r="F617" s="315"/>
      <c r="G617" s="315"/>
      <c r="H617" s="315">
        <v>8.5299999999999994</v>
      </c>
      <c r="I617" s="413"/>
      <c r="J617" s="316">
        <f>H617-I617</f>
        <v>8.5299999999999994</v>
      </c>
      <c r="K617" s="203"/>
      <c r="L617" s="203"/>
    </row>
    <row r="618" spans="1:12" x14ac:dyDescent="0.2">
      <c r="A618" s="390"/>
      <c r="B618" s="348" t="s">
        <v>553</v>
      </c>
      <c r="C618" s="390"/>
      <c r="D618" s="315"/>
      <c r="E618" s="315"/>
      <c r="F618" s="315"/>
      <c r="G618" s="315"/>
      <c r="H618" s="315">
        <v>2.7</v>
      </c>
      <c r="I618" s="413"/>
      <c r="J618" s="316">
        <f>H618-I618</f>
        <v>2.7</v>
      </c>
      <c r="K618" s="203"/>
      <c r="L618" s="203"/>
    </row>
    <row r="619" spans="1:12" x14ac:dyDescent="0.2">
      <c r="A619" s="390"/>
      <c r="B619" s="348" t="s">
        <v>580</v>
      </c>
      <c r="C619" s="390"/>
      <c r="D619" s="315"/>
      <c r="E619" s="315"/>
      <c r="F619" s="315"/>
      <c r="G619" s="315"/>
      <c r="H619" s="315">
        <v>2.4300000000000002</v>
      </c>
      <c r="I619" s="413"/>
      <c r="J619" s="316">
        <f>H619-I619</f>
        <v>2.4300000000000002</v>
      </c>
      <c r="K619" s="203"/>
      <c r="L619" s="203"/>
    </row>
    <row r="620" spans="1:12" x14ac:dyDescent="0.2">
      <c r="A620" s="338"/>
      <c r="B620" s="374"/>
      <c r="C620" s="338"/>
      <c r="D620" s="212"/>
      <c r="E620" s="212"/>
      <c r="F620" s="212"/>
      <c r="G620" s="212"/>
      <c r="H620" s="212"/>
      <c r="I620" s="310" t="s">
        <v>452</v>
      </c>
      <c r="J620" s="414">
        <f>SUM(J580:J619)</f>
        <v>691.25290000000007</v>
      </c>
    </row>
    <row r="621" spans="1:12" x14ac:dyDescent="0.2">
      <c r="A621" s="424" t="s">
        <v>412</v>
      </c>
      <c r="B621" s="330" t="str">
        <f>'PLANILHA ORÇAMENTÁRIA'!D163</f>
        <v>SOBRE MADEIRA</v>
      </c>
      <c r="C621" s="186"/>
      <c r="D621" s="210"/>
      <c r="E621" s="186"/>
      <c r="F621" s="186"/>
      <c r="G621" s="186"/>
      <c r="H621" s="186"/>
      <c r="I621" s="186"/>
      <c r="J621" s="186"/>
    </row>
    <row r="622" spans="1:12" ht="25.5" x14ac:dyDescent="0.2">
      <c r="A622" s="207" t="s">
        <v>414</v>
      </c>
      <c r="B622" s="335" t="str">
        <f>'PLANILHA ORÇAMENTÁRIA'!D164</f>
        <v>Pintura com verniz brilhante, linha Premium, marcas de referência Suvinil, Coral ou Metalatex, em madeira, a três demãos</v>
      </c>
      <c r="C622" s="207" t="str">
        <f>'PLANILHA ORÇAMENTÁRIA'!E164</f>
        <v xml:space="preserve"> m2 </v>
      </c>
      <c r="D622" s="195" t="s">
        <v>441</v>
      </c>
      <c r="E622" s="195" t="s">
        <v>442</v>
      </c>
      <c r="F622" s="195" t="s">
        <v>443</v>
      </c>
      <c r="G622" s="195" t="s">
        <v>444</v>
      </c>
      <c r="H622" s="195" t="s">
        <v>445</v>
      </c>
      <c r="I622" s="195" t="s">
        <v>446</v>
      </c>
      <c r="J622" s="336" t="s">
        <v>447</v>
      </c>
    </row>
    <row r="623" spans="1:12" ht="38.25" x14ac:dyDescent="0.2">
      <c r="A623" s="15"/>
      <c r="B623" s="335"/>
      <c r="C623" s="207"/>
      <c r="D623" s="195"/>
      <c r="E623" s="195"/>
      <c r="F623" s="195"/>
      <c r="G623" s="225"/>
      <c r="H623" s="372" t="s">
        <v>581</v>
      </c>
      <c r="I623" s="195"/>
      <c r="J623" s="336"/>
    </row>
    <row r="624" spans="1:12" x14ac:dyDescent="0.2">
      <c r="A624" s="15"/>
      <c r="B624" s="182" t="s">
        <v>502</v>
      </c>
      <c r="C624" s="15"/>
      <c r="D624" s="66"/>
      <c r="E624" s="66">
        <v>0.6</v>
      </c>
      <c r="F624" s="66"/>
      <c r="G624" s="303">
        <v>2.1</v>
      </c>
      <c r="H624" s="473">
        <v>3</v>
      </c>
      <c r="I624" s="260"/>
      <c r="J624" s="251">
        <f>E624*G624*$H$624</f>
        <v>3.7800000000000002</v>
      </c>
    </row>
    <row r="625" spans="1:10" x14ac:dyDescent="0.2">
      <c r="A625" s="15"/>
      <c r="B625" s="182" t="s">
        <v>503</v>
      </c>
      <c r="C625" s="15"/>
      <c r="D625" s="66"/>
      <c r="E625" s="66">
        <v>0.7</v>
      </c>
      <c r="F625" s="66"/>
      <c r="G625" s="303">
        <v>2.1</v>
      </c>
      <c r="H625" s="474"/>
      <c r="I625" s="260"/>
      <c r="J625" s="251">
        <f>E625*G625*$H$624</f>
        <v>4.41</v>
      </c>
    </row>
    <row r="626" spans="1:10" x14ac:dyDescent="0.2">
      <c r="A626" s="15"/>
      <c r="B626" s="182" t="s">
        <v>504</v>
      </c>
      <c r="C626" s="15"/>
      <c r="D626" s="66"/>
      <c r="E626" s="66">
        <v>0.7</v>
      </c>
      <c r="F626" s="66"/>
      <c r="G626" s="303">
        <v>2.1</v>
      </c>
      <c r="H626" s="474"/>
      <c r="I626" s="260"/>
      <c r="J626" s="251">
        <f>E626*G626*$H$624</f>
        <v>4.41</v>
      </c>
    </row>
    <row r="627" spans="1:10" x14ac:dyDescent="0.2">
      <c r="A627" s="15"/>
      <c r="B627" s="182" t="s">
        <v>505</v>
      </c>
      <c r="C627" s="15"/>
      <c r="D627" s="66"/>
      <c r="E627" s="66">
        <v>0.7</v>
      </c>
      <c r="F627" s="66"/>
      <c r="G627" s="303">
        <v>2.1</v>
      </c>
      <c r="H627" s="474"/>
      <c r="I627" s="260"/>
      <c r="J627" s="251">
        <f>E627*G627*$H$624</f>
        <v>4.41</v>
      </c>
    </row>
    <row r="628" spans="1:10" x14ac:dyDescent="0.2">
      <c r="A628" s="15"/>
      <c r="B628" s="182" t="s">
        <v>506</v>
      </c>
      <c r="C628" s="15"/>
      <c r="D628" s="66"/>
      <c r="E628" s="66">
        <v>0.8</v>
      </c>
      <c r="F628" s="66"/>
      <c r="G628" s="303">
        <v>2.1</v>
      </c>
      <c r="H628" s="475"/>
      <c r="I628" s="260"/>
      <c r="J628" s="251">
        <f>E628*G628*$H$624</f>
        <v>5.0400000000000009</v>
      </c>
    </row>
    <row r="629" spans="1:10" x14ac:dyDescent="0.2">
      <c r="A629" s="205"/>
      <c r="B629" s="334"/>
      <c r="C629" s="205"/>
      <c r="D629" s="194"/>
      <c r="E629" s="194"/>
      <c r="F629" s="194"/>
      <c r="G629" s="194"/>
      <c r="H629" s="194"/>
      <c r="I629" s="223" t="s">
        <v>452</v>
      </c>
      <c r="J629" s="229">
        <f>SUM(J624:J628)</f>
        <v>22.050000000000004</v>
      </c>
    </row>
    <row r="630" spans="1:10" x14ac:dyDescent="0.2">
      <c r="A630" s="424" t="s">
        <v>417</v>
      </c>
      <c r="B630" s="330" t="str">
        <f>'PLANILHA ORÇAMENTÁRIA'!D165</f>
        <v>SOBRE METAL</v>
      </c>
      <c r="C630" s="186"/>
      <c r="D630" s="210"/>
      <c r="E630" s="186"/>
      <c r="F630" s="186"/>
      <c r="G630" s="186"/>
      <c r="H630" s="186"/>
      <c r="I630" s="186"/>
      <c r="J630" s="186"/>
    </row>
    <row r="631" spans="1:10" ht="38.25" x14ac:dyDescent="0.2">
      <c r="A631" s="207" t="s">
        <v>420</v>
      </c>
      <c r="B631" s="335" t="str">
        <f>'PLANILHA ORÇAMENTÁRIA'!D166</f>
        <v>Pintura com tinta esmalte sintético, marcas de referência Suvinil, Coral ou Metalatex, a duas demãos, inclusive fundo anticorrosivo a uma demão, em metal</v>
      </c>
      <c r="C631" s="207" t="str">
        <f>'PLANILHA ORÇAMENTÁRIA'!E166</f>
        <v xml:space="preserve">m2 </v>
      </c>
      <c r="D631" s="195" t="s">
        <v>441</v>
      </c>
      <c r="E631" s="195" t="s">
        <v>442</v>
      </c>
      <c r="F631" s="195" t="s">
        <v>443</v>
      </c>
      <c r="G631" s="195" t="s">
        <v>444</v>
      </c>
      <c r="H631" s="195" t="s">
        <v>445</v>
      </c>
      <c r="I631" s="195" t="s">
        <v>446</v>
      </c>
      <c r="J631" s="336" t="s">
        <v>447</v>
      </c>
    </row>
    <row r="632" spans="1:10" x14ac:dyDescent="0.2">
      <c r="A632" s="207"/>
      <c r="B632" s="183" t="s">
        <v>582</v>
      </c>
      <c r="C632" s="252"/>
      <c r="D632" s="255"/>
      <c r="E632" s="255"/>
      <c r="F632" s="255"/>
      <c r="G632" s="255"/>
      <c r="H632" s="255">
        <f>J309</f>
        <v>580.12</v>
      </c>
      <c r="I632" s="258"/>
      <c r="J632" s="300">
        <f>H632</f>
        <v>580.12</v>
      </c>
    </row>
    <row r="633" spans="1:10" ht="38.25" x14ac:dyDescent="0.2">
      <c r="A633" s="207"/>
      <c r="B633" s="304" t="s">
        <v>583</v>
      </c>
      <c r="C633" s="252"/>
      <c r="D633" s="255"/>
      <c r="E633" s="255"/>
      <c r="F633" s="255"/>
      <c r="G633" s="255"/>
      <c r="H633" s="255"/>
      <c r="I633" s="305" t="s">
        <v>584</v>
      </c>
      <c r="J633" s="300"/>
    </row>
    <row r="634" spans="1:10" x14ac:dyDescent="0.2">
      <c r="A634" s="207"/>
      <c r="B634" s="183" t="s">
        <v>585</v>
      </c>
      <c r="C634" s="252"/>
      <c r="D634" s="255"/>
      <c r="E634" s="255">
        <v>3.84</v>
      </c>
      <c r="F634" s="255"/>
      <c r="G634" s="255">
        <v>1.74</v>
      </c>
      <c r="H634" s="255">
        <f t="shared" ref="H634:H641" si="31">E634*G634</f>
        <v>6.6815999999999995</v>
      </c>
      <c r="I634" s="478">
        <v>2</v>
      </c>
      <c r="J634" s="300">
        <f t="shared" ref="J634:J643" si="32">H634*$I$634</f>
        <v>13.363199999999999</v>
      </c>
    </row>
    <row r="635" spans="1:10" x14ac:dyDescent="0.2">
      <c r="A635" s="207"/>
      <c r="B635" s="183" t="s">
        <v>586</v>
      </c>
      <c r="C635" s="252"/>
      <c r="D635" s="255"/>
      <c r="E635" s="255">
        <v>3.38</v>
      </c>
      <c r="F635" s="255"/>
      <c r="G635" s="255">
        <v>1.74</v>
      </c>
      <c r="H635" s="255">
        <f t="shared" si="31"/>
        <v>5.8811999999999998</v>
      </c>
      <c r="I635" s="479"/>
      <c r="J635" s="300">
        <f t="shared" si="32"/>
        <v>11.7624</v>
      </c>
    </row>
    <row r="636" spans="1:10" x14ac:dyDescent="0.2">
      <c r="A636" s="207"/>
      <c r="B636" s="183" t="s">
        <v>587</v>
      </c>
      <c r="C636" s="252"/>
      <c r="D636" s="255"/>
      <c r="E636" s="255">
        <v>3.83</v>
      </c>
      <c r="F636" s="255"/>
      <c r="G636" s="255">
        <v>1.74</v>
      </c>
      <c r="H636" s="255">
        <f t="shared" si="31"/>
        <v>6.6642000000000001</v>
      </c>
      <c r="I636" s="479"/>
      <c r="J636" s="300">
        <f t="shared" si="32"/>
        <v>13.3284</v>
      </c>
    </row>
    <row r="637" spans="1:10" x14ac:dyDescent="0.2">
      <c r="A637" s="207"/>
      <c r="B637" s="183" t="s">
        <v>588</v>
      </c>
      <c r="C637" s="252"/>
      <c r="D637" s="255"/>
      <c r="E637" s="255">
        <v>3.77</v>
      </c>
      <c r="F637" s="255"/>
      <c r="G637" s="255">
        <v>1.74</v>
      </c>
      <c r="H637" s="255">
        <f t="shared" si="31"/>
        <v>6.5598000000000001</v>
      </c>
      <c r="I637" s="479"/>
      <c r="J637" s="300">
        <f t="shared" si="32"/>
        <v>13.1196</v>
      </c>
    </row>
    <row r="638" spans="1:10" x14ac:dyDescent="0.2">
      <c r="A638" s="207"/>
      <c r="B638" s="183" t="s">
        <v>585</v>
      </c>
      <c r="C638" s="252"/>
      <c r="D638" s="255"/>
      <c r="E638" s="255">
        <v>3.84</v>
      </c>
      <c r="F638" s="255"/>
      <c r="G638" s="255">
        <v>1.74</v>
      </c>
      <c r="H638" s="255">
        <f t="shared" si="31"/>
        <v>6.6815999999999995</v>
      </c>
      <c r="I638" s="479"/>
      <c r="J638" s="300">
        <f t="shared" si="32"/>
        <v>13.363199999999999</v>
      </c>
    </row>
    <row r="639" spans="1:10" x14ac:dyDescent="0.2">
      <c r="A639" s="207"/>
      <c r="B639" s="183" t="s">
        <v>589</v>
      </c>
      <c r="C639" s="252"/>
      <c r="D639" s="255"/>
      <c r="E639" s="255">
        <v>3.56</v>
      </c>
      <c r="F639" s="255"/>
      <c r="G639" s="255">
        <v>1.74</v>
      </c>
      <c r="H639" s="255">
        <f t="shared" si="31"/>
        <v>6.1943999999999999</v>
      </c>
      <c r="I639" s="479"/>
      <c r="J639" s="300">
        <f t="shared" si="32"/>
        <v>12.3888</v>
      </c>
    </row>
    <row r="640" spans="1:10" x14ac:dyDescent="0.2">
      <c r="A640" s="207"/>
      <c r="B640" s="183" t="s">
        <v>585</v>
      </c>
      <c r="C640" s="252"/>
      <c r="D640" s="255"/>
      <c r="E640" s="255">
        <v>3.84</v>
      </c>
      <c r="F640" s="255"/>
      <c r="G640" s="255">
        <v>1.74</v>
      </c>
      <c r="H640" s="255">
        <f t="shared" si="31"/>
        <v>6.6815999999999995</v>
      </c>
      <c r="I640" s="479"/>
      <c r="J640" s="300">
        <f t="shared" si="32"/>
        <v>13.363199999999999</v>
      </c>
    </row>
    <row r="641" spans="1:10" x14ac:dyDescent="0.2">
      <c r="A641" s="207"/>
      <c r="B641" s="183" t="s">
        <v>590</v>
      </c>
      <c r="C641" s="252"/>
      <c r="D641" s="255"/>
      <c r="E641" s="255">
        <v>2.5499999999999998</v>
      </c>
      <c r="F641" s="255"/>
      <c r="G641" s="255">
        <v>1.74</v>
      </c>
      <c r="H641" s="255">
        <f t="shared" si="31"/>
        <v>4.4369999999999994</v>
      </c>
      <c r="I641" s="479"/>
      <c r="J641" s="300">
        <f t="shared" si="32"/>
        <v>8.8739999999999988</v>
      </c>
    </row>
    <row r="642" spans="1:10" x14ac:dyDescent="0.2">
      <c r="A642" s="207"/>
      <c r="B642" s="183" t="s">
        <v>591</v>
      </c>
      <c r="C642" s="252"/>
      <c r="D642" s="255">
        <v>2</v>
      </c>
      <c r="E642" s="255">
        <v>1.94</v>
      </c>
      <c r="F642" s="255"/>
      <c r="G642" s="255">
        <v>0.35</v>
      </c>
      <c r="H642" s="255">
        <f>D642*E642*G642</f>
        <v>1.3579999999999999</v>
      </c>
      <c r="I642" s="479"/>
      <c r="J642" s="300">
        <f t="shared" si="32"/>
        <v>2.7159999999999997</v>
      </c>
    </row>
    <row r="643" spans="1:10" x14ac:dyDescent="0.2">
      <c r="A643" s="207"/>
      <c r="B643" s="183" t="s">
        <v>592</v>
      </c>
      <c r="C643" s="252"/>
      <c r="D643" s="255"/>
      <c r="E643" s="255">
        <v>2.5</v>
      </c>
      <c r="F643" s="255"/>
      <c r="G643" s="255">
        <v>0.7</v>
      </c>
      <c r="H643" s="255">
        <f>E643*G643</f>
        <v>1.75</v>
      </c>
      <c r="I643" s="479"/>
      <c r="J643" s="300">
        <f t="shared" si="32"/>
        <v>3.5</v>
      </c>
    </row>
    <row r="644" spans="1:10" x14ac:dyDescent="0.2">
      <c r="A644" s="207"/>
      <c r="B644" s="304" t="s">
        <v>593</v>
      </c>
      <c r="C644" s="252"/>
      <c r="D644" s="255"/>
      <c r="E644" s="255"/>
      <c r="F644" s="255"/>
      <c r="G644" s="255"/>
      <c r="H644" s="255"/>
      <c r="I644" s="479"/>
      <c r="J644" s="300"/>
    </row>
    <row r="645" spans="1:10" x14ac:dyDescent="0.2">
      <c r="A645" s="207"/>
      <c r="B645" s="183" t="s">
        <v>594</v>
      </c>
      <c r="C645" s="252"/>
      <c r="D645" s="255"/>
      <c r="E645" s="255">
        <v>1.97</v>
      </c>
      <c r="F645" s="255"/>
      <c r="G645" s="255">
        <v>0.7</v>
      </c>
      <c r="H645" s="255">
        <f>E645*G645</f>
        <v>1.379</v>
      </c>
      <c r="I645" s="479"/>
      <c r="J645" s="300">
        <f>H645*$I$634</f>
        <v>2.758</v>
      </c>
    </row>
    <row r="646" spans="1:10" x14ac:dyDescent="0.2">
      <c r="A646" s="207"/>
      <c r="B646" s="304" t="s">
        <v>595</v>
      </c>
      <c r="C646" s="252"/>
      <c r="D646" s="255"/>
      <c r="E646" s="255"/>
      <c r="F646" s="255"/>
      <c r="G646" s="255"/>
      <c r="H646" s="255"/>
      <c r="I646" s="479"/>
      <c r="J646" s="300"/>
    </row>
    <row r="647" spans="1:10" x14ac:dyDescent="0.2">
      <c r="A647" s="207"/>
      <c r="B647" s="183" t="s">
        <v>596</v>
      </c>
      <c r="C647" s="252"/>
      <c r="D647" s="255"/>
      <c r="E647" s="255">
        <v>4.71</v>
      </c>
      <c r="F647" s="255"/>
      <c r="G647" s="255">
        <v>1.45</v>
      </c>
      <c r="H647" s="255">
        <f>E647*G647</f>
        <v>6.8294999999999995</v>
      </c>
      <c r="I647" s="479"/>
      <c r="J647" s="300">
        <f>H647*$I$634</f>
        <v>13.658999999999999</v>
      </c>
    </row>
    <row r="648" spans="1:10" x14ac:dyDescent="0.2">
      <c r="A648" s="207"/>
      <c r="B648" s="183" t="s">
        <v>597</v>
      </c>
      <c r="C648" s="252"/>
      <c r="D648" s="255"/>
      <c r="E648" s="255">
        <v>1.36</v>
      </c>
      <c r="F648" s="255"/>
      <c r="G648" s="255">
        <v>0.5</v>
      </c>
      <c r="H648" s="255">
        <f>E648*G648</f>
        <v>0.68</v>
      </c>
      <c r="I648" s="479"/>
      <c r="J648" s="300">
        <f>H648*$I$634</f>
        <v>1.36</v>
      </c>
    </row>
    <row r="649" spans="1:10" x14ac:dyDescent="0.2">
      <c r="A649" s="207"/>
      <c r="B649" s="304" t="s">
        <v>598</v>
      </c>
      <c r="C649" s="252"/>
      <c r="D649" s="255"/>
      <c r="E649" s="255"/>
      <c r="F649" s="255"/>
      <c r="G649" s="255"/>
      <c r="H649" s="255"/>
      <c r="I649" s="479"/>
      <c r="J649" s="300"/>
    </row>
    <row r="650" spans="1:10" x14ac:dyDescent="0.2">
      <c r="A650" s="207"/>
      <c r="B650" s="183" t="s">
        <v>599</v>
      </c>
      <c r="C650" s="252"/>
      <c r="D650" s="255"/>
      <c r="E650" s="255">
        <v>2.2400000000000002</v>
      </c>
      <c r="F650" s="255"/>
      <c r="G650" s="255">
        <v>0.75</v>
      </c>
      <c r="H650" s="255">
        <f>E650*G650</f>
        <v>1.6800000000000002</v>
      </c>
      <c r="I650" s="479"/>
      <c r="J650" s="300">
        <f t="shared" ref="J650:J667" si="33">H650*$I$634</f>
        <v>3.3600000000000003</v>
      </c>
    </row>
    <row r="651" spans="1:10" x14ac:dyDescent="0.2">
      <c r="A651" s="207"/>
      <c r="B651" s="304" t="s">
        <v>600</v>
      </c>
      <c r="C651" s="252"/>
      <c r="D651" s="255"/>
      <c r="E651" s="255"/>
      <c r="F651" s="255"/>
      <c r="G651" s="255"/>
      <c r="H651" s="255"/>
      <c r="I651" s="479"/>
      <c r="J651" s="300">
        <f t="shared" si="33"/>
        <v>0</v>
      </c>
    </row>
    <row r="652" spans="1:10" x14ac:dyDescent="0.2">
      <c r="A652" s="207"/>
      <c r="B652" s="183" t="s">
        <v>601</v>
      </c>
      <c r="C652" s="252"/>
      <c r="D652" s="255"/>
      <c r="E652" s="255">
        <v>2.15</v>
      </c>
      <c r="F652" s="255"/>
      <c r="G652" s="255">
        <v>0.65</v>
      </c>
      <c r="H652" s="255">
        <f>E652*G652</f>
        <v>1.3975</v>
      </c>
      <c r="I652" s="479"/>
      <c r="J652" s="300">
        <f t="shared" si="33"/>
        <v>2.7949999999999999</v>
      </c>
    </row>
    <row r="653" spans="1:10" x14ac:dyDescent="0.2">
      <c r="A653" s="207"/>
      <c r="B653" s="304" t="s">
        <v>602</v>
      </c>
      <c r="C653" s="252"/>
      <c r="D653" s="255"/>
      <c r="E653" s="255"/>
      <c r="F653" s="255"/>
      <c r="G653" s="255"/>
      <c r="H653" s="255"/>
      <c r="I653" s="479"/>
      <c r="J653" s="300">
        <f t="shared" si="33"/>
        <v>0</v>
      </c>
    </row>
    <row r="654" spans="1:10" x14ac:dyDescent="0.2">
      <c r="A654" s="207"/>
      <c r="B654" s="183" t="s">
        <v>603</v>
      </c>
      <c r="C654" s="252"/>
      <c r="D654" s="255"/>
      <c r="E654" s="255">
        <v>1</v>
      </c>
      <c r="F654" s="255"/>
      <c r="G654" s="255">
        <v>0.8</v>
      </c>
      <c r="H654" s="255">
        <f>E654*G654</f>
        <v>0.8</v>
      </c>
      <c r="I654" s="479"/>
      <c r="J654" s="300">
        <f t="shared" si="33"/>
        <v>1.6</v>
      </c>
    </row>
    <row r="655" spans="1:10" x14ac:dyDescent="0.2">
      <c r="A655" s="207"/>
      <c r="B655" s="183" t="s">
        <v>604</v>
      </c>
      <c r="C655" s="252"/>
      <c r="D655" s="255"/>
      <c r="E655" s="255">
        <v>1.1499999999999999</v>
      </c>
      <c r="F655" s="255"/>
      <c r="G655" s="255">
        <v>0.95</v>
      </c>
      <c r="H655" s="255">
        <f>E655*G655</f>
        <v>1.0924999999999998</v>
      </c>
      <c r="I655" s="479"/>
      <c r="J655" s="300">
        <f t="shared" si="33"/>
        <v>2.1849999999999996</v>
      </c>
    </row>
    <row r="656" spans="1:10" x14ac:dyDescent="0.2">
      <c r="A656" s="207"/>
      <c r="B656" s="304" t="s">
        <v>476</v>
      </c>
      <c r="C656" s="252"/>
      <c r="D656" s="255"/>
      <c r="E656" s="255"/>
      <c r="F656" s="255"/>
      <c r="G656" s="255"/>
      <c r="H656" s="255"/>
      <c r="I656" s="479"/>
      <c r="J656" s="300">
        <f t="shared" si="33"/>
        <v>0</v>
      </c>
    </row>
    <row r="657" spans="1:10" x14ac:dyDescent="0.2">
      <c r="A657" s="207"/>
      <c r="B657" s="183" t="s">
        <v>605</v>
      </c>
      <c r="C657" s="252"/>
      <c r="D657" s="255"/>
      <c r="E657" s="255">
        <v>1.85</v>
      </c>
      <c r="F657" s="255"/>
      <c r="G657" s="255">
        <v>1.55</v>
      </c>
      <c r="H657" s="255">
        <f>E657*G657</f>
        <v>2.8675000000000002</v>
      </c>
      <c r="I657" s="479"/>
      <c r="J657" s="300">
        <f t="shared" si="33"/>
        <v>5.7350000000000003</v>
      </c>
    </row>
    <row r="658" spans="1:10" x14ac:dyDescent="0.2">
      <c r="A658" s="207"/>
      <c r="B658" s="183" t="s">
        <v>508</v>
      </c>
      <c r="C658" s="252"/>
      <c r="D658" s="255"/>
      <c r="E658" s="255">
        <v>2.1</v>
      </c>
      <c r="F658" s="255"/>
      <c r="G658" s="255">
        <v>0.83</v>
      </c>
      <c r="H658" s="255">
        <f>E658*G658</f>
        <v>1.7429999999999999</v>
      </c>
      <c r="I658" s="479"/>
      <c r="J658" s="300">
        <f t="shared" si="33"/>
        <v>3.4859999999999998</v>
      </c>
    </row>
    <row r="659" spans="1:10" x14ac:dyDescent="0.2">
      <c r="A659" s="207"/>
      <c r="B659" s="304" t="s">
        <v>606</v>
      </c>
      <c r="C659" s="252"/>
      <c r="D659" s="255"/>
      <c r="E659" s="255"/>
      <c r="F659" s="255"/>
      <c r="G659" s="255"/>
      <c r="H659" s="255"/>
      <c r="I659" s="479"/>
      <c r="J659" s="300">
        <f t="shared" si="33"/>
        <v>0</v>
      </c>
    </row>
    <row r="660" spans="1:10" x14ac:dyDescent="0.2">
      <c r="A660" s="207"/>
      <c r="B660" s="183" t="s">
        <v>510</v>
      </c>
      <c r="C660" s="252"/>
      <c r="D660" s="255"/>
      <c r="E660" s="255">
        <v>1.2</v>
      </c>
      <c r="F660" s="255"/>
      <c r="G660" s="255">
        <v>1</v>
      </c>
      <c r="H660" s="255">
        <f>E660*G660</f>
        <v>1.2</v>
      </c>
      <c r="I660" s="479"/>
      <c r="J660" s="300">
        <f t="shared" si="33"/>
        <v>2.4</v>
      </c>
    </row>
    <row r="661" spans="1:10" x14ac:dyDescent="0.2">
      <c r="A661" s="207"/>
      <c r="C661" s="252"/>
      <c r="D661" s="255"/>
      <c r="E661" s="255"/>
      <c r="F661" s="255"/>
      <c r="G661" s="255"/>
      <c r="H661" s="255"/>
      <c r="I661" s="479"/>
      <c r="J661" s="300">
        <f t="shared" si="33"/>
        <v>0</v>
      </c>
    </row>
    <row r="662" spans="1:10" x14ac:dyDescent="0.2">
      <c r="A662" s="207"/>
      <c r="B662" s="304" t="s">
        <v>607</v>
      </c>
      <c r="C662" s="252"/>
      <c r="D662" s="255"/>
      <c r="E662" s="255"/>
      <c r="F662" s="255"/>
      <c r="G662" s="255"/>
      <c r="H662" s="255"/>
      <c r="I662" s="479"/>
      <c r="J662" s="300">
        <f t="shared" si="33"/>
        <v>0</v>
      </c>
    </row>
    <row r="663" spans="1:10" x14ac:dyDescent="0.2">
      <c r="A663" s="207"/>
      <c r="B663" s="183" t="s">
        <v>451</v>
      </c>
      <c r="C663" s="252"/>
      <c r="D663" s="255"/>
      <c r="E663" s="255">
        <v>1.2</v>
      </c>
      <c r="F663" s="255"/>
      <c r="G663" s="255">
        <v>2</v>
      </c>
      <c r="H663" s="255">
        <f>E663*G663</f>
        <v>2.4</v>
      </c>
      <c r="I663" s="479"/>
      <c r="J663" s="300">
        <f t="shared" si="33"/>
        <v>4.8</v>
      </c>
    </row>
    <row r="664" spans="1:10" x14ac:dyDescent="0.2">
      <c r="A664" s="207"/>
      <c r="B664" s="476" t="s">
        <v>468</v>
      </c>
      <c r="C664" s="252"/>
      <c r="D664" s="255">
        <v>2</v>
      </c>
      <c r="E664" s="255">
        <v>0.84</v>
      </c>
      <c r="F664" s="255"/>
      <c r="G664" s="255">
        <v>2.1</v>
      </c>
      <c r="H664" s="255">
        <f>D664*E664*G664</f>
        <v>3.528</v>
      </c>
      <c r="I664" s="479"/>
      <c r="J664" s="300">
        <f t="shared" si="33"/>
        <v>7.056</v>
      </c>
    </row>
    <row r="665" spans="1:10" x14ac:dyDescent="0.2">
      <c r="A665" s="207"/>
      <c r="B665" s="484"/>
      <c r="C665" s="252"/>
      <c r="D665" s="255"/>
      <c r="E665" s="255">
        <v>1</v>
      </c>
      <c r="F665" s="255"/>
      <c r="G665" s="255">
        <v>2</v>
      </c>
      <c r="H665" s="255">
        <f>E665*G665</f>
        <v>2</v>
      </c>
      <c r="I665" s="479"/>
      <c r="J665" s="300">
        <f t="shared" si="33"/>
        <v>4</v>
      </c>
    </row>
    <row r="666" spans="1:10" x14ac:dyDescent="0.2">
      <c r="A666" s="207"/>
      <c r="B666" s="477"/>
      <c r="C666" s="252"/>
      <c r="D666" s="255"/>
      <c r="E666" s="255">
        <v>0.7</v>
      </c>
      <c r="F666" s="255"/>
      <c r="G666" s="255">
        <v>2</v>
      </c>
      <c r="H666" s="255">
        <f>E666*G666</f>
        <v>1.4</v>
      </c>
      <c r="I666" s="479"/>
      <c r="J666" s="300">
        <f t="shared" si="33"/>
        <v>2.8</v>
      </c>
    </row>
    <row r="667" spans="1:10" x14ac:dyDescent="0.2">
      <c r="A667" s="207"/>
      <c r="B667" s="389" t="s">
        <v>608</v>
      </c>
      <c r="C667" s="252"/>
      <c r="D667" s="255"/>
      <c r="E667" s="255">
        <v>4.3</v>
      </c>
      <c r="F667" s="255"/>
      <c r="G667" s="255">
        <v>2</v>
      </c>
      <c r="H667" s="255">
        <f>E667*G667</f>
        <v>8.6</v>
      </c>
      <c r="I667" s="480"/>
      <c r="J667" s="300">
        <f t="shared" si="33"/>
        <v>17.2</v>
      </c>
    </row>
    <row r="668" spans="1:10" x14ac:dyDescent="0.2">
      <c r="A668" s="207"/>
      <c r="B668" s="183"/>
      <c r="C668" s="252"/>
      <c r="D668" s="255"/>
      <c r="E668" s="255"/>
      <c r="F668" s="255"/>
      <c r="G668" s="255"/>
      <c r="H668" s="255"/>
      <c r="I668" s="282" t="s">
        <v>452</v>
      </c>
      <c r="J668" s="283">
        <f>SUM(J632:J667)</f>
        <v>761.0927999999999</v>
      </c>
    </row>
    <row r="669" spans="1:10" x14ac:dyDescent="0.2">
      <c r="A669" s="207"/>
      <c r="B669" s="335"/>
      <c r="C669" s="207"/>
      <c r="D669" s="195"/>
      <c r="E669" s="195"/>
      <c r="F669" s="195"/>
      <c r="G669" s="195"/>
      <c r="H669" s="195"/>
      <c r="I669" s="195"/>
      <c r="J669" s="336"/>
    </row>
    <row r="670" spans="1:10" x14ac:dyDescent="0.2">
      <c r="A670" s="220">
        <v>19</v>
      </c>
      <c r="B670" s="7" t="s">
        <v>609</v>
      </c>
      <c r="C670" s="7"/>
      <c r="D670" s="7"/>
      <c r="E670" s="7"/>
      <c r="F670" s="7"/>
      <c r="G670" s="7"/>
      <c r="H670" s="7"/>
      <c r="I670" s="7"/>
      <c r="J670" s="7"/>
    </row>
    <row r="671" spans="1:10" x14ac:dyDescent="0.2">
      <c r="A671" s="339" t="s">
        <v>429</v>
      </c>
      <c r="B671" s="330" t="str">
        <f>'PLANILHA ORÇAMENTÁRIA'!D169</f>
        <v>TRATAMENTO, CONSERVAÇÃO E LIMPEZA</v>
      </c>
      <c r="C671" s="186"/>
      <c r="D671" s="210"/>
      <c r="E671" s="186"/>
      <c r="F671" s="186"/>
      <c r="G671" s="186"/>
      <c r="H671" s="186"/>
      <c r="I671" s="186"/>
      <c r="J671" s="186"/>
    </row>
    <row r="672" spans="1:10" ht="25.5" x14ac:dyDescent="0.2">
      <c r="A672" s="338" t="s">
        <v>431</v>
      </c>
      <c r="B672" s="337" t="str">
        <f>'PLANILHA ORÇAMENTÁRIA'!D170</f>
        <v xml:space="preserve">Limpeza geral da obra (edificação) </v>
      </c>
      <c r="C672" s="15" t="str">
        <f>'PLANILHA ORÇAMENTÁRIA'!E170</f>
        <v xml:space="preserve">m2 </v>
      </c>
      <c r="D672" s="195" t="s">
        <v>441</v>
      </c>
      <c r="E672" s="195" t="s">
        <v>442</v>
      </c>
      <c r="F672" s="195" t="s">
        <v>443</v>
      </c>
      <c r="G672" s="195" t="s">
        <v>444</v>
      </c>
      <c r="H672" s="195" t="s">
        <v>445</v>
      </c>
      <c r="I672" s="195" t="s">
        <v>446</v>
      </c>
      <c r="J672" s="336" t="s">
        <v>447</v>
      </c>
    </row>
    <row r="673" spans="1:10" x14ac:dyDescent="0.2">
      <c r="A673" s="186"/>
      <c r="B673" s="217" t="s">
        <v>610</v>
      </c>
      <c r="C673" s="186"/>
      <c r="D673" s="210"/>
      <c r="E673" s="186"/>
      <c r="F673" s="186"/>
      <c r="G673" s="186"/>
      <c r="H673" s="210">
        <v>537.11</v>
      </c>
      <c r="I673" s="210"/>
      <c r="J673" s="210">
        <f>H673</f>
        <v>537.11</v>
      </c>
    </row>
    <row r="674" spans="1:10" x14ac:dyDescent="0.2">
      <c r="A674" s="186"/>
      <c r="B674" s="186"/>
      <c r="C674" s="186"/>
      <c r="D674" s="210"/>
      <c r="E674" s="186"/>
      <c r="F674" s="186"/>
      <c r="G674" s="186"/>
      <c r="H674" s="186"/>
      <c r="I674" s="282" t="s">
        <v>452</v>
      </c>
      <c r="J674" s="283">
        <f>SUM(J673)</f>
        <v>537.11</v>
      </c>
    </row>
    <row r="675" spans="1:10" x14ac:dyDescent="0.2">
      <c r="A675" s="186"/>
      <c r="B675" s="186"/>
      <c r="C675" s="186"/>
      <c r="D675" s="210"/>
      <c r="E675" s="186"/>
      <c r="F675" s="186"/>
      <c r="G675" s="186"/>
      <c r="H675" s="186"/>
      <c r="I675" s="186"/>
      <c r="J675" s="186"/>
    </row>
    <row r="676" spans="1:10" x14ac:dyDescent="0.2">
      <c r="A676" s="220">
        <f>'PLANILHA ORÇAMENTÁRIA'!A172</f>
        <v>20</v>
      </c>
      <c r="B676" s="7" t="str">
        <f>'PLANILHA ORÇAMENTÁRIA'!D172</f>
        <v>SERVIÇOS COMPLEMENTARES INTERNOS</v>
      </c>
      <c r="C676" s="7"/>
      <c r="D676" s="7"/>
      <c r="E676" s="7"/>
      <c r="F676" s="7"/>
      <c r="G676" s="7"/>
      <c r="H676" s="7"/>
      <c r="I676" s="7"/>
      <c r="J676" s="7"/>
    </row>
    <row r="677" spans="1:10" x14ac:dyDescent="0.2">
      <c r="A677" s="339" t="str">
        <f>'PLANILHA ORÇAMENTÁRIA'!A173</f>
        <v>20.1</v>
      </c>
      <c r="B677" s="330" t="str">
        <f>'PLANILHA ORÇAMENTÁRIA'!D173</f>
        <v>DIVERSOS INTERNOS</v>
      </c>
      <c r="C677" s="186"/>
      <c r="D677" s="210"/>
      <c r="E677" s="186"/>
      <c r="F677" s="186"/>
      <c r="G677" s="186"/>
      <c r="H677" s="186"/>
      <c r="I677" s="186"/>
      <c r="J677" s="186"/>
    </row>
    <row r="678" spans="1:10" ht="25.5" x14ac:dyDescent="0.2">
      <c r="A678" s="15" t="str">
        <f>'PLANILHA ORÇAMENTÁRIA'!A174</f>
        <v>20.1.1</v>
      </c>
      <c r="B678" s="118" t="str">
        <f>'PLANILHA ORÇAMENTÁRIA'!D174</f>
        <v>Saboneteira plástica tipo dispenser para sabonete líquido com reservatório 800 a 1500 ml, incluso fixação.</v>
      </c>
      <c r="C678" s="15" t="str">
        <f>'PLANILHA ORÇAMENTÁRIA'!E174</f>
        <v>und</v>
      </c>
      <c r="D678" s="66" t="s">
        <v>441</v>
      </c>
      <c r="E678" s="66" t="s">
        <v>442</v>
      </c>
      <c r="F678" s="66" t="s">
        <v>443</v>
      </c>
      <c r="G678" s="66" t="s">
        <v>444</v>
      </c>
      <c r="H678" s="66" t="s">
        <v>445</v>
      </c>
      <c r="I678" s="66" t="s">
        <v>446</v>
      </c>
      <c r="J678" s="67" t="s">
        <v>447</v>
      </c>
    </row>
    <row r="679" spans="1:10" x14ac:dyDescent="0.2">
      <c r="A679" s="15"/>
      <c r="B679" s="183" t="s">
        <v>481</v>
      </c>
      <c r="C679" s="15"/>
      <c r="D679" s="66">
        <v>1</v>
      </c>
      <c r="E679" s="66"/>
      <c r="F679" s="66"/>
      <c r="G679" s="66"/>
      <c r="H679" s="66"/>
      <c r="I679" s="24"/>
      <c r="J679" s="70">
        <f>D679</f>
        <v>1</v>
      </c>
    </row>
    <row r="680" spans="1:10" x14ac:dyDescent="0.2">
      <c r="A680" s="15"/>
      <c r="B680" s="183" t="s">
        <v>449</v>
      </c>
      <c r="C680" s="15"/>
      <c r="D680" s="66">
        <v>1</v>
      </c>
      <c r="E680" s="66"/>
      <c r="F680" s="66"/>
      <c r="G680" s="66"/>
      <c r="H680" s="66"/>
      <c r="I680" s="24"/>
      <c r="J680" s="70">
        <f t="shared" ref="J680:J681" si="34">D680</f>
        <v>1</v>
      </c>
    </row>
    <row r="681" spans="1:10" x14ac:dyDescent="0.2">
      <c r="A681" s="15"/>
      <c r="B681" s="183" t="s">
        <v>483</v>
      </c>
      <c r="C681" s="15"/>
      <c r="D681" s="66">
        <v>1</v>
      </c>
      <c r="E681" s="66"/>
      <c r="F681" s="66"/>
      <c r="G681" s="66"/>
      <c r="H681" s="66"/>
      <c r="I681" s="24"/>
      <c r="J681" s="70">
        <f t="shared" si="34"/>
        <v>1</v>
      </c>
    </row>
    <row r="682" spans="1:10" x14ac:dyDescent="0.2">
      <c r="A682" s="15"/>
      <c r="B682" s="158"/>
      <c r="C682" s="15"/>
      <c r="D682" s="66"/>
      <c r="E682" s="66"/>
      <c r="F682" s="66"/>
      <c r="G682" s="66"/>
      <c r="H682" s="66"/>
      <c r="I682" s="64" t="s">
        <v>452</v>
      </c>
      <c r="J682" s="65">
        <f>SUM(J679:J681)</f>
        <v>3</v>
      </c>
    </row>
    <row r="683" spans="1:10" x14ac:dyDescent="0.2">
      <c r="A683" s="15"/>
      <c r="B683" s="158"/>
      <c r="C683" s="15"/>
      <c r="D683" s="66"/>
      <c r="E683" s="66"/>
      <c r="F683" s="66"/>
      <c r="G683" s="66"/>
      <c r="H683" s="66"/>
      <c r="I683" s="24"/>
      <c r="J683" s="24"/>
    </row>
    <row r="684" spans="1:10" ht="25.5" x14ac:dyDescent="0.2">
      <c r="A684" s="15" t="str">
        <f>'PLANILHA ORÇAMENTÁRIA'!A175</f>
        <v>20.1.2</v>
      </c>
      <c r="B684" s="118" t="str">
        <f>'PLANILHA ORÇAMENTÁRIA'!D175</f>
        <v>Papeleira de parede em metal cromado sem tampa, incluso fixação.</v>
      </c>
      <c r="C684" s="15" t="str">
        <f>'PLANILHA ORÇAMENTÁRIA'!E175</f>
        <v>und</v>
      </c>
      <c r="D684" s="66" t="s">
        <v>441</v>
      </c>
      <c r="E684" s="66" t="s">
        <v>442</v>
      </c>
      <c r="F684" s="66" t="s">
        <v>443</v>
      </c>
      <c r="G684" s="66" t="s">
        <v>444</v>
      </c>
      <c r="H684" s="66" t="s">
        <v>445</v>
      </c>
      <c r="I684" s="66" t="s">
        <v>446</v>
      </c>
      <c r="J684" s="67" t="s">
        <v>447</v>
      </c>
    </row>
    <row r="685" spans="1:10" x14ac:dyDescent="0.2">
      <c r="A685" s="15"/>
      <c r="B685" s="183" t="s">
        <v>481</v>
      </c>
      <c r="C685" s="15"/>
      <c r="D685" s="66">
        <v>1</v>
      </c>
      <c r="E685" s="66"/>
      <c r="F685" s="66"/>
      <c r="G685" s="66"/>
      <c r="H685" s="66"/>
      <c r="I685" s="24"/>
      <c r="J685" s="70">
        <f>D685</f>
        <v>1</v>
      </c>
    </row>
    <row r="686" spans="1:10" x14ac:dyDescent="0.2">
      <c r="A686" s="15"/>
      <c r="B686" s="183" t="s">
        <v>449</v>
      </c>
      <c r="C686" s="15"/>
      <c r="D686" s="66">
        <v>4</v>
      </c>
      <c r="E686" s="66"/>
      <c r="F686" s="66"/>
      <c r="G686" s="66"/>
      <c r="H686" s="66"/>
      <c r="I686" s="24"/>
      <c r="J686" s="70">
        <f t="shared" ref="J686:J687" si="35">D686</f>
        <v>4</v>
      </c>
    </row>
    <row r="687" spans="1:10" x14ac:dyDescent="0.2">
      <c r="A687" s="15"/>
      <c r="B687" s="183" t="s">
        <v>483</v>
      </c>
      <c r="C687" s="15"/>
      <c r="D687" s="66">
        <v>1</v>
      </c>
      <c r="E687" s="66"/>
      <c r="F687" s="66"/>
      <c r="G687" s="66"/>
      <c r="H687" s="66"/>
      <c r="I687" s="24"/>
      <c r="J687" s="70">
        <f t="shared" si="35"/>
        <v>1</v>
      </c>
    </row>
    <row r="688" spans="1:10" x14ac:dyDescent="0.2">
      <c r="A688" s="15"/>
      <c r="B688" s="158"/>
      <c r="C688" s="15"/>
      <c r="D688" s="66"/>
      <c r="E688" s="66"/>
      <c r="F688" s="66"/>
      <c r="G688" s="66"/>
      <c r="H688" s="66"/>
      <c r="I688" s="64" t="s">
        <v>452</v>
      </c>
      <c r="J688" s="65">
        <f>SUM(J685:J687)</f>
        <v>6</v>
      </c>
    </row>
    <row r="689" spans="1:10" x14ac:dyDescent="0.2">
      <c r="A689" s="15"/>
      <c r="B689" s="158"/>
      <c r="C689" s="15"/>
      <c r="D689" s="66"/>
      <c r="E689" s="66"/>
      <c r="F689" s="66"/>
      <c r="G689" s="66"/>
      <c r="H689" s="66"/>
      <c r="I689" s="24"/>
      <c r="J689" s="24"/>
    </row>
    <row r="690" spans="1:10" ht="25.5" x14ac:dyDescent="0.2">
      <c r="A690" s="15" t="str">
        <f>'PLANILHA ORÇAMENTÁRIA'!A176</f>
        <v>20.1.3</v>
      </c>
      <c r="B690" s="118" t="str">
        <f>'PLANILHA ORÇAMENTÁRIA'!D176</f>
        <v>Porta papel toalha plástica tipo dispenser, capacidade para aproximadamente 750 folhas, incluso fixação</v>
      </c>
      <c r="C690" s="15" t="str">
        <f>'PLANILHA ORÇAMENTÁRIA'!E176</f>
        <v>und</v>
      </c>
      <c r="D690" s="66" t="s">
        <v>441</v>
      </c>
      <c r="E690" s="66" t="s">
        <v>442</v>
      </c>
      <c r="F690" s="66" t="s">
        <v>443</v>
      </c>
      <c r="G690" s="66" t="s">
        <v>444</v>
      </c>
      <c r="H690" s="66" t="s">
        <v>445</v>
      </c>
      <c r="I690" s="66" t="s">
        <v>446</v>
      </c>
      <c r="J690" s="67" t="s">
        <v>447</v>
      </c>
    </row>
    <row r="691" spans="1:10" x14ac:dyDescent="0.2">
      <c r="A691" s="15"/>
      <c r="B691" s="183" t="s">
        <v>481</v>
      </c>
      <c r="C691" s="15"/>
      <c r="D691" s="66">
        <v>1</v>
      </c>
      <c r="E691" s="66"/>
      <c r="F691" s="66"/>
      <c r="G691" s="66"/>
      <c r="H691" s="66"/>
      <c r="I691" s="24"/>
      <c r="J691" s="70">
        <f>D691</f>
        <v>1</v>
      </c>
    </row>
    <row r="692" spans="1:10" x14ac:dyDescent="0.2">
      <c r="A692" s="15"/>
      <c r="B692" s="183" t="s">
        <v>449</v>
      </c>
      <c r="C692" s="15"/>
      <c r="D692" s="66">
        <v>1</v>
      </c>
      <c r="E692" s="66"/>
      <c r="F692" s="66"/>
      <c r="G692" s="66"/>
      <c r="H692" s="66"/>
      <c r="I692" s="24"/>
      <c r="J692" s="70">
        <f t="shared" ref="J692:J693" si="36">D692</f>
        <v>1</v>
      </c>
    </row>
    <row r="693" spans="1:10" x14ac:dyDescent="0.2">
      <c r="A693" s="15"/>
      <c r="B693" s="183" t="s">
        <v>483</v>
      </c>
      <c r="C693" s="15"/>
      <c r="D693" s="66">
        <v>1</v>
      </c>
      <c r="E693" s="66"/>
      <c r="F693" s="66"/>
      <c r="G693" s="66"/>
      <c r="H693" s="66"/>
      <c r="I693" s="24"/>
      <c r="J693" s="70">
        <f t="shared" si="36"/>
        <v>1</v>
      </c>
    </row>
    <row r="694" spans="1:10" x14ac:dyDescent="0.2">
      <c r="A694" s="15"/>
      <c r="B694" s="158"/>
      <c r="C694" s="15"/>
      <c r="D694" s="66"/>
      <c r="E694" s="66"/>
      <c r="F694" s="66"/>
      <c r="G694" s="66"/>
      <c r="H694" s="66"/>
      <c r="I694" s="64" t="s">
        <v>452</v>
      </c>
      <c r="J694" s="65">
        <f>SUM(J691:J693)</f>
        <v>3</v>
      </c>
    </row>
    <row r="695" spans="1:10" x14ac:dyDescent="0.2">
      <c r="A695" s="15"/>
      <c r="B695" s="158"/>
      <c r="C695" s="15"/>
      <c r="D695" s="66"/>
      <c r="E695" s="66"/>
      <c r="F695" s="66"/>
      <c r="G695" s="66"/>
      <c r="H695" s="66"/>
      <c r="I695" s="24"/>
      <c r="J695" s="24"/>
    </row>
  </sheetData>
  <mergeCells count="15">
    <mergeCell ref="H624:H628"/>
    <mergeCell ref="B587:B588"/>
    <mergeCell ref="I634:I667"/>
    <mergeCell ref="B1:J1"/>
    <mergeCell ref="B2:D2"/>
    <mergeCell ref="I2:J3"/>
    <mergeCell ref="B3:F3"/>
    <mergeCell ref="B4:D4"/>
    <mergeCell ref="I4:J4"/>
    <mergeCell ref="B664:B666"/>
    <mergeCell ref="A289:A290"/>
    <mergeCell ref="A270:A271"/>
    <mergeCell ref="B270:B271"/>
    <mergeCell ref="B399:B400"/>
    <mergeCell ref="B289:B290"/>
  </mergeCells>
  <pageMargins left="0.51181102362204722" right="0.51181102362204722" top="0.78740157480314965" bottom="0.78740157480314965" header="0.31496062992125984" footer="0.31496062992125984"/>
  <pageSetup paperSize="9" scale="65" fitToHeight="0" orientation="landscape" r:id="rId1"/>
  <rowBreaks count="1" manualBreakCount="1">
    <brk id="310"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0"/>
  <sheetViews>
    <sheetView view="pageBreakPreview" zoomScale="70" zoomScaleNormal="85" zoomScaleSheetLayoutView="70" workbookViewId="0">
      <selection activeCell="M12" sqref="M12"/>
    </sheetView>
  </sheetViews>
  <sheetFormatPr defaultColWidth="21.140625" defaultRowHeight="15" customHeight="1" x14ac:dyDescent="0.25"/>
  <cols>
    <col min="1" max="1" width="21.140625" style="161"/>
    <col min="2" max="2" width="30.42578125" style="161" customWidth="1"/>
    <col min="3" max="3" width="21.140625" style="161"/>
    <col min="4" max="4" width="21.140625" style="394"/>
    <col min="5" max="16384" width="21.140625" style="161"/>
  </cols>
  <sheetData>
    <row r="1" spans="1:11" ht="16.5" x14ac:dyDescent="0.25">
      <c r="A1" s="159"/>
      <c r="B1" s="490" t="s">
        <v>0</v>
      </c>
      <c r="C1" s="491"/>
      <c r="D1" s="491"/>
      <c r="E1" s="491"/>
      <c r="F1" s="491"/>
      <c r="G1" s="491"/>
      <c r="H1" s="491"/>
      <c r="I1" s="491"/>
      <c r="J1" s="160"/>
    </row>
    <row r="2" spans="1:11" ht="36" customHeight="1" x14ac:dyDescent="0.25">
      <c r="A2" s="162"/>
      <c r="B2" s="492" t="s">
        <v>875</v>
      </c>
      <c r="C2" s="493"/>
      <c r="D2" s="493"/>
      <c r="E2" s="163"/>
      <c r="F2" s="164"/>
      <c r="G2" s="163"/>
      <c r="H2" s="163"/>
      <c r="I2" s="163"/>
      <c r="J2" s="165"/>
    </row>
    <row r="3" spans="1:11" ht="36" customHeight="1" x14ac:dyDescent="0.25">
      <c r="A3" s="162"/>
      <c r="B3" s="492" t="s">
        <v>2</v>
      </c>
      <c r="C3" s="493"/>
      <c r="D3" s="493"/>
      <c r="E3" s="166" t="s">
        <v>3</v>
      </c>
      <c r="F3" s="167">
        <v>1.5727</v>
      </c>
      <c r="G3" s="494" t="s">
        <v>4</v>
      </c>
      <c r="H3" s="494"/>
      <c r="I3" s="494"/>
      <c r="J3" s="168"/>
    </row>
    <row r="4" spans="1:11" ht="15" customHeight="1" x14ac:dyDescent="0.25">
      <c r="A4" s="162"/>
      <c r="B4" s="492" t="s">
        <v>5</v>
      </c>
      <c r="C4" s="493"/>
      <c r="D4" s="493"/>
      <c r="E4" s="169" t="s">
        <v>6</v>
      </c>
      <c r="F4" s="167">
        <v>0.3196</v>
      </c>
      <c r="G4" s="170"/>
      <c r="H4" s="171" t="s">
        <v>7</v>
      </c>
      <c r="I4" s="172" t="s">
        <v>888</v>
      </c>
      <c r="J4" s="168"/>
    </row>
    <row r="5" spans="1:11" ht="24.95" customHeight="1" x14ac:dyDescent="0.25">
      <c r="A5" s="485" t="s">
        <v>8</v>
      </c>
      <c r="B5" s="495" t="s">
        <v>611</v>
      </c>
      <c r="C5" s="499" t="s">
        <v>612</v>
      </c>
      <c r="D5" s="500"/>
      <c r="E5" s="485" t="s">
        <v>613</v>
      </c>
      <c r="F5" s="485"/>
      <c r="G5" s="485"/>
      <c r="H5" s="485"/>
      <c r="I5" s="485"/>
      <c r="J5" s="485"/>
    </row>
    <row r="6" spans="1:11" ht="24.95" customHeight="1" thickBot="1" x14ac:dyDescent="0.3">
      <c r="A6" s="495"/>
      <c r="B6" s="496"/>
      <c r="C6" s="501"/>
      <c r="D6" s="502"/>
      <c r="E6" s="173">
        <v>1</v>
      </c>
      <c r="F6" s="173">
        <v>2</v>
      </c>
      <c r="G6" s="173">
        <v>3</v>
      </c>
      <c r="H6" s="173">
        <v>4</v>
      </c>
      <c r="I6" s="173">
        <v>5</v>
      </c>
      <c r="J6" s="173">
        <v>6</v>
      </c>
    </row>
    <row r="7" spans="1:11" ht="24.95" customHeight="1" x14ac:dyDescent="0.25">
      <c r="A7" s="497" t="s">
        <v>18</v>
      </c>
      <c r="B7" s="488" t="str">
        <f>'PLANILHA ORÇAMENTÁRIA'!D7</f>
        <v>SERVIÇOS PRELIMINARES</v>
      </c>
      <c r="C7" s="174" t="s">
        <v>614</v>
      </c>
      <c r="D7" s="392">
        <f>D8/$D$47</f>
        <v>8.1757474069605304E-2</v>
      </c>
      <c r="E7" s="175">
        <v>0.75</v>
      </c>
      <c r="F7" s="175">
        <v>0.25</v>
      </c>
      <c r="G7" s="175"/>
      <c r="H7" s="175"/>
      <c r="I7" s="175"/>
      <c r="J7" s="175"/>
      <c r="K7" s="161">
        <f t="shared" ref="K7:K46" si="0">SUM(E7:J7)</f>
        <v>1</v>
      </c>
    </row>
    <row r="8" spans="1:11" ht="24.95" customHeight="1" thickBot="1" x14ac:dyDescent="0.3">
      <c r="A8" s="498"/>
      <c r="B8" s="489"/>
      <c r="C8" s="176" t="s">
        <v>615</v>
      </c>
      <c r="D8" s="395">
        <f>'PLANILHA ORÇAMENTÁRIA'!I28</f>
        <v>44273.3</v>
      </c>
      <c r="E8" s="177">
        <f>D8*E7</f>
        <v>33204.975000000006</v>
      </c>
      <c r="F8" s="177">
        <f>D8*F7</f>
        <v>11068.325000000001</v>
      </c>
      <c r="G8" s="177"/>
      <c r="H8" s="177"/>
      <c r="I8" s="177"/>
      <c r="J8" s="177"/>
      <c r="K8" s="161">
        <f t="shared" si="0"/>
        <v>44273.3</v>
      </c>
    </row>
    <row r="9" spans="1:11" ht="24.95" customHeight="1" x14ac:dyDescent="0.25">
      <c r="A9" s="497" t="s">
        <v>86</v>
      </c>
      <c r="B9" s="488" t="str">
        <f>'PLANILHA ORÇAMENTÁRIA'!D29</f>
        <v>INSTALAÇÃO DO CANTEIRO DE OBRAS</v>
      </c>
      <c r="C9" s="174" t="s">
        <v>614</v>
      </c>
      <c r="D9" s="392">
        <f>D10/$D$47</f>
        <v>1.8160569571670965E-2</v>
      </c>
      <c r="E9" s="175">
        <f>E10/$D$10</f>
        <v>0.54549999999999998</v>
      </c>
      <c r="F9" s="175">
        <v>9.0899999999999995E-2</v>
      </c>
      <c r="G9" s="175">
        <v>9.0899999999999995E-2</v>
      </c>
      <c r="H9" s="175">
        <v>9.0899999999999995E-2</v>
      </c>
      <c r="I9" s="175">
        <v>9.0899999999999995E-2</v>
      </c>
      <c r="J9" s="175">
        <v>9.0899999999999995E-2</v>
      </c>
      <c r="K9" s="161">
        <f t="shared" si="0"/>
        <v>0.99999999999999989</v>
      </c>
    </row>
    <row r="10" spans="1:11" ht="24.95" customHeight="1" thickBot="1" x14ac:dyDescent="0.3">
      <c r="A10" s="498"/>
      <c r="B10" s="489"/>
      <c r="C10" s="176" t="s">
        <v>615</v>
      </c>
      <c r="D10" s="393">
        <f>'PLANILHA ORÇAMENTÁRIA'!I34</f>
        <v>9834.31</v>
      </c>
      <c r="E10" s="177">
        <f>D10-(F10+G10+H10+I10+J10)</f>
        <v>5364.6161050000001</v>
      </c>
      <c r="F10" s="177">
        <f t="shared" ref="F10:I10" si="1">$D$10*F9</f>
        <v>893.93877899999995</v>
      </c>
      <c r="G10" s="177">
        <f t="shared" si="1"/>
        <v>893.93877899999995</v>
      </c>
      <c r="H10" s="177">
        <f t="shared" si="1"/>
        <v>893.93877899999995</v>
      </c>
      <c r="I10" s="177">
        <f t="shared" si="1"/>
        <v>893.93877899999995</v>
      </c>
      <c r="J10" s="177">
        <f>$D$10*J9</f>
        <v>893.93877899999995</v>
      </c>
      <c r="K10" s="161">
        <f t="shared" si="0"/>
        <v>9834.31</v>
      </c>
    </row>
    <row r="11" spans="1:11" ht="24.95" customHeight="1" x14ac:dyDescent="0.25">
      <c r="A11" s="497" t="s">
        <v>102</v>
      </c>
      <c r="B11" s="488" t="str">
        <f>'PLANILHA ORÇAMENTÁRIA'!D35</f>
        <v>MOVIMENTO DE TERRA</v>
      </c>
      <c r="C11" s="174" t="s">
        <v>614</v>
      </c>
      <c r="D11" s="392">
        <f>D12/$D$47</f>
        <v>1.587786495237082E-2</v>
      </c>
      <c r="E11" s="175"/>
      <c r="F11" s="175">
        <f>F12/$D$12</f>
        <v>0.5</v>
      </c>
      <c r="G11" s="175">
        <f>G12/D12</f>
        <v>0.5</v>
      </c>
      <c r="H11" s="178"/>
      <c r="I11" s="178"/>
      <c r="J11" s="178"/>
      <c r="K11" s="161">
        <f t="shared" si="0"/>
        <v>1</v>
      </c>
    </row>
    <row r="12" spans="1:11" ht="24.95" customHeight="1" thickBot="1" x14ac:dyDescent="0.3">
      <c r="A12" s="498"/>
      <c r="B12" s="489"/>
      <c r="C12" s="176" t="s">
        <v>615</v>
      </c>
      <c r="D12" s="393">
        <f>'PLANILHA ORÇAMENTÁRIA'!I38</f>
        <v>8598.18</v>
      </c>
      <c r="E12" s="177"/>
      <c r="F12" s="177">
        <f>D12/2</f>
        <v>4299.09</v>
      </c>
      <c r="G12" s="177">
        <f>D12-F12</f>
        <v>4299.09</v>
      </c>
      <c r="H12" s="177"/>
      <c r="I12" s="177"/>
      <c r="J12" s="177"/>
      <c r="K12" s="161">
        <f t="shared" si="0"/>
        <v>8598.18</v>
      </c>
    </row>
    <row r="13" spans="1:11" ht="24.95" customHeight="1" x14ac:dyDescent="0.25">
      <c r="A13" s="497" t="s">
        <v>111</v>
      </c>
      <c r="B13" s="488" t="str">
        <f>'PLANILHA ORÇAMENTÁRIA'!D39</f>
        <v>ESTRUTURAS</v>
      </c>
      <c r="C13" s="174" t="s">
        <v>614</v>
      </c>
      <c r="D13" s="392">
        <f>D14/$D$47</f>
        <v>1.2970529560030397E-3</v>
      </c>
      <c r="E13" s="179"/>
      <c r="F13" s="175">
        <f>F14/$D$14</f>
        <v>1</v>
      </c>
      <c r="G13" s="175"/>
      <c r="H13" s="175"/>
      <c r="I13" s="175"/>
      <c r="J13" s="175"/>
      <c r="K13" s="161">
        <f t="shared" si="0"/>
        <v>1</v>
      </c>
    </row>
    <row r="14" spans="1:11" ht="24.95" customHeight="1" thickBot="1" x14ac:dyDescent="0.3">
      <c r="A14" s="498"/>
      <c r="B14" s="489"/>
      <c r="C14" s="176" t="s">
        <v>615</v>
      </c>
      <c r="D14" s="393">
        <f>'PLANILHA ORÇAMENTÁRIA'!I45</f>
        <v>702.38</v>
      </c>
      <c r="E14" s="177">
        <v>0</v>
      </c>
      <c r="F14" s="177">
        <f>D14</f>
        <v>702.38</v>
      </c>
      <c r="G14" s="177"/>
      <c r="H14" s="177"/>
      <c r="I14" s="177"/>
      <c r="J14" s="177"/>
      <c r="K14" s="161">
        <f t="shared" si="0"/>
        <v>702.38</v>
      </c>
    </row>
    <row r="15" spans="1:11" ht="24.95" customHeight="1" x14ac:dyDescent="0.25">
      <c r="A15" s="497" t="s">
        <v>129</v>
      </c>
      <c r="B15" s="503" t="str">
        <f>'PLANILHA ORÇAMENTÁRIA'!D46</f>
        <v>PAREDES E PAINÉIS</v>
      </c>
      <c r="C15" s="174" t="s">
        <v>614</v>
      </c>
      <c r="D15" s="392">
        <f>D16/$D$47</f>
        <v>2.0869038776432058E-4</v>
      </c>
      <c r="E15" s="179"/>
      <c r="F15" s="179">
        <f>F16/D16</f>
        <v>1</v>
      </c>
      <c r="G15" s="179"/>
      <c r="H15" s="179"/>
      <c r="I15" s="179"/>
      <c r="J15" s="179"/>
      <c r="K15" s="161">
        <f t="shared" si="0"/>
        <v>1</v>
      </c>
    </row>
    <row r="16" spans="1:11" ht="24.95" customHeight="1" thickBot="1" x14ac:dyDescent="0.3">
      <c r="A16" s="498"/>
      <c r="B16" s="504"/>
      <c r="C16" s="176" t="s">
        <v>615</v>
      </c>
      <c r="D16" s="393">
        <f>'PLANILHA ORÇAMENTÁRIA'!I51</f>
        <v>113.00999999999999</v>
      </c>
      <c r="E16" s="177">
        <v>0</v>
      </c>
      <c r="F16" s="177">
        <f>D16</f>
        <v>113.00999999999999</v>
      </c>
      <c r="G16" s="177"/>
      <c r="H16" s="177"/>
      <c r="I16" s="177"/>
      <c r="J16" s="177"/>
      <c r="K16" s="161">
        <f t="shared" si="0"/>
        <v>113.00999999999999</v>
      </c>
    </row>
    <row r="17" spans="1:11" ht="24.95" customHeight="1" x14ac:dyDescent="0.25">
      <c r="A17" s="497" t="s">
        <v>143</v>
      </c>
      <c r="B17" s="488" t="str">
        <f>'PLANILHA ORÇAMENTÁRIA'!D52</f>
        <v>ESQUADRIAS DE MADEIRA</v>
      </c>
      <c r="C17" s="174" t="s">
        <v>614</v>
      </c>
      <c r="D17" s="392">
        <f>D18/$D$47</f>
        <v>1.9133073057276878E-2</v>
      </c>
      <c r="E17" s="179"/>
      <c r="F17" s="179"/>
      <c r="G17" s="179"/>
      <c r="H17" s="179">
        <f>H18/D18</f>
        <v>1</v>
      </c>
      <c r="I17" s="179"/>
      <c r="J17" s="179"/>
      <c r="K17" s="161">
        <f t="shared" si="0"/>
        <v>1</v>
      </c>
    </row>
    <row r="18" spans="1:11" ht="24.95" customHeight="1" thickBot="1" x14ac:dyDescent="0.3">
      <c r="A18" s="498"/>
      <c r="B18" s="489"/>
      <c r="C18" s="176" t="s">
        <v>615</v>
      </c>
      <c r="D18" s="393">
        <f>'PLANILHA ORÇAMENTÁRIA'!I61</f>
        <v>10360.94</v>
      </c>
      <c r="E18" s="177">
        <v>0</v>
      </c>
      <c r="F18" s="177"/>
      <c r="G18" s="177"/>
      <c r="H18" s="177">
        <f>D18</f>
        <v>10360.94</v>
      </c>
      <c r="I18" s="177"/>
      <c r="J18" s="177"/>
      <c r="K18" s="161">
        <f t="shared" si="0"/>
        <v>10360.94</v>
      </c>
    </row>
    <row r="19" spans="1:11" ht="24.95" customHeight="1" x14ac:dyDescent="0.25">
      <c r="A19" s="497" t="s">
        <v>169</v>
      </c>
      <c r="B19" s="488" t="str">
        <f>'PLANILHA ORÇAMENTÁRIA'!D62</f>
        <v>ESQUADRIAS METÁLICAS</v>
      </c>
      <c r="C19" s="174" t="s">
        <v>614</v>
      </c>
      <c r="D19" s="392">
        <f>D20/$D$47</f>
        <v>2.8227715579284978E-2</v>
      </c>
      <c r="E19" s="179"/>
      <c r="F19" s="179"/>
      <c r="G19" s="179"/>
      <c r="H19" s="179">
        <f>H20/D20</f>
        <v>1</v>
      </c>
      <c r="I19" s="179"/>
      <c r="J19" s="179"/>
      <c r="K19" s="161">
        <f t="shared" si="0"/>
        <v>1</v>
      </c>
    </row>
    <row r="20" spans="1:11" ht="24.95" customHeight="1" thickBot="1" x14ac:dyDescent="0.3">
      <c r="A20" s="498"/>
      <c r="B20" s="489"/>
      <c r="C20" s="176" t="s">
        <v>615</v>
      </c>
      <c r="D20" s="393">
        <f>'PLANILHA ORÇAMENTÁRIA'!I69</f>
        <v>15285.87</v>
      </c>
      <c r="E20" s="177"/>
      <c r="F20" s="177"/>
      <c r="G20" s="177"/>
      <c r="H20" s="177">
        <f>D20</f>
        <v>15285.87</v>
      </c>
      <c r="I20" s="177"/>
      <c r="J20" s="177"/>
      <c r="K20" s="161">
        <f t="shared" si="0"/>
        <v>15285.87</v>
      </c>
    </row>
    <row r="21" spans="1:11" ht="24.95" customHeight="1" x14ac:dyDescent="0.25">
      <c r="A21" s="497" t="s">
        <v>188</v>
      </c>
      <c r="B21" s="488" t="str">
        <f>'PLANILHA ORÇAMENTÁRIA'!D70</f>
        <v>VIDROS E ESPELHOS</v>
      </c>
      <c r="C21" s="174" t="s">
        <v>614</v>
      </c>
      <c r="D21" s="392">
        <f>D22/$D$47</f>
        <v>7.9967881513350082E-3</v>
      </c>
      <c r="E21" s="179"/>
      <c r="F21" s="179"/>
      <c r="G21" s="179"/>
      <c r="H21" s="179"/>
      <c r="I21" s="179">
        <v>0.75</v>
      </c>
      <c r="J21" s="179">
        <f>J22/D22</f>
        <v>0.25</v>
      </c>
      <c r="K21" s="161">
        <f t="shared" si="0"/>
        <v>1</v>
      </c>
    </row>
    <row r="22" spans="1:11" ht="24.95" customHeight="1" thickBot="1" x14ac:dyDescent="0.3">
      <c r="A22" s="498"/>
      <c r="B22" s="489"/>
      <c r="C22" s="176" t="s">
        <v>615</v>
      </c>
      <c r="D22" s="393">
        <f>'PLANILHA ORÇAMENTÁRIA'!I75</f>
        <v>4330.42</v>
      </c>
      <c r="E22" s="177">
        <v>0</v>
      </c>
      <c r="F22" s="177"/>
      <c r="G22" s="177"/>
      <c r="H22" s="177"/>
      <c r="I22" s="177">
        <f>D22*I21</f>
        <v>3247.8150000000001</v>
      </c>
      <c r="J22" s="177">
        <f>D22-I22</f>
        <v>1082.605</v>
      </c>
      <c r="K22" s="161">
        <f t="shared" si="0"/>
        <v>4330.42</v>
      </c>
    </row>
    <row r="23" spans="1:11" ht="24.95" customHeight="1" x14ac:dyDescent="0.25">
      <c r="A23" s="497" t="s">
        <v>203</v>
      </c>
      <c r="B23" s="488" t="str">
        <f>'PLANILHA ORÇAMENTÁRIA'!D76</f>
        <v>COBERTURA</v>
      </c>
      <c r="C23" s="174" t="s">
        <v>614</v>
      </c>
      <c r="D23" s="392">
        <f>D24/$D$47</f>
        <v>0.43862640248998414</v>
      </c>
      <c r="E23" s="179"/>
      <c r="F23" s="179">
        <v>0.25</v>
      </c>
      <c r="G23" s="179">
        <f>G24/D24</f>
        <v>0.75000000000000011</v>
      </c>
      <c r="H23" s="179"/>
      <c r="I23" s="179"/>
      <c r="J23" s="179"/>
      <c r="K23" s="161">
        <f t="shared" si="0"/>
        <v>1</v>
      </c>
    </row>
    <row r="24" spans="1:11" ht="24.95" customHeight="1" thickBot="1" x14ac:dyDescent="0.3">
      <c r="A24" s="498"/>
      <c r="B24" s="489"/>
      <c r="C24" s="176" t="s">
        <v>615</v>
      </c>
      <c r="D24" s="393">
        <f>'PLANILHA ORÇAMENTÁRIA'!I82</f>
        <v>237524.93</v>
      </c>
      <c r="E24" s="177"/>
      <c r="F24" s="177">
        <f>D24*F23</f>
        <v>59381.232499999998</v>
      </c>
      <c r="G24" s="177">
        <f>D24-F24</f>
        <v>178143.69750000001</v>
      </c>
      <c r="H24" s="177"/>
      <c r="I24" s="177"/>
      <c r="J24" s="177"/>
      <c r="K24" s="161">
        <f t="shared" si="0"/>
        <v>237524.93</v>
      </c>
    </row>
    <row r="25" spans="1:11" ht="24.95" customHeight="1" x14ac:dyDescent="0.25">
      <c r="A25" s="486">
        <v>10</v>
      </c>
      <c r="B25" s="488" t="str">
        <f>'PLANILHA ORÇAMENTÁRIA'!D83</f>
        <v>IMPERMEABILIZAÇÃO</v>
      </c>
      <c r="C25" s="174" t="s">
        <v>614</v>
      </c>
      <c r="D25" s="392">
        <f>D26/$D$47</f>
        <v>2.2272015815632706E-2</v>
      </c>
      <c r="E25" s="179"/>
      <c r="F25" s="179"/>
      <c r="G25" s="179">
        <f>G26/$D$26</f>
        <v>1</v>
      </c>
      <c r="H25" s="179"/>
      <c r="I25" s="179"/>
      <c r="J25" s="179"/>
      <c r="K25" s="161">
        <f t="shared" si="0"/>
        <v>1</v>
      </c>
    </row>
    <row r="26" spans="1:11" ht="24.95" customHeight="1" thickBot="1" x14ac:dyDescent="0.3">
      <c r="A26" s="487"/>
      <c r="B26" s="489"/>
      <c r="C26" s="176" t="s">
        <v>615</v>
      </c>
      <c r="D26" s="393">
        <f>'PLANILHA ORÇAMENTÁRIA'!I86</f>
        <v>12060.74</v>
      </c>
      <c r="E26" s="177"/>
      <c r="F26" s="177"/>
      <c r="G26" s="177">
        <f>D26</f>
        <v>12060.74</v>
      </c>
      <c r="H26" s="177"/>
      <c r="I26" s="177"/>
      <c r="J26" s="177"/>
      <c r="K26" s="161">
        <f t="shared" si="0"/>
        <v>12060.74</v>
      </c>
    </row>
    <row r="27" spans="1:11" ht="24.95" customHeight="1" x14ac:dyDescent="0.25">
      <c r="A27" s="497" t="s">
        <v>616</v>
      </c>
      <c r="B27" s="488" t="str">
        <f>'PLANILHA ORÇAMENTÁRIA'!D87</f>
        <v>TETOS E FORROS</v>
      </c>
      <c r="C27" s="174" t="s">
        <v>614</v>
      </c>
      <c r="D27" s="392">
        <f>D28/$D$47</f>
        <v>2.0121051504828322E-2</v>
      </c>
      <c r="E27" s="179"/>
      <c r="F27" s="179"/>
      <c r="G27" s="179"/>
      <c r="H27" s="179">
        <f>H28/D28</f>
        <v>1</v>
      </c>
      <c r="I27" s="179"/>
      <c r="J27" s="179"/>
      <c r="K27" s="161">
        <f t="shared" si="0"/>
        <v>1</v>
      </c>
    </row>
    <row r="28" spans="1:11" ht="24.95" customHeight="1" thickBot="1" x14ac:dyDescent="0.3">
      <c r="A28" s="498"/>
      <c r="B28" s="489"/>
      <c r="C28" s="176" t="s">
        <v>615</v>
      </c>
      <c r="D28" s="393">
        <f>'PLANILHA ORÇAMENTÁRIA'!I94</f>
        <v>10895.949999999999</v>
      </c>
      <c r="E28" s="177">
        <v>0</v>
      </c>
      <c r="F28" s="177"/>
      <c r="G28" s="177"/>
      <c r="H28" s="177">
        <f>D28</f>
        <v>10895.949999999999</v>
      </c>
      <c r="I28" s="177"/>
      <c r="J28" s="177"/>
      <c r="K28" s="161">
        <f t="shared" si="0"/>
        <v>10895.949999999999</v>
      </c>
    </row>
    <row r="29" spans="1:11" ht="24.95" customHeight="1" x14ac:dyDescent="0.25">
      <c r="A29" s="497" t="s">
        <v>617</v>
      </c>
      <c r="B29" s="488" t="str">
        <f>'PLANILHA ORÇAMENTÁRIA'!D95</f>
        <v>REVESTIMENTO DE PAREDES</v>
      </c>
      <c r="C29" s="174" t="s">
        <v>614</v>
      </c>
      <c r="D29" s="392">
        <f>D30/$D$47</f>
        <v>3.8437644887332027E-2</v>
      </c>
      <c r="E29" s="179"/>
      <c r="F29" s="179"/>
      <c r="G29" s="179"/>
      <c r="H29" s="179">
        <v>0.5</v>
      </c>
      <c r="I29" s="179">
        <f>I30/D30</f>
        <v>0.5</v>
      </c>
      <c r="J29" s="179"/>
      <c r="K29" s="161">
        <f t="shared" si="0"/>
        <v>1</v>
      </c>
    </row>
    <row r="30" spans="1:11" ht="24.95" customHeight="1" thickBot="1" x14ac:dyDescent="0.3">
      <c r="A30" s="498"/>
      <c r="B30" s="489"/>
      <c r="C30" s="176" t="s">
        <v>615</v>
      </c>
      <c r="D30" s="393">
        <f>'PLANILHA ORÇAMENTÁRIA'!I103</f>
        <v>20814.75</v>
      </c>
      <c r="E30" s="177">
        <v>0</v>
      </c>
      <c r="F30" s="177"/>
      <c r="G30" s="177"/>
      <c r="H30" s="177">
        <f>D30*H29</f>
        <v>10407.375</v>
      </c>
      <c r="I30" s="177">
        <f>H30</f>
        <v>10407.375</v>
      </c>
      <c r="J30" s="177"/>
      <c r="K30" s="161">
        <f t="shared" si="0"/>
        <v>20814.75</v>
      </c>
    </row>
    <row r="31" spans="1:11" ht="24.95" customHeight="1" x14ac:dyDescent="0.25">
      <c r="A31" s="486">
        <v>13</v>
      </c>
      <c r="B31" s="488" t="str">
        <f>'PLANILHA ORÇAMENTÁRIA'!D104</f>
        <v>PISOS INTERNOS E EXTERNOS</v>
      </c>
      <c r="C31" s="174" t="s">
        <v>614</v>
      </c>
      <c r="D31" s="392">
        <f>D32/$D$47</f>
        <v>0.17208610113707548</v>
      </c>
      <c r="E31" s="179"/>
      <c r="F31" s="179"/>
      <c r="G31" s="179"/>
      <c r="H31" s="179">
        <v>0.5</v>
      </c>
      <c r="I31" s="179">
        <f>I32/D32</f>
        <v>0.5</v>
      </c>
      <c r="J31" s="179"/>
      <c r="K31" s="161">
        <f t="shared" si="0"/>
        <v>1</v>
      </c>
    </row>
    <row r="32" spans="1:11" ht="24.95" customHeight="1" thickBot="1" x14ac:dyDescent="0.3">
      <c r="A32" s="487"/>
      <c r="B32" s="489"/>
      <c r="C32" s="176" t="s">
        <v>615</v>
      </c>
      <c r="D32" s="393">
        <f>'PLANILHA ORÇAMENTÁRIA'!I111</f>
        <v>93188.050000000017</v>
      </c>
      <c r="E32" s="177"/>
      <c r="F32" s="177"/>
      <c r="G32" s="177"/>
      <c r="H32" s="177">
        <f>D32*H31</f>
        <v>46594.025000000009</v>
      </c>
      <c r="I32" s="177">
        <f>H32</f>
        <v>46594.025000000009</v>
      </c>
      <c r="J32" s="177"/>
      <c r="K32" s="161">
        <f t="shared" si="0"/>
        <v>93188.050000000017</v>
      </c>
    </row>
    <row r="33" spans="1:11" ht="24.95" customHeight="1" x14ac:dyDescent="0.25">
      <c r="A33" s="486">
        <v>14</v>
      </c>
      <c r="B33" s="488" t="str">
        <f>'PLANILHA ORÇAMENTÁRIA'!D112</f>
        <v>INSTALAÇÕES HIDRO-SANITÁRIAS</v>
      </c>
      <c r="C33" s="174" t="s">
        <v>614</v>
      </c>
      <c r="D33" s="392">
        <f>D34/$D$47</f>
        <v>3.4463552780543191E-3</v>
      </c>
      <c r="E33" s="179"/>
      <c r="F33" s="179"/>
      <c r="G33" s="179"/>
      <c r="H33" s="179">
        <f>H34/D34</f>
        <v>1</v>
      </c>
      <c r="I33" s="179"/>
      <c r="J33" s="179"/>
      <c r="K33" s="161">
        <f t="shared" si="0"/>
        <v>1</v>
      </c>
    </row>
    <row r="34" spans="1:11" ht="24.95" customHeight="1" thickBot="1" x14ac:dyDescent="0.3">
      <c r="A34" s="487"/>
      <c r="B34" s="489"/>
      <c r="C34" s="176" t="s">
        <v>615</v>
      </c>
      <c r="D34" s="393">
        <f>'PLANILHA ORÇAMENTÁRIA'!I118</f>
        <v>1866.27</v>
      </c>
      <c r="E34" s="177"/>
      <c r="F34" s="177"/>
      <c r="G34" s="177"/>
      <c r="H34" s="177">
        <f>D34</f>
        <v>1866.27</v>
      </c>
      <c r="I34" s="177"/>
      <c r="J34" s="177"/>
      <c r="K34" s="161">
        <f t="shared" si="0"/>
        <v>1866.27</v>
      </c>
    </row>
    <row r="35" spans="1:11" ht="24.95" customHeight="1" x14ac:dyDescent="0.25">
      <c r="A35" s="486">
        <v>15</v>
      </c>
      <c r="B35" s="488" t="str">
        <f>'PLANILHA ORÇAMENTÁRIA'!D119</f>
        <v>INSTALAÇÕES ELÉTRICAS</v>
      </c>
      <c r="C35" s="174" t="s">
        <v>614</v>
      </c>
      <c r="D35" s="392">
        <f>D36/$D$47</f>
        <v>7.3641798322798512E-3</v>
      </c>
      <c r="E35" s="179"/>
      <c r="F35" s="179"/>
      <c r="G35" s="179"/>
      <c r="H35" s="179">
        <f>H36/D36</f>
        <v>1</v>
      </c>
      <c r="I35" s="179"/>
      <c r="J35" s="179"/>
      <c r="K35" s="161">
        <f t="shared" si="0"/>
        <v>1</v>
      </c>
    </row>
    <row r="36" spans="1:11" ht="24.95" customHeight="1" thickBot="1" x14ac:dyDescent="0.3">
      <c r="A36" s="487"/>
      <c r="B36" s="489"/>
      <c r="C36" s="176" t="s">
        <v>615</v>
      </c>
      <c r="D36" s="393">
        <f>'PLANILHA ORÇAMENTÁRIA'!I134</f>
        <v>3987.8500000000004</v>
      </c>
      <c r="E36" s="177"/>
      <c r="F36" s="177"/>
      <c r="G36" s="177"/>
      <c r="H36" s="177">
        <f>D36</f>
        <v>3987.8500000000004</v>
      </c>
      <c r="I36" s="177"/>
      <c r="J36" s="177"/>
      <c r="K36" s="161">
        <f t="shared" si="0"/>
        <v>3987.8500000000004</v>
      </c>
    </row>
    <row r="37" spans="1:11" ht="24.95" customHeight="1" x14ac:dyDescent="0.25">
      <c r="A37" s="486">
        <v>16</v>
      </c>
      <c r="B37" s="488" t="str">
        <f>'PLANILHA ORÇAMENTÁRIA'!D135</f>
        <v>APARELHOS HIDRO-SANITÁRIOS</v>
      </c>
      <c r="C37" s="174" t="s">
        <v>614</v>
      </c>
      <c r="D37" s="392">
        <f>D38/$D$47</f>
        <v>8.0498425256423176E-3</v>
      </c>
      <c r="E37" s="179"/>
      <c r="F37" s="179"/>
      <c r="G37" s="179"/>
      <c r="H37" s="179"/>
      <c r="I37" s="179">
        <f>I38/D38</f>
        <v>1</v>
      </c>
      <c r="J37" s="179"/>
      <c r="K37" s="161">
        <f t="shared" si="0"/>
        <v>1</v>
      </c>
    </row>
    <row r="38" spans="1:11" ht="24.95" customHeight="1" thickBot="1" x14ac:dyDescent="0.3">
      <c r="A38" s="487"/>
      <c r="B38" s="489"/>
      <c r="C38" s="176" t="s">
        <v>615</v>
      </c>
      <c r="D38" s="393">
        <f>'PLANILHA ORÇAMENTÁRIA'!I145</f>
        <v>4359.1500000000005</v>
      </c>
      <c r="E38" s="177"/>
      <c r="F38" s="177"/>
      <c r="G38" s="177"/>
      <c r="H38" s="177"/>
      <c r="I38" s="177">
        <f>D38</f>
        <v>4359.1500000000005</v>
      </c>
      <c r="J38" s="177"/>
      <c r="K38" s="161">
        <f t="shared" si="0"/>
        <v>4359.1500000000005</v>
      </c>
    </row>
    <row r="39" spans="1:11" ht="24.95" customHeight="1" x14ac:dyDescent="0.25">
      <c r="A39" s="486">
        <v>17</v>
      </c>
      <c r="B39" s="488" t="str">
        <f>'PLANILHA ORÇAMENTÁRIA'!D146</f>
        <v>APARELHOS ELÉTRICOS</v>
      </c>
      <c r="C39" s="174" t="s">
        <v>614</v>
      </c>
      <c r="D39" s="392">
        <f>D40/$D$47</f>
        <v>1.8453301190717069E-2</v>
      </c>
      <c r="E39" s="179"/>
      <c r="F39" s="179"/>
      <c r="G39" s="179"/>
      <c r="H39" s="179"/>
      <c r="I39" s="179"/>
      <c r="J39" s="179">
        <f>J40/D40</f>
        <v>1</v>
      </c>
      <c r="K39" s="161">
        <f t="shared" si="0"/>
        <v>1</v>
      </c>
    </row>
    <row r="40" spans="1:11" ht="24.95" customHeight="1" thickBot="1" x14ac:dyDescent="0.3">
      <c r="A40" s="487"/>
      <c r="B40" s="489"/>
      <c r="C40" s="176" t="s">
        <v>615</v>
      </c>
      <c r="D40" s="393">
        <f>'PLANILHA ORÇAMENTÁRIA'!I159</f>
        <v>9992.83</v>
      </c>
      <c r="E40" s="177"/>
      <c r="F40" s="177"/>
      <c r="G40" s="177"/>
      <c r="H40" s="177"/>
      <c r="I40" s="177"/>
      <c r="J40" s="177">
        <f>D40</f>
        <v>9992.83</v>
      </c>
      <c r="K40" s="161">
        <f t="shared" si="0"/>
        <v>9992.83</v>
      </c>
    </row>
    <row r="41" spans="1:11" ht="24.95" customHeight="1" x14ac:dyDescent="0.25">
      <c r="A41" s="486">
        <v>18</v>
      </c>
      <c r="B41" s="488" t="str">
        <f>'PLANILHA ORÇAMENTÁRIA'!D160</f>
        <v>PINTURA</v>
      </c>
      <c r="C41" s="174" t="s">
        <v>614</v>
      </c>
      <c r="D41" s="392">
        <f>D42/$D$47</f>
        <v>8.2404652490062638E-2</v>
      </c>
      <c r="E41" s="179"/>
      <c r="F41" s="179"/>
      <c r="G41" s="179"/>
      <c r="H41" s="179"/>
      <c r="I41" s="179"/>
      <c r="J41" s="179">
        <f>J42/D42</f>
        <v>1</v>
      </c>
      <c r="K41" s="161">
        <f t="shared" si="0"/>
        <v>1</v>
      </c>
    </row>
    <row r="42" spans="1:11" ht="24.95" customHeight="1" thickBot="1" x14ac:dyDescent="0.3">
      <c r="A42" s="487"/>
      <c r="B42" s="489"/>
      <c r="C42" s="176" t="s">
        <v>615</v>
      </c>
      <c r="D42" s="393">
        <f>'PLANILHA ORÇAMENTÁRIA'!I167</f>
        <v>44623.76</v>
      </c>
      <c r="E42" s="177"/>
      <c r="F42" s="177"/>
      <c r="G42" s="177"/>
      <c r="H42" s="177"/>
      <c r="I42" s="177"/>
      <c r="J42" s="177">
        <f>D42</f>
        <v>44623.76</v>
      </c>
      <c r="K42" s="161">
        <f t="shared" si="0"/>
        <v>44623.76</v>
      </c>
    </row>
    <row r="43" spans="1:11" ht="24.95" customHeight="1" x14ac:dyDescent="0.25">
      <c r="A43" s="486" t="s">
        <v>884</v>
      </c>
      <c r="B43" s="488" t="str">
        <f>'PLANILHA ORÇAMENTÁRIA'!D168</f>
        <v>SERVIÇOS COMPLEMENTARES EXTERNOS</v>
      </c>
      <c r="C43" s="174" t="s">
        <v>614</v>
      </c>
      <c r="D43" s="392">
        <f>D44/$D$47</f>
        <v>1.4530693802190946E-2</v>
      </c>
      <c r="E43" s="179"/>
      <c r="F43" s="179"/>
      <c r="G43" s="179"/>
      <c r="H43" s="179"/>
      <c r="I43" s="179"/>
      <c r="J43" s="179">
        <f>J44/D44</f>
        <v>1</v>
      </c>
      <c r="K43" s="161">
        <f t="shared" si="0"/>
        <v>1</v>
      </c>
    </row>
    <row r="44" spans="1:11" ht="24.95" customHeight="1" thickBot="1" x14ac:dyDescent="0.3">
      <c r="A44" s="487"/>
      <c r="B44" s="489"/>
      <c r="C44" s="176" t="s">
        <v>615</v>
      </c>
      <c r="D44" s="398">
        <f>'PLANILHA ORÇAMENTÁRIA'!I171</f>
        <v>7868.66</v>
      </c>
      <c r="E44" s="177"/>
      <c r="F44" s="177"/>
      <c r="G44" s="177"/>
      <c r="H44" s="177"/>
      <c r="I44" s="177"/>
      <c r="J44" s="177">
        <f>D44</f>
        <v>7868.66</v>
      </c>
      <c r="K44" s="161">
        <f t="shared" si="0"/>
        <v>7868.66</v>
      </c>
    </row>
    <row r="45" spans="1:11" ht="24.95" customHeight="1" x14ac:dyDescent="0.25">
      <c r="A45" s="486" t="s">
        <v>885</v>
      </c>
      <c r="B45" s="488" t="str">
        <f>'PLANILHA ORÇAMENTÁRIA'!D172</f>
        <v>SERVIÇOS COMPLEMENTARES INTERNOS</v>
      </c>
      <c r="C45" s="174" t="s">
        <v>614</v>
      </c>
      <c r="D45" s="392">
        <f>D46/$D$47</f>
        <v>1.5485303208888476E-3</v>
      </c>
      <c r="E45" s="179"/>
      <c r="F45" s="179"/>
      <c r="G45" s="179"/>
      <c r="H45" s="179"/>
      <c r="I45" s="179"/>
      <c r="J45" s="179">
        <f>J46/D46</f>
        <v>1</v>
      </c>
      <c r="K45" s="161">
        <f t="shared" si="0"/>
        <v>1</v>
      </c>
    </row>
    <row r="46" spans="1:11" ht="24.95" customHeight="1" thickBot="1" x14ac:dyDescent="0.3">
      <c r="A46" s="487"/>
      <c r="B46" s="489"/>
      <c r="C46" s="176" t="s">
        <v>615</v>
      </c>
      <c r="D46" s="398">
        <f>'PLANILHA ORÇAMENTÁRIA'!I177</f>
        <v>838.56</v>
      </c>
      <c r="E46" s="177"/>
      <c r="F46" s="177"/>
      <c r="G46" s="177"/>
      <c r="H46" s="177"/>
      <c r="I46" s="177"/>
      <c r="J46" s="177">
        <f>D46</f>
        <v>838.56</v>
      </c>
      <c r="K46" s="161">
        <f t="shared" si="0"/>
        <v>838.56</v>
      </c>
    </row>
    <row r="47" spans="1:11" ht="24.95" customHeight="1" x14ac:dyDescent="0.25">
      <c r="A47" s="505" t="s">
        <v>618</v>
      </c>
      <c r="B47" s="506"/>
      <c r="C47" s="506"/>
      <c r="D47" s="507">
        <f>D8+D10+D12+D14+D16+D18+D20+D22+D24+D26+D28+D30+D32+D34+D36+D38+D40+D42+D44+D46</f>
        <v>541519.91</v>
      </c>
      <c r="E47" s="396">
        <f>E50/D47</f>
        <v>7.1224696253550504E-2</v>
      </c>
      <c r="F47" s="180">
        <f>F49/$D$47</f>
        <v>0.14119144073391501</v>
      </c>
      <c r="G47" s="180">
        <f>G49/$D$47</f>
        <v>0.36083154593337108</v>
      </c>
      <c r="H47" s="180">
        <f>H49/$D$47</f>
        <v>0.18520504403799301</v>
      </c>
      <c r="I47" s="180">
        <f t="shared" ref="I47:J47" si="2">I49/$D$47</f>
        <v>0.12096010242541222</v>
      </c>
      <c r="J47" s="180">
        <f t="shared" si="2"/>
        <v>0.12058717061575815</v>
      </c>
    </row>
    <row r="48" spans="1:11" ht="24.95" customHeight="1" x14ac:dyDescent="0.25">
      <c r="A48" s="510" t="s">
        <v>619</v>
      </c>
      <c r="B48" s="511"/>
      <c r="C48" s="511"/>
      <c r="D48" s="508"/>
      <c r="E48" s="397">
        <f>E47</f>
        <v>7.1224696253550504E-2</v>
      </c>
      <c r="F48" s="181">
        <f>E48+F47</f>
        <v>0.21241613698746553</v>
      </c>
      <c r="G48" s="181">
        <f>F48+G47</f>
        <v>0.57324768292083661</v>
      </c>
      <c r="H48" s="181">
        <f t="shared" ref="H48:J48" si="3">G48+H47</f>
        <v>0.75845272695882959</v>
      </c>
      <c r="I48" s="181">
        <f t="shared" si="3"/>
        <v>0.87941282938424181</v>
      </c>
      <c r="J48" s="181">
        <f t="shared" si="3"/>
        <v>1</v>
      </c>
    </row>
    <row r="49" spans="1:10" ht="24.95" customHeight="1" x14ac:dyDescent="0.25">
      <c r="A49" s="510" t="s">
        <v>620</v>
      </c>
      <c r="B49" s="511"/>
      <c r="C49" s="511"/>
      <c r="D49" s="508"/>
      <c r="E49" s="399">
        <f t="shared" ref="E49:I49" si="4">E8+E10+E12+E14+E16+E18+E20+E22+E24+E26+E28+E30+E32+E34+E36+E38+E40+E42+E44+E46</f>
        <v>38569.591105000007</v>
      </c>
      <c r="F49" s="399">
        <f t="shared" si="4"/>
        <v>76457.976278999995</v>
      </c>
      <c r="G49" s="399">
        <f t="shared" si="4"/>
        <v>195397.46627899999</v>
      </c>
      <c r="H49" s="399">
        <f t="shared" si="4"/>
        <v>100292.21877900002</v>
      </c>
      <c r="I49" s="399">
        <f t="shared" si="4"/>
        <v>65502.303779000009</v>
      </c>
      <c r="J49" s="399">
        <f>J8+J10+J12+J14+J16+J18+J20+J22+J24+J26+J28+J30+J32+J34+J36+J38+J40+J42+J44+J46</f>
        <v>65300.353778999997</v>
      </c>
    </row>
    <row r="50" spans="1:10" ht="24.95" customHeight="1" x14ac:dyDescent="0.25">
      <c r="A50" s="510" t="s">
        <v>621</v>
      </c>
      <c r="B50" s="511"/>
      <c r="C50" s="511"/>
      <c r="D50" s="509"/>
      <c r="E50" s="399">
        <f>E49</f>
        <v>38569.591105000007</v>
      </c>
      <c r="F50" s="400">
        <f>E50+F49</f>
        <v>115027.56738399999</v>
      </c>
      <c r="G50" s="400">
        <f t="shared" ref="G50:I50" si="5">F50+G49</f>
        <v>310425.03366299998</v>
      </c>
      <c r="H50" s="400">
        <f t="shared" si="5"/>
        <v>410717.25244199997</v>
      </c>
      <c r="I50" s="400">
        <f t="shared" si="5"/>
        <v>476219.55622099998</v>
      </c>
      <c r="J50" s="400">
        <f>I50+J49</f>
        <v>541519.90999999992</v>
      </c>
    </row>
  </sheetData>
  <mergeCells count="54">
    <mergeCell ref="A21:A22"/>
    <mergeCell ref="B21:B22"/>
    <mergeCell ref="A17:A18"/>
    <mergeCell ref="B17:B18"/>
    <mergeCell ref="A19:A20"/>
    <mergeCell ref="B19:B20"/>
    <mergeCell ref="A27:A28"/>
    <mergeCell ref="B27:B28"/>
    <mergeCell ref="A25:A26"/>
    <mergeCell ref="B25:B26"/>
    <mergeCell ref="A23:A24"/>
    <mergeCell ref="B23:B24"/>
    <mergeCell ref="A45:A46"/>
    <mergeCell ref="B45:B46"/>
    <mergeCell ref="A29:A30"/>
    <mergeCell ref="B29:B30"/>
    <mergeCell ref="A31:A32"/>
    <mergeCell ref="B31:B32"/>
    <mergeCell ref="A33:A34"/>
    <mergeCell ref="B33:B34"/>
    <mergeCell ref="A35:A36"/>
    <mergeCell ref="B35:B36"/>
    <mergeCell ref="A37:A38"/>
    <mergeCell ref="B37:B38"/>
    <mergeCell ref="A39:A40"/>
    <mergeCell ref="B39:B40"/>
    <mergeCell ref="A41:A42"/>
    <mergeCell ref="B41:B42"/>
    <mergeCell ref="A47:C47"/>
    <mergeCell ref="D47:D50"/>
    <mergeCell ref="A48:C48"/>
    <mergeCell ref="A49:C49"/>
    <mergeCell ref="A50:C50"/>
    <mergeCell ref="B15:B16"/>
    <mergeCell ref="A9:A10"/>
    <mergeCell ref="B9:B10"/>
    <mergeCell ref="A11:A12"/>
    <mergeCell ref="B11:B12"/>
    <mergeCell ref="E5:J5"/>
    <mergeCell ref="A43:A44"/>
    <mergeCell ref="B43:B44"/>
    <mergeCell ref="B1:I1"/>
    <mergeCell ref="B2:D2"/>
    <mergeCell ref="B3:D3"/>
    <mergeCell ref="G3:I3"/>
    <mergeCell ref="B4:D4"/>
    <mergeCell ref="A5:A6"/>
    <mergeCell ref="B5:B6"/>
    <mergeCell ref="B7:B8"/>
    <mergeCell ref="A7:A8"/>
    <mergeCell ref="C5:D6"/>
    <mergeCell ref="A13:A14"/>
    <mergeCell ref="B13:B14"/>
    <mergeCell ref="A15:A16"/>
  </mergeCells>
  <conditionalFormatting sqref="E15:J15 E11:J11 E17:J17 E7:J9 E47:J50">
    <cfRule type="cellIs" dxfId="37" priority="349" operator="equal">
      <formula>0</formula>
    </cfRule>
  </conditionalFormatting>
  <conditionalFormatting sqref="E12:J12">
    <cfRule type="cellIs" dxfId="36" priority="97" operator="equal">
      <formula>0</formula>
    </cfRule>
  </conditionalFormatting>
  <conditionalFormatting sqref="E13">
    <cfRule type="cellIs" dxfId="35" priority="336" operator="equal">
      <formula>0</formula>
    </cfRule>
  </conditionalFormatting>
  <conditionalFormatting sqref="E19:J19">
    <cfRule type="cellIs" dxfId="34" priority="299" operator="equal">
      <formula>0</formula>
    </cfRule>
  </conditionalFormatting>
  <conditionalFormatting sqref="E21:J21">
    <cfRule type="cellIs" dxfId="33" priority="297" operator="equal">
      <formula>0</formula>
    </cfRule>
  </conditionalFormatting>
  <conditionalFormatting sqref="E23:J23">
    <cfRule type="cellIs" dxfId="32" priority="295" operator="equal">
      <formula>0</formula>
    </cfRule>
  </conditionalFormatting>
  <conditionalFormatting sqref="E25:J25">
    <cfRule type="cellIs" dxfId="31" priority="293" operator="equal">
      <formula>0</formula>
    </cfRule>
  </conditionalFormatting>
  <conditionalFormatting sqref="E27:J27">
    <cfRule type="cellIs" dxfId="30" priority="291" operator="equal">
      <formula>0</formula>
    </cfRule>
  </conditionalFormatting>
  <conditionalFormatting sqref="E29:J29">
    <cfRule type="cellIs" dxfId="29" priority="289" operator="equal">
      <formula>0</formula>
    </cfRule>
  </conditionalFormatting>
  <conditionalFormatting sqref="E31:J31">
    <cfRule type="cellIs" dxfId="28" priority="287" operator="equal">
      <formula>0</formula>
    </cfRule>
  </conditionalFormatting>
  <conditionalFormatting sqref="E33:J33">
    <cfRule type="cellIs" dxfId="27" priority="285" operator="equal">
      <formula>0</formula>
    </cfRule>
  </conditionalFormatting>
  <conditionalFormatting sqref="E35:J35">
    <cfRule type="cellIs" dxfId="26" priority="283" operator="equal">
      <formula>0</formula>
    </cfRule>
  </conditionalFormatting>
  <conditionalFormatting sqref="E37:J37">
    <cfRule type="cellIs" dxfId="25" priority="281" operator="equal">
      <formula>0</formula>
    </cfRule>
  </conditionalFormatting>
  <conditionalFormatting sqref="E39:J39">
    <cfRule type="cellIs" dxfId="24" priority="279" operator="equal">
      <formula>0</formula>
    </cfRule>
  </conditionalFormatting>
  <conditionalFormatting sqref="E41:J41">
    <cfRule type="cellIs" dxfId="23" priority="277" operator="equal">
      <formula>0</formula>
    </cfRule>
  </conditionalFormatting>
  <conditionalFormatting sqref="E45:J45">
    <cfRule type="cellIs" dxfId="22" priority="275" operator="equal">
      <formula>0</formula>
    </cfRule>
  </conditionalFormatting>
  <conditionalFormatting sqref="J13">
    <cfRule type="cellIs" dxfId="21" priority="122" operator="equal">
      <formula>0</formula>
    </cfRule>
  </conditionalFormatting>
  <conditionalFormatting sqref="F13:H13">
    <cfRule type="cellIs" dxfId="20" priority="268" operator="equal">
      <formula>0</formula>
    </cfRule>
  </conditionalFormatting>
  <conditionalFormatting sqref="I13">
    <cfRule type="cellIs" dxfId="19" priority="124" operator="equal">
      <formula>0</formula>
    </cfRule>
  </conditionalFormatting>
  <conditionalFormatting sqref="E20:J20">
    <cfRule type="cellIs" dxfId="18" priority="77" operator="equal">
      <formula>0</formula>
    </cfRule>
  </conditionalFormatting>
  <conditionalFormatting sqref="E16:J16">
    <cfRule type="cellIs" dxfId="17" priority="87" operator="equal">
      <formula>0</formula>
    </cfRule>
  </conditionalFormatting>
  <conditionalFormatting sqref="E14:J14">
    <cfRule type="cellIs" dxfId="16" priority="92" operator="equal">
      <formula>0</formula>
    </cfRule>
  </conditionalFormatting>
  <conditionalFormatting sqref="E38:J38">
    <cfRule type="cellIs" dxfId="15" priority="32" operator="equal">
      <formula>0</formula>
    </cfRule>
  </conditionalFormatting>
  <conditionalFormatting sqref="E10:J10">
    <cfRule type="cellIs" dxfId="14" priority="102" operator="equal">
      <formula>0</formula>
    </cfRule>
  </conditionalFormatting>
  <conditionalFormatting sqref="E18:J18">
    <cfRule type="cellIs" dxfId="13" priority="82" operator="equal">
      <formula>0</formula>
    </cfRule>
  </conditionalFormatting>
  <conditionalFormatting sqref="E22:J22">
    <cfRule type="cellIs" dxfId="12" priority="72" operator="equal">
      <formula>0</formula>
    </cfRule>
  </conditionalFormatting>
  <conditionalFormatting sqref="E24:J24">
    <cfRule type="cellIs" dxfId="11" priority="67" operator="equal">
      <formula>0</formula>
    </cfRule>
  </conditionalFormatting>
  <conditionalFormatting sqref="E26:J26">
    <cfRule type="cellIs" dxfId="10" priority="62" operator="equal">
      <formula>0</formula>
    </cfRule>
  </conditionalFormatting>
  <conditionalFormatting sqref="E28:J28">
    <cfRule type="cellIs" dxfId="9" priority="57" operator="equal">
      <formula>0</formula>
    </cfRule>
  </conditionalFormatting>
  <conditionalFormatting sqref="E30:J30">
    <cfRule type="cellIs" dxfId="8" priority="52" operator="equal">
      <formula>0</formula>
    </cfRule>
  </conditionalFormatting>
  <conditionalFormatting sqref="E32:J32">
    <cfRule type="cellIs" dxfId="7" priority="47" operator="equal">
      <formula>0</formula>
    </cfRule>
  </conditionalFormatting>
  <conditionalFormatting sqref="E34:J34">
    <cfRule type="cellIs" dxfId="6" priority="42" operator="equal">
      <formula>0</formula>
    </cfRule>
  </conditionalFormatting>
  <conditionalFormatting sqref="E36:J36">
    <cfRule type="cellIs" dxfId="5" priority="37" operator="equal">
      <formula>0</formula>
    </cfRule>
  </conditionalFormatting>
  <conditionalFormatting sqref="E40:J40">
    <cfRule type="cellIs" dxfId="4" priority="27" operator="equal">
      <formula>0</formula>
    </cfRule>
  </conditionalFormatting>
  <conditionalFormatting sqref="E42:J42">
    <cfRule type="cellIs" dxfId="3" priority="22" operator="equal">
      <formula>0</formula>
    </cfRule>
  </conditionalFormatting>
  <conditionalFormatting sqref="E46:J46">
    <cfRule type="cellIs" dxfId="2" priority="17" operator="equal">
      <formula>0</formula>
    </cfRule>
  </conditionalFormatting>
  <conditionalFormatting sqref="E43:J43">
    <cfRule type="cellIs" dxfId="1" priority="2" operator="equal">
      <formula>0</formula>
    </cfRule>
  </conditionalFormatting>
  <conditionalFormatting sqref="E44:J44">
    <cfRule type="cellIs" dxfId="0" priority="1" operator="equal">
      <formula>0</formula>
    </cfRule>
  </conditionalFormatting>
  <printOptions horizontalCentered="1" gridLines="1"/>
  <pageMargins left="0.39370078740157483" right="0.39370078740157483" top="0.39370078740157483" bottom="0.39370078740157483" header="0" footer="0"/>
  <pageSetup paperSize="9" scale="40" orientation="portrait" r:id="rId1"/>
  <headerFooter alignWithMargins="0"/>
  <colBreaks count="1" manualBreakCount="1">
    <brk id="10" max="5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R68"/>
  <sheetViews>
    <sheetView view="pageBreakPreview" topLeftCell="A13" zoomScale="80" zoomScaleNormal="80" zoomScaleSheetLayoutView="80" workbookViewId="0">
      <selection activeCell="J6" sqref="J6"/>
    </sheetView>
  </sheetViews>
  <sheetFormatPr defaultRowHeight="12.75" x14ac:dyDescent="0.2"/>
  <cols>
    <col min="1" max="1" width="9.140625" style="26"/>
    <col min="2" max="2" width="18.7109375" style="26" customWidth="1"/>
    <col min="3" max="3" width="9.140625" style="26"/>
    <col min="4" max="4" width="18.5703125" style="26" customWidth="1"/>
    <col min="5" max="5" width="16.42578125" style="26" customWidth="1"/>
    <col min="6" max="6" width="19.42578125" style="26" customWidth="1"/>
    <col min="7" max="7" width="12.42578125" style="26" customWidth="1"/>
    <col min="8" max="11" width="9.140625" style="26"/>
    <col min="12" max="12" width="14.5703125" style="26" customWidth="1"/>
    <col min="13" max="14" width="9.140625" style="26"/>
    <col min="15" max="15" width="13.85546875" style="26" bestFit="1" customWidth="1"/>
    <col min="16" max="256" width="9.140625" style="26"/>
    <col min="257" max="257" width="18.7109375" style="26" customWidth="1"/>
    <col min="258" max="258" width="9.140625" style="26"/>
    <col min="259" max="259" width="18.5703125" style="26" customWidth="1"/>
    <col min="260" max="260" width="13.42578125" style="26" customWidth="1"/>
    <col min="261" max="261" width="19" style="26" customWidth="1"/>
    <col min="262" max="262" width="12.42578125" style="26" customWidth="1"/>
    <col min="263" max="512" width="9.140625" style="26"/>
    <col min="513" max="513" width="18.7109375" style="26" customWidth="1"/>
    <col min="514" max="514" width="9.140625" style="26"/>
    <col min="515" max="515" width="18.5703125" style="26" customWidth="1"/>
    <col min="516" max="516" width="13.42578125" style="26" customWidth="1"/>
    <col min="517" max="517" width="19" style="26" customWidth="1"/>
    <col min="518" max="518" width="12.42578125" style="26" customWidth="1"/>
    <col min="519" max="768" width="9.140625" style="26"/>
    <col min="769" max="769" width="18.7109375" style="26" customWidth="1"/>
    <col min="770" max="770" width="9.140625" style="26"/>
    <col min="771" max="771" width="18.5703125" style="26" customWidth="1"/>
    <col min="772" max="772" width="13.42578125" style="26" customWidth="1"/>
    <col min="773" max="773" width="19" style="26" customWidth="1"/>
    <col min="774" max="774" width="12.42578125" style="26" customWidth="1"/>
    <col min="775" max="1024" width="9.140625" style="26"/>
    <col min="1025" max="1025" width="18.7109375" style="26" customWidth="1"/>
    <col min="1026" max="1026" width="9.140625" style="26"/>
    <col min="1027" max="1027" width="18.5703125" style="26" customWidth="1"/>
    <col min="1028" max="1028" width="13.42578125" style="26" customWidth="1"/>
    <col min="1029" max="1029" width="19" style="26" customWidth="1"/>
    <col min="1030" max="1030" width="12.42578125" style="26" customWidth="1"/>
    <col min="1031" max="1280" width="9.140625" style="26"/>
    <col min="1281" max="1281" width="18.7109375" style="26" customWidth="1"/>
    <col min="1282" max="1282" width="9.140625" style="26"/>
    <col min="1283" max="1283" width="18.5703125" style="26" customWidth="1"/>
    <col min="1284" max="1284" width="13.42578125" style="26" customWidth="1"/>
    <col min="1285" max="1285" width="19" style="26" customWidth="1"/>
    <col min="1286" max="1286" width="12.42578125" style="26" customWidth="1"/>
    <col min="1287" max="1536" width="9.140625" style="26"/>
    <col min="1537" max="1537" width="18.7109375" style="26" customWidth="1"/>
    <col min="1538" max="1538" width="9.140625" style="26"/>
    <col min="1539" max="1539" width="18.5703125" style="26" customWidth="1"/>
    <col min="1540" max="1540" width="13.42578125" style="26" customWidth="1"/>
    <col min="1541" max="1541" width="19" style="26" customWidth="1"/>
    <col min="1542" max="1542" width="12.42578125" style="26" customWidth="1"/>
    <col min="1543" max="1792" width="9.140625" style="26"/>
    <col min="1793" max="1793" width="18.7109375" style="26" customWidth="1"/>
    <col min="1794" max="1794" width="9.140625" style="26"/>
    <col min="1795" max="1795" width="18.5703125" style="26" customWidth="1"/>
    <col min="1796" max="1796" width="13.42578125" style="26" customWidth="1"/>
    <col min="1797" max="1797" width="19" style="26" customWidth="1"/>
    <col min="1798" max="1798" width="12.42578125" style="26" customWidth="1"/>
    <col min="1799" max="2048" width="9.140625" style="26"/>
    <col min="2049" max="2049" width="18.7109375" style="26" customWidth="1"/>
    <col min="2050" max="2050" width="9.140625" style="26"/>
    <col min="2051" max="2051" width="18.5703125" style="26" customWidth="1"/>
    <col min="2052" max="2052" width="13.42578125" style="26" customWidth="1"/>
    <col min="2053" max="2053" width="19" style="26" customWidth="1"/>
    <col min="2054" max="2054" width="12.42578125" style="26" customWidth="1"/>
    <col min="2055" max="2304" width="9.140625" style="26"/>
    <col min="2305" max="2305" width="18.7109375" style="26" customWidth="1"/>
    <col min="2306" max="2306" width="9.140625" style="26"/>
    <col min="2307" max="2307" width="18.5703125" style="26" customWidth="1"/>
    <col min="2308" max="2308" width="13.42578125" style="26" customWidth="1"/>
    <col min="2309" max="2309" width="19" style="26" customWidth="1"/>
    <col min="2310" max="2310" width="12.42578125" style="26" customWidth="1"/>
    <col min="2311" max="2560" width="9.140625" style="26"/>
    <col min="2561" max="2561" width="18.7109375" style="26" customWidth="1"/>
    <col min="2562" max="2562" width="9.140625" style="26"/>
    <col min="2563" max="2563" width="18.5703125" style="26" customWidth="1"/>
    <col min="2564" max="2564" width="13.42578125" style="26" customWidth="1"/>
    <col min="2565" max="2565" width="19" style="26" customWidth="1"/>
    <col min="2566" max="2566" width="12.42578125" style="26" customWidth="1"/>
    <col min="2567" max="2816" width="9.140625" style="26"/>
    <col min="2817" max="2817" width="18.7109375" style="26" customWidth="1"/>
    <col min="2818" max="2818" width="9.140625" style="26"/>
    <col min="2819" max="2819" width="18.5703125" style="26" customWidth="1"/>
    <col min="2820" max="2820" width="13.42578125" style="26" customWidth="1"/>
    <col min="2821" max="2821" width="19" style="26" customWidth="1"/>
    <col min="2822" max="2822" width="12.42578125" style="26" customWidth="1"/>
    <col min="2823" max="3072" width="9.140625" style="26"/>
    <col min="3073" max="3073" width="18.7109375" style="26" customWidth="1"/>
    <col min="3074" max="3074" width="9.140625" style="26"/>
    <col min="3075" max="3075" width="18.5703125" style="26" customWidth="1"/>
    <col min="3076" max="3076" width="13.42578125" style="26" customWidth="1"/>
    <col min="3077" max="3077" width="19" style="26" customWidth="1"/>
    <col min="3078" max="3078" width="12.42578125" style="26" customWidth="1"/>
    <col min="3079" max="3328" width="9.140625" style="26"/>
    <col min="3329" max="3329" width="18.7109375" style="26" customWidth="1"/>
    <col min="3330" max="3330" width="9.140625" style="26"/>
    <col min="3331" max="3331" width="18.5703125" style="26" customWidth="1"/>
    <col min="3332" max="3332" width="13.42578125" style="26" customWidth="1"/>
    <col min="3333" max="3333" width="19" style="26" customWidth="1"/>
    <col min="3334" max="3334" width="12.42578125" style="26" customWidth="1"/>
    <col min="3335" max="3584" width="9.140625" style="26"/>
    <col min="3585" max="3585" width="18.7109375" style="26" customWidth="1"/>
    <col min="3586" max="3586" width="9.140625" style="26"/>
    <col min="3587" max="3587" width="18.5703125" style="26" customWidth="1"/>
    <col min="3588" max="3588" width="13.42578125" style="26" customWidth="1"/>
    <col min="3589" max="3589" width="19" style="26" customWidth="1"/>
    <col min="3590" max="3590" width="12.42578125" style="26" customWidth="1"/>
    <col min="3591" max="3840" width="9.140625" style="26"/>
    <col min="3841" max="3841" width="18.7109375" style="26" customWidth="1"/>
    <col min="3842" max="3842" width="9.140625" style="26"/>
    <col min="3843" max="3843" width="18.5703125" style="26" customWidth="1"/>
    <col min="3844" max="3844" width="13.42578125" style="26" customWidth="1"/>
    <col min="3845" max="3845" width="19" style="26" customWidth="1"/>
    <col min="3846" max="3846" width="12.42578125" style="26" customWidth="1"/>
    <col min="3847" max="4096" width="9.140625" style="26"/>
    <col min="4097" max="4097" width="18.7109375" style="26" customWidth="1"/>
    <col min="4098" max="4098" width="9.140625" style="26"/>
    <col min="4099" max="4099" width="18.5703125" style="26" customWidth="1"/>
    <col min="4100" max="4100" width="13.42578125" style="26" customWidth="1"/>
    <col min="4101" max="4101" width="19" style="26" customWidth="1"/>
    <col min="4102" max="4102" width="12.42578125" style="26" customWidth="1"/>
    <col min="4103" max="4352" width="9.140625" style="26"/>
    <col min="4353" max="4353" width="18.7109375" style="26" customWidth="1"/>
    <col min="4354" max="4354" width="9.140625" style="26"/>
    <col min="4355" max="4355" width="18.5703125" style="26" customWidth="1"/>
    <col min="4356" max="4356" width="13.42578125" style="26" customWidth="1"/>
    <col min="4357" max="4357" width="19" style="26" customWidth="1"/>
    <col min="4358" max="4358" width="12.42578125" style="26" customWidth="1"/>
    <col min="4359" max="4608" width="9.140625" style="26"/>
    <col min="4609" max="4609" width="18.7109375" style="26" customWidth="1"/>
    <col min="4610" max="4610" width="9.140625" style="26"/>
    <col min="4611" max="4611" width="18.5703125" style="26" customWidth="1"/>
    <col min="4612" max="4612" width="13.42578125" style="26" customWidth="1"/>
    <col min="4613" max="4613" width="19" style="26" customWidth="1"/>
    <col min="4614" max="4614" width="12.42578125" style="26" customWidth="1"/>
    <col min="4615" max="4864" width="9.140625" style="26"/>
    <col min="4865" max="4865" width="18.7109375" style="26" customWidth="1"/>
    <col min="4866" max="4866" width="9.140625" style="26"/>
    <col min="4867" max="4867" width="18.5703125" style="26" customWidth="1"/>
    <col min="4868" max="4868" width="13.42578125" style="26" customWidth="1"/>
    <col min="4869" max="4869" width="19" style="26" customWidth="1"/>
    <col min="4870" max="4870" width="12.42578125" style="26" customWidth="1"/>
    <col min="4871" max="5120" width="9.140625" style="26"/>
    <col min="5121" max="5121" width="18.7109375" style="26" customWidth="1"/>
    <col min="5122" max="5122" width="9.140625" style="26"/>
    <col min="5123" max="5123" width="18.5703125" style="26" customWidth="1"/>
    <col min="5124" max="5124" width="13.42578125" style="26" customWidth="1"/>
    <col min="5125" max="5125" width="19" style="26" customWidth="1"/>
    <col min="5126" max="5126" width="12.42578125" style="26" customWidth="1"/>
    <col min="5127" max="5376" width="9.140625" style="26"/>
    <col min="5377" max="5377" width="18.7109375" style="26" customWidth="1"/>
    <col min="5378" max="5378" width="9.140625" style="26"/>
    <col min="5379" max="5379" width="18.5703125" style="26" customWidth="1"/>
    <col min="5380" max="5380" width="13.42578125" style="26" customWidth="1"/>
    <col min="5381" max="5381" width="19" style="26" customWidth="1"/>
    <col min="5382" max="5382" width="12.42578125" style="26" customWidth="1"/>
    <col min="5383" max="5632" width="9.140625" style="26"/>
    <col min="5633" max="5633" width="18.7109375" style="26" customWidth="1"/>
    <col min="5634" max="5634" width="9.140625" style="26"/>
    <col min="5635" max="5635" width="18.5703125" style="26" customWidth="1"/>
    <col min="5636" max="5636" width="13.42578125" style="26" customWidth="1"/>
    <col min="5637" max="5637" width="19" style="26" customWidth="1"/>
    <col min="5638" max="5638" width="12.42578125" style="26" customWidth="1"/>
    <col min="5639" max="5888" width="9.140625" style="26"/>
    <col min="5889" max="5889" width="18.7109375" style="26" customWidth="1"/>
    <col min="5890" max="5890" width="9.140625" style="26"/>
    <col min="5891" max="5891" width="18.5703125" style="26" customWidth="1"/>
    <col min="5892" max="5892" width="13.42578125" style="26" customWidth="1"/>
    <col min="5893" max="5893" width="19" style="26" customWidth="1"/>
    <col min="5894" max="5894" width="12.42578125" style="26" customWidth="1"/>
    <col min="5895" max="6144" width="9.140625" style="26"/>
    <col min="6145" max="6145" width="18.7109375" style="26" customWidth="1"/>
    <col min="6146" max="6146" width="9.140625" style="26"/>
    <col min="6147" max="6147" width="18.5703125" style="26" customWidth="1"/>
    <col min="6148" max="6148" width="13.42578125" style="26" customWidth="1"/>
    <col min="6149" max="6149" width="19" style="26" customWidth="1"/>
    <col min="6150" max="6150" width="12.42578125" style="26" customWidth="1"/>
    <col min="6151" max="6400" width="9.140625" style="26"/>
    <col min="6401" max="6401" width="18.7109375" style="26" customWidth="1"/>
    <col min="6402" max="6402" width="9.140625" style="26"/>
    <col min="6403" max="6403" width="18.5703125" style="26" customWidth="1"/>
    <col min="6404" max="6404" width="13.42578125" style="26" customWidth="1"/>
    <col min="6405" max="6405" width="19" style="26" customWidth="1"/>
    <col min="6406" max="6406" width="12.42578125" style="26" customWidth="1"/>
    <col min="6407" max="6656" width="9.140625" style="26"/>
    <col min="6657" max="6657" width="18.7109375" style="26" customWidth="1"/>
    <col min="6658" max="6658" width="9.140625" style="26"/>
    <col min="6659" max="6659" width="18.5703125" style="26" customWidth="1"/>
    <col min="6660" max="6660" width="13.42578125" style="26" customWidth="1"/>
    <col min="6661" max="6661" width="19" style="26" customWidth="1"/>
    <col min="6662" max="6662" width="12.42578125" style="26" customWidth="1"/>
    <col min="6663" max="6912" width="9.140625" style="26"/>
    <col min="6913" max="6913" width="18.7109375" style="26" customWidth="1"/>
    <col min="6914" max="6914" width="9.140625" style="26"/>
    <col min="6915" max="6915" width="18.5703125" style="26" customWidth="1"/>
    <col min="6916" max="6916" width="13.42578125" style="26" customWidth="1"/>
    <col min="6917" max="6917" width="19" style="26" customWidth="1"/>
    <col min="6918" max="6918" width="12.42578125" style="26" customWidth="1"/>
    <col min="6919" max="7168" width="9.140625" style="26"/>
    <col min="7169" max="7169" width="18.7109375" style="26" customWidth="1"/>
    <col min="7170" max="7170" width="9.140625" style="26"/>
    <col min="7171" max="7171" width="18.5703125" style="26" customWidth="1"/>
    <col min="7172" max="7172" width="13.42578125" style="26" customWidth="1"/>
    <col min="7173" max="7173" width="19" style="26" customWidth="1"/>
    <col min="7174" max="7174" width="12.42578125" style="26" customWidth="1"/>
    <col min="7175" max="7424" width="9.140625" style="26"/>
    <col min="7425" max="7425" width="18.7109375" style="26" customWidth="1"/>
    <col min="7426" max="7426" width="9.140625" style="26"/>
    <col min="7427" max="7427" width="18.5703125" style="26" customWidth="1"/>
    <col min="7428" max="7428" width="13.42578125" style="26" customWidth="1"/>
    <col min="7429" max="7429" width="19" style="26" customWidth="1"/>
    <col min="7430" max="7430" width="12.42578125" style="26" customWidth="1"/>
    <col min="7431" max="7680" width="9.140625" style="26"/>
    <col min="7681" max="7681" width="18.7109375" style="26" customWidth="1"/>
    <col min="7682" max="7682" width="9.140625" style="26"/>
    <col min="7683" max="7683" width="18.5703125" style="26" customWidth="1"/>
    <col min="7684" max="7684" width="13.42578125" style="26" customWidth="1"/>
    <col min="7685" max="7685" width="19" style="26" customWidth="1"/>
    <col min="7686" max="7686" width="12.42578125" style="26" customWidth="1"/>
    <col min="7687" max="7936" width="9.140625" style="26"/>
    <col min="7937" max="7937" width="18.7109375" style="26" customWidth="1"/>
    <col min="7938" max="7938" width="9.140625" style="26"/>
    <col min="7939" max="7939" width="18.5703125" style="26" customWidth="1"/>
    <col min="7940" max="7940" width="13.42578125" style="26" customWidth="1"/>
    <col min="7941" max="7941" width="19" style="26" customWidth="1"/>
    <col min="7942" max="7942" width="12.42578125" style="26" customWidth="1"/>
    <col min="7943" max="8192" width="9.140625" style="26"/>
    <col min="8193" max="8193" width="18.7109375" style="26" customWidth="1"/>
    <col min="8194" max="8194" width="9.140625" style="26"/>
    <col min="8195" max="8195" width="18.5703125" style="26" customWidth="1"/>
    <col min="8196" max="8196" width="13.42578125" style="26" customWidth="1"/>
    <col min="8197" max="8197" width="19" style="26" customWidth="1"/>
    <col min="8198" max="8198" width="12.42578125" style="26" customWidth="1"/>
    <col min="8199" max="8448" width="9.140625" style="26"/>
    <col min="8449" max="8449" width="18.7109375" style="26" customWidth="1"/>
    <col min="8450" max="8450" width="9.140625" style="26"/>
    <col min="8451" max="8451" width="18.5703125" style="26" customWidth="1"/>
    <col min="8452" max="8452" width="13.42578125" style="26" customWidth="1"/>
    <col min="8453" max="8453" width="19" style="26" customWidth="1"/>
    <col min="8454" max="8454" width="12.42578125" style="26" customWidth="1"/>
    <col min="8455" max="8704" width="9.140625" style="26"/>
    <col min="8705" max="8705" width="18.7109375" style="26" customWidth="1"/>
    <col min="8706" max="8706" width="9.140625" style="26"/>
    <col min="8707" max="8707" width="18.5703125" style="26" customWidth="1"/>
    <col min="8708" max="8708" width="13.42578125" style="26" customWidth="1"/>
    <col min="8709" max="8709" width="19" style="26" customWidth="1"/>
    <col min="8710" max="8710" width="12.42578125" style="26" customWidth="1"/>
    <col min="8711" max="8960" width="9.140625" style="26"/>
    <col min="8961" max="8961" width="18.7109375" style="26" customWidth="1"/>
    <col min="8962" max="8962" width="9.140625" style="26"/>
    <col min="8963" max="8963" width="18.5703125" style="26" customWidth="1"/>
    <col min="8964" max="8964" width="13.42578125" style="26" customWidth="1"/>
    <col min="8965" max="8965" width="19" style="26" customWidth="1"/>
    <col min="8966" max="8966" width="12.42578125" style="26" customWidth="1"/>
    <col min="8967" max="9216" width="9.140625" style="26"/>
    <col min="9217" max="9217" width="18.7109375" style="26" customWidth="1"/>
    <col min="9218" max="9218" width="9.140625" style="26"/>
    <col min="9219" max="9219" width="18.5703125" style="26" customWidth="1"/>
    <col min="9220" max="9220" width="13.42578125" style="26" customWidth="1"/>
    <col min="9221" max="9221" width="19" style="26" customWidth="1"/>
    <col min="9222" max="9222" width="12.42578125" style="26" customWidth="1"/>
    <col min="9223" max="9472" width="9.140625" style="26"/>
    <col min="9473" max="9473" width="18.7109375" style="26" customWidth="1"/>
    <col min="9474" max="9474" width="9.140625" style="26"/>
    <col min="9475" max="9475" width="18.5703125" style="26" customWidth="1"/>
    <col min="9476" max="9476" width="13.42578125" style="26" customWidth="1"/>
    <col min="9477" max="9477" width="19" style="26" customWidth="1"/>
    <col min="9478" max="9478" width="12.42578125" style="26" customWidth="1"/>
    <col min="9479" max="9728" width="9.140625" style="26"/>
    <col min="9729" max="9729" width="18.7109375" style="26" customWidth="1"/>
    <col min="9730" max="9730" width="9.140625" style="26"/>
    <col min="9731" max="9731" width="18.5703125" style="26" customWidth="1"/>
    <col min="9732" max="9732" width="13.42578125" style="26" customWidth="1"/>
    <col min="9733" max="9733" width="19" style="26" customWidth="1"/>
    <col min="9734" max="9734" width="12.42578125" style="26" customWidth="1"/>
    <col min="9735" max="9984" width="9.140625" style="26"/>
    <col min="9985" max="9985" width="18.7109375" style="26" customWidth="1"/>
    <col min="9986" max="9986" width="9.140625" style="26"/>
    <col min="9987" max="9987" width="18.5703125" style="26" customWidth="1"/>
    <col min="9988" max="9988" width="13.42578125" style="26" customWidth="1"/>
    <col min="9989" max="9989" width="19" style="26" customWidth="1"/>
    <col min="9990" max="9990" width="12.42578125" style="26" customWidth="1"/>
    <col min="9991" max="10240" width="9.140625" style="26"/>
    <col min="10241" max="10241" width="18.7109375" style="26" customWidth="1"/>
    <col min="10242" max="10242" width="9.140625" style="26"/>
    <col min="10243" max="10243" width="18.5703125" style="26" customWidth="1"/>
    <col min="10244" max="10244" width="13.42578125" style="26" customWidth="1"/>
    <col min="10245" max="10245" width="19" style="26" customWidth="1"/>
    <col min="10246" max="10246" width="12.42578125" style="26" customWidth="1"/>
    <col min="10247" max="10496" width="9.140625" style="26"/>
    <col min="10497" max="10497" width="18.7109375" style="26" customWidth="1"/>
    <col min="10498" max="10498" width="9.140625" style="26"/>
    <col min="10499" max="10499" width="18.5703125" style="26" customWidth="1"/>
    <col min="10500" max="10500" width="13.42578125" style="26" customWidth="1"/>
    <col min="10501" max="10501" width="19" style="26" customWidth="1"/>
    <col min="10502" max="10502" width="12.42578125" style="26" customWidth="1"/>
    <col min="10503" max="10752" width="9.140625" style="26"/>
    <col min="10753" max="10753" width="18.7109375" style="26" customWidth="1"/>
    <col min="10754" max="10754" width="9.140625" style="26"/>
    <col min="10755" max="10755" width="18.5703125" style="26" customWidth="1"/>
    <col min="10756" max="10756" width="13.42578125" style="26" customWidth="1"/>
    <col min="10757" max="10757" width="19" style="26" customWidth="1"/>
    <col min="10758" max="10758" width="12.42578125" style="26" customWidth="1"/>
    <col min="10759" max="11008" width="9.140625" style="26"/>
    <col min="11009" max="11009" width="18.7109375" style="26" customWidth="1"/>
    <col min="11010" max="11010" width="9.140625" style="26"/>
    <col min="11011" max="11011" width="18.5703125" style="26" customWidth="1"/>
    <col min="11012" max="11012" width="13.42578125" style="26" customWidth="1"/>
    <col min="11013" max="11013" width="19" style="26" customWidth="1"/>
    <col min="11014" max="11014" width="12.42578125" style="26" customWidth="1"/>
    <col min="11015" max="11264" width="9.140625" style="26"/>
    <col min="11265" max="11265" width="18.7109375" style="26" customWidth="1"/>
    <col min="11266" max="11266" width="9.140625" style="26"/>
    <col min="11267" max="11267" width="18.5703125" style="26" customWidth="1"/>
    <col min="11268" max="11268" width="13.42578125" style="26" customWidth="1"/>
    <col min="11269" max="11269" width="19" style="26" customWidth="1"/>
    <col min="11270" max="11270" width="12.42578125" style="26" customWidth="1"/>
    <col min="11271" max="11520" width="9.140625" style="26"/>
    <col min="11521" max="11521" width="18.7109375" style="26" customWidth="1"/>
    <col min="11522" max="11522" width="9.140625" style="26"/>
    <col min="11523" max="11523" width="18.5703125" style="26" customWidth="1"/>
    <col min="11524" max="11524" width="13.42578125" style="26" customWidth="1"/>
    <col min="11525" max="11525" width="19" style="26" customWidth="1"/>
    <col min="11526" max="11526" width="12.42578125" style="26" customWidth="1"/>
    <col min="11527" max="11776" width="9.140625" style="26"/>
    <col min="11777" max="11777" width="18.7109375" style="26" customWidth="1"/>
    <col min="11778" max="11778" width="9.140625" style="26"/>
    <col min="11779" max="11779" width="18.5703125" style="26" customWidth="1"/>
    <col min="11780" max="11780" width="13.42578125" style="26" customWidth="1"/>
    <col min="11781" max="11781" width="19" style="26" customWidth="1"/>
    <col min="11782" max="11782" width="12.42578125" style="26" customWidth="1"/>
    <col min="11783" max="12032" width="9.140625" style="26"/>
    <col min="12033" max="12033" width="18.7109375" style="26" customWidth="1"/>
    <col min="12034" max="12034" width="9.140625" style="26"/>
    <col min="12035" max="12035" width="18.5703125" style="26" customWidth="1"/>
    <col min="12036" max="12036" width="13.42578125" style="26" customWidth="1"/>
    <col min="12037" max="12037" width="19" style="26" customWidth="1"/>
    <col min="12038" max="12038" width="12.42578125" style="26" customWidth="1"/>
    <col min="12039" max="12288" width="9.140625" style="26"/>
    <col min="12289" max="12289" width="18.7109375" style="26" customWidth="1"/>
    <col min="12290" max="12290" width="9.140625" style="26"/>
    <col min="12291" max="12291" width="18.5703125" style="26" customWidth="1"/>
    <col min="12292" max="12292" width="13.42578125" style="26" customWidth="1"/>
    <col min="12293" max="12293" width="19" style="26" customWidth="1"/>
    <col min="12294" max="12294" width="12.42578125" style="26" customWidth="1"/>
    <col min="12295" max="12544" width="9.140625" style="26"/>
    <col min="12545" max="12545" width="18.7109375" style="26" customWidth="1"/>
    <col min="12546" max="12546" width="9.140625" style="26"/>
    <col min="12547" max="12547" width="18.5703125" style="26" customWidth="1"/>
    <col min="12548" max="12548" width="13.42578125" style="26" customWidth="1"/>
    <col min="12549" max="12549" width="19" style="26" customWidth="1"/>
    <col min="12550" max="12550" width="12.42578125" style="26" customWidth="1"/>
    <col min="12551" max="12800" width="9.140625" style="26"/>
    <col min="12801" max="12801" width="18.7109375" style="26" customWidth="1"/>
    <col min="12802" max="12802" width="9.140625" style="26"/>
    <col min="12803" max="12803" width="18.5703125" style="26" customWidth="1"/>
    <col min="12804" max="12804" width="13.42578125" style="26" customWidth="1"/>
    <col min="12805" max="12805" width="19" style="26" customWidth="1"/>
    <col min="12806" max="12806" width="12.42578125" style="26" customWidth="1"/>
    <col min="12807" max="13056" width="9.140625" style="26"/>
    <col min="13057" max="13057" width="18.7109375" style="26" customWidth="1"/>
    <col min="13058" max="13058" width="9.140625" style="26"/>
    <col min="13059" max="13059" width="18.5703125" style="26" customWidth="1"/>
    <col min="13060" max="13060" width="13.42578125" style="26" customWidth="1"/>
    <col min="13061" max="13061" width="19" style="26" customWidth="1"/>
    <col min="13062" max="13062" width="12.42578125" style="26" customWidth="1"/>
    <col min="13063" max="13312" width="9.140625" style="26"/>
    <col min="13313" max="13313" width="18.7109375" style="26" customWidth="1"/>
    <col min="13314" max="13314" width="9.140625" style="26"/>
    <col min="13315" max="13315" width="18.5703125" style="26" customWidth="1"/>
    <col min="13316" max="13316" width="13.42578125" style="26" customWidth="1"/>
    <col min="13317" max="13317" width="19" style="26" customWidth="1"/>
    <col min="13318" max="13318" width="12.42578125" style="26" customWidth="1"/>
    <col min="13319" max="13568" width="9.140625" style="26"/>
    <col min="13569" max="13569" width="18.7109375" style="26" customWidth="1"/>
    <col min="13570" max="13570" width="9.140625" style="26"/>
    <col min="13571" max="13571" width="18.5703125" style="26" customWidth="1"/>
    <col min="13572" max="13572" width="13.42578125" style="26" customWidth="1"/>
    <col min="13573" max="13573" width="19" style="26" customWidth="1"/>
    <col min="13574" max="13574" width="12.42578125" style="26" customWidth="1"/>
    <col min="13575" max="13824" width="9.140625" style="26"/>
    <col min="13825" max="13825" width="18.7109375" style="26" customWidth="1"/>
    <col min="13826" max="13826" width="9.140625" style="26"/>
    <col min="13827" max="13827" width="18.5703125" style="26" customWidth="1"/>
    <col min="13828" max="13828" width="13.42578125" style="26" customWidth="1"/>
    <col min="13829" max="13829" width="19" style="26" customWidth="1"/>
    <col min="13830" max="13830" width="12.42578125" style="26" customWidth="1"/>
    <col min="13831" max="14080" width="9.140625" style="26"/>
    <col min="14081" max="14081" width="18.7109375" style="26" customWidth="1"/>
    <col min="14082" max="14082" width="9.140625" style="26"/>
    <col min="14083" max="14083" width="18.5703125" style="26" customWidth="1"/>
    <col min="14084" max="14084" width="13.42578125" style="26" customWidth="1"/>
    <col min="14085" max="14085" width="19" style="26" customWidth="1"/>
    <col min="14086" max="14086" width="12.42578125" style="26" customWidth="1"/>
    <col min="14087" max="14336" width="9.140625" style="26"/>
    <col min="14337" max="14337" width="18.7109375" style="26" customWidth="1"/>
    <col min="14338" max="14338" width="9.140625" style="26"/>
    <col min="14339" max="14339" width="18.5703125" style="26" customWidth="1"/>
    <col min="14340" max="14340" width="13.42578125" style="26" customWidth="1"/>
    <col min="14341" max="14341" width="19" style="26" customWidth="1"/>
    <col min="14342" max="14342" width="12.42578125" style="26" customWidth="1"/>
    <col min="14343" max="14592" width="9.140625" style="26"/>
    <col min="14593" max="14593" width="18.7109375" style="26" customWidth="1"/>
    <col min="14594" max="14594" width="9.140625" style="26"/>
    <col min="14595" max="14595" width="18.5703125" style="26" customWidth="1"/>
    <col min="14596" max="14596" width="13.42578125" style="26" customWidth="1"/>
    <col min="14597" max="14597" width="19" style="26" customWidth="1"/>
    <col min="14598" max="14598" width="12.42578125" style="26" customWidth="1"/>
    <col min="14599" max="14848" width="9.140625" style="26"/>
    <col min="14849" max="14849" width="18.7109375" style="26" customWidth="1"/>
    <col min="14850" max="14850" width="9.140625" style="26"/>
    <col min="14851" max="14851" width="18.5703125" style="26" customWidth="1"/>
    <col min="14852" max="14852" width="13.42578125" style="26" customWidth="1"/>
    <col min="14853" max="14853" width="19" style="26" customWidth="1"/>
    <col min="14854" max="14854" width="12.42578125" style="26" customWidth="1"/>
    <col min="14855" max="15104" width="9.140625" style="26"/>
    <col min="15105" max="15105" width="18.7109375" style="26" customWidth="1"/>
    <col min="15106" max="15106" width="9.140625" style="26"/>
    <col min="15107" max="15107" width="18.5703125" style="26" customWidth="1"/>
    <col min="15108" max="15108" width="13.42578125" style="26" customWidth="1"/>
    <col min="15109" max="15109" width="19" style="26" customWidth="1"/>
    <col min="15110" max="15110" width="12.42578125" style="26" customWidth="1"/>
    <col min="15111" max="15360" width="9.140625" style="26"/>
    <col min="15361" max="15361" width="18.7109375" style="26" customWidth="1"/>
    <col min="15362" max="15362" width="9.140625" style="26"/>
    <col min="15363" max="15363" width="18.5703125" style="26" customWidth="1"/>
    <col min="15364" max="15364" width="13.42578125" style="26" customWidth="1"/>
    <col min="15365" max="15365" width="19" style="26" customWidth="1"/>
    <col min="15366" max="15366" width="12.42578125" style="26" customWidth="1"/>
    <col min="15367" max="15616" width="9.140625" style="26"/>
    <col min="15617" max="15617" width="18.7109375" style="26" customWidth="1"/>
    <col min="15618" max="15618" width="9.140625" style="26"/>
    <col min="15619" max="15619" width="18.5703125" style="26" customWidth="1"/>
    <col min="15620" max="15620" width="13.42578125" style="26" customWidth="1"/>
    <col min="15621" max="15621" width="19" style="26" customWidth="1"/>
    <col min="15622" max="15622" width="12.42578125" style="26" customWidth="1"/>
    <col min="15623" max="15872" width="9.140625" style="26"/>
    <col min="15873" max="15873" width="18.7109375" style="26" customWidth="1"/>
    <col min="15874" max="15874" width="9.140625" style="26"/>
    <col min="15875" max="15875" width="18.5703125" style="26" customWidth="1"/>
    <col min="15876" max="15876" width="13.42578125" style="26" customWidth="1"/>
    <col min="15877" max="15877" width="19" style="26" customWidth="1"/>
    <col min="15878" max="15878" width="12.42578125" style="26" customWidth="1"/>
    <col min="15879" max="16128" width="9.140625" style="26"/>
    <col min="16129" max="16129" width="18.7109375" style="26" customWidth="1"/>
    <col min="16130" max="16130" width="9.140625" style="26"/>
    <col min="16131" max="16131" width="18.5703125" style="26" customWidth="1"/>
    <col min="16132" max="16132" width="13.42578125" style="26" customWidth="1"/>
    <col min="16133" max="16133" width="19" style="26" customWidth="1"/>
    <col min="16134" max="16134" width="12.42578125" style="26" customWidth="1"/>
    <col min="16135" max="16384" width="9.140625" style="26"/>
  </cols>
  <sheetData>
    <row r="2" spans="2:18" ht="21" customHeight="1" x14ac:dyDescent="0.2">
      <c r="B2" s="244"/>
      <c r="C2" s="535" t="s">
        <v>0</v>
      </c>
      <c r="D2" s="481"/>
      <c r="E2" s="481"/>
      <c r="F2" s="481"/>
      <c r="G2" s="481"/>
      <c r="H2" s="481"/>
      <c r="I2" s="481"/>
      <c r="J2" s="536"/>
    </row>
    <row r="3" spans="2:18" ht="30.75" customHeight="1" x14ac:dyDescent="0.2">
      <c r="B3" s="245"/>
      <c r="C3" s="466" t="s">
        <v>622</v>
      </c>
      <c r="D3" s="467"/>
      <c r="E3" s="467"/>
      <c r="F3" s="4"/>
      <c r="G3" s="3"/>
      <c r="H3" s="4"/>
      <c r="I3" s="4"/>
      <c r="J3" s="246"/>
    </row>
    <row r="4" spans="2:18" ht="21.75" customHeight="1" x14ac:dyDescent="0.2">
      <c r="B4" s="245"/>
      <c r="C4" s="466" t="s">
        <v>2</v>
      </c>
      <c r="D4" s="467"/>
      <c r="E4" s="467"/>
      <c r="F4" s="140" t="s">
        <v>3</v>
      </c>
      <c r="G4" s="144">
        <v>1.5727</v>
      </c>
      <c r="H4" s="456" t="s">
        <v>4</v>
      </c>
      <c r="I4" s="456"/>
      <c r="J4" s="537"/>
    </row>
    <row r="5" spans="2:18" ht="21.75" customHeight="1" x14ac:dyDescent="0.2">
      <c r="B5" s="247"/>
      <c r="C5" s="538" t="s">
        <v>5</v>
      </c>
      <c r="D5" s="482"/>
      <c r="E5" s="482"/>
      <c r="F5" s="248" t="s">
        <v>6</v>
      </c>
      <c r="G5" s="249">
        <v>0.3196</v>
      </c>
      <c r="H5" s="539" t="s">
        <v>7</v>
      </c>
      <c r="I5" s="539"/>
      <c r="J5" s="250" t="s">
        <v>888</v>
      </c>
    </row>
    <row r="6" spans="2:18" ht="11.25" customHeight="1" x14ac:dyDescent="0.2">
      <c r="B6" s="2"/>
      <c r="C6" s="122"/>
      <c r="D6" s="122"/>
      <c r="E6" s="122"/>
      <c r="F6" s="139"/>
      <c r="G6" s="19"/>
      <c r="H6" s="140"/>
      <c r="I6" s="140"/>
      <c r="J6" s="145"/>
    </row>
    <row r="7" spans="2:18" ht="25.5" customHeight="1" x14ac:dyDescent="0.2">
      <c r="B7" s="146"/>
      <c r="C7" s="142"/>
      <c r="D7" s="142"/>
      <c r="E7" s="29" t="s">
        <v>623</v>
      </c>
      <c r="F7" s="142"/>
      <c r="G7" s="142"/>
      <c r="H7" s="142"/>
      <c r="I7" s="142"/>
      <c r="J7" s="147"/>
    </row>
    <row r="8" spans="2:18" x14ac:dyDescent="0.2">
      <c r="B8" s="146"/>
      <c r="C8" s="43" t="s">
        <v>624</v>
      </c>
      <c r="D8" s="28"/>
      <c r="E8" s="29"/>
      <c r="F8" s="142"/>
      <c r="G8" s="142"/>
      <c r="H8" s="142"/>
      <c r="I8" s="142"/>
      <c r="J8" s="147"/>
    </row>
    <row r="9" spans="2:18" x14ac:dyDescent="0.2">
      <c r="B9" s="146"/>
      <c r="C9" s="28" t="s">
        <v>625</v>
      </c>
      <c r="D9" s="44"/>
      <c r="E9" s="45">
        <v>4.0599999999999997E-2</v>
      </c>
      <c r="F9" s="142"/>
      <c r="G9" s="142"/>
      <c r="H9" s="142"/>
      <c r="I9" s="142"/>
      <c r="J9" s="147"/>
      <c r="R9" s="30"/>
    </row>
    <row r="10" spans="2:18" x14ac:dyDescent="0.2">
      <c r="B10" s="146"/>
      <c r="C10" s="519" t="s">
        <v>626</v>
      </c>
      <c r="D10" s="520"/>
      <c r="E10" s="46">
        <f>E9</f>
        <v>4.0599999999999997E-2</v>
      </c>
      <c r="F10" s="148"/>
      <c r="G10" s="142"/>
      <c r="H10" s="142"/>
      <c r="I10" s="142"/>
      <c r="J10" s="147"/>
    </row>
    <row r="11" spans="2:18" x14ac:dyDescent="0.2">
      <c r="B11" s="146"/>
      <c r="C11" s="43" t="s">
        <v>627</v>
      </c>
      <c r="D11" s="28"/>
      <c r="E11" s="29"/>
      <c r="F11" s="148"/>
      <c r="G11" s="142"/>
      <c r="H11" s="142"/>
      <c r="I11" s="142"/>
      <c r="J11" s="147"/>
    </row>
    <row r="12" spans="2:18" x14ac:dyDescent="0.2">
      <c r="B12" s="146"/>
      <c r="C12" s="28" t="s">
        <v>628</v>
      </c>
      <c r="D12" s="44"/>
      <c r="E12" s="45">
        <v>5.8799999999999998E-2</v>
      </c>
      <c r="F12" s="148"/>
      <c r="G12" s="142"/>
      <c r="H12" s="142"/>
      <c r="I12" s="142"/>
      <c r="J12" s="147"/>
    </row>
    <row r="13" spans="2:18" x14ac:dyDescent="0.2">
      <c r="B13" s="146"/>
      <c r="C13" s="519" t="s">
        <v>629</v>
      </c>
      <c r="D13" s="520"/>
      <c r="E13" s="46">
        <f>E12</f>
        <v>5.8799999999999998E-2</v>
      </c>
      <c r="F13" s="148"/>
      <c r="G13" s="142"/>
      <c r="H13" s="142"/>
      <c r="I13" s="142"/>
      <c r="J13" s="147"/>
    </row>
    <row r="14" spans="2:18" x14ac:dyDescent="0.2">
      <c r="B14" s="146"/>
      <c r="C14" s="43" t="s">
        <v>630</v>
      </c>
      <c r="D14" s="121"/>
      <c r="E14" s="47"/>
      <c r="F14" s="148"/>
      <c r="G14" s="142"/>
      <c r="H14" s="142"/>
      <c r="I14" s="142"/>
      <c r="J14" s="147"/>
    </row>
    <row r="15" spans="2:18" x14ac:dyDescent="0.2">
      <c r="B15" s="146"/>
      <c r="C15" s="540" t="s">
        <v>631</v>
      </c>
      <c r="D15" s="541"/>
      <c r="E15" s="47"/>
      <c r="F15" s="148"/>
      <c r="G15" s="142"/>
      <c r="H15" s="142"/>
      <c r="I15" s="142"/>
      <c r="J15" s="147"/>
    </row>
    <row r="16" spans="2:18" x14ac:dyDescent="0.2">
      <c r="B16" s="146"/>
      <c r="C16" s="540" t="s">
        <v>632</v>
      </c>
      <c r="D16" s="541"/>
      <c r="E16" s="45">
        <v>0.05</v>
      </c>
      <c r="F16" s="148"/>
      <c r="G16" s="142"/>
      <c r="H16" s="142"/>
      <c r="I16" s="142"/>
      <c r="J16" s="147"/>
    </row>
    <row r="17" spans="2:10" x14ac:dyDescent="0.2">
      <c r="B17" s="146"/>
      <c r="C17" s="540" t="s">
        <v>633</v>
      </c>
      <c r="D17" s="541"/>
      <c r="E17" s="45">
        <v>6.4999999999999997E-3</v>
      </c>
      <c r="F17" s="148"/>
      <c r="G17" s="142"/>
      <c r="H17" s="142"/>
      <c r="I17" s="142"/>
      <c r="J17" s="147"/>
    </row>
    <row r="18" spans="2:10" x14ac:dyDescent="0.2">
      <c r="B18" s="146"/>
      <c r="C18" s="540" t="s">
        <v>634</v>
      </c>
      <c r="D18" s="541"/>
      <c r="E18" s="45">
        <v>0.03</v>
      </c>
      <c r="F18" s="148"/>
      <c r="G18" s="142"/>
      <c r="H18" s="142"/>
      <c r="I18" s="142"/>
      <c r="J18" s="147"/>
    </row>
    <row r="19" spans="2:10" x14ac:dyDescent="0.2">
      <c r="B19" s="146"/>
      <c r="C19" s="540" t="s">
        <v>635</v>
      </c>
      <c r="D19" s="541"/>
      <c r="E19" s="45">
        <v>0</v>
      </c>
      <c r="F19" s="148"/>
      <c r="G19" s="142"/>
      <c r="H19" s="142"/>
      <c r="I19" s="142"/>
      <c r="J19" s="147"/>
    </row>
    <row r="20" spans="2:10" x14ac:dyDescent="0.2">
      <c r="B20" s="146"/>
      <c r="C20" s="519" t="s">
        <v>636</v>
      </c>
      <c r="D20" s="520"/>
      <c r="E20" s="46">
        <f>SUM(E16:E19)</f>
        <v>8.6499999999999994E-2</v>
      </c>
      <c r="F20" s="148"/>
      <c r="G20" s="142"/>
      <c r="H20" s="142"/>
      <c r="I20" s="142"/>
      <c r="J20" s="147"/>
    </row>
    <row r="21" spans="2:10" x14ac:dyDescent="0.2">
      <c r="B21" s="146"/>
      <c r="C21" s="43" t="s">
        <v>637</v>
      </c>
      <c r="D21" s="28"/>
      <c r="E21" s="47"/>
      <c r="F21" s="148"/>
      <c r="G21" s="142"/>
      <c r="H21" s="142"/>
      <c r="I21" s="142"/>
      <c r="J21" s="147"/>
    </row>
    <row r="22" spans="2:10" x14ac:dyDescent="0.2">
      <c r="B22" s="146"/>
      <c r="C22" s="28" t="s">
        <v>638</v>
      </c>
      <c r="D22" s="28"/>
      <c r="E22" s="47">
        <v>6.1000000000000004E-3</v>
      </c>
      <c r="F22" s="148"/>
      <c r="G22" s="142"/>
      <c r="H22" s="142"/>
      <c r="I22" s="142"/>
      <c r="J22" s="147"/>
    </row>
    <row r="23" spans="2:10" x14ac:dyDescent="0.2">
      <c r="B23" s="146"/>
      <c r="C23" s="519" t="s">
        <v>639</v>
      </c>
      <c r="D23" s="520"/>
      <c r="E23" s="48">
        <f>E22</f>
        <v>6.1000000000000004E-3</v>
      </c>
      <c r="F23" s="148"/>
      <c r="G23" s="142"/>
      <c r="H23" s="142"/>
      <c r="I23" s="142"/>
      <c r="J23" s="147"/>
    </row>
    <row r="24" spans="2:10" x14ac:dyDescent="0.2">
      <c r="B24" s="146"/>
      <c r="C24" s="43" t="s">
        <v>640</v>
      </c>
      <c r="D24" s="28"/>
      <c r="E24" s="47"/>
      <c r="F24" s="148"/>
      <c r="G24" s="142"/>
      <c r="H24" s="142"/>
      <c r="I24" s="142"/>
      <c r="J24" s="147"/>
    </row>
    <row r="25" spans="2:10" x14ac:dyDescent="0.2">
      <c r="B25" s="146"/>
      <c r="C25" s="28" t="s">
        <v>641</v>
      </c>
      <c r="D25" s="28"/>
      <c r="E25" s="47">
        <v>5.0000000000000001E-3</v>
      </c>
      <c r="F25" s="148"/>
      <c r="G25" s="142"/>
      <c r="H25" s="142"/>
      <c r="I25" s="142"/>
      <c r="J25" s="147"/>
    </row>
    <row r="26" spans="2:10" x14ac:dyDescent="0.2">
      <c r="B26" s="146"/>
      <c r="C26" s="540" t="s">
        <v>642</v>
      </c>
      <c r="D26" s="541"/>
      <c r="E26" s="47">
        <v>5.0000000000000001E-3</v>
      </c>
      <c r="F26" s="148"/>
      <c r="G26" s="142"/>
      <c r="H26" s="142"/>
      <c r="I26" s="142"/>
      <c r="J26" s="147"/>
    </row>
    <row r="27" spans="2:10" x14ac:dyDescent="0.2">
      <c r="B27" s="146"/>
      <c r="C27" s="519" t="s">
        <v>643</v>
      </c>
      <c r="D27" s="520"/>
      <c r="E27" s="48">
        <f>SUM(E25:E26)</f>
        <v>0.01</v>
      </c>
      <c r="F27" s="148"/>
      <c r="G27" s="142"/>
      <c r="H27" s="142"/>
      <c r="I27" s="142"/>
      <c r="J27" s="147"/>
    </row>
    <row r="28" spans="2:10" x14ac:dyDescent="0.2">
      <c r="B28" s="146"/>
      <c r="C28" s="43" t="s">
        <v>644</v>
      </c>
      <c r="D28" s="28"/>
      <c r="E28" s="47"/>
      <c r="F28" s="148"/>
      <c r="G28" s="142"/>
      <c r="H28" s="142"/>
      <c r="I28" s="142"/>
      <c r="J28" s="147"/>
    </row>
    <row r="29" spans="2:10" x14ac:dyDescent="0.2">
      <c r="B29" s="146"/>
      <c r="C29" s="540" t="s">
        <v>645</v>
      </c>
      <c r="D29" s="541"/>
      <c r="E29" s="45">
        <v>0.08</v>
      </c>
      <c r="F29" s="148"/>
      <c r="G29" s="142"/>
      <c r="H29" s="142"/>
      <c r="I29" s="142"/>
      <c r="J29" s="147"/>
    </row>
    <row r="30" spans="2:10" x14ac:dyDescent="0.2">
      <c r="B30" s="146"/>
      <c r="C30" s="519" t="s">
        <v>646</v>
      </c>
      <c r="D30" s="520"/>
      <c r="E30" s="48">
        <f>E29</f>
        <v>0.08</v>
      </c>
      <c r="F30" s="148"/>
      <c r="G30" s="142"/>
      <c r="H30" s="142"/>
      <c r="I30" s="142"/>
      <c r="J30" s="147"/>
    </row>
    <row r="31" spans="2:10" x14ac:dyDescent="0.2">
      <c r="B31" s="146"/>
      <c r="C31" s="149"/>
      <c r="D31" s="149"/>
      <c r="E31" s="150"/>
      <c r="F31" s="142"/>
      <c r="G31" s="142"/>
      <c r="H31" s="142"/>
      <c r="I31" s="142"/>
      <c r="J31" s="147"/>
    </row>
    <row r="32" spans="2:10" ht="18.75" customHeight="1" x14ac:dyDescent="0.2">
      <c r="B32" s="146"/>
      <c r="C32" s="521" t="s">
        <v>647</v>
      </c>
      <c r="D32" s="522"/>
      <c r="E32" s="48">
        <f>(((1+E23)*(1+E10+E13+E27)*(1+E30)/(1-E20))-1)</f>
        <v>0.31960670738916264</v>
      </c>
      <c r="F32" s="151"/>
      <c r="G32" s="151"/>
      <c r="H32" s="142"/>
      <c r="I32" s="142"/>
      <c r="J32" s="147"/>
    </row>
    <row r="33" spans="2:15" ht="17.25" customHeight="1" x14ac:dyDescent="0.2">
      <c r="B33" s="146"/>
      <c r="C33" s="142"/>
      <c r="D33" s="142"/>
      <c r="E33" s="142"/>
      <c r="F33" s="142"/>
      <c r="G33" s="142"/>
      <c r="H33" s="142"/>
      <c r="I33" s="142"/>
      <c r="J33" s="147"/>
    </row>
    <row r="34" spans="2:15" x14ac:dyDescent="0.2">
      <c r="B34" s="152" t="s">
        <v>648</v>
      </c>
      <c r="C34" s="31"/>
      <c r="D34" s="31"/>
      <c r="E34" s="31"/>
      <c r="F34" s="49"/>
      <c r="G34" s="50"/>
      <c r="H34" s="50"/>
      <c r="I34" s="143"/>
      <c r="J34" s="153"/>
    </row>
    <row r="35" spans="2:15" x14ac:dyDescent="0.2">
      <c r="B35" s="154"/>
      <c r="C35" s="31"/>
      <c r="D35" s="31"/>
      <c r="E35" s="31"/>
      <c r="F35" s="49"/>
      <c r="G35" s="50"/>
      <c r="H35" s="50"/>
      <c r="I35" s="143"/>
      <c r="J35" s="153"/>
    </row>
    <row r="36" spans="2:15" x14ac:dyDescent="0.2">
      <c r="B36" s="155" t="s">
        <v>649</v>
      </c>
      <c r="C36" s="34" t="s">
        <v>650</v>
      </c>
      <c r="D36" s="31"/>
      <c r="E36" s="31"/>
      <c r="F36" s="49"/>
      <c r="G36" s="50"/>
      <c r="H36" s="50"/>
      <c r="I36" s="143"/>
      <c r="J36" s="153"/>
    </row>
    <row r="37" spans="2:15" x14ac:dyDescent="0.2">
      <c r="B37" s="154"/>
      <c r="C37" s="34" t="s">
        <v>651</v>
      </c>
      <c r="D37" s="31"/>
      <c r="E37" s="31"/>
      <c r="F37" s="49"/>
      <c r="G37" s="50"/>
      <c r="H37" s="50"/>
      <c r="I37" s="143"/>
      <c r="J37" s="153"/>
    </row>
    <row r="38" spans="2:15" x14ac:dyDescent="0.2">
      <c r="B38" s="154"/>
      <c r="C38" s="523" t="s">
        <v>652</v>
      </c>
      <c r="D38" s="523"/>
      <c r="E38" s="523"/>
      <c r="F38" s="523"/>
      <c r="G38" s="50"/>
      <c r="H38" s="50"/>
      <c r="I38" s="143"/>
      <c r="J38" s="153"/>
    </row>
    <row r="39" spans="2:15" x14ac:dyDescent="0.2">
      <c r="B39" s="154"/>
      <c r="C39" s="523" t="s">
        <v>653</v>
      </c>
      <c r="D39" s="523"/>
      <c r="E39" s="523"/>
      <c r="F39" s="523"/>
      <c r="G39" s="50"/>
      <c r="H39" s="50"/>
      <c r="I39" s="143"/>
      <c r="J39" s="153"/>
      <c r="L39" s="34"/>
      <c r="M39" s="31"/>
      <c r="N39" s="31"/>
      <c r="O39" s="49"/>
    </row>
    <row r="40" spans="2:15" ht="21" customHeight="1" x14ac:dyDescent="0.2">
      <c r="B40" s="154"/>
      <c r="C40" s="156" t="s">
        <v>654</v>
      </c>
      <c r="D40" s="31"/>
      <c r="E40" s="31"/>
      <c r="F40" s="49"/>
      <c r="G40" s="50"/>
      <c r="H40" s="50"/>
      <c r="I40" s="143"/>
      <c r="J40" s="153"/>
      <c r="L40" s="523"/>
      <c r="M40" s="523"/>
      <c r="N40" s="523"/>
      <c r="O40" s="523"/>
    </row>
    <row r="41" spans="2:15" x14ac:dyDescent="0.2">
      <c r="B41" s="154"/>
      <c r="C41" s="34" t="s">
        <v>655</v>
      </c>
      <c r="D41" s="31"/>
      <c r="E41" s="31"/>
      <c r="F41" s="49"/>
      <c r="G41" s="50"/>
      <c r="H41" s="50"/>
      <c r="I41" s="143"/>
      <c r="J41" s="153"/>
      <c r="L41" s="523"/>
      <c r="M41" s="523"/>
      <c r="N41" s="523"/>
      <c r="O41" s="523"/>
    </row>
    <row r="42" spans="2:15" x14ac:dyDescent="0.2">
      <c r="B42" s="154"/>
      <c r="C42" s="34" t="s">
        <v>656</v>
      </c>
      <c r="D42" s="31"/>
      <c r="E42" s="31"/>
      <c r="F42" s="49"/>
      <c r="G42" s="50"/>
      <c r="H42" s="50"/>
      <c r="I42" s="143"/>
      <c r="J42" s="153"/>
      <c r="L42" s="34"/>
      <c r="M42" s="31"/>
      <c r="N42" s="31"/>
      <c r="O42" s="49"/>
    </row>
    <row r="43" spans="2:15" x14ac:dyDescent="0.2">
      <c r="B43" s="154"/>
      <c r="C43" s="34" t="s">
        <v>657</v>
      </c>
      <c r="D43" s="31"/>
      <c r="E43" s="31"/>
      <c r="F43" s="49"/>
      <c r="G43" s="50"/>
      <c r="H43" s="50"/>
      <c r="I43" s="143"/>
      <c r="J43" s="153"/>
      <c r="L43" s="34"/>
      <c r="M43" s="31"/>
      <c r="N43" s="31"/>
      <c r="O43" s="49"/>
    </row>
    <row r="44" spans="2:15" x14ac:dyDescent="0.2">
      <c r="B44" s="154"/>
      <c r="C44" s="34" t="s">
        <v>658</v>
      </c>
      <c r="D44" s="31"/>
      <c r="E44" s="31"/>
      <c r="F44" s="49"/>
      <c r="G44" s="50"/>
      <c r="H44" s="50"/>
      <c r="I44" s="143"/>
      <c r="J44" s="153"/>
      <c r="L44" s="34"/>
      <c r="M44" s="31"/>
      <c r="N44" s="31"/>
      <c r="O44" s="49"/>
    </row>
    <row r="45" spans="2:15" ht="56.25" customHeight="1" x14ac:dyDescent="0.2">
      <c r="B45" s="154"/>
      <c r="C45" s="34" t="s">
        <v>659</v>
      </c>
      <c r="D45" s="25"/>
      <c r="E45" s="31"/>
      <c r="F45" s="49"/>
      <c r="G45" s="50"/>
      <c r="H45" s="50"/>
      <c r="I45" s="143"/>
      <c r="J45" s="153"/>
      <c r="L45" s="34"/>
      <c r="M45" s="31"/>
      <c r="N45" s="31"/>
      <c r="O45" s="49"/>
    </row>
    <row r="46" spans="2:15" ht="56.25" customHeight="1" x14ac:dyDescent="0.2">
      <c r="B46" s="526" t="s">
        <v>660</v>
      </c>
      <c r="C46" s="527"/>
      <c r="D46" s="527"/>
      <c r="E46" s="527"/>
      <c r="F46" s="527"/>
      <c r="G46" s="527"/>
      <c r="H46" s="527"/>
      <c r="I46" s="527"/>
      <c r="J46" s="528"/>
      <c r="L46" s="34"/>
      <c r="M46" s="31"/>
      <c r="N46" s="31"/>
      <c r="O46" s="49"/>
    </row>
    <row r="47" spans="2:15" ht="74.25" customHeight="1" x14ac:dyDescent="0.2">
      <c r="B47" s="529" t="s">
        <v>661</v>
      </c>
      <c r="C47" s="530"/>
      <c r="D47" s="530"/>
      <c r="E47" s="530"/>
      <c r="F47" s="530"/>
      <c r="G47" s="530"/>
      <c r="H47" s="530"/>
      <c r="I47" s="530"/>
      <c r="J47" s="531"/>
      <c r="L47" s="34"/>
      <c r="M47" s="31"/>
      <c r="N47" s="31"/>
      <c r="O47" s="49"/>
    </row>
    <row r="48" spans="2:15" ht="75" customHeight="1" x14ac:dyDescent="0.2">
      <c r="B48" s="532" t="s">
        <v>662</v>
      </c>
      <c r="C48" s="533"/>
      <c r="D48" s="533"/>
      <c r="E48" s="533"/>
      <c r="F48" s="533"/>
      <c r="G48" s="533"/>
      <c r="H48" s="533"/>
      <c r="I48" s="533"/>
      <c r="J48" s="534"/>
      <c r="L48" s="34"/>
      <c r="M48" s="31"/>
      <c r="N48" s="31"/>
      <c r="O48" s="49"/>
    </row>
    <row r="49" spans="2:15" ht="51" customHeight="1" x14ac:dyDescent="0.2">
      <c r="B49" s="35" t="s">
        <v>663</v>
      </c>
      <c r="C49" s="524" t="s">
        <v>664</v>
      </c>
      <c r="D49" s="524"/>
      <c r="E49" s="524"/>
      <c r="F49" s="524"/>
      <c r="G49" s="52"/>
      <c r="H49" s="52"/>
      <c r="I49" s="53"/>
      <c r="L49" s="34"/>
      <c r="M49" s="31"/>
      <c r="N49" s="31"/>
      <c r="O49" s="49"/>
    </row>
    <row r="50" spans="2:15" x14ac:dyDescent="0.2">
      <c r="B50" s="33"/>
      <c r="C50" s="31"/>
      <c r="D50" s="25"/>
      <c r="E50" s="31"/>
      <c r="F50" s="49"/>
      <c r="G50" s="50"/>
      <c r="H50" s="50"/>
      <c r="I50" s="51"/>
    </row>
    <row r="51" spans="2:15" x14ac:dyDescent="0.2">
      <c r="B51" s="32"/>
      <c r="C51" s="516" t="s">
        <v>665</v>
      </c>
      <c r="D51" s="516"/>
      <c r="E51" s="516"/>
      <c r="F51" s="516"/>
      <c r="G51" s="54"/>
      <c r="H51" s="54"/>
      <c r="I51" s="55"/>
    </row>
    <row r="52" spans="2:15" ht="51" customHeight="1" x14ac:dyDescent="0.2">
      <c r="B52" s="32"/>
      <c r="C52" s="517" t="s">
        <v>666</v>
      </c>
      <c r="D52" s="517"/>
      <c r="E52" s="517"/>
      <c r="F52" s="517"/>
      <c r="G52" s="517"/>
      <c r="H52" s="517"/>
      <c r="I52" s="518"/>
    </row>
    <row r="53" spans="2:15" x14ac:dyDescent="0.2">
      <c r="B53" s="32"/>
      <c r="C53" s="36"/>
      <c r="D53" s="36"/>
      <c r="E53" s="36"/>
      <c r="F53" s="36"/>
      <c r="G53" s="36"/>
      <c r="H53" s="36"/>
      <c r="I53" s="37"/>
    </row>
    <row r="54" spans="2:15" ht="13.5" thickBot="1" x14ac:dyDescent="0.25">
      <c r="B54" s="38"/>
      <c r="C54" s="39"/>
      <c r="D54" s="39"/>
      <c r="E54" s="39"/>
      <c r="F54" s="39"/>
      <c r="G54" s="39"/>
      <c r="H54" s="39"/>
      <c r="I54" s="40"/>
    </row>
    <row r="55" spans="2:15" x14ac:dyDescent="0.2">
      <c r="B55" s="32"/>
      <c r="C55" s="36"/>
      <c r="D55" s="36"/>
      <c r="E55" s="36"/>
      <c r="F55" s="36"/>
      <c r="G55" s="36"/>
      <c r="H55" s="36"/>
      <c r="I55" s="37"/>
    </row>
    <row r="56" spans="2:15" x14ac:dyDescent="0.2">
      <c r="B56" s="41"/>
      <c r="C56" s="525" t="s">
        <v>667</v>
      </c>
      <c r="D56" s="525"/>
      <c r="E56" s="525"/>
      <c r="F56" s="525"/>
      <c r="G56" s="54"/>
      <c r="H56" s="54"/>
      <c r="I56" s="55"/>
    </row>
    <row r="57" spans="2:15" ht="113.25" customHeight="1" x14ac:dyDescent="0.2">
      <c r="B57" s="41"/>
      <c r="C57" s="517" t="s">
        <v>668</v>
      </c>
      <c r="D57" s="517"/>
      <c r="E57" s="517"/>
      <c r="F57" s="517"/>
      <c r="G57" s="517"/>
      <c r="H57" s="517"/>
      <c r="I57" s="518"/>
    </row>
    <row r="58" spans="2:15" ht="14.25" customHeight="1" x14ac:dyDescent="0.2">
      <c r="B58" s="33"/>
      <c r="C58" s="516" t="s">
        <v>669</v>
      </c>
      <c r="D58" s="516"/>
      <c r="E58" s="516"/>
      <c r="F58" s="516"/>
      <c r="G58" s="54"/>
      <c r="H58" s="54"/>
      <c r="I58" s="55"/>
    </row>
    <row r="59" spans="2:15" ht="96.75" customHeight="1" x14ac:dyDescent="0.2">
      <c r="B59" s="33"/>
      <c r="C59" s="517" t="s">
        <v>670</v>
      </c>
      <c r="D59" s="517"/>
      <c r="E59" s="517"/>
      <c r="F59" s="517"/>
      <c r="G59" s="517"/>
      <c r="H59" s="517"/>
      <c r="I59" s="518"/>
    </row>
    <row r="60" spans="2:15" x14ac:dyDescent="0.2">
      <c r="B60" s="33"/>
      <c r="C60" s="36"/>
      <c r="D60" s="36"/>
      <c r="E60" s="36"/>
      <c r="F60" s="36"/>
      <c r="G60" s="36"/>
      <c r="H60" s="36"/>
      <c r="I60" s="37"/>
    </row>
    <row r="61" spans="2:15" ht="15" customHeight="1" x14ac:dyDescent="0.2">
      <c r="B61" s="33"/>
      <c r="C61" s="516" t="s">
        <v>671</v>
      </c>
      <c r="D61" s="516"/>
      <c r="E61" s="516"/>
      <c r="F61" s="516"/>
      <c r="G61" s="54"/>
      <c r="H61" s="54"/>
      <c r="I61" s="55"/>
    </row>
    <row r="62" spans="2:15" ht="45.75" customHeight="1" x14ac:dyDescent="0.2">
      <c r="B62" s="33"/>
      <c r="C62" s="517" t="s">
        <v>672</v>
      </c>
      <c r="D62" s="517"/>
      <c r="E62" s="517"/>
      <c r="F62" s="517"/>
      <c r="G62" s="517"/>
      <c r="H62" s="517"/>
      <c r="I62" s="518"/>
    </row>
    <row r="63" spans="2:15" x14ac:dyDescent="0.2">
      <c r="B63" s="33"/>
      <c r="C63" s="516" t="s">
        <v>673</v>
      </c>
      <c r="D63" s="516"/>
      <c r="E63" s="516"/>
      <c r="F63" s="516"/>
      <c r="G63" s="54"/>
      <c r="H63" s="54"/>
      <c r="I63" s="55"/>
    </row>
    <row r="64" spans="2:15" ht="60" customHeight="1" x14ac:dyDescent="0.2">
      <c r="B64" s="33"/>
      <c r="C64" s="512" t="s">
        <v>674</v>
      </c>
      <c r="D64" s="512"/>
      <c r="E64" s="512"/>
      <c r="F64" s="512"/>
      <c r="G64" s="512"/>
      <c r="H64" s="512"/>
      <c r="I64" s="513"/>
    </row>
    <row r="65" spans="2:9" ht="41.25" customHeight="1" x14ac:dyDescent="0.2">
      <c r="B65" s="33"/>
      <c r="C65" s="512" t="s">
        <v>675</v>
      </c>
      <c r="D65" s="512"/>
      <c r="E65" s="512"/>
      <c r="F65" s="512"/>
      <c r="G65" s="512"/>
      <c r="H65" s="512"/>
      <c r="I65" s="513"/>
    </row>
    <row r="66" spans="2:9" ht="37.5" customHeight="1" x14ac:dyDescent="0.2">
      <c r="B66" s="33"/>
      <c r="C66" s="512" t="s">
        <v>676</v>
      </c>
      <c r="D66" s="512"/>
      <c r="E66" s="512"/>
      <c r="F66" s="512"/>
      <c r="G66" s="512"/>
      <c r="H66" s="512"/>
      <c r="I66" s="513"/>
    </row>
    <row r="67" spans="2:9" ht="37.5" customHeight="1" x14ac:dyDescent="0.2">
      <c r="B67" s="33"/>
      <c r="C67" s="512" t="s">
        <v>677</v>
      </c>
      <c r="D67" s="512"/>
      <c r="E67" s="512"/>
      <c r="F67" s="512"/>
      <c r="G67" s="512"/>
      <c r="H67" s="512"/>
      <c r="I67" s="513"/>
    </row>
    <row r="68" spans="2:9" ht="13.5" thickBot="1" x14ac:dyDescent="0.25">
      <c r="B68" s="42"/>
      <c r="C68" s="514"/>
      <c r="D68" s="514"/>
      <c r="E68" s="514"/>
      <c r="F68" s="514"/>
      <c r="G68" s="514"/>
      <c r="H68" s="514"/>
      <c r="I68" s="515"/>
    </row>
  </sheetData>
  <mergeCells count="42">
    <mergeCell ref="L40:O40"/>
    <mergeCell ref="L41:O41"/>
    <mergeCell ref="C19:D19"/>
    <mergeCell ref="C10:D10"/>
    <mergeCell ref="C15:D15"/>
    <mergeCell ref="C16:D16"/>
    <mergeCell ref="C17:D17"/>
    <mergeCell ref="C18:D18"/>
    <mergeCell ref="C13:D13"/>
    <mergeCell ref="C20:D20"/>
    <mergeCell ref="C23:D23"/>
    <mergeCell ref="C26:D26"/>
    <mergeCell ref="C27:D27"/>
    <mergeCell ref="C29:D29"/>
    <mergeCell ref="C2:J2"/>
    <mergeCell ref="C3:E3"/>
    <mergeCell ref="C4:E4"/>
    <mergeCell ref="H4:J4"/>
    <mergeCell ref="C5:E5"/>
    <mergeCell ref="H5:I5"/>
    <mergeCell ref="C59:I59"/>
    <mergeCell ref="C30:D30"/>
    <mergeCell ref="C32:D32"/>
    <mergeCell ref="C38:F38"/>
    <mergeCell ref="C39:F39"/>
    <mergeCell ref="C49:F49"/>
    <mergeCell ref="C51:F51"/>
    <mergeCell ref="C52:I52"/>
    <mergeCell ref="C56:F56"/>
    <mergeCell ref="C57:I57"/>
    <mergeCell ref="C58:F58"/>
    <mergeCell ref="B46:J46"/>
    <mergeCell ref="B47:J47"/>
    <mergeCell ref="B48:J48"/>
    <mergeCell ref="C67:I67"/>
    <mergeCell ref="C68:I68"/>
    <mergeCell ref="C61:F61"/>
    <mergeCell ref="C62:I62"/>
    <mergeCell ref="C63:F63"/>
    <mergeCell ref="C64:I64"/>
    <mergeCell ref="C65:I65"/>
    <mergeCell ref="C66:I66"/>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J50"/>
  <sheetViews>
    <sheetView view="pageBreakPreview" zoomScaleNormal="100" zoomScaleSheetLayoutView="100" workbookViewId="0">
      <selection activeCell="C4" sqref="C4:E4"/>
    </sheetView>
  </sheetViews>
  <sheetFormatPr defaultColWidth="9.140625" defaultRowHeight="12.75" x14ac:dyDescent="0.2"/>
  <cols>
    <col min="1" max="1" width="9.140625" style="12"/>
    <col min="2" max="2" width="10.7109375" style="18" customWidth="1"/>
    <col min="3" max="3" width="73.5703125" style="27" customWidth="1"/>
    <col min="4" max="4" width="12.7109375" style="27" customWidth="1"/>
    <col min="5" max="5" width="13.140625" style="18" customWidth="1"/>
    <col min="6" max="16384" width="9.140625" style="12"/>
  </cols>
  <sheetData>
    <row r="2" spans="2:10" s="26" customFormat="1" ht="21.75" customHeight="1" x14ac:dyDescent="0.2">
      <c r="B2" s="549"/>
      <c r="C2" s="546" t="s">
        <v>0</v>
      </c>
      <c r="D2" s="547"/>
      <c r="E2" s="548"/>
      <c r="F2" s="12"/>
      <c r="G2" s="12"/>
      <c r="H2" s="12"/>
      <c r="I2" s="12"/>
      <c r="J2" s="12"/>
    </row>
    <row r="3" spans="2:10" s="26" customFormat="1" ht="30" customHeight="1" x14ac:dyDescent="0.2">
      <c r="B3" s="550"/>
      <c r="C3" s="546" t="s">
        <v>678</v>
      </c>
      <c r="D3" s="547"/>
      <c r="E3" s="548"/>
      <c r="F3" s="12"/>
      <c r="G3" s="12"/>
      <c r="H3" s="12"/>
      <c r="I3" s="12"/>
      <c r="J3" s="12"/>
    </row>
    <row r="4" spans="2:10" s="26" customFormat="1" ht="20.100000000000001" customHeight="1" x14ac:dyDescent="0.2">
      <c r="B4" s="550"/>
      <c r="C4" s="546" t="s">
        <v>2</v>
      </c>
      <c r="D4" s="547"/>
      <c r="E4" s="548"/>
      <c r="F4" s="12"/>
      <c r="G4" s="12"/>
      <c r="H4" s="12"/>
      <c r="I4" s="12"/>
      <c r="J4" s="12"/>
    </row>
    <row r="5" spans="2:10" s="26" customFormat="1" ht="20.100000000000001" customHeight="1" x14ac:dyDescent="0.2">
      <c r="B5" s="551"/>
      <c r="C5" s="546" t="s">
        <v>5</v>
      </c>
      <c r="D5" s="547"/>
      <c r="E5" s="548"/>
      <c r="F5" s="12"/>
      <c r="G5" s="12"/>
      <c r="H5" s="12"/>
      <c r="I5" s="12"/>
      <c r="J5" s="12"/>
    </row>
    <row r="6" spans="2:10" s="26" customFormat="1" ht="9" customHeight="1" x14ac:dyDescent="0.2">
      <c r="B6" s="552"/>
      <c r="C6" s="552"/>
      <c r="D6" s="552"/>
      <c r="E6" s="552"/>
      <c r="F6" s="12"/>
      <c r="G6" s="12"/>
      <c r="H6" s="12"/>
      <c r="I6" s="12"/>
      <c r="J6" s="12"/>
    </row>
    <row r="7" spans="2:10" ht="15" customHeight="1" x14ac:dyDescent="0.2">
      <c r="B7" s="542" t="s">
        <v>679</v>
      </c>
      <c r="C7" s="542"/>
      <c r="D7" s="542"/>
      <c r="E7" s="124" t="s">
        <v>680</v>
      </c>
    </row>
    <row r="8" spans="2:10" x14ac:dyDescent="0.2">
      <c r="B8" s="124" t="s">
        <v>681</v>
      </c>
      <c r="C8" s="125" t="s">
        <v>682</v>
      </c>
      <c r="D8" s="125"/>
      <c r="E8" s="126">
        <v>0.2</v>
      </c>
    </row>
    <row r="9" spans="2:10" x14ac:dyDescent="0.2">
      <c r="B9" s="124" t="s">
        <v>683</v>
      </c>
      <c r="C9" s="125" t="s">
        <v>684</v>
      </c>
      <c r="D9" s="125"/>
      <c r="E9" s="126">
        <v>0.08</v>
      </c>
    </row>
    <row r="10" spans="2:10" x14ac:dyDescent="0.2">
      <c r="B10" s="124" t="s">
        <v>685</v>
      </c>
      <c r="C10" s="125" t="s">
        <v>686</v>
      </c>
      <c r="D10" s="125"/>
      <c r="E10" s="126">
        <v>1.7999999999999999E-2</v>
      </c>
    </row>
    <row r="11" spans="2:10" x14ac:dyDescent="0.2">
      <c r="B11" s="124" t="s">
        <v>687</v>
      </c>
      <c r="C11" s="125" t="s">
        <v>688</v>
      </c>
      <c r="D11" s="125"/>
      <c r="E11" s="126">
        <v>1.2999999999999999E-2</v>
      </c>
    </row>
    <row r="12" spans="2:10" x14ac:dyDescent="0.2">
      <c r="B12" s="124" t="s">
        <v>689</v>
      </c>
      <c r="C12" s="125" t="s">
        <v>690</v>
      </c>
      <c r="D12" s="125"/>
      <c r="E12" s="126" t="s">
        <v>691</v>
      </c>
    </row>
    <row r="13" spans="2:10" x14ac:dyDescent="0.2">
      <c r="B13" s="124" t="s">
        <v>692</v>
      </c>
      <c r="C13" s="125" t="s">
        <v>693</v>
      </c>
      <c r="D13" s="125"/>
      <c r="E13" s="126">
        <v>2E-3</v>
      </c>
    </row>
    <row r="14" spans="2:10" x14ac:dyDescent="0.2">
      <c r="B14" s="124" t="s">
        <v>694</v>
      </c>
      <c r="C14" s="125" t="s">
        <v>695</v>
      </c>
      <c r="D14" s="125"/>
      <c r="E14" s="126">
        <v>2.5000000000000001E-2</v>
      </c>
    </row>
    <row r="15" spans="2:10" x14ac:dyDescent="0.2">
      <c r="B15" s="124" t="s">
        <v>696</v>
      </c>
      <c r="C15" s="125" t="s">
        <v>697</v>
      </c>
      <c r="D15" s="125"/>
      <c r="E15" s="126">
        <v>0.03</v>
      </c>
    </row>
    <row r="16" spans="2:10" x14ac:dyDescent="0.2">
      <c r="B16" s="124" t="s">
        <v>698</v>
      </c>
      <c r="C16" s="125" t="s">
        <v>699</v>
      </c>
      <c r="D16" s="125"/>
      <c r="E16" s="126">
        <v>0.01</v>
      </c>
    </row>
    <row r="17" spans="2:5" ht="15" customHeight="1" x14ac:dyDescent="0.2">
      <c r="B17" s="542" t="s">
        <v>700</v>
      </c>
      <c r="C17" s="542"/>
      <c r="D17" s="542"/>
      <c r="E17" s="127">
        <f>SUM(E8:E16)</f>
        <v>0.37800000000000011</v>
      </c>
    </row>
    <row r="18" spans="2:5" x14ac:dyDescent="0.2">
      <c r="B18" s="553" t="s">
        <v>701</v>
      </c>
      <c r="C18" s="553"/>
      <c r="D18" s="128"/>
      <c r="E18" s="129" t="s">
        <v>680</v>
      </c>
    </row>
    <row r="19" spans="2:5" x14ac:dyDescent="0.2">
      <c r="B19" s="124" t="s">
        <v>702</v>
      </c>
      <c r="C19" s="125" t="s">
        <v>703</v>
      </c>
      <c r="D19" s="125"/>
      <c r="E19" s="126">
        <v>0.17519999999999999</v>
      </c>
    </row>
    <row r="20" spans="2:5" x14ac:dyDescent="0.2">
      <c r="B20" s="124" t="s">
        <v>704</v>
      </c>
      <c r="C20" s="125" t="s">
        <v>705</v>
      </c>
      <c r="D20" s="125"/>
      <c r="E20" s="126">
        <v>3.9100000000000003E-2</v>
      </c>
    </row>
    <row r="21" spans="2:5" x14ac:dyDescent="0.2">
      <c r="B21" s="124" t="s">
        <v>706</v>
      </c>
      <c r="C21" s="125" t="s">
        <v>707</v>
      </c>
      <c r="D21" s="125"/>
      <c r="E21" s="126">
        <v>7.6E-3</v>
      </c>
    </row>
    <row r="22" spans="2:5" x14ac:dyDescent="0.2">
      <c r="B22" s="124" t="s">
        <v>708</v>
      </c>
      <c r="C22" s="125" t="s">
        <v>709</v>
      </c>
      <c r="D22" s="125"/>
      <c r="E22" s="126">
        <v>1.1000000000000001E-3</v>
      </c>
    </row>
    <row r="23" spans="2:5" x14ac:dyDescent="0.2">
      <c r="B23" s="124" t="s">
        <v>710</v>
      </c>
      <c r="C23" s="125" t="s">
        <v>711</v>
      </c>
      <c r="D23" s="125"/>
      <c r="E23" s="126">
        <v>6.7000000000000002E-3</v>
      </c>
    </row>
    <row r="24" spans="2:5" x14ac:dyDescent="0.2">
      <c r="B24" s="124" t="s">
        <v>712</v>
      </c>
      <c r="C24" s="125" t="s">
        <v>713</v>
      </c>
      <c r="D24" s="125"/>
      <c r="E24" s="126">
        <v>0.1011</v>
      </c>
    </row>
    <row r="25" spans="2:5" x14ac:dyDescent="0.2">
      <c r="B25" s="124" t="s">
        <v>714</v>
      </c>
      <c r="C25" s="125" t="s">
        <v>715</v>
      </c>
      <c r="D25" s="125"/>
      <c r="E25" s="126">
        <v>3.3999999999999998E-3</v>
      </c>
    </row>
    <row r="26" spans="2:5" x14ac:dyDescent="0.2">
      <c r="B26" s="124" t="s">
        <v>716</v>
      </c>
      <c r="C26" s="125" t="s">
        <v>717</v>
      </c>
      <c r="D26" s="125"/>
      <c r="E26" s="130" t="s">
        <v>691</v>
      </c>
    </row>
    <row r="27" spans="2:5" x14ac:dyDescent="0.2">
      <c r="B27" s="124" t="s">
        <v>718</v>
      </c>
      <c r="C27" s="125" t="s">
        <v>719</v>
      </c>
      <c r="D27" s="125"/>
      <c r="E27" s="130" t="s">
        <v>691</v>
      </c>
    </row>
    <row r="28" spans="2:5" x14ac:dyDescent="0.2">
      <c r="B28" s="124" t="s">
        <v>720</v>
      </c>
      <c r="C28" s="125" t="s">
        <v>721</v>
      </c>
      <c r="D28" s="125"/>
      <c r="E28" s="130" t="s">
        <v>691</v>
      </c>
    </row>
    <row r="29" spans="2:5" x14ac:dyDescent="0.2">
      <c r="B29" s="124" t="s">
        <v>722</v>
      </c>
      <c r="C29" s="125" t="s">
        <v>723</v>
      </c>
      <c r="D29" s="125"/>
      <c r="E29" s="130" t="s">
        <v>691</v>
      </c>
    </row>
    <row r="30" spans="2:5" ht="15" customHeight="1" x14ac:dyDescent="0.2">
      <c r="B30" s="542" t="s">
        <v>724</v>
      </c>
      <c r="C30" s="542"/>
      <c r="D30" s="542"/>
      <c r="E30" s="131">
        <f>SUM(E19:E29)</f>
        <v>0.3342</v>
      </c>
    </row>
    <row r="31" spans="2:5" x14ac:dyDescent="0.2">
      <c r="B31" s="543" t="s">
        <v>725</v>
      </c>
      <c r="C31" s="543"/>
      <c r="D31" s="132"/>
      <c r="E31" s="129" t="s">
        <v>680</v>
      </c>
    </row>
    <row r="32" spans="2:5" x14ac:dyDescent="0.2">
      <c r="B32" s="124" t="s">
        <v>726</v>
      </c>
      <c r="C32" s="125" t="s">
        <v>727</v>
      </c>
      <c r="D32" s="125"/>
      <c r="E32" s="133">
        <v>5.3400000000000003E-2</v>
      </c>
    </row>
    <row r="33" spans="2:5" x14ac:dyDescent="0.2">
      <c r="B33" s="124" t="s">
        <v>728</v>
      </c>
      <c r="C33" s="125" t="s">
        <v>729</v>
      </c>
      <c r="D33" s="125"/>
      <c r="E33" s="133">
        <v>0.112</v>
      </c>
    </row>
    <row r="34" spans="2:5" x14ac:dyDescent="0.2">
      <c r="B34" s="124" t="s">
        <v>730</v>
      </c>
      <c r="C34" s="125" t="s">
        <v>731</v>
      </c>
      <c r="D34" s="125"/>
      <c r="E34" s="133">
        <v>0.1129</v>
      </c>
    </row>
    <row r="35" spans="2:5" x14ac:dyDescent="0.2">
      <c r="B35" s="124" t="s">
        <v>732</v>
      </c>
      <c r="C35" s="125" t="s">
        <v>733</v>
      </c>
      <c r="D35" s="125"/>
      <c r="E35" s="133">
        <v>8.9999999999999993E-3</v>
      </c>
    </row>
    <row r="36" spans="2:5" x14ac:dyDescent="0.2">
      <c r="B36" s="124" t="s">
        <v>734</v>
      </c>
      <c r="C36" s="125" t="s">
        <v>735</v>
      </c>
      <c r="D36" s="125"/>
      <c r="E36" s="133">
        <v>2.2599999999999999E-2</v>
      </c>
    </row>
    <row r="37" spans="2:5" x14ac:dyDescent="0.2">
      <c r="B37" s="124" t="s">
        <v>736</v>
      </c>
      <c r="C37" s="125" t="s">
        <v>737</v>
      </c>
      <c r="D37" s="125"/>
      <c r="E37" s="134" t="s">
        <v>691</v>
      </c>
    </row>
    <row r="38" spans="2:5" x14ac:dyDescent="0.2">
      <c r="B38" s="124" t="s">
        <v>738</v>
      </c>
      <c r="C38" s="125" t="s">
        <v>739</v>
      </c>
      <c r="D38" s="125"/>
      <c r="E38" s="134" t="s">
        <v>691</v>
      </c>
    </row>
    <row r="39" spans="2:5" ht="15" customHeight="1" x14ac:dyDescent="0.2">
      <c r="B39" s="542" t="s">
        <v>740</v>
      </c>
      <c r="C39" s="542"/>
      <c r="D39" s="542"/>
      <c r="E39" s="131">
        <f>SUM(E32:E38)</f>
        <v>0.30990000000000001</v>
      </c>
    </row>
    <row r="40" spans="2:5" x14ac:dyDescent="0.2">
      <c r="B40" s="544" t="s">
        <v>741</v>
      </c>
      <c r="C40" s="544"/>
      <c r="D40" s="135"/>
      <c r="E40" s="136" t="s">
        <v>680</v>
      </c>
    </row>
    <row r="41" spans="2:5" x14ac:dyDescent="0.2">
      <c r="B41" s="124" t="s">
        <v>742</v>
      </c>
      <c r="C41" s="125" t="s">
        <v>743</v>
      </c>
      <c r="D41" s="125"/>
      <c r="E41" s="126">
        <f>E17*E30</f>
        <v>0.12632760000000004</v>
      </c>
    </row>
    <row r="42" spans="2:5" ht="25.5" x14ac:dyDescent="0.2">
      <c r="B42" s="124" t="s">
        <v>744</v>
      </c>
      <c r="C42" s="137" t="s">
        <v>745</v>
      </c>
      <c r="D42" s="137"/>
      <c r="E42" s="130" t="s">
        <v>691</v>
      </c>
    </row>
    <row r="43" spans="2:5" ht="15" customHeight="1" x14ac:dyDescent="0.2">
      <c r="B43" s="542" t="s">
        <v>746</v>
      </c>
      <c r="C43" s="542"/>
      <c r="D43" s="542"/>
      <c r="E43" s="127">
        <f>SUM(E41:E42)</f>
        <v>0.12632760000000004</v>
      </c>
    </row>
    <row r="44" spans="2:5" x14ac:dyDescent="0.2">
      <c r="B44" s="545" t="s">
        <v>747</v>
      </c>
      <c r="C44" s="545"/>
      <c r="D44" s="138"/>
      <c r="E44" s="129" t="s">
        <v>680</v>
      </c>
    </row>
    <row r="45" spans="2:5" x14ac:dyDescent="0.2">
      <c r="B45" s="124" t="s">
        <v>748</v>
      </c>
      <c r="C45" s="125" t="s">
        <v>749</v>
      </c>
      <c r="D45" s="125"/>
      <c r="E45" s="133">
        <v>0.25750000000000001</v>
      </c>
    </row>
    <row r="46" spans="2:5" x14ac:dyDescent="0.2">
      <c r="B46" s="124" t="s">
        <v>750</v>
      </c>
      <c r="C46" s="125" t="s">
        <v>751</v>
      </c>
      <c r="D46" s="125"/>
      <c r="E46" s="133">
        <v>6.0299999999999999E-2</v>
      </c>
    </row>
    <row r="47" spans="2:5" ht="25.5" x14ac:dyDescent="0.2">
      <c r="B47" s="124" t="s">
        <v>752</v>
      </c>
      <c r="C47" s="137" t="s">
        <v>753</v>
      </c>
      <c r="D47" s="137"/>
      <c r="E47" s="133">
        <v>2.6700000000000002E-2</v>
      </c>
    </row>
    <row r="48" spans="2:5" x14ac:dyDescent="0.2">
      <c r="B48" s="124" t="s">
        <v>754</v>
      </c>
      <c r="C48" s="125" t="s">
        <v>755</v>
      </c>
      <c r="D48" s="125"/>
      <c r="E48" s="133">
        <v>7.9799999999999996E-2</v>
      </c>
    </row>
    <row r="49" spans="2:5" x14ac:dyDescent="0.2">
      <c r="B49" s="542" t="s">
        <v>756</v>
      </c>
      <c r="C49" s="542"/>
      <c r="D49" s="124"/>
      <c r="E49" s="127">
        <v>0.42430000000000001</v>
      </c>
    </row>
    <row r="50" spans="2:5" ht="15" customHeight="1" x14ac:dyDescent="0.2">
      <c r="B50" s="542" t="s">
        <v>757</v>
      </c>
      <c r="C50" s="542"/>
      <c r="D50" s="542"/>
      <c r="E50" s="127">
        <f>E49+E39+E30+E17+E43</f>
        <v>1.5727276000000001</v>
      </c>
    </row>
  </sheetData>
  <mergeCells count="17">
    <mergeCell ref="B30:D30"/>
    <mergeCell ref="B6:E6"/>
    <mergeCell ref="B7:D7"/>
    <mergeCell ref="B17:D17"/>
    <mergeCell ref="B18:C18"/>
    <mergeCell ref="C3:E3"/>
    <mergeCell ref="C4:E4"/>
    <mergeCell ref="C5:E5"/>
    <mergeCell ref="B2:B5"/>
    <mergeCell ref="C2:E2"/>
    <mergeCell ref="B50:D50"/>
    <mergeCell ref="B31:C31"/>
    <mergeCell ref="B39:D39"/>
    <mergeCell ref="B40:C40"/>
    <mergeCell ref="B43:D43"/>
    <mergeCell ref="B44:C44"/>
    <mergeCell ref="B49:C49"/>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30"/>
  <sheetViews>
    <sheetView view="pageBreakPreview" topLeftCell="A4" zoomScale="106" zoomScaleNormal="100" zoomScaleSheetLayoutView="106" workbookViewId="0">
      <selection activeCell="L26" sqref="L26"/>
    </sheetView>
  </sheetViews>
  <sheetFormatPr defaultRowHeight="15" x14ac:dyDescent="0.25"/>
  <cols>
    <col min="1" max="1" width="12.28515625" style="99" customWidth="1"/>
    <col min="2" max="2" width="10" style="99" bestFit="1" customWidth="1"/>
    <col min="3" max="3" width="9.140625" style="100"/>
    <col min="4" max="4" width="33.85546875" style="100" customWidth="1"/>
    <col min="5" max="5" width="20.140625" style="100" customWidth="1"/>
    <col min="6" max="6" width="7.7109375" style="100" customWidth="1"/>
    <col min="7" max="7" width="8.5703125" style="100" bestFit="1" customWidth="1"/>
    <col min="8" max="8" width="8.42578125" style="100" bestFit="1" customWidth="1"/>
    <col min="9" max="9" width="11"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72">
        <v>44866</v>
      </c>
    </row>
    <row r="4" spans="1:9" x14ac:dyDescent="0.25">
      <c r="A4" s="555"/>
      <c r="B4" s="555"/>
      <c r="C4" s="555"/>
      <c r="D4" s="555"/>
      <c r="E4" s="555"/>
      <c r="F4" s="555"/>
      <c r="G4" s="555"/>
      <c r="H4" s="555"/>
      <c r="I4" s="114" t="s">
        <v>212</v>
      </c>
    </row>
    <row r="5" spans="1:9" x14ac:dyDescent="0.25">
      <c r="A5" s="557" t="s">
        <v>760</v>
      </c>
      <c r="B5" s="557"/>
      <c r="C5" s="557"/>
      <c r="D5" s="557"/>
      <c r="E5" s="557"/>
      <c r="F5" s="557"/>
      <c r="G5" s="557"/>
      <c r="H5" s="557"/>
      <c r="I5" s="558" t="s">
        <v>761</v>
      </c>
    </row>
    <row r="6" spans="1:9" x14ac:dyDescent="0.25">
      <c r="A6" s="557"/>
      <c r="B6" s="557"/>
      <c r="C6" s="557"/>
      <c r="D6" s="557"/>
      <c r="E6" s="557"/>
      <c r="F6" s="557"/>
      <c r="G6" s="557"/>
      <c r="H6" s="557"/>
      <c r="I6" s="558"/>
    </row>
    <row r="7" spans="1:9" x14ac:dyDescent="0.25">
      <c r="A7" s="559" t="s">
        <v>762</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30" customHeight="1" x14ac:dyDescent="0.25">
      <c r="A10" s="101" t="s">
        <v>892</v>
      </c>
      <c r="B10" s="101" t="s">
        <v>22</v>
      </c>
      <c r="C10" s="562" t="s">
        <v>891</v>
      </c>
      <c r="D10" s="563"/>
      <c r="E10" s="80" t="s">
        <v>771</v>
      </c>
      <c r="F10" s="112" t="s">
        <v>772</v>
      </c>
      <c r="G10" s="78">
        <v>6.2E-2</v>
      </c>
      <c r="H10" s="81">
        <v>15.85</v>
      </c>
      <c r="I10" s="103">
        <f>TRUNC(ROUND(G10*H10,2),2)</f>
        <v>0.98</v>
      </c>
    </row>
    <row r="11" spans="1:9" x14ac:dyDescent="0.25">
      <c r="A11" s="101" t="s">
        <v>894</v>
      </c>
      <c r="B11" s="101" t="s">
        <v>22</v>
      </c>
      <c r="C11" s="564" t="s">
        <v>893</v>
      </c>
      <c r="D11" s="563"/>
      <c r="E11" s="80" t="s">
        <v>771</v>
      </c>
      <c r="F11" s="112" t="s">
        <v>772</v>
      </c>
      <c r="G11" s="78">
        <v>5.6000000000000001E-2</v>
      </c>
      <c r="H11" s="81">
        <v>21.35</v>
      </c>
      <c r="I11" s="103">
        <f>TRUNC(ROUND(G11*H11,2),2)</f>
        <v>1.2</v>
      </c>
    </row>
    <row r="12" spans="1:9" x14ac:dyDescent="0.25">
      <c r="A12" s="565" t="s">
        <v>773</v>
      </c>
      <c r="B12" s="565"/>
      <c r="C12" s="565"/>
      <c r="D12" s="565"/>
      <c r="E12" s="565"/>
      <c r="F12" s="565"/>
      <c r="G12" s="565"/>
      <c r="H12" s="565"/>
      <c r="I12" s="83">
        <f>I10+I11</f>
        <v>2.1799999999999997</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47.25" customHeight="1" x14ac:dyDescent="0.25">
      <c r="A16" s="90" t="s">
        <v>775</v>
      </c>
      <c r="B16" s="77" t="s">
        <v>770</v>
      </c>
      <c r="C16" s="566" t="s">
        <v>776</v>
      </c>
      <c r="D16" s="566"/>
      <c r="E16" s="566"/>
      <c r="F16" s="90" t="s">
        <v>777</v>
      </c>
      <c r="G16" s="104">
        <v>4.1500000000000004</v>
      </c>
      <c r="H16" s="91">
        <v>2.54</v>
      </c>
      <c r="I16" s="103">
        <f>TRUNC(ROUND(G16*H16,2),2)</f>
        <v>10.54</v>
      </c>
    </row>
    <row r="17" spans="1:17" ht="74.25" customHeight="1" x14ac:dyDescent="0.25">
      <c r="A17" s="90" t="s">
        <v>778</v>
      </c>
      <c r="B17" s="77" t="s">
        <v>770</v>
      </c>
      <c r="C17" s="567" t="s">
        <v>779</v>
      </c>
      <c r="D17" s="568"/>
      <c r="E17" s="569"/>
      <c r="F17" s="90" t="s">
        <v>780</v>
      </c>
      <c r="G17" s="104">
        <v>1.1459999999999999</v>
      </c>
      <c r="H17" s="91">
        <v>195.77</v>
      </c>
      <c r="I17" s="103">
        <f>TRUNC(ROUND(G17*H17,2),2)</f>
        <v>224.35</v>
      </c>
    </row>
    <row r="18" spans="1:17" x14ac:dyDescent="0.25">
      <c r="A18" s="565" t="s">
        <v>781</v>
      </c>
      <c r="B18" s="565"/>
      <c r="C18" s="565"/>
      <c r="D18" s="565"/>
      <c r="E18" s="565"/>
      <c r="F18" s="565"/>
      <c r="G18" s="565"/>
      <c r="H18" s="565"/>
      <c r="I18" s="97">
        <f>SUM(I16:I17)</f>
        <v>234.89</v>
      </c>
    </row>
    <row r="19" spans="1:17" x14ac:dyDescent="0.25">
      <c r="A19" s="111"/>
      <c r="B19" s="111"/>
      <c r="C19" s="111"/>
      <c r="D19" s="111"/>
      <c r="E19" s="111"/>
      <c r="F19" s="111"/>
      <c r="G19" s="111"/>
      <c r="H19" s="111"/>
      <c r="I19" s="83"/>
    </row>
    <row r="20" spans="1:17" x14ac:dyDescent="0.25">
      <c r="A20" s="560" t="s">
        <v>782</v>
      </c>
      <c r="B20" s="560"/>
      <c r="C20" s="560"/>
      <c r="D20" s="560"/>
      <c r="E20" s="560"/>
      <c r="F20" s="560"/>
      <c r="G20" s="560"/>
      <c r="H20" s="560"/>
      <c r="I20" s="560"/>
    </row>
    <row r="21" spans="1:17" x14ac:dyDescent="0.25">
      <c r="A21" s="79"/>
      <c r="B21" s="112"/>
      <c r="C21" s="571" t="s">
        <v>765</v>
      </c>
      <c r="D21" s="571"/>
      <c r="E21" s="571"/>
      <c r="F21" s="112" t="s">
        <v>766</v>
      </c>
      <c r="G21" s="84" t="s">
        <v>767</v>
      </c>
      <c r="H21" s="81" t="s">
        <v>768</v>
      </c>
      <c r="I21" s="82" t="s">
        <v>769</v>
      </c>
      <c r="Q21" s="110"/>
    </row>
    <row r="22" spans="1:17" ht="28.5" customHeight="1" x14ac:dyDescent="0.25">
      <c r="A22" s="85">
        <v>93281</v>
      </c>
      <c r="B22" s="77" t="s">
        <v>770</v>
      </c>
      <c r="C22" s="572" t="s">
        <v>783</v>
      </c>
      <c r="D22" s="573"/>
      <c r="E22" s="574"/>
      <c r="F22" s="90" t="s">
        <v>784</v>
      </c>
      <c r="G22" s="104">
        <v>8.9999999999999998E-4</v>
      </c>
      <c r="H22" s="91">
        <v>25.2</v>
      </c>
      <c r="I22" s="103">
        <f>TRUNC(ROUND(G22*H22,2),2)</f>
        <v>0.02</v>
      </c>
    </row>
    <row r="23" spans="1:17" ht="30" customHeight="1" x14ac:dyDescent="0.25">
      <c r="A23" s="85">
        <v>93282</v>
      </c>
      <c r="B23" s="77" t="s">
        <v>770</v>
      </c>
      <c r="C23" s="572" t="s">
        <v>785</v>
      </c>
      <c r="D23" s="573"/>
      <c r="E23" s="574"/>
      <c r="F23" s="90" t="s">
        <v>786</v>
      </c>
      <c r="G23" s="85">
        <v>1.1999999999999999E-3</v>
      </c>
      <c r="H23" s="87">
        <v>24.27</v>
      </c>
      <c r="I23" s="103">
        <f>TRUNC(ROUND(G23*H23,2),2)</f>
        <v>0.03</v>
      </c>
    </row>
    <row r="24" spans="1:17" x14ac:dyDescent="0.25">
      <c r="A24" s="565" t="s">
        <v>787</v>
      </c>
      <c r="B24" s="565"/>
      <c r="C24" s="565"/>
      <c r="D24" s="565"/>
      <c r="E24" s="565"/>
      <c r="F24" s="565"/>
      <c r="G24" s="565"/>
      <c r="H24" s="565"/>
      <c r="I24" s="284">
        <f>SUM(I22:I23)</f>
        <v>0.05</v>
      </c>
    </row>
    <row r="25" spans="1:17" x14ac:dyDescent="0.25">
      <c r="A25" s="575"/>
      <c r="B25" s="576"/>
      <c r="C25" s="576"/>
      <c r="D25" s="576"/>
      <c r="E25" s="576"/>
      <c r="F25" s="576"/>
      <c r="G25" s="576"/>
      <c r="H25" s="576"/>
      <c r="I25" s="577"/>
    </row>
    <row r="26" spans="1:17" x14ac:dyDescent="0.25">
      <c r="A26" s="554" t="s">
        <v>788</v>
      </c>
      <c r="B26" s="554"/>
      <c r="C26" s="554"/>
      <c r="D26" s="554"/>
      <c r="E26" s="554"/>
      <c r="F26" s="554"/>
      <c r="G26" s="554"/>
      <c r="H26" s="554"/>
      <c r="I26" s="554"/>
    </row>
    <row r="27" spans="1:17" x14ac:dyDescent="0.25">
      <c r="A27" s="570" t="s">
        <v>789</v>
      </c>
      <c r="B27" s="570"/>
      <c r="C27" s="570"/>
      <c r="D27" s="570"/>
      <c r="E27" s="570"/>
      <c r="F27" s="570"/>
      <c r="G27" s="570"/>
      <c r="H27" s="570"/>
      <c r="I27" s="98">
        <f>I12</f>
        <v>2.1799999999999997</v>
      </c>
    </row>
    <row r="28" spans="1:17" x14ac:dyDescent="0.25">
      <c r="A28" s="570" t="s">
        <v>790</v>
      </c>
      <c r="B28" s="570"/>
      <c r="C28" s="570"/>
      <c r="D28" s="570"/>
      <c r="E28" s="570"/>
      <c r="F28" s="570"/>
      <c r="G28" s="570"/>
      <c r="H28" s="570"/>
      <c r="I28" s="98">
        <f>I18</f>
        <v>234.89</v>
      </c>
    </row>
    <row r="29" spans="1:17" x14ac:dyDescent="0.25">
      <c r="A29" s="570" t="s">
        <v>791</v>
      </c>
      <c r="B29" s="570"/>
      <c r="C29" s="570"/>
      <c r="D29" s="570"/>
      <c r="E29" s="570"/>
      <c r="F29" s="570"/>
      <c r="G29" s="570"/>
      <c r="H29" s="570"/>
      <c r="I29" s="285">
        <f>I24</f>
        <v>0.05</v>
      </c>
    </row>
    <row r="30" spans="1:17" x14ac:dyDescent="0.25">
      <c r="A30" s="570" t="s">
        <v>792</v>
      </c>
      <c r="B30" s="570"/>
      <c r="C30" s="570"/>
      <c r="D30" s="570"/>
      <c r="E30" s="570"/>
      <c r="F30" s="570"/>
      <c r="G30" s="570"/>
      <c r="H30" s="570"/>
      <c r="I30" s="102">
        <f>SUM(I27:I29)</f>
        <v>237.12</v>
      </c>
    </row>
  </sheetData>
  <mergeCells count="26">
    <mergeCell ref="A28:H28"/>
    <mergeCell ref="A29:H29"/>
    <mergeCell ref="A30:H30"/>
    <mergeCell ref="C21:E21"/>
    <mergeCell ref="C22:E22"/>
    <mergeCell ref="A24:H24"/>
    <mergeCell ref="A25:I25"/>
    <mergeCell ref="A26:I26"/>
    <mergeCell ref="A27:H27"/>
    <mergeCell ref="C23:E23"/>
    <mergeCell ref="A20:I20"/>
    <mergeCell ref="C9:E9"/>
    <mergeCell ref="C10:D10"/>
    <mergeCell ref="C11:D11"/>
    <mergeCell ref="A12:H12"/>
    <mergeCell ref="A14:I14"/>
    <mergeCell ref="C15:E15"/>
    <mergeCell ref="C16:E16"/>
    <mergeCell ref="C17:E17"/>
    <mergeCell ref="A18:H18"/>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view="pageBreakPreview" zoomScale="95" zoomScaleNormal="100" zoomScaleSheetLayoutView="95" workbookViewId="0">
      <selection activeCell="K27" sqref="K27"/>
    </sheetView>
  </sheetViews>
  <sheetFormatPr defaultRowHeight="15" x14ac:dyDescent="0.25"/>
  <cols>
    <col min="1" max="1" width="12.28515625" style="99" customWidth="1"/>
    <col min="2" max="2" width="10" style="99" bestFit="1" customWidth="1"/>
    <col min="3" max="3" width="9.140625" style="100"/>
    <col min="4" max="4" width="58.7109375" style="100" customWidth="1"/>
    <col min="5" max="5" width="20.140625" style="100" customWidth="1"/>
    <col min="6" max="6" width="7.7109375" style="100" customWidth="1"/>
    <col min="7" max="7" width="8.5703125" style="100" bestFit="1" customWidth="1"/>
    <col min="8" max="8" width="8.42578125" style="100" bestFit="1" customWidth="1"/>
    <col min="9" max="9" width="11"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72">
        <v>44866</v>
      </c>
    </row>
    <row r="4" spans="1:9" x14ac:dyDescent="0.25">
      <c r="A4" s="555"/>
      <c r="B4" s="555"/>
      <c r="C4" s="555"/>
      <c r="D4" s="555"/>
      <c r="E4" s="555"/>
      <c r="F4" s="555"/>
      <c r="G4" s="555"/>
      <c r="H4" s="555"/>
      <c r="I4" s="114" t="s">
        <v>215</v>
      </c>
    </row>
    <row r="5" spans="1:9" x14ac:dyDescent="0.25">
      <c r="A5" s="557" t="s">
        <v>793</v>
      </c>
      <c r="B5" s="557"/>
      <c r="C5" s="557"/>
      <c r="D5" s="557"/>
      <c r="E5" s="557"/>
      <c r="F5" s="557"/>
      <c r="G5" s="557"/>
      <c r="H5" s="557"/>
      <c r="I5" s="558" t="s">
        <v>761</v>
      </c>
    </row>
    <row r="6" spans="1:9" x14ac:dyDescent="0.25">
      <c r="A6" s="557"/>
      <c r="B6" s="557"/>
      <c r="C6" s="557"/>
      <c r="D6" s="557"/>
      <c r="E6" s="557"/>
      <c r="F6" s="557"/>
      <c r="G6" s="557"/>
      <c r="H6" s="557"/>
      <c r="I6" s="558"/>
    </row>
    <row r="7" spans="1:9" x14ac:dyDescent="0.25">
      <c r="A7" s="559" t="s">
        <v>794</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x14ac:dyDescent="0.25">
      <c r="A10" s="101" t="s">
        <v>896</v>
      </c>
      <c r="B10" s="101" t="s">
        <v>22</v>
      </c>
      <c r="C10" s="564" t="s">
        <v>895</v>
      </c>
      <c r="D10" s="563"/>
      <c r="E10" s="80" t="s">
        <v>771</v>
      </c>
      <c r="F10" s="112" t="s">
        <v>772</v>
      </c>
      <c r="G10" s="78">
        <v>0.21299999999999999</v>
      </c>
      <c r="H10" s="81">
        <v>32.57</v>
      </c>
      <c r="I10" s="103">
        <f>TRUNC(ROUND(G10*H10,2),2)</f>
        <v>6.94</v>
      </c>
    </row>
    <row r="11" spans="1:9" ht="15" customHeight="1" x14ac:dyDescent="0.25">
      <c r="A11" s="101" t="s">
        <v>892</v>
      </c>
      <c r="B11" s="101" t="s">
        <v>22</v>
      </c>
      <c r="C11" s="562" t="s">
        <v>891</v>
      </c>
      <c r="D11" s="563"/>
      <c r="E11" s="80" t="s">
        <v>771</v>
      </c>
      <c r="F11" s="112" t="s">
        <v>772</v>
      </c>
      <c r="G11" s="78">
        <v>0.106</v>
      </c>
      <c r="H11" s="81">
        <v>15.85</v>
      </c>
      <c r="I11" s="103">
        <f>TRUNC(ROUND(G11*H11,2),2)</f>
        <v>1.68</v>
      </c>
    </row>
    <row r="12" spans="1:9" x14ac:dyDescent="0.25">
      <c r="A12" s="565" t="s">
        <v>773</v>
      </c>
      <c r="B12" s="565"/>
      <c r="C12" s="565"/>
      <c r="D12" s="565"/>
      <c r="E12" s="565"/>
      <c r="F12" s="565"/>
      <c r="G12" s="565"/>
      <c r="H12" s="565"/>
      <c r="I12" s="83">
        <f>I10+I11</f>
        <v>8.620000000000001</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29.25" customHeight="1" x14ac:dyDescent="0.25">
      <c r="A16" s="90" t="s">
        <v>795</v>
      </c>
      <c r="B16" s="77" t="s">
        <v>770</v>
      </c>
      <c r="C16" s="566" t="s">
        <v>796</v>
      </c>
      <c r="D16" s="566"/>
      <c r="E16" s="566"/>
      <c r="F16" s="90" t="s">
        <v>797</v>
      </c>
      <c r="G16" s="104">
        <v>7.0000000000000001E-3</v>
      </c>
      <c r="H16" s="91">
        <v>206.48</v>
      </c>
      <c r="I16" s="103">
        <f>TRUNC(ROUND(G16*H16,2),2)</f>
        <v>1.45</v>
      </c>
    </row>
    <row r="17" spans="1:17" ht="28.5" customHeight="1" x14ac:dyDescent="0.25">
      <c r="A17" s="90" t="s">
        <v>798</v>
      </c>
      <c r="B17" s="77" t="s">
        <v>770</v>
      </c>
      <c r="C17" s="567" t="s">
        <v>799</v>
      </c>
      <c r="D17" s="568"/>
      <c r="E17" s="569"/>
      <c r="F17" s="90" t="s">
        <v>800</v>
      </c>
      <c r="G17" s="104">
        <v>4.3330000000000002</v>
      </c>
      <c r="H17" s="91">
        <v>11.26</v>
      </c>
      <c r="I17" s="103">
        <f>TRUNC(ROUND(G17*H17,2),2)</f>
        <v>48.79</v>
      </c>
    </row>
    <row r="18" spans="1:17" x14ac:dyDescent="0.25">
      <c r="A18" s="565" t="s">
        <v>781</v>
      </c>
      <c r="B18" s="565"/>
      <c r="C18" s="565"/>
      <c r="D18" s="565"/>
      <c r="E18" s="565"/>
      <c r="F18" s="565"/>
      <c r="G18" s="565"/>
      <c r="H18" s="565"/>
      <c r="I18" s="97">
        <f>SUM(I16:I17)</f>
        <v>50.24</v>
      </c>
    </row>
    <row r="19" spans="1:17" x14ac:dyDescent="0.25">
      <c r="A19" s="111"/>
      <c r="B19" s="111"/>
      <c r="C19" s="111"/>
      <c r="D19" s="111"/>
      <c r="E19" s="111"/>
      <c r="F19" s="111"/>
      <c r="G19" s="111"/>
      <c r="H19" s="111"/>
      <c r="I19" s="83"/>
    </row>
    <row r="20" spans="1:17" x14ac:dyDescent="0.25">
      <c r="A20" s="560" t="s">
        <v>782</v>
      </c>
      <c r="B20" s="560"/>
      <c r="C20" s="560"/>
      <c r="D20" s="560"/>
      <c r="E20" s="560"/>
      <c r="F20" s="560"/>
      <c r="G20" s="560"/>
      <c r="H20" s="560"/>
      <c r="I20" s="560"/>
    </row>
    <row r="21" spans="1:17" x14ac:dyDescent="0.25">
      <c r="A21" s="79"/>
      <c r="B21" s="112"/>
      <c r="C21" s="571" t="s">
        <v>765</v>
      </c>
      <c r="D21" s="571"/>
      <c r="E21" s="571"/>
      <c r="F21" s="112" t="s">
        <v>766</v>
      </c>
      <c r="G21" s="84" t="s">
        <v>767</v>
      </c>
      <c r="H21" s="81" t="s">
        <v>768</v>
      </c>
      <c r="I21" s="82" t="s">
        <v>769</v>
      </c>
      <c r="Q21" s="110"/>
    </row>
    <row r="22" spans="1:17" ht="28.5" customHeight="1" x14ac:dyDescent="0.25">
      <c r="A22" s="85">
        <v>93281</v>
      </c>
      <c r="B22" s="77" t="s">
        <v>770</v>
      </c>
      <c r="C22" s="572" t="s">
        <v>801</v>
      </c>
      <c r="D22" s="573"/>
      <c r="E22" s="574"/>
      <c r="F22" s="90" t="s">
        <v>784</v>
      </c>
      <c r="G22" s="104">
        <v>6.7999999999999996E-3</v>
      </c>
      <c r="H22" s="91">
        <v>25.2</v>
      </c>
      <c r="I22" s="103">
        <f>TRUNC(ROUND(G22*H22,2),2)</f>
        <v>0.17</v>
      </c>
    </row>
    <row r="23" spans="1:17" ht="30" customHeight="1" x14ac:dyDescent="0.25">
      <c r="A23" s="85">
        <v>93282</v>
      </c>
      <c r="B23" s="77" t="s">
        <v>770</v>
      </c>
      <c r="C23" s="572" t="s">
        <v>785</v>
      </c>
      <c r="D23" s="573"/>
      <c r="E23" s="574"/>
      <c r="F23" s="90" t="s">
        <v>786</v>
      </c>
      <c r="G23" s="86">
        <v>9.4000000000000004E-3</v>
      </c>
      <c r="H23" s="87">
        <v>24.27</v>
      </c>
      <c r="I23" s="103">
        <f>TRUNC(ROUND(G23*H23,2),2)</f>
        <v>0.23</v>
      </c>
    </row>
    <row r="24" spans="1:17" x14ac:dyDescent="0.25">
      <c r="A24" s="565" t="s">
        <v>787</v>
      </c>
      <c r="B24" s="565"/>
      <c r="C24" s="565"/>
      <c r="D24" s="565"/>
      <c r="E24" s="565"/>
      <c r="F24" s="565"/>
      <c r="G24" s="565"/>
      <c r="H24" s="565"/>
      <c r="I24" s="284">
        <f>SUM(I22:I23)</f>
        <v>0.4</v>
      </c>
    </row>
    <row r="25" spans="1:17" x14ac:dyDescent="0.25">
      <c r="A25" s="575"/>
      <c r="B25" s="576"/>
      <c r="C25" s="576"/>
      <c r="D25" s="576"/>
      <c r="E25" s="576"/>
      <c r="F25" s="576"/>
      <c r="G25" s="576"/>
      <c r="H25" s="576"/>
      <c r="I25" s="577"/>
    </row>
    <row r="26" spans="1:17" x14ac:dyDescent="0.25">
      <c r="A26" s="554" t="s">
        <v>788</v>
      </c>
      <c r="B26" s="554"/>
      <c r="C26" s="554"/>
      <c r="D26" s="554"/>
      <c r="E26" s="554"/>
      <c r="F26" s="554"/>
      <c r="G26" s="554"/>
      <c r="H26" s="554"/>
      <c r="I26" s="554"/>
    </row>
    <row r="27" spans="1:17" x14ac:dyDescent="0.25">
      <c r="A27" s="570" t="s">
        <v>789</v>
      </c>
      <c r="B27" s="570"/>
      <c r="C27" s="570"/>
      <c r="D27" s="570"/>
      <c r="E27" s="570"/>
      <c r="F27" s="570"/>
      <c r="G27" s="570"/>
      <c r="H27" s="570"/>
      <c r="I27" s="98">
        <f>I12</f>
        <v>8.620000000000001</v>
      </c>
    </row>
    <row r="28" spans="1:17" x14ac:dyDescent="0.25">
      <c r="A28" s="570" t="s">
        <v>790</v>
      </c>
      <c r="B28" s="570"/>
      <c r="C28" s="570"/>
      <c r="D28" s="570"/>
      <c r="E28" s="570"/>
      <c r="F28" s="570"/>
      <c r="G28" s="570"/>
      <c r="H28" s="570"/>
      <c r="I28" s="98">
        <f>I18</f>
        <v>50.24</v>
      </c>
    </row>
    <row r="29" spans="1:17" x14ac:dyDescent="0.25">
      <c r="A29" s="570" t="s">
        <v>791</v>
      </c>
      <c r="B29" s="570"/>
      <c r="C29" s="570"/>
      <c r="D29" s="570"/>
      <c r="E29" s="570"/>
      <c r="F29" s="570"/>
      <c r="G29" s="570"/>
      <c r="H29" s="570"/>
      <c r="I29" s="285">
        <f>I24</f>
        <v>0.4</v>
      </c>
    </row>
    <row r="30" spans="1:17" x14ac:dyDescent="0.25">
      <c r="A30" s="570" t="s">
        <v>792</v>
      </c>
      <c r="B30" s="570"/>
      <c r="C30" s="570"/>
      <c r="D30" s="570"/>
      <c r="E30" s="570"/>
      <c r="F30" s="570"/>
      <c r="G30" s="570"/>
      <c r="H30" s="570"/>
      <c r="I30" s="102">
        <f>SUM(I27:I29)</f>
        <v>59.26</v>
      </c>
    </row>
  </sheetData>
  <mergeCells count="26">
    <mergeCell ref="A29:H29"/>
    <mergeCell ref="A30:H30"/>
    <mergeCell ref="C23:E23"/>
    <mergeCell ref="A24:H24"/>
    <mergeCell ref="A25:I25"/>
    <mergeCell ref="A26:I26"/>
    <mergeCell ref="A27:H27"/>
    <mergeCell ref="A28:H28"/>
    <mergeCell ref="C22:E22"/>
    <mergeCell ref="C9:E9"/>
    <mergeCell ref="C10:D10"/>
    <mergeCell ref="C11:D11"/>
    <mergeCell ref="A12:H12"/>
    <mergeCell ref="A14:I14"/>
    <mergeCell ref="C15:E15"/>
    <mergeCell ref="C16:E16"/>
    <mergeCell ref="C17:E17"/>
    <mergeCell ref="A18:H18"/>
    <mergeCell ref="A20:I20"/>
    <mergeCell ref="C21:E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6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33"/>
  <sheetViews>
    <sheetView view="pageBreakPreview" topLeftCell="A4" zoomScaleNormal="100" zoomScaleSheetLayoutView="100" workbookViewId="0">
      <selection activeCell="I10" sqref="I10"/>
    </sheetView>
  </sheetViews>
  <sheetFormatPr defaultRowHeight="15" x14ac:dyDescent="0.25"/>
  <cols>
    <col min="1" max="1" width="12.28515625" style="99" customWidth="1"/>
    <col min="2" max="2" width="10" style="99" bestFit="1" customWidth="1"/>
    <col min="3" max="3" width="9.140625" style="100"/>
    <col min="4" max="4" width="33.85546875" style="100" customWidth="1"/>
    <col min="5" max="5" width="20.140625" style="100" customWidth="1"/>
    <col min="6" max="6" width="7.7109375" style="100" customWidth="1"/>
    <col min="7" max="7" width="8.5703125" style="100" bestFit="1" customWidth="1"/>
    <col min="8" max="8" width="8.42578125" style="100" bestFit="1" customWidth="1"/>
    <col min="9" max="9" width="11"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72">
        <v>44866</v>
      </c>
    </row>
    <row r="4" spans="1:9" x14ac:dyDescent="0.25">
      <c r="A4" s="555"/>
      <c r="B4" s="555"/>
      <c r="C4" s="555"/>
      <c r="D4" s="555"/>
      <c r="E4" s="555"/>
      <c r="F4" s="555"/>
      <c r="G4" s="555"/>
      <c r="H4" s="555"/>
      <c r="I4" s="114" t="s">
        <v>218</v>
      </c>
    </row>
    <row r="5" spans="1:9" x14ac:dyDescent="0.25">
      <c r="A5" s="557" t="s">
        <v>802</v>
      </c>
      <c r="B5" s="557"/>
      <c r="C5" s="557"/>
      <c r="D5" s="557"/>
      <c r="E5" s="557"/>
      <c r="F5" s="557"/>
      <c r="G5" s="557"/>
      <c r="H5" s="557"/>
      <c r="I5" s="558" t="s">
        <v>803</v>
      </c>
    </row>
    <row r="6" spans="1:9" x14ac:dyDescent="0.25">
      <c r="A6" s="557"/>
      <c r="B6" s="557"/>
      <c r="C6" s="557"/>
      <c r="D6" s="557"/>
      <c r="E6" s="557"/>
      <c r="F6" s="557"/>
      <c r="G6" s="557"/>
      <c r="H6" s="557"/>
      <c r="I6" s="558"/>
    </row>
    <row r="7" spans="1:9" x14ac:dyDescent="0.25">
      <c r="A7" s="559" t="s">
        <v>804</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x14ac:dyDescent="0.25">
      <c r="A10" s="101" t="s">
        <v>892</v>
      </c>
      <c r="B10" s="101" t="s">
        <v>22</v>
      </c>
      <c r="C10" s="562" t="s">
        <v>891</v>
      </c>
      <c r="D10" s="563"/>
      <c r="E10" s="80" t="s">
        <v>771</v>
      </c>
      <c r="F10" s="112" t="s">
        <v>772</v>
      </c>
      <c r="G10" s="78">
        <v>0.28199999999999997</v>
      </c>
      <c r="H10" s="81">
        <v>15.85</v>
      </c>
      <c r="I10" s="103">
        <f>TRUNC(ROUND(G10*H10,2),2)</f>
        <v>4.47</v>
      </c>
    </row>
    <row r="11" spans="1:9" x14ac:dyDescent="0.25">
      <c r="A11" s="101" t="s">
        <v>894</v>
      </c>
      <c r="B11" s="101" t="s">
        <v>22</v>
      </c>
      <c r="C11" s="564" t="s">
        <v>893</v>
      </c>
      <c r="D11" s="563"/>
      <c r="E11" s="80" t="s">
        <v>771</v>
      </c>
      <c r="F11" s="112" t="s">
        <v>772</v>
      </c>
      <c r="G11" s="78">
        <v>0.188</v>
      </c>
      <c r="H11" s="81">
        <v>21.35</v>
      </c>
      <c r="I11" s="103">
        <f>TRUNC(ROUND(G11*H11,2),2)</f>
        <v>4.01</v>
      </c>
    </row>
    <row r="12" spans="1:9" x14ac:dyDescent="0.25">
      <c r="A12" s="565" t="s">
        <v>773</v>
      </c>
      <c r="B12" s="565"/>
      <c r="C12" s="565"/>
      <c r="D12" s="565"/>
      <c r="E12" s="565"/>
      <c r="F12" s="565"/>
      <c r="G12" s="565"/>
      <c r="H12" s="565"/>
      <c r="I12" s="83">
        <f>I10+I11</f>
        <v>8.48</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33" customHeight="1" x14ac:dyDescent="0.25">
      <c r="A16" s="90" t="s">
        <v>805</v>
      </c>
      <c r="B16" s="77" t="s">
        <v>770</v>
      </c>
      <c r="C16" s="566" t="s">
        <v>806</v>
      </c>
      <c r="D16" s="566"/>
      <c r="E16" s="566"/>
      <c r="F16" s="90" t="s">
        <v>807</v>
      </c>
      <c r="G16" s="104">
        <v>5.2999999999999999E-2</v>
      </c>
      <c r="H16" s="91">
        <v>31.41</v>
      </c>
      <c r="I16" s="103">
        <f>TRUNC(ROUND(G16*H16,2),2)</f>
        <v>1.66</v>
      </c>
    </row>
    <row r="17" spans="1:17" x14ac:dyDescent="0.25">
      <c r="A17" s="90" t="s">
        <v>808</v>
      </c>
      <c r="B17" s="77" t="s">
        <v>770</v>
      </c>
      <c r="C17" s="567" t="s">
        <v>809</v>
      </c>
      <c r="D17" s="568"/>
      <c r="E17" s="569"/>
      <c r="F17" s="90" t="s">
        <v>800</v>
      </c>
      <c r="G17" s="104">
        <v>8.0000000000000002E-3</v>
      </c>
      <c r="H17" s="91">
        <v>28.9</v>
      </c>
      <c r="I17" s="103">
        <f>TRUNC(ROUND(G17*H17,2),2)</f>
        <v>0.23</v>
      </c>
    </row>
    <row r="18" spans="1:17" ht="30.75" customHeight="1" x14ac:dyDescent="0.25">
      <c r="A18" s="90" t="s">
        <v>810</v>
      </c>
      <c r="B18" s="77" t="s">
        <v>770</v>
      </c>
      <c r="C18" s="567" t="s">
        <v>811</v>
      </c>
      <c r="D18" s="568"/>
      <c r="E18" s="569"/>
      <c r="F18" s="90" t="s">
        <v>800</v>
      </c>
      <c r="G18" s="104">
        <v>1.6000000000000001E-3</v>
      </c>
      <c r="H18" s="91">
        <v>67.02</v>
      </c>
      <c r="I18" s="103">
        <f>TRUNC(ROUND(G18*H18,2),2)</f>
        <v>0.11</v>
      </c>
    </row>
    <row r="19" spans="1:17" x14ac:dyDescent="0.25">
      <c r="A19" s="90" t="s">
        <v>812</v>
      </c>
      <c r="B19" s="77" t="s">
        <v>770</v>
      </c>
      <c r="C19" s="567" t="s">
        <v>813</v>
      </c>
      <c r="D19" s="568"/>
      <c r="E19" s="569"/>
      <c r="F19" s="90" t="s">
        <v>800</v>
      </c>
      <c r="G19" s="104">
        <v>5.8999999999999997E-2</v>
      </c>
      <c r="H19" s="91">
        <v>131.38999999999999</v>
      </c>
      <c r="I19" s="103">
        <f>TRUNC(ROUND(G19*H19,2),2)</f>
        <v>7.75</v>
      </c>
    </row>
    <row r="20" spans="1:17" ht="30" customHeight="1" x14ac:dyDescent="0.25">
      <c r="A20" s="90" t="s">
        <v>814</v>
      </c>
      <c r="B20" s="77" t="s">
        <v>770</v>
      </c>
      <c r="C20" s="567" t="s">
        <v>815</v>
      </c>
      <c r="D20" s="568"/>
      <c r="E20" s="569"/>
      <c r="F20" s="90" t="s">
        <v>816</v>
      </c>
      <c r="G20" s="104">
        <v>1.05</v>
      </c>
      <c r="H20" s="91">
        <v>55.9</v>
      </c>
      <c r="I20" s="103">
        <f>TRUNC(ROUND(G20*H20,2),2)</f>
        <v>58.7</v>
      </c>
    </row>
    <row r="21" spans="1:17" x14ac:dyDescent="0.25">
      <c r="A21" s="565" t="s">
        <v>781</v>
      </c>
      <c r="B21" s="565"/>
      <c r="C21" s="565"/>
      <c r="D21" s="565"/>
      <c r="E21" s="565"/>
      <c r="F21" s="565"/>
      <c r="G21" s="565"/>
      <c r="H21" s="565"/>
      <c r="I21" s="97">
        <f>SUM(I16:I20)</f>
        <v>68.45</v>
      </c>
    </row>
    <row r="22" spans="1:17" x14ac:dyDescent="0.25">
      <c r="A22" s="111"/>
      <c r="B22" s="111"/>
      <c r="C22" s="111"/>
      <c r="D22" s="111"/>
      <c r="E22" s="111"/>
      <c r="F22" s="111"/>
      <c r="G22" s="111"/>
      <c r="H22" s="111"/>
      <c r="I22" s="83"/>
    </row>
    <row r="23" spans="1:17" x14ac:dyDescent="0.25">
      <c r="A23" s="560" t="s">
        <v>782</v>
      </c>
      <c r="B23" s="560"/>
      <c r="C23" s="560"/>
      <c r="D23" s="560"/>
      <c r="E23" s="560"/>
      <c r="F23" s="560"/>
      <c r="G23" s="560"/>
      <c r="H23" s="560"/>
      <c r="I23" s="560"/>
    </row>
    <row r="24" spans="1:17" x14ac:dyDescent="0.25">
      <c r="A24" s="79"/>
      <c r="B24" s="112"/>
      <c r="C24" s="571" t="s">
        <v>765</v>
      </c>
      <c r="D24" s="571"/>
      <c r="E24" s="571"/>
      <c r="F24" s="112" t="s">
        <v>766</v>
      </c>
      <c r="G24" s="84" t="s">
        <v>767</v>
      </c>
      <c r="H24" s="81" t="s">
        <v>768</v>
      </c>
      <c r="I24" s="82" t="s">
        <v>769</v>
      </c>
      <c r="Q24" s="110"/>
    </row>
    <row r="25" spans="1:17" ht="28.5" customHeight="1" x14ac:dyDescent="0.25">
      <c r="A25" s="85">
        <v>93281</v>
      </c>
      <c r="B25" s="77" t="s">
        <v>770</v>
      </c>
      <c r="C25" s="572" t="s">
        <v>783</v>
      </c>
      <c r="D25" s="573"/>
      <c r="E25" s="574"/>
      <c r="F25" s="90" t="s">
        <v>784</v>
      </c>
      <c r="G25" s="104">
        <v>1.32E-2</v>
      </c>
      <c r="H25" s="91">
        <v>25.2</v>
      </c>
      <c r="I25" s="103">
        <f>TRUNC(ROUND(G25*H25,2),2)</f>
        <v>0.33</v>
      </c>
    </row>
    <row r="26" spans="1:17" ht="30" customHeight="1" x14ac:dyDescent="0.25">
      <c r="A26" s="85">
        <v>93282</v>
      </c>
      <c r="B26" s="77" t="s">
        <v>770</v>
      </c>
      <c r="C26" s="572" t="s">
        <v>785</v>
      </c>
      <c r="D26" s="573"/>
      <c r="E26" s="574"/>
      <c r="F26" s="90" t="s">
        <v>786</v>
      </c>
      <c r="G26" s="86">
        <v>1.83E-2</v>
      </c>
      <c r="H26" s="87">
        <v>24.27</v>
      </c>
      <c r="I26" s="103">
        <f>TRUNC(ROUND(G26*H26,2),2)</f>
        <v>0.44</v>
      </c>
    </row>
    <row r="27" spans="1:17" x14ac:dyDescent="0.25">
      <c r="A27" s="565" t="s">
        <v>787</v>
      </c>
      <c r="B27" s="565"/>
      <c r="C27" s="565"/>
      <c r="D27" s="565"/>
      <c r="E27" s="565"/>
      <c r="F27" s="565"/>
      <c r="G27" s="565"/>
      <c r="H27" s="565"/>
      <c r="I27" s="284">
        <f>SUM(I25:I26)</f>
        <v>0.77</v>
      </c>
    </row>
    <row r="28" spans="1:17" x14ac:dyDescent="0.25">
      <c r="A28" s="575"/>
      <c r="B28" s="576"/>
      <c r="C28" s="576"/>
      <c r="D28" s="576"/>
      <c r="E28" s="576"/>
      <c r="F28" s="576"/>
      <c r="G28" s="576"/>
      <c r="H28" s="576"/>
      <c r="I28" s="577"/>
    </row>
    <row r="29" spans="1:17" x14ac:dyDescent="0.25">
      <c r="A29" s="554" t="s">
        <v>788</v>
      </c>
      <c r="B29" s="554"/>
      <c r="C29" s="554"/>
      <c r="D29" s="554"/>
      <c r="E29" s="554"/>
      <c r="F29" s="554"/>
      <c r="G29" s="554"/>
      <c r="H29" s="554"/>
      <c r="I29" s="554"/>
    </row>
    <row r="30" spans="1:17" x14ac:dyDescent="0.25">
      <c r="A30" s="570" t="s">
        <v>789</v>
      </c>
      <c r="B30" s="570"/>
      <c r="C30" s="570"/>
      <c r="D30" s="570"/>
      <c r="E30" s="570"/>
      <c r="F30" s="570"/>
      <c r="G30" s="570"/>
      <c r="H30" s="570"/>
      <c r="I30" s="98">
        <f>I12</f>
        <v>8.48</v>
      </c>
    </row>
    <row r="31" spans="1:17" x14ac:dyDescent="0.25">
      <c r="A31" s="570" t="s">
        <v>790</v>
      </c>
      <c r="B31" s="570"/>
      <c r="C31" s="570"/>
      <c r="D31" s="570"/>
      <c r="E31" s="570"/>
      <c r="F31" s="570"/>
      <c r="G31" s="570"/>
      <c r="H31" s="570"/>
      <c r="I31" s="98">
        <f>I21</f>
        <v>68.45</v>
      </c>
    </row>
    <row r="32" spans="1:17" x14ac:dyDescent="0.25">
      <c r="A32" s="570" t="s">
        <v>791</v>
      </c>
      <c r="B32" s="570"/>
      <c r="C32" s="570"/>
      <c r="D32" s="570"/>
      <c r="E32" s="570"/>
      <c r="F32" s="570"/>
      <c r="G32" s="570"/>
      <c r="H32" s="570"/>
      <c r="I32" s="285">
        <f>I27</f>
        <v>0.77</v>
      </c>
    </row>
    <row r="33" spans="1:9" x14ac:dyDescent="0.25">
      <c r="A33" s="570" t="s">
        <v>792</v>
      </c>
      <c r="B33" s="570"/>
      <c r="C33" s="570"/>
      <c r="D33" s="570"/>
      <c r="E33" s="570"/>
      <c r="F33" s="570"/>
      <c r="G33" s="570"/>
      <c r="H33" s="570"/>
      <c r="I33" s="102">
        <f>SUM(I30:I32)</f>
        <v>77.7</v>
      </c>
    </row>
  </sheetData>
  <mergeCells count="29">
    <mergeCell ref="A32:H32"/>
    <mergeCell ref="A33:H33"/>
    <mergeCell ref="C18:E18"/>
    <mergeCell ref="C19:E19"/>
    <mergeCell ref="C20:E20"/>
    <mergeCell ref="C26:E26"/>
    <mergeCell ref="A27:H27"/>
    <mergeCell ref="A28:I28"/>
    <mergeCell ref="A29:I29"/>
    <mergeCell ref="A30:H30"/>
    <mergeCell ref="A31:H31"/>
    <mergeCell ref="C25:E25"/>
    <mergeCell ref="C16:E16"/>
    <mergeCell ref="C17:E17"/>
    <mergeCell ref="A21:H21"/>
    <mergeCell ref="A23:I23"/>
    <mergeCell ref="C24:E24"/>
    <mergeCell ref="C15:E15"/>
    <mergeCell ref="A1:H4"/>
    <mergeCell ref="I1:I2"/>
    <mergeCell ref="A5:H6"/>
    <mergeCell ref="I5:I6"/>
    <mergeCell ref="A7:I7"/>
    <mergeCell ref="A8:I8"/>
    <mergeCell ref="C9:E9"/>
    <mergeCell ref="C10:D10"/>
    <mergeCell ref="C11:D11"/>
    <mergeCell ref="A12:H12"/>
    <mergeCell ref="A14:I14"/>
  </mergeCells>
  <pageMargins left="0.511811024" right="0.511811024" top="0.78740157499999996" bottom="0.78740157499999996" header="0.31496062000000002" footer="0.31496062000000002"/>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31"/>
  <sheetViews>
    <sheetView view="pageBreakPreview" zoomScaleNormal="100" zoomScaleSheetLayoutView="100" workbookViewId="0">
      <selection activeCell="O15" sqref="O15"/>
    </sheetView>
  </sheetViews>
  <sheetFormatPr defaultRowHeight="15" x14ac:dyDescent="0.25"/>
  <cols>
    <col min="1" max="1" width="12.28515625" style="99" customWidth="1"/>
    <col min="2" max="2" width="10" style="99" bestFit="1" customWidth="1"/>
    <col min="3" max="3" width="9.140625" style="100"/>
    <col min="4" max="4" width="20.5703125" style="100" customWidth="1"/>
    <col min="5" max="5" width="20.7109375" style="100" customWidth="1"/>
    <col min="6" max="6" width="5" style="100" bestFit="1" customWidth="1"/>
    <col min="7" max="7" width="8.5703125" style="100" bestFit="1" customWidth="1"/>
    <col min="8" max="8" width="9" style="100" bestFit="1" customWidth="1"/>
    <col min="9" max="9" width="11.140625"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72">
        <v>44866</v>
      </c>
    </row>
    <row r="4" spans="1:9" x14ac:dyDescent="0.25">
      <c r="A4" s="555"/>
      <c r="B4" s="555"/>
      <c r="C4" s="555"/>
      <c r="D4" s="555"/>
      <c r="E4" s="555"/>
      <c r="F4" s="555"/>
      <c r="G4" s="555"/>
      <c r="H4" s="555"/>
      <c r="I4" s="114" t="s">
        <v>817</v>
      </c>
    </row>
    <row r="5" spans="1:9" x14ac:dyDescent="0.25">
      <c r="A5" s="557" t="s">
        <v>818</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820</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28.5" customHeight="1" x14ac:dyDescent="0.25">
      <c r="A10" s="101" t="s">
        <v>821</v>
      </c>
      <c r="B10" s="112" t="s">
        <v>22</v>
      </c>
      <c r="C10" s="562" t="s">
        <v>822</v>
      </c>
      <c r="D10" s="563"/>
      <c r="E10" s="80" t="s">
        <v>771</v>
      </c>
      <c r="F10" s="112" t="s">
        <v>772</v>
      </c>
      <c r="G10" s="78">
        <v>2.85</v>
      </c>
      <c r="H10" s="239">
        <v>18.010000000000002</v>
      </c>
      <c r="I10" s="239">
        <f>TRUNC(ROUND(G10*H10,2),2)</f>
        <v>51.33</v>
      </c>
    </row>
    <row r="11" spans="1:9" ht="32.25" customHeight="1" x14ac:dyDescent="0.25">
      <c r="A11" s="101" t="s">
        <v>823</v>
      </c>
      <c r="B11" s="112" t="s">
        <v>22</v>
      </c>
      <c r="C11" s="562" t="s">
        <v>824</v>
      </c>
      <c r="D11" s="579"/>
      <c r="E11" s="80" t="s">
        <v>771</v>
      </c>
      <c r="F11" s="112" t="s">
        <v>772</v>
      </c>
      <c r="G11" s="78">
        <v>2.85</v>
      </c>
      <c r="H11" s="239">
        <v>21.35</v>
      </c>
      <c r="I11" s="239">
        <f>TRUNC(ROUND(G11*H11,2),2)</f>
        <v>60.85</v>
      </c>
    </row>
    <row r="12" spans="1:9" x14ac:dyDescent="0.25">
      <c r="A12" s="565" t="s">
        <v>773</v>
      </c>
      <c r="B12" s="565"/>
      <c r="C12" s="565"/>
      <c r="D12" s="565"/>
      <c r="E12" s="565"/>
      <c r="F12" s="565"/>
      <c r="G12" s="565"/>
      <c r="H12" s="565"/>
      <c r="I12" s="240">
        <f>TRUNC(ROUND(I10+I11,2),2)</f>
        <v>112.18</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27.75" customHeight="1" x14ac:dyDescent="0.25">
      <c r="A16" s="90" t="s">
        <v>825</v>
      </c>
      <c r="B16" s="112" t="s">
        <v>22</v>
      </c>
      <c r="C16" s="566" t="s">
        <v>904</v>
      </c>
      <c r="D16" s="566"/>
      <c r="E16" s="566"/>
      <c r="F16" s="90" t="s">
        <v>47</v>
      </c>
      <c r="G16" s="106">
        <v>1</v>
      </c>
      <c r="H16" s="237">
        <v>17.86</v>
      </c>
      <c r="I16" s="239">
        <f>TRUNC(ROUND(G16*H16,2),2)</f>
        <v>17.86</v>
      </c>
    </row>
    <row r="17" spans="1:9" ht="27.75" customHeight="1" x14ac:dyDescent="0.25">
      <c r="A17" s="90" t="s">
        <v>826</v>
      </c>
      <c r="B17" s="112" t="s">
        <v>22</v>
      </c>
      <c r="C17" s="566" t="s">
        <v>827</v>
      </c>
      <c r="D17" s="566"/>
      <c r="E17" s="566"/>
      <c r="F17" s="90" t="s">
        <v>47</v>
      </c>
      <c r="G17" s="106">
        <v>2</v>
      </c>
      <c r="H17" s="237">
        <v>0.17</v>
      </c>
      <c r="I17" s="239">
        <f>TRUNC(ROUND(G17*H17,2),2)</f>
        <v>0.34</v>
      </c>
    </row>
    <row r="18" spans="1:9" ht="27.75" customHeight="1" x14ac:dyDescent="0.25">
      <c r="A18" s="90" t="s">
        <v>828</v>
      </c>
      <c r="B18" s="112" t="s">
        <v>22</v>
      </c>
      <c r="C18" s="566" t="s">
        <v>829</v>
      </c>
      <c r="D18" s="566"/>
      <c r="E18" s="566"/>
      <c r="F18" s="90" t="s">
        <v>47</v>
      </c>
      <c r="G18" s="106">
        <v>2</v>
      </c>
      <c r="H18" s="237">
        <v>13.85</v>
      </c>
      <c r="I18" s="239">
        <f>TRUNC(ROUND(G18*H18,2),2)</f>
        <v>27.7</v>
      </c>
    </row>
    <row r="19" spans="1:9" x14ac:dyDescent="0.25">
      <c r="A19" s="565" t="s">
        <v>781</v>
      </c>
      <c r="B19" s="565"/>
      <c r="C19" s="565"/>
      <c r="D19" s="565"/>
      <c r="E19" s="565"/>
      <c r="F19" s="565"/>
      <c r="G19" s="565"/>
      <c r="H19" s="565"/>
      <c r="I19" s="238">
        <f>SUM(I16:I18)</f>
        <v>45.9</v>
      </c>
    </row>
    <row r="20" spans="1:9" x14ac:dyDescent="0.25">
      <c r="A20" s="111"/>
      <c r="B20" s="111"/>
      <c r="C20" s="111"/>
      <c r="D20" s="111"/>
      <c r="E20" s="111"/>
      <c r="F20" s="111"/>
      <c r="G20" s="111"/>
      <c r="H20" s="111"/>
      <c r="I20" s="83"/>
    </row>
    <row r="21" spans="1:9" x14ac:dyDescent="0.25">
      <c r="A21" s="111"/>
      <c r="B21" s="111"/>
      <c r="C21" s="111"/>
      <c r="D21" s="111"/>
      <c r="E21" s="111"/>
      <c r="F21" s="111"/>
      <c r="G21" s="111"/>
      <c r="H21" s="111"/>
      <c r="I21" s="83"/>
    </row>
    <row r="22" spans="1:9" x14ac:dyDescent="0.25">
      <c r="A22" s="560" t="s">
        <v>782</v>
      </c>
      <c r="B22" s="560"/>
      <c r="C22" s="560"/>
      <c r="D22" s="560"/>
      <c r="E22" s="560"/>
      <c r="F22" s="560"/>
      <c r="G22" s="560"/>
      <c r="H22" s="560"/>
      <c r="I22" s="560"/>
    </row>
    <row r="23" spans="1:9" x14ac:dyDescent="0.25">
      <c r="A23" s="79"/>
      <c r="B23" s="112"/>
      <c r="C23" s="571" t="s">
        <v>765</v>
      </c>
      <c r="D23" s="571"/>
      <c r="E23" s="571"/>
      <c r="F23" s="112" t="s">
        <v>766</v>
      </c>
      <c r="G23" s="84" t="s">
        <v>767</v>
      </c>
      <c r="H23" s="81" t="s">
        <v>768</v>
      </c>
      <c r="I23" s="82" t="s">
        <v>769</v>
      </c>
    </row>
    <row r="24" spans="1:9" x14ac:dyDescent="0.25">
      <c r="A24" s="85"/>
      <c r="B24" s="85"/>
      <c r="C24" s="578"/>
      <c r="D24" s="573"/>
      <c r="E24" s="574"/>
      <c r="F24" s="86"/>
      <c r="G24" s="86"/>
      <c r="H24" s="87"/>
      <c r="I24" s="88"/>
    </row>
    <row r="25" spans="1:9" x14ac:dyDescent="0.25">
      <c r="A25" s="565" t="s">
        <v>787</v>
      </c>
      <c r="B25" s="565"/>
      <c r="C25" s="565"/>
      <c r="D25" s="565"/>
      <c r="E25" s="565"/>
      <c r="F25" s="565"/>
      <c r="G25" s="565"/>
      <c r="H25" s="565"/>
      <c r="I25" s="89">
        <f>I24</f>
        <v>0</v>
      </c>
    </row>
    <row r="26" spans="1:9" x14ac:dyDescent="0.25">
      <c r="A26" s="575"/>
      <c r="B26" s="576"/>
      <c r="C26" s="576"/>
      <c r="D26" s="576"/>
      <c r="E26" s="576"/>
      <c r="F26" s="576"/>
      <c r="G26" s="576"/>
      <c r="H26" s="576"/>
      <c r="I26" s="577"/>
    </row>
    <row r="27" spans="1:9" x14ac:dyDescent="0.25">
      <c r="A27" s="554" t="s">
        <v>788</v>
      </c>
      <c r="B27" s="554"/>
      <c r="C27" s="554"/>
      <c r="D27" s="554"/>
      <c r="E27" s="554"/>
      <c r="F27" s="554"/>
      <c r="G27" s="554"/>
      <c r="H27" s="554"/>
      <c r="I27" s="554"/>
    </row>
    <row r="28" spans="1:9" x14ac:dyDescent="0.25">
      <c r="A28" s="570" t="s">
        <v>789</v>
      </c>
      <c r="B28" s="570"/>
      <c r="C28" s="570"/>
      <c r="D28" s="570"/>
      <c r="E28" s="570"/>
      <c r="F28" s="570"/>
      <c r="G28" s="570"/>
      <c r="H28" s="570"/>
      <c r="I28" s="235">
        <f>I12</f>
        <v>112.18</v>
      </c>
    </row>
    <row r="29" spans="1:9" x14ac:dyDescent="0.25">
      <c r="A29" s="570" t="s">
        <v>790</v>
      </c>
      <c r="B29" s="570"/>
      <c r="C29" s="570"/>
      <c r="D29" s="570"/>
      <c r="E29" s="570"/>
      <c r="F29" s="570"/>
      <c r="G29" s="570"/>
      <c r="H29" s="570"/>
      <c r="I29" s="235">
        <f>I19</f>
        <v>45.9</v>
      </c>
    </row>
    <row r="30" spans="1:9" x14ac:dyDescent="0.25">
      <c r="A30" s="570" t="s">
        <v>791</v>
      </c>
      <c r="B30" s="570"/>
      <c r="C30" s="570"/>
      <c r="D30" s="570"/>
      <c r="E30" s="570"/>
      <c r="F30" s="570"/>
      <c r="G30" s="570"/>
      <c r="H30" s="570"/>
      <c r="I30" s="98">
        <f>I25</f>
        <v>0</v>
      </c>
    </row>
    <row r="31" spans="1:9" x14ac:dyDescent="0.25">
      <c r="A31" s="570" t="s">
        <v>792</v>
      </c>
      <c r="B31" s="570"/>
      <c r="C31" s="570"/>
      <c r="D31" s="570"/>
      <c r="E31" s="570"/>
      <c r="F31" s="570"/>
      <c r="G31" s="570"/>
      <c r="H31" s="570"/>
      <c r="I31" s="236">
        <f>SUM(I28:I30)</f>
        <v>158.08000000000001</v>
      </c>
    </row>
  </sheetData>
  <mergeCells count="26">
    <mergeCell ref="A31:H31"/>
    <mergeCell ref="A25:H25"/>
    <mergeCell ref="A26:I26"/>
    <mergeCell ref="A27:I27"/>
    <mergeCell ref="A28:H28"/>
    <mergeCell ref="A29:H29"/>
    <mergeCell ref="A30:H30"/>
    <mergeCell ref="C24:E24"/>
    <mergeCell ref="C9:E9"/>
    <mergeCell ref="C10:D10"/>
    <mergeCell ref="C11:D11"/>
    <mergeCell ref="A12:H12"/>
    <mergeCell ref="A14:I14"/>
    <mergeCell ref="C15:E15"/>
    <mergeCell ref="C16:E16"/>
    <mergeCell ref="A19:H19"/>
    <mergeCell ref="A22:I22"/>
    <mergeCell ref="C23:E23"/>
    <mergeCell ref="C17:E17"/>
    <mergeCell ref="C18:E18"/>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1"/>
  <sheetViews>
    <sheetView view="pageBreakPreview" zoomScaleNormal="100" zoomScaleSheetLayoutView="100" workbookViewId="0">
      <selection activeCell="I11" sqref="I11"/>
    </sheetView>
  </sheetViews>
  <sheetFormatPr defaultRowHeight="15" x14ac:dyDescent="0.25"/>
  <cols>
    <col min="1" max="1" width="12.28515625" style="99" customWidth="1"/>
    <col min="2" max="2" width="10" style="99" bestFit="1" customWidth="1"/>
    <col min="3" max="3" width="9.140625" style="100"/>
    <col min="4" max="4" width="20.5703125" style="100" customWidth="1"/>
    <col min="5" max="5" width="20.7109375" style="100" customWidth="1"/>
    <col min="6" max="6" width="5" style="100" bestFit="1" customWidth="1"/>
    <col min="7" max="7" width="8.5703125" style="100" bestFit="1" customWidth="1"/>
    <col min="8" max="8" width="9" style="100" bestFit="1" customWidth="1"/>
    <col min="9" max="9" width="11.140625"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72">
        <v>44866</v>
      </c>
    </row>
    <row r="4" spans="1:9" x14ac:dyDescent="0.25">
      <c r="A4" s="555"/>
      <c r="B4" s="555"/>
      <c r="C4" s="555"/>
      <c r="D4" s="555"/>
      <c r="E4" s="555"/>
      <c r="F4" s="555"/>
      <c r="G4" s="555"/>
      <c r="H4" s="555"/>
      <c r="I4" s="114" t="s">
        <v>830</v>
      </c>
    </row>
    <row r="5" spans="1:9" x14ac:dyDescent="0.25">
      <c r="A5" s="557" t="s">
        <v>831</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832</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28.5" customHeight="1" x14ac:dyDescent="0.25">
      <c r="A10" s="101" t="s">
        <v>821</v>
      </c>
      <c r="B10" s="112" t="s">
        <v>22</v>
      </c>
      <c r="C10" s="562" t="s">
        <v>822</v>
      </c>
      <c r="D10" s="563"/>
      <c r="E10" s="80" t="s">
        <v>771</v>
      </c>
      <c r="F10" s="112" t="s">
        <v>772</v>
      </c>
      <c r="G10" s="78">
        <v>0.26</v>
      </c>
      <c r="H10" s="239">
        <v>18.010000000000002</v>
      </c>
      <c r="I10" s="239">
        <f>TRUNC(ROUND(G10*H10,2),2)</f>
        <v>4.68</v>
      </c>
    </row>
    <row r="11" spans="1:9" ht="32.25" customHeight="1" x14ac:dyDescent="0.25">
      <c r="A11" s="101" t="s">
        <v>833</v>
      </c>
      <c r="B11" s="112" t="s">
        <v>22</v>
      </c>
      <c r="C11" s="562" t="s">
        <v>834</v>
      </c>
      <c r="D11" s="579"/>
      <c r="E11" s="80" t="s">
        <v>771</v>
      </c>
      <c r="F11" s="112" t="s">
        <v>772</v>
      </c>
      <c r="G11" s="78">
        <v>0.26</v>
      </c>
      <c r="H11" s="239">
        <v>21.35</v>
      </c>
      <c r="I11" s="239">
        <f>TRUNC(ROUND(G11*H11,2),2)</f>
        <v>5.55</v>
      </c>
    </row>
    <row r="12" spans="1:9" x14ac:dyDescent="0.25">
      <c r="A12" s="565" t="s">
        <v>773</v>
      </c>
      <c r="B12" s="565"/>
      <c r="C12" s="565"/>
      <c r="D12" s="565"/>
      <c r="E12" s="565"/>
      <c r="F12" s="565"/>
      <c r="G12" s="565"/>
      <c r="H12" s="565"/>
      <c r="I12" s="240">
        <f>TRUNC(ROUND(I10+I11,2),2)</f>
        <v>10.23</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27.75" customHeight="1" x14ac:dyDescent="0.25">
      <c r="A16" s="90" t="s">
        <v>835</v>
      </c>
      <c r="B16" s="112" t="s">
        <v>22</v>
      </c>
      <c r="C16" s="566" t="s">
        <v>836</v>
      </c>
      <c r="D16" s="566"/>
      <c r="E16" s="566"/>
      <c r="F16" s="90" t="s">
        <v>47</v>
      </c>
      <c r="G16" s="106">
        <v>1</v>
      </c>
      <c r="H16" s="237">
        <v>7.78</v>
      </c>
      <c r="I16" s="239">
        <f>TRUNC(ROUND(G16*H16,2),2)</f>
        <v>7.78</v>
      </c>
    </row>
    <row r="17" spans="1:9" ht="27.75" customHeight="1" x14ac:dyDescent="0.25">
      <c r="A17" s="90" t="s">
        <v>897</v>
      </c>
      <c r="B17" s="112" t="s">
        <v>22</v>
      </c>
      <c r="C17" s="566" t="s">
        <v>837</v>
      </c>
      <c r="D17" s="566"/>
      <c r="E17" s="566"/>
      <c r="F17" s="90" t="s">
        <v>47</v>
      </c>
      <c r="G17" s="106">
        <v>2</v>
      </c>
      <c r="H17" s="237">
        <v>19.809999999999999</v>
      </c>
      <c r="I17" s="239">
        <f>TRUNC(ROUND(G17*H17,2),2)</f>
        <v>39.619999999999997</v>
      </c>
    </row>
    <row r="18" spans="1:9" x14ac:dyDescent="0.25">
      <c r="A18" s="92"/>
      <c r="B18" s="92"/>
      <c r="C18" s="580"/>
      <c r="D18" s="580"/>
      <c r="E18" s="580"/>
      <c r="F18" s="93"/>
      <c r="G18" s="94"/>
      <c r="H18" s="95"/>
      <c r="I18" s="96"/>
    </row>
    <row r="19" spans="1:9" x14ac:dyDescent="0.25">
      <c r="A19" s="565" t="s">
        <v>781</v>
      </c>
      <c r="B19" s="565"/>
      <c r="C19" s="565"/>
      <c r="D19" s="565"/>
      <c r="E19" s="565"/>
      <c r="F19" s="565"/>
      <c r="G19" s="565"/>
      <c r="H19" s="565"/>
      <c r="I19" s="238">
        <f>SUM(I16:I18)</f>
        <v>47.4</v>
      </c>
    </row>
    <row r="20" spans="1:9" x14ac:dyDescent="0.25">
      <c r="A20" s="111"/>
      <c r="B20" s="111"/>
      <c r="C20" s="111"/>
      <c r="D20" s="111"/>
      <c r="E20" s="111"/>
      <c r="F20" s="111"/>
      <c r="G20" s="111"/>
      <c r="H20" s="111"/>
      <c r="I20" s="83"/>
    </row>
    <row r="21" spans="1:9" x14ac:dyDescent="0.25">
      <c r="A21" s="111"/>
      <c r="B21" s="111"/>
      <c r="C21" s="111"/>
      <c r="D21" s="111"/>
      <c r="E21" s="111"/>
      <c r="F21" s="111"/>
      <c r="G21" s="111"/>
      <c r="H21" s="111"/>
      <c r="I21" s="83"/>
    </row>
    <row r="22" spans="1:9" x14ac:dyDescent="0.25">
      <c r="A22" s="560" t="s">
        <v>782</v>
      </c>
      <c r="B22" s="560"/>
      <c r="C22" s="560"/>
      <c r="D22" s="560"/>
      <c r="E22" s="560"/>
      <c r="F22" s="560"/>
      <c r="G22" s="560"/>
      <c r="H22" s="560"/>
      <c r="I22" s="560"/>
    </row>
    <row r="23" spans="1:9" x14ac:dyDescent="0.25">
      <c r="A23" s="79"/>
      <c r="B23" s="112"/>
      <c r="C23" s="571" t="s">
        <v>765</v>
      </c>
      <c r="D23" s="571"/>
      <c r="E23" s="571"/>
      <c r="F23" s="112" t="s">
        <v>766</v>
      </c>
      <c r="G23" s="84" t="s">
        <v>767</v>
      </c>
      <c r="H23" s="81" t="s">
        <v>768</v>
      </c>
      <c r="I23" s="82" t="s">
        <v>769</v>
      </c>
    </row>
    <row r="24" spans="1:9" x14ac:dyDescent="0.25">
      <c r="A24" s="85"/>
      <c r="B24" s="85"/>
      <c r="C24" s="578"/>
      <c r="D24" s="573"/>
      <c r="E24" s="574"/>
      <c r="F24" s="86"/>
      <c r="G24" s="86"/>
      <c r="H24" s="87"/>
      <c r="I24" s="88"/>
    </row>
    <row r="25" spans="1:9" x14ac:dyDescent="0.25">
      <c r="A25" s="565" t="s">
        <v>787</v>
      </c>
      <c r="B25" s="565"/>
      <c r="C25" s="565"/>
      <c r="D25" s="565"/>
      <c r="E25" s="565"/>
      <c r="F25" s="565"/>
      <c r="G25" s="565"/>
      <c r="H25" s="565"/>
      <c r="I25" s="89">
        <f>I24</f>
        <v>0</v>
      </c>
    </row>
    <row r="26" spans="1:9" x14ac:dyDescent="0.25">
      <c r="A26" s="575"/>
      <c r="B26" s="576"/>
      <c r="C26" s="576"/>
      <c r="D26" s="576"/>
      <c r="E26" s="576"/>
      <c r="F26" s="576"/>
      <c r="G26" s="576"/>
      <c r="H26" s="576"/>
      <c r="I26" s="577"/>
    </row>
    <row r="27" spans="1:9" x14ac:dyDescent="0.25">
      <c r="A27" s="554" t="s">
        <v>788</v>
      </c>
      <c r="B27" s="554"/>
      <c r="C27" s="554"/>
      <c r="D27" s="554"/>
      <c r="E27" s="554"/>
      <c r="F27" s="554"/>
      <c r="G27" s="554"/>
      <c r="H27" s="554"/>
      <c r="I27" s="554"/>
    </row>
    <row r="28" spans="1:9" x14ac:dyDescent="0.25">
      <c r="A28" s="570" t="s">
        <v>789</v>
      </c>
      <c r="B28" s="570"/>
      <c r="C28" s="570"/>
      <c r="D28" s="570"/>
      <c r="E28" s="570"/>
      <c r="F28" s="570"/>
      <c r="G28" s="570"/>
      <c r="H28" s="570"/>
      <c r="I28" s="235">
        <f>I12</f>
        <v>10.23</v>
      </c>
    </row>
    <row r="29" spans="1:9" x14ac:dyDescent="0.25">
      <c r="A29" s="570" t="s">
        <v>790</v>
      </c>
      <c r="B29" s="570"/>
      <c r="C29" s="570"/>
      <c r="D29" s="570"/>
      <c r="E29" s="570"/>
      <c r="F29" s="570"/>
      <c r="G29" s="570"/>
      <c r="H29" s="570"/>
      <c r="I29" s="235">
        <f>I19</f>
        <v>47.4</v>
      </c>
    </row>
    <row r="30" spans="1:9" x14ac:dyDescent="0.25">
      <c r="A30" s="570" t="s">
        <v>791</v>
      </c>
      <c r="B30" s="570"/>
      <c r="C30" s="570"/>
      <c r="D30" s="570"/>
      <c r="E30" s="570"/>
      <c r="F30" s="570"/>
      <c r="G30" s="570"/>
      <c r="H30" s="570"/>
      <c r="I30" s="98">
        <f>I25</f>
        <v>0</v>
      </c>
    </row>
    <row r="31" spans="1:9" x14ac:dyDescent="0.25">
      <c r="A31" s="570" t="s">
        <v>792</v>
      </c>
      <c r="B31" s="570"/>
      <c r="C31" s="570"/>
      <c r="D31" s="570"/>
      <c r="E31" s="570"/>
      <c r="F31" s="570"/>
      <c r="G31" s="570"/>
      <c r="H31" s="570"/>
      <c r="I31" s="236">
        <f>SUM(I28:I30)</f>
        <v>57.629999999999995</v>
      </c>
    </row>
  </sheetData>
  <mergeCells count="26">
    <mergeCell ref="A29:H29"/>
    <mergeCell ref="A30:H30"/>
    <mergeCell ref="A31:H31"/>
    <mergeCell ref="C23:E23"/>
    <mergeCell ref="C24:E24"/>
    <mergeCell ref="A25:H25"/>
    <mergeCell ref="A26:I26"/>
    <mergeCell ref="A27:I27"/>
    <mergeCell ref="A28:H28"/>
    <mergeCell ref="C16:E16"/>
    <mergeCell ref="C17:E17"/>
    <mergeCell ref="C18:E18"/>
    <mergeCell ref="A19:H19"/>
    <mergeCell ref="A22:I22"/>
    <mergeCell ref="C15:E15"/>
    <mergeCell ref="A1:H4"/>
    <mergeCell ref="I1:I2"/>
    <mergeCell ref="A5:H6"/>
    <mergeCell ref="I5:I6"/>
    <mergeCell ref="A7:I7"/>
    <mergeCell ref="A8:I8"/>
    <mergeCell ref="C9:E9"/>
    <mergeCell ref="C10:D10"/>
    <mergeCell ref="C11:D11"/>
    <mergeCell ref="A12:H12"/>
    <mergeCell ref="A14:I14"/>
  </mergeCells>
  <pageMargins left="0.511811024" right="0.511811024" top="0.78740157499999996" bottom="0.78740157499999996" header="0.31496062000000002" footer="0.31496062000000002"/>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3"/>
  <sheetViews>
    <sheetView view="pageBreakPreview" zoomScale="112" zoomScaleNormal="100" zoomScaleSheetLayoutView="112" workbookViewId="0">
      <selection activeCell="I10" sqref="I10"/>
    </sheetView>
  </sheetViews>
  <sheetFormatPr defaultRowHeight="15" x14ac:dyDescent="0.25"/>
  <cols>
    <col min="1" max="1" width="12.28515625" style="99" customWidth="1"/>
    <col min="2" max="2" width="10" style="99" bestFit="1" customWidth="1"/>
    <col min="3" max="3" width="9.140625" style="100" bestFit="1" customWidth="1"/>
    <col min="4" max="4" width="33" style="100" customWidth="1"/>
    <col min="5" max="5" width="20.7109375" style="100" customWidth="1"/>
    <col min="6" max="6" width="5" style="100" bestFit="1" customWidth="1"/>
    <col min="7" max="7" width="8.5703125" style="100" bestFit="1" customWidth="1"/>
    <col min="8" max="8" width="11.28515625" style="100" customWidth="1"/>
    <col min="9" max="9" width="11.140625" style="100" bestFit="1" customWidth="1"/>
  </cols>
  <sheetData>
    <row r="1" spans="1:9" x14ac:dyDescent="0.25">
      <c r="A1" s="555" t="s">
        <v>758</v>
      </c>
      <c r="B1" s="555"/>
      <c r="C1" s="555"/>
      <c r="D1" s="555"/>
      <c r="E1" s="555"/>
      <c r="F1" s="555"/>
      <c r="G1" s="555"/>
      <c r="H1" s="555"/>
      <c r="I1" s="556" t="s">
        <v>759</v>
      </c>
    </row>
    <row r="2" spans="1:9" x14ac:dyDescent="0.25">
      <c r="A2" s="555"/>
      <c r="B2" s="555"/>
      <c r="C2" s="555"/>
      <c r="D2" s="555"/>
      <c r="E2" s="555"/>
      <c r="F2" s="555"/>
      <c r="G2" s="555"/>
      <c r="H2" s="555"/>
      <c r="I2" s="556"/>
    </row>
    <row r="3" spans="1:9" x14ac:dyDescent="0.25">
      <c r="A3" s="555"/>
      <c r="B3" s="555"/>
      <c r="C3" s="555"/>
      <c r="D3" s="555"/>
      <c r="E3" s="555"/>
      <c r="F3" s="555"/>
      <c r="G3" s="555"/>
      <c r="H3" s="555"/>
      <c r="I3" s="354">
        <v>44866</v>
      </c>
    </row>
    <row r="4" spans="1:9" x14ac:dyDescent="0.25">
      <c r="A4" s="555"/>
      <c r="B4" s="555"/>
      <c r="C4" s="555"/>
      <c r="D4" s="555"/>
      <c r="E4" s="555"/>
      <c r="F4" s="555"/>
      <c r="G4" s="555"/>
      <c r="H4" s="555"/>
      <c r="I4" s="114" t="s">
        <v>838</v>
      </c>
    </row>
    <row r="5" spans="1:9" x14ac:dyDescent="0.25">
      <c r="A5" s="557" t="s">
        <v>839</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840</v>
      </c>
      <c r="B7" s="559"/>
      <c r="C7" s="559"/>
      <c r="D7" s="559"/>
      <c r="E7" s="559"/>
      <c r="F7" s="559"/>
      <c r="G7" s="559"/>
      <c r="H7" s="559"/>
      <c r="I7" s="559"/>
    </row>
    <row r="8" spans="1:9"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30" customHeight="1" x14ac:dyDescent="0.25">
      <c r="A10" s="101" t="s">
        <v>821</v>
      </c>
      <c r="B10" s="101" t="s">
        <v>22</v>
      </c>
      <c r="C10" s="562" t="s">
        <v>898</v>
      </c>
      <c r="D10" s="564"/>
      <c r="E10" s="355" t="s">
        <v>771</v>
      </c>
      <c r="F10" s="101" t="s">
        <v>772</v>
      </c>
      <c r="G10" s="356">
        <v>1</v>
      </c>
      <c r="H10" s="357">
        <v>18.010000000000002</v>
      </c>
      <c r="I10" s="357">
        <f>TRUNC(ROUND(G10*H10,2),2)</f>
        <v>18.010000000000002</v>
      </c>
    </row>
    <row r="11" spans="1:9" x14ac:dyDescent="0.25">
      <c r="A11" s="101" t="s">
        <v>833</v>
      </c>
      <c r="B11" s="101" t="s">
        <v>22</v>
      </c>
      <c r="C11" s="562" t="s">
        <v>834</v>
      </c>
      <c r="D11" s="562"/>
      <c r="E11" s="355" t="s">
        <v>771</v>
      </c>
      <c r="F11" s="101" t="s">
        <v>772</v>
      </c>
      <c r="G11" s="356">
        <v>1</v>
      </c>
      <c r="H11" s="357">
        <v>21.35</v>
      </c>
      <c r="I11" s="357">
        <f>TRUNC(ROUND(G11*H11,2),2)</f>
        <v>21.35</v>
      </c>
    </row>
    <row r="12" spans="1:9" x14ac:dyDescent="0.25">
      <c r="A12" s="565" t="s">
        <v>773</v>
      </c>
      <c r="B12" s="565"/>
      <c r="C12" s="565"/>
      <c r="D12" s="565"/>
      <c r="E12" s="565"/>
      <c r="F12" s="565"/>
      <c r="G12" s="565"/>
      <c r="H12" s="565"/>
      <c r="I12" s="240">
        <f>TRUNC(ROUND(I10+I11,2),2)</f>
        <v>39.36</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x14ac:dyDescent="0.25">
      <c r="A16" s="358" t="s">
        <v>841</v>
      </c>
      <c r="B16" s="101"/>
      <c r="C16" s="585" t="s">
        <v>396</v>
      </c>
      <c r="D16" s="585"/>
      <c r="E16" s="585"/>
      <c r="F16" s="358" t="s">
        <v>47</v>
      </c>
      <c r="G16" s="359">
        <v>1</v>
      </c>
      <c r="H16" s="360">
        <f>'COTAÇÕES '!O7</f>
        <v>287.19666666666666</v>
      </c>
      <c r="I16" s="357">
        <f>TRUNC(ROUND(G16*H16,2),2)</f>
        <v>287.2</v>
      </c>
    </row>
    <row r="17" spans="1:9" x14ac:dyDescent="0.25">
      <c r="A17" s="92"/>
      <c r="B17" s="92"/>
      <c r="C17" s="580"/>
      <c r="D17" s="580"/>
      <c r="E17" s="580"/>
      <c r="F17" s="93"/>
      <c r="G17" s="94"/>
      <c r="H17" s="95"/>
      <c r="I17" s="96"/>
    </row>
    <row r="18" spans="1:9" x14ac:dyDescent="0.25">
      <c r="A18" s="565" t="s">
        <v>781</v>
      </c>
      <c r="B18" s="565"/>
      <c r="C18" s="565"/>
      <c r="D18" s="565"/>
      <c r="E18" s="565"/>
      <c r="F18" s="565"/>
      <c r="G18" s="565"/>
      <c r="H18" s="565"/>
      <c r="I18" s="238">
        <f>SUM(I16:I17)</f>
        <v>287.2</v>
      </c>
    </row>
    <row r="19" spans="1:9" x14ac:dyDescent="0.25">
      <c r="A19" s="111"/>
      <c r="B19" s="111"/>
      <c r="C19" s="111"/>
      <c r="D19" s="111"/>
      <c r="E19" s="111"/>
      <c r="F19" s="111"/>
      <c r="G19" s="111"/>
      <c r="H19" s="111"/>
      <c r="I19" s="83"/>
    </row>
    <row r="20" spans="1:9" x14ac:dyDescent="0.25">
      <c r="A20" s="111"/>
      <c r="B20" s="111"/>
      <c r="C20" s="111"/>
      <c r="D20" s="111"/>
      <c r="E20" s="111"/>
      <c r="F20" s="111"/>
      <c r="G20" s="111"/>
      <c r="H20" s="111"/>
      <c r="I20" s="83"/>
    </row>
    <row r="21" spans="1:9" x14ac:dyDescent="0.25">
      <c r="A21" s="560" t="s">
        <v>782</v>
      </c>
      <c r="B21" s="560"/>
      <c r="C21" s="560"/>
      <c r="D21" s="560"/>
      <c r="E21" s="560"/>
      <c r="F21" s="560"/>
      <c r="G21" s="560"/>
      <c r="H21" s="560"/>
      <c r="I21" s="560"/>
    </row>
    <row r="22" spans="1:9" x14ac:dyDescent="0.25">
      <c r="A22" s="361"/>
      <c r="B22" s="101"/>
      <c r="C22" s="581" t="s">
        <v>765</v>
      </c>
      <c r="D22" s="581"/>
      <c r="E22" s="581"/>
      <c r="F22" s="101" t="s">
        <v>766</v>
      </c>
      <c r="G22" s="362" t="s">
        <v>767</v>
      </c>
      <c r="H22" s="363" t="s">
        <v>768</v>
      </c>
      <c r="I22" s="364" t="s">
        <v>769</v>
      </c>
    </row>
    <row r="23" spans="1:9" x14ac:dyDescent="0.25">
      <c r="A23" s="365"/>
      <c r="B23" s="365"/>
      <c r="C23" s="582"/>
      <c r="D23" s="583"/>
      <c r="E23" s="584"/>
      <c r="F23" s="123"/>
      <c r="G23" s="123"/>
      <c r="H23" s="366"/>
      <c r="I23" s="367"/>
    </row>
    <row r="24" spans="1:9" x14ac:dyDescent="0.25">
      <c r="A24" s="565" t="s">
        <v>787</v>
      </c>
      <c r="B24" s="565"/>
      <c r="C24" s="565"/>
      <c r="D24" s="565"/>
      <c r="E24" s="565"/>
      <c r="F24" s="565"/>
      <c r="G24" s="565"/>
      <c r="H24" s="565"/>
      <c r="I24" s="89">
        <f>I23</f>
        <v>0</v>
      </c>
    </row>
    <row r="25" spans="1:9" x14ac:dyDescent="0.25">
      <c r="A25" s="575"/>
      <c r="B25" s="576"/>
      <c r="C25" s="576"/>
      <c r="D25" s="576"/>
      <c r="E25" s="576"/>
      <c r="F25" s="576"/>
      <c r="G25" s="576"/>
      <c r="H25" s="576"/>
      <c r="I25" s="577"/>
    </row>
    <row r="26" spans="1:9" x14ac:dyDescent="0.25">
      <c r="A26" s="554" t="s">
        <v>788</v>
      </c>
      <c r="B26" s="554"/>
      <c r="C26" s="554"/>
      <c r="D26" s="554"/>
      <c r="E26" s="554"/>
      <c r="F26" s="554"/>
      <c r="G26" s="554"/>
      <c r="H26" s="554"/>
      <c r="I26" s="554"/>
    </row>
    <row r="27" spans="1:9" x14ac:dyDescent="0.25">
      <c r="A27" s="570" t="s">
        <v>789</v>
      </c>
      <c r="B27" s="570"/>
      <c r="C27" s="570"/>
      <c r="D27" s="570"/>
      <c r="E27" s="570"/>
      <c r="F27" s="570"/>
      <c r="G27" s="570"/>
      <c r="H27" s="570"/>
      <c r="I27" s="235">
        <f>I12</f>
        <v>39.36</v>
      </c>
    </row>
    <row r="28" spans="1:9" x14ac:dyDescent="0.25">
      <c r="A28" s="570" t="s">
        <v>790</v>
      </c>
      <c r="B28" s="570"/>
      <c r="C28" s="570"/>
      <c r="D28" s="570"/>
      <c r="E28" s="570"/>
      <c r="F28" s="570"/>
      <c r="G28" s="570"/>
      <c r="H28" s="570"/>
      <c r="I28" s="235">
        <f>I18</f>
        <v>287.2</v>
      </c>
    </row>
    <row r="29" spans="1:9" x14ac:dyDescent="0.25">
      <c r="A29" s="570" t="s">
        <v>791</v>
      </c>
      <c r="B29" s="570"/>
      <c r="C29" s="570"/>
      <c r="D29" s="570"/>
      <c r="E29" s="570"/>
      <c r="F29" s="570"/>
      <c r="G29" s="570"/>
      <c r="H29" s="570"/>
      <c r="I29" s="98">
        <f>I24</f>
        <v>0</v>
      </c>
    </row>
    <row r="30" spans="1:9" x14ac:dyDescent="0.25">
      <c r="A30" s="570" t="s">
        <v>792</v>
      </c>
      <c r="B30" s="570"/>
      <c r="C30" s="570"/>
      <c r="D30" s="570"/>
      <c r="E30" s="570"/>
      <c r="F30" s="570"/>
      <c r="G30" s="570"/>
      <c r="H30" s="570"/>
      <c r="I30" s="236">
        <f>SUM(I27:I29)</f>
        <v>326.56</v>
      </c>
    </row>
    <row r="31" spans="1:9" x14ac:dyDescent="0.25">
      <c r="A31" s="368"/>
      <c r="B31" s="368"/>
      <c r="C31" s="369"/>
      <c r="D31" s="369"/>
      <c r="E31" s="369"/>
      <c r="F31" s="369"/>
      <c r="G31" s="369"/>
      <c r="H31" s="369"/>
      <c r="I31" s="369"/>
    </row>
    <row r="32" spans="1:9" x14ac:dyDescent="0.25">
      <c r="A32" s="368"/>
      <c r="B32" s="368"/>
      <c r="C32" s="369"/>
      <c r="D32" s="369"/>
      <c r="E32" s="369"/>
      <c r="F32" s="369"/>
      <c r="G32" s="369"/>
      <c r="H32" s="369"/>
      <c r="I32" s="369"/>
    </row>
    <row r="33" spans="1:9" x14ac:dyDescent="0.25">
      <c r="A33" s="368"/>
      <c r="B33" s="368"/>
      <c r="C33" s="369"/>
      <c r="D33" s="369"/>
      <c r="E33" s="369"/>
      <c r="F33" s="369"/>
      <c r="G33" s="369"/>
      <c r="H33" s="369"/>
      <c r="I33" s="369"/>
    </row>
    <row r="34" spans="1:9" x14ac:dyDescent="0.25">
      <c r="A34" s="368"/>
      <c r="B34" s="368"/>
      <c r="C34" s="369"/>
      <c r="D34" s="369"/>
      <c r="E34" s="369"/>
      <c r="F34" s="369"/>
      <c r="G34" s="369"/>
      <c r="H34" s="369"/>
      <c r="I34" s="369"/>
    </row>
    <row r="35" spans="1:9" x14ac:dyDescent="0.25">
      <c r="A35" s="368"/>
      <c r="B35" s="368"/>
      <c r="C35" s="369"/>
      <c r="D35" s="369"/>
      <c r="E35" s="369"/>
      <c r="F35" s="369"/>
      <c r="G35" s="369"/>
      <c r="H35" s="369"/>
      <c r="I35" s="369"/>
    </row>
    <row r="36" spans="1:9" x14ac:dyDescent="0.25">
      <c r="A36" s="368"/>
      <c r="B36" s="368"/>
      <c r="C36" s="369"/>
      <c r="D36" s="369"/>
      <c r="E36" s="369"/>
      <c r="F36" s="369"/>
      <c r="G36" s="369"/>
      <c r="H36" s="369"/>
      <c r="I36" s="369"/>
    </row>
    <row r="37" spans="1:9" x14ac:dyDescent="0.25">
      <c r="A37" s="368"/>
      <c r="B37" s="368"/>
      <c r="C37" s="369"/>
      <c r="D37" s="369"/>
      <c r="E37" s="369"/>
      <c r="F37" s="369"/>
      <c r="G37" s="369"/>
      <c r="H37" s="369"/>
      <c r="I37" s="369"/>
    </row>
    <row r="38" spans="1:9" x14ac:dyDescent="0.25">
      <c r="A38" s="368"/>
      <c r="B38" s="368"/>
      <c r="C38" s="369"/>
      <c r="D38" s="369"/>
      <c r="E38" s="369"/>
      <c r="F38" s="369"/>
      <c r="G38" s="369"/>
      <c r="H38" s="369"/>
      <c r="I38" s="369"/>
    </row>
    <row r="39" spans="1:9" x14ac:dyDescent="0.25">
      <c r="A39" s="368"/>
      <c r="B39" s="368"/>
      <c r="C39" s="369"/>
      <c r="D39" s="369"/>
      <c r="E39" s="369"/>
      <c r="F39" s="369"/>
      <c r="G39" s="369"/>
      <c r="H39" s="369"/>
      <c r="I39" s="369"/>
    </row>
    <row r="40" spans="1:9" x14ac:dyDescent="0.25">
      <c r="A40" s="368"/>
      <c r="B40" s="368"/>
      <c r="C40" s="369"/>
      <c r="D40" s="369"/>
      <c r="E40" s="369"/>
      <c r="F40" s="369"/>
      <c r="G40" s="369"/>
      <c r="H40" s="369"/>
      <c r="I40" s="369"/>
    </row>
    <row r="41" spans="1:9" x14ac:dyDescent="0.25">
      <c r="A41" s="368"/>
      <c r="B41" s="368"/>
      <c r="C41" s="369"/>
      <c r="D41" s="369"/>
      <c r="E41" s="369"/>
      <c r="F41" s="369"/>
      <c r="G41" s="369"/>
      <c r="H41" s="369"/>
      <c r="I41" s="369"/>
    </row>
    <row r="42" spans="1:9" x14ac:dyDescent="0.25">
      <c r="A42" s="368"/>
      <c r="B42" s="368"/>
      <c r="C42" s="369"/>
      <c r="D42" s="369"/>
      <c r="E42" s="369"/>
      <c r="F42" s="369"/>
      <c r="G42" s="369"/>
      <c r="H42" s="369"/>
      <c r="I42" s="369"/>
    </row>
    <row r="43" spans="1:9" x14ac:dyDescent="0.25">
      <c r="A43" s="368"/>
      <c r="B43" s="368"/>
      <c r="C43" s="369"/>
      <c r="D43" s="369"/>
      <c r="E43" s="369"/>
      <c r="F43" s="369"/>
      <c r="G43" s="369"/>
      <c r="H43" s="369"/>
      <c r="I43" s="369"/>
    </row>
  </sheetData>
  <mergeCells count="25">
    <mergeCell ref="C9:E9"/>
    <mergeCell ref="C10:D10"/>
    <mergeCell ref="C11:D11"/>
    <mergeCell ref="C17:E17"/>
    <mergeCell ref="A12:H12"/>
    <mergeCell ref="A14:I14"/>
    <mergeCell ref="C15:E15"/>
    <mergeCell ref="C16:E16"/>
    <mergeCell ref="A8:I8"/>
    <mergeCell ref="A1:H4"/>
    <mergeCell ref="I1:I2"/>
    <mergeCell ref="A5:H6"/>
    <mergeCell ref="I5:I6"/>
    <mergeCell ref="A7:I7"/>
    <mergeCell ref="A30:H30"/>
    <mergeCell ref="A18:H18"/>
    <mergeCell ref="A21:I21"/>
    <mergeCell ref="A24:H24"/>
    <mergeCell ref="A25:I25"/>
    <mergeCell ref="C22:E22"/>
    <mergeCell ref="C23:E23"/>
    <mergeCell ref="A26:I26"/>
    <mergeCell ref="A27:H27"/>
    <mergeCell ref="A28:H28"/>
    <mergeCell ref="A29:H29"/>
  </mergeCells>
  <pageMargins left="0.511811024" right="0.511811024" top="0.78740157499999996" bottom="0.78740157499999996" header="0.31496062000000002" footer="0.31496062000000002"/>
  <pageSetup paperSize="9" scale="7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43"/>
  <sheetViews>
    <sheetView view="pageBreakPreview" zoomScale="112" zoomScaleNormal="100" zoomScaleSheetLayoutView="112" workbookViewId="0">
      <selection activeCell="I10" sqref="I10"/>
    </sheetView>
  </sheetViews>
  <sheetFormatPr defaultRowHeight="15" x14ac:dyDescent="0.25"/>
  <cols>
    <col min="1" max="1" width="12.28515625" style="99" customWidth="1"/>
    <col min="2" max="2" width="10" style="99" bestFit="1" customWidth="1"/>
    <col min="3" max="3" width="9.140625" style="100" bestFit="1" customWidth="1"/>
    <col min="4" max="4" width="20.5703125" style="100" customWidth="1"/>
    <col min="5" max="5" width="20.7109375" style="100" customWidth="1"/>
    <col min="6" max="6" width="5" style="100" bestFit="1" customWidth="1"/>
    <col min="7" max="7" width="8.5703125" style="100" bestFit="1" customWidth="1"/>
    <col min="8" max="8" width="11.28515625" style="100" customWidth="1"/>
    <col min="9" max="9" width="11.140625" style="100" bestFit="1" customWidth="1"/>
  </cols>
  <sheetData>
    <row r="1" spans="1:9" ht="15" customHeight="1" x14ac:dyDescent="0.25">
      <c r="A1" s="555" t="s">
        <v>758</v>
      </c>
      <c r="B1" s="555"/>
      <c r="C1" s="555"/>
      <c r="D1" s="555"/>
      <c r="E1" s="555"/>
      <c r="F1" s="555"/>
      <c r="G1" s="555"/>
      <c r="H1" s="555"/>
      <c r="I1" s="556" t="s">
        <v>759</v>
      </c>
    </row>
    <row r="2" spans="1:9" ht="15" customHeight="1" x14ac:dyDescent="0.25">
      <c r="A2" s="555"/>
      <c r="B2" s="555"/>
      <c r="C2" s="555"/>
      <c r="D2" s="555"/>
      <c r="E2" s="555"/>
      <c r="F2" s="555"/>
      <c r="G2" s="555"/>
      <c r="H2" s="555"/>
      <c r="I2" s="556"/>
    </row>
    <row r="3" spans="1:9" x14ac:dyDescent="0.25">
      <c r="A3" s="555"/>
      <c r="B3" s="555"/>
      <c r="C3" s="555"/>
      <c r="D3" s="555"/>
      <c r="E3" s="555"/>
      <c r="F3" s="555"/>
      <c r="G3" s="555"/>
      <c r="H3" s="555"/>
      <c r="I3" s="354">
        <v>44866</v>
      </c>
    </row>
    <row r="4" spans="1:9" x14ac:dyDescent="0.25">
      <c r="A4" s="555"/>
      <c r="B4" s="555"/>
      <c r="C4" s="555"/>
      <c r="D4" s="555"/>
      <c r="E4" s="555"/>
      <c r="F4" s="555"/>
      <c r="G4" s="555"/>
      <c r="H4" s="555"/>
      <c r="I4" s="114" t="s">
        <v>432</v>
      </c>
    </row>
    <row r="5" spans="1:9" ht="15" customHeight="1" x14ac:dyDescent="0.25">
      <c r="A5" s="557" t="s">
        <v>842</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843</v>
      </c>
      <c r="B7" s="559"/>
      <c r="C7" s="559"/>
      <c r="D7" s="559"/>
      <c r="E7" s="559"/>
      <c r="F7" s="559"/>
      <c r="G7" s="559"/>
      <c r="H7" s="559"/>
      <c r="I7" s="559"/>
    </row>
    <row r="8" spans="1:9" ht="15" customHeight="1"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30" customHeight="1" x14ac:dyDescent="0.25">
      <c r="A10" s="101" t="s">
        <v>823</v>
      </c>
      <c r="B10" s="101" t="s">
        <v>22</v>
      </c>
      <c r="C10" s="562" t="s">
        <v>824</v>
      </c>
      <c r="D10" s="564"/>
      <c r="E10" s="355" t="s">
        <v>771</v>
      </c>
      <c r="F10" s="101" t="s">
        <v>772</v>
      </c>
      <c r="G10" s="356">
        <v>0.31619999999999998</v>
      </c>
      <c r="H10" s="357">
        <v>21.35</v>
      </c>
      <c r="I10" s="357">
        <f>TRUNC(ROUND(G10*H10,2),2)</f>
        <v>6.75</v>
      </c>
    </row>
    <row r="11" spans="1:9" ht="30.75" customHeight="1" x14ac:dyDescent="0.25">
      <c r="A11" s="101" t="s">
        <v>892</v>
      </c>
      <c r="B11" s="101" t="s">
        <v>22</v>
      </c>
      <c r="C11" s="562" t="s">
        <v>899</v>
      </c>
      <c r="D11" s="563"/>
      <c r="E11" s="355" t="s">
        <v>771</v>
      </c>
      <c r="F11" s="101" t="s">
        <v>772</v>
      </c>
      <c r="G11" s="373">
        <v>9.9599999999999994E-2</v>
      </c>
      <c r="H11" s="81">
        <v>15.85</v>
      </c>
      <c r="I11" s="357">
        <f>TRUNC(ROUND(G11*H11,2),2)</f>
        <v>1.58</v>
      </c>
    </row>
    <row r="12" spans="1:9" x14ac:dyDescent="0.25">
      <c r="A12" s="565" t="s">
        <v>773</v>
      </c>
      <c r="B12" s="565"/>
      <c r="C12" s="565"/>
      <c r="D12" s="565"/>
      <c r="E12" s="565"/>
      <c r="F12" s="565"/>
      <c r="G12" s="565"/>
      <c r="H12" s="565"/>
      <c r="I12" s="240">
        <f>TRUNC(ROUND(I10+I11,2),2)</f>
        <v>8.33</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30.75" customHeight="1" x14ac:dyDescent="0.25">
      <c r="A16" s="358" t="s">
        <v>845</v>
      </c>
      <c r="B16" s="101" t="s">
        <v>844</v>
      </c>
      <c r="C16" s="585" t="s">
        <v>846</v>
      </c>
      <c r="D16" s="585"/>
      <c r="E16" s="585"/>
      <c r="F16" s="358" t="s">
        <v>47</v>
      </c>
      <c r="G16" s="359">
        <v>1</v>
      </c>
      <c r="H16" s="360">
        <v>70.31</v>
      </c>
      <c r="I16" s="357">
        <f>TRUNC(ROUND(G16*H16,2),2)</f>
        <v>70.31</v>
      </c>
    </row>
    <row r="17" spans="1:9" x14ac:dyDescent="0.25">
      <c r="A17" s="92"/>
      <c r="B17" s="92"/>
      <c r="C17" s="580"/>
      <c r="D17" s="580"/>
      <c r="E17" s="580"/>
      <c r="F17" s="93"/>
      <c r="G17" s="94"/>
      <c r="H17" s="95"/>
      <c r="I17" s="96"/>
    </row>
    <row r="18" spans="1:9" x14ac:dyDescent="0.25">
      <c r="A18" s="565" t="s">
        <v>781</v>
      </c>
      <c r="B18" s="565"/>
      <c r="C18" s="565"/>
      <c r="D18" s="565"/>
      <c r="E18" s="565"/>
      <c r="F18" s="565"/>
      <c r="G18" s="565"/>
      <c r="H18" s="565"/>
      <c r="I18" s="238">
        <f>SUM(I16:I17)</f>
        <v>70.31</v>
      </c>
    </row>
    <row r="19" spans="1:9" x14ac:dyDescent="0.25">
      <c r="A19" s="111"/>
      <c r="B19" s="111"/>
      <c r="C19" s="111"/>
      <c r="D19" s="111"/>
      <c r="E19" s="111"/>
      <c r="F19" s="111"/>
      <c r="G19" s="111"/>
      <c r="H19" s="111"/>
      <c r="I19" s="83"/>
    </row>
    <row r="20" spans="1:9" x14ac:dyDescent="0.25">
      <c r="A20" s="111"/>
      <c r="B20" s="111"/>
      <c r="C20" s="111"/>
      <c r="D20" s="111"/>
      <c r="E20" s="111"/>
      <c r="F20" s="111"/>
      <c r="G20" s="111"/>
      <c r="H20" s="111"/>
      <c r="I20" s="83"/>
    </row>
    <row r="21" spans="1:9" x14ac:dyDescent="0.25">
      <c r="A21" s="560" t="s">
        <v>782</v>
      </c>
      <c r="B21" s="560"/>
      <c r="C21" s="560"/>
      <c r="D21" s="560"/>
      <c r="E21" s="560"/>
      <c r="F21" s="560"/>
      <c r="G21" s="560"/>
      <c r="H21" s="560"/>
      <c r="I21" s="560"/>
    </row>
    <row r="22" spans="1:9" ht="15" customHeight="1" x14ac:dyDescent="0.25">
      <c r="A22" s="361"/>
      <c r="B22" s="101"/>
      <c r="C22" s="581" t="s">
        <v>765</v>
      </c>
      <c r="D22" s="581"/>
      <c r="E22" s="581"/>
      <c r="F22" s="101" t="s">
        <v>766</v>
      </c>
      <c r="G22" s="362" t="s">
        <v>767</v>
      </c>
      <c r="H22" s="363" t="s">
        <v>768</v>
      </c>
      <c r="I22" s="364" t="s">
        <v>769</v>
      </c>
    </row>
    <row r="23" spans="1:9" x14ac:dyDescent="0.25">
      <c r="A23" s="365"/>
      <c r="B23" s="365"/>
      <c r="C23" s="582"/>
      <c r="D23" s="583"/>
      <c r="E23" s="584"/>
      <c r="F23" s="123"/>
      <c r="G23" s="123"/>
      <c r="H23" s="366"/>
      <c r="I23" s="367"/>
    </row>
    <row r="24" spans="1:9" x14ac:dyDescent="0.25">
      <c r="A24" s="565" t="s">
        <v>787</v>
      </c>
      <c r="B24" s="565"/>
      <c r="C24" s="565"/>
      <c r="D24" s="565"/>
      <c r="E24" s="565"/>
      <c r="F24" s="565"/>
      <c r="G24" s="565"/>
      <c r="H24" s="565"/>
      <c r="I24" s="89">
        <f>I23</f>
        <v>0</v>
      </c>
    </row>
    <row r="25" spans="1:9" x14ac:dyDescent="0.25">
      <c r="A25" s="575"/>
      <c r="B25" s="576"/>
      <c r="C25" s="576"/>
      <c r="D25" s="576"/>
      <c r="E25" s="576"/>
      <c r="F25" s="576"/>
      <c r="G25" s="576"/>
      <c r="H25" s="576"/>
      <c r="I25" s="577"/>
    </row>
    <row r="26" spans="1:9" x14ac:dyDescent="0.25">
      <c r="A26" s="554" t="s">
        <v>788</v>
      </c>
      <c r="B26" s="554"/>
      <c r="C26" s="554"/>
      <c r="D26" s="554"/>
      <c r="E26" s="554"/>
      <c r="F26" s="554"/>
      <c r="G26" s="554"/>
      <c r="H26" s="554"/>
      <c r="I26" s="554"/>
    </row>
    <row r="27" spans="1:9" ht="15" customHeight="1" x14ac:dyDescent="0.25">
      <c r="A27" s="570" t="s">
        <v>789</v>
      </c>
      <c r="B27" s="570"/>
      <c r="C27" s="570"/>
      <c r="D27" s="570"/>
      <c r="E27" s="570"/>
      <c r="F27" s="570"/>
      <c r="G27" s="570"/>
      <c r="H27" s="570"/>
      <c r="I27" s="235">
        <f>I12</f>
        <v>8.33</v>
      </c>
    </row>
    <row r="28" spans="1:9" x14ac:dyDescent="0.25">
      <c r="A28" s="570" t="s">
        <v>790</v>
      </c>
      <c r="B28" s="570"/>
      <c r="C28" s="570"/>
      <c r="D28" s="570"/>
      <c r="E28" s="570"/>
      <c r="F28" s="570"/>
      <c r="G28" s="570"/>
      <c r="H28" s="570"/>
      <c r="I28" s="235">
        <f>I18</f>
        <v>70.31</v>
      </c>
    </row>
    <row r="29" spans="1:9" x14ac:dyDescent="0.25">
      <c r="A29" s="570" t="s">
        <v>791</v>
      </c>
      <c r="B29" s="570"/>
      <c r="C29" s="570"/>
      <c r="D29" s="570"/>
      <c r="E29" s="570"/>
      <c r="F29" s="570"/>
      <c r="G29" s="570"/>
      <c r="H29" s="570"/>
      <c r="I29" s="98">
        <f>I24</f>
        <v>0</v>
      </c>
    </row>
    <row r="30" spans="1:9" x14ac:dyDescent="0.25">
      <c r="A30" s="570" t="s">
        <v>792</v>
      </c>
      <c r="B30" s="570"/>
      <c r="C30" s="570"/>
      <c r="D30" s="570"/>
      <c r="E30" s="570"/>
      <c r="F30" s="570"/>
      <c r="G30" s="570"/>
      <c r="H30" s="570"/>
      <c r="I30" s="236">
        <f>SUM(I27:I29)</f>
        <v>78.64</v>
      </c>
    </row>
    <row r="31" spans="1:9" x14ac:dyDescent="0.25">
      <c r="A31" s="368"/>
      <c r="B31" s="368"/>
      <c r="C31" s="369"/>
      <c r="D31" s="369"/>
      <c r="E31" s="369"/>
      <c r="F31" s="369"/>
      <c r="G31" s="369"/>
      <c r="H31" s="369"/>
      <c r="I31" s="369"/>
    </row>
    <row r="32" spans="1:9" x14ac:dyDescent="0.25">
      <c r="A32" s="368"/>
      <c r="B32" s="368"/>
      <c r="C32" s="369"/>
      <c r="D32" s="369"/>
      <c r="E32" s="369"/>
      <c r="F32" s="369"/>
      <c r="G32" s="369"/>
      <c r="H32" s="369"/>
      <c r="I32" s="369"/>
    </row>
    <row r="33" spans="1:9" x14ac:dyDescent="0.25">
      <c r="A33" s="368"/>
      <c r="B33" s="368"/>
      <c r="C33" s="369"/>
      <c r="D33" s="369"/>
      <c r="E33" s="369"/>
      <c r="F33" s="369"/>
      <c r="G33" s="369"/>
      <c r="H33" s="369"/>
      <c r="I33" s="369"/>
    </row>
    <row r="34" spans="1:9" x14ac:dyDescent="0.25">
      <c r="A34" s="368"/>
      <c r="B34" s="368"/>
      <c r="C34" s="369"/>
      <c r="D34" s="369"/>
      <c r="E34" s="369"/>
      <c r="F34" s="369"/>
      <c r="G34" s="369"/>
      <c r="H34" s="369"/>
      <c r="I34" s="369"/>
    </row>
    <row r="35" spans="1:9" x14ac:dyDescent="0.25">
      <c r="A35" s="368"/>
      <c r="B35" s="368"/>
      <c r="C35" s="369"/>
      <c r="D35" s="369"/>
      <c r="E35" s="369"/>
      <c r="F35" s="369"/>
      <c r="G35" s="369"/>
      <c r="H35" s="369"/>
      <c r="I35" s="369"/>
    </row>
    <row r="36" spans="1:9" x14ac:dyDescent="0.25">
      <c r="A36" s="368"/>
      <c r="B36" s="368"/>
      <c r="C36" s="369"/>
      <c r="D36" s="369"/>
      <c r="E36" s="369"/>
      <c r="F36" s="369"/>
      <c r="G36" s="369"/>
      <c r="H36" s="369"/>
      <c r="I36" s="369"/>
    </row>
    <row r="37" spans="1:9" x14ac:dyDescent="0.25">
      <c r="A37" s="368"/>
      <c r="B37" s="368"/>
      <c r="C37" s="369"/>
      <c r="D37" s="369"/>
      <c r="E37" s="369"/>
      <c r="F37" s="369"/>
      <c r="G37" s="369"/>
      <c r="H37" s="369"/>
      <c r="I37" s="369"/>
    </row>
    <row r="38" spans="1:9" x14ac:dyDescent="0.25">
      <c r="A38" s="368"/>
      <c r="B38" s="368"/>
      <c r="C38" s="369"/>
      <c r="D38" s="369"/>
      <c r="E38" s="369"/>
      <c r="F38" s="369"/>
      <c r="G38" s="369"/>
      <c r="H38" s="369"/>
      <c r="I38" s="369"/>
    </row>
    <row r="39" spans="1:9" x14ac:dyDescent="0.25">
      <c r="A39" s="368"/>
      <c r="B39" s="368"/>
      <c r="C39" s="369"/>
      <c r="D39" s="369"/>
      <c r="E39" s="369"/>
      <c r="F39" s="369"/>
      <c r="G39" s="369"/>
      <c r="H39" s="369"/>
      <c r="I39" s="369"/>
    </row>
    <row r="40" spans="1:9" x14ac:dyDescent="0.25">
      <c r="A40" s="368"/>
      <c r="B40" s="368"/>
      <c r="C40" s="369"/>
      <c r="D40" s="369"/>
      <c r="E40" s="369"/>
      <c r="F40" s="369"/>
      <c r="G40" s="369"/>
      <c r="H40" s="369"/>
      <c r="I40" s="369"/>
    </row>
    <row r="41" spans="1:9" x14ac:dyDescent="0.25">
      <c r="A41" s="368"/>
      <c r="B41" s="368"/>
      <c r="C41" s="369"/>
      <c r="D41" s="369"/>
      <c r="E41" s="369"/>
      <c r="F41" s="369"/>
      <c r="G41" s="369"/>
      <c r="H41" s="369"/>
      <c r="I41" s="369"/>
    </row>
    <row r="42" spans="1:9" x14ac:dyDescent="0.25">
      <c r="A42" s="368"/>
      <c r="B42" s="368"/>
      <c r="C42" s="369"/>
      <c r="D42" s="369"/>
      <c r="E42" s="369"/>
      <c r="F42" s="369"/>
      <c r="G42" s="369"/>
      <c r="H42" s="369"/>
      <c r="I42" s="369"/>
    </row>
    <row r="43" spans="1:9" x14ac:dyDescent="0.25">
      <c r="A43" s="368"/>
      <c r="B43" s="368"/>
      <c r="C43" s="369"/>
      <c r="D43" s="369"/>
      <c r="E43" s="369"/>
      <c r="F43" s="369"/>
      <c r="G43" s="369"/>
      <c r="H43" s="369"/>
      <c r="I43" s="369"/>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4"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43"/>
  <sheetViews>
    <sheetView view="pageBreakPreview" zoomScale="112" zoomScaleNormal="100" zoomScaleSheetLayoutView="112" workbookViewId="0">
      <selection activeCell="O14" sqref="O14"/>
    </sheetView>
  </sheetViews>
  <sheetFormatPr defaultRowHeight="15" x14ac:dyDescent="0.25"/>
  <cols>
    <col min="1" max="1" width="12.28515625" style="99" customWidth="1"/>
    <col min="2" max="2" width="10" style="99" bestFit="1" customWidth="1"/>
    <col min="3" max="3" width="9.140625" style="100" bestFit="1" customWidth="1"/>
    <col min="4" max="4" width="20.5703125" style="100" customWidth="1"/>
    <col min="5" max="5" width="20.7109375" style="100" customWidth="1"/>
    <col min="6" max="6" width="5" style="100" bestFit="1" customWidth="1"/>
    <col min="7" max="7" width="8.5703125" style="100" bestFit="1" customWidth="1"/>
    <col min="8" max="8" width="11.28515625" style="100" customWidth="1"/>
    <col min="9" max="9" width="11.140625" style="100" bestFit="1" customWidth="1"/>
  </cols>
  <sheetData>
    <row r="1" spans="1:9" ht="15" customHeight="1" x14ac:dyDescent="0.25">
      <c r="A1" s="555" t="s">
        <v>758</v>
      </c>
      <c r="B1" s="555"/>
      <c r="C1" s="555"/>
      <c r="D1" s="555"/>
      <c r="E1" s="555"/>
      <c r="F1" s="555"/>
      <c r="G1" s="555"/>
      <c r="H1" s="555"/>
      <c r="I1" s="556" t="s">
        <v>759</v>
      </c>
    </row>
    <row r="2" spans="1:9" ht="15" customHeight="1" x14ac:dyDescent="0.25">
      <c r="A2" s="555"/>
      <c r="B2" s="555"/>
      <c r="C2" s="555"/>
      <c r="D2" s="555"/>
      <c r="E2" s="555"/>
      <c r="F2" s="555"/>
      <c r="G2" s="555"/>
      <c r="H2" s="555"/>
      <c r="I2" s="556"/>
    </row>
    <row r="3" spans="1:9" x14ac:dyDescent="0.25">
      <c r="A3" s="555"/>
      <c r="B3" s="555"/>
      <c r="C3" s="555"/>
      <c r="D3" s="555"/>
      <c r="E3" s="555"/>
      <c r="F3" s="555"/>
      <c r="G3" s="555"/>
      <c r="H3" s="555"/>
      <c r="I3" s="354">
        <v>44866</v>
      </c>
    </row>
    <row r="4" spans="1:9" x14ac:dyDescent="0.25">
      <c r="A4" s="555"/>
      <c r="B4" s="555"/>
      <c r="C4" s="555"/>
      <c r="D4" s="555"/>
      <c r="E4" s="555"/>
      <c r="F4" s="555"/>
      <c r="G4" s="555"/>
      <c r="H4" s="555"/>
      <c r="I4" s="114" t="s">
        <v>434</v>
      </c>
    </row>
    <row r="5" spans="1:9" ht="15" customHeight="1" x14ac:dyDescent="0.25">
      <c r="A5" s="557" t="s">
        <v>847</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848</v>
      </c>
      <c r="B7" s="559"/>
      <c r="C7" s="559"/>
      <c r="D7" s="559"/>
      <c r="E7" s="559"/>
      <c r="F7" s="559"/>
      <c r="G7" s="559"/>
      <c r="H7" s="559"/>
      <c r="I7" s="559"/>
    </row>
    <row r="8" spans="1:9" ht="15" customHeight="1"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30" customHeight="1" x14ac:dyDescent="0.25">
      <c r="A10" s="101" t="s">
        <v>823</v>
      </c>
      <c r="B10" s="101" t="s">
        <v>22</v>
      </c>
      <c r="C10" s="562" t="s">
        <v>824</v>
      </c>
      <c r="D10" s="564"/>
      <c r="E10" s="355" t="s">
        <v>771</v>
      </c>
      <c r="F10" s="101" t="s">
        <v>772</v>
      </c>
      <c r="G10" s="356">
        <v>0.31619999999999998</v>
      </c>
      <c r="H10" s="357">
        <v>21.35</v>
      </c>
      <c r="I10" s="357">
        <f>TRUNC(ROUND(G10*H10,2),2)</f>
        <v>6.75</v>
      </c>
    </row>
    <row r="11" spans="1:9" ht="30.75" customHeight="1" x14ac:dyDescent="0.25">
      <c r="A11" s="101" t="s">
        <v>892</v>
      </c>
      <c r="B11" s="101" t="s">
        <v>22</v>
      </c>
      <c r="C11" s="562" t="s">
        <v>899</v>
      </c>
      <c r="D11" s="563"/>
      <c r="E11" s="355" t="s">
        <v>771</v>
      </c>
      <c r="F11" s="101" t="s">
        <v>772</v>
      </c>
      <c r="G11" s="373">
        <v>9.9599999999999994E-2</v>
      </c>
      <c r="H11" s="632">
        <v>15.85</v>
      </c>
      <c r="I11" s="357">
        <f>TRUNC(ROUND(G11*H11,2),2)</f>
        <v>1.58</v>
      </c>
    </row>
    <row r="12" spans="1:9" x14ac:dyDescent="0.25">
      <c r="A12" s="565" t="s">
        <v>773</v>
      </c>
      <c r="B12" s="565"/>
      <c r="C12" s="565"/>
      <c r="D12" s="565"/>
      <c r="E12" s="565"/>
      <c r="F12" s="565"/>
      <c r="G12" s="565"/>
      <c r="H12" s="565"/>
      <c r="I12" s="240">
        <f>TRUNC(ROUND(I10+I11,2),2)</f>
        <v>8.33</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x14ac:dyDescent="0.25">
      <c r="A16" s="358" t="s">
        <v>900</v>
      </c>
      <c r="B16" s="101" t="s">
        <v>844</v>
      </c>
      <c r="C16" s="585" t="s">
        <v>849</v>
      </c>
      <c r="D16" s="585"/>
      <c r="E16" s="585"/>
      <c r="F16" s="358" t="s">
        <v>47</v>
      </c>
      <c r="G16" s="359">
        <v>1</v>
      </c>
      <c r="H16" s="360">
        <v>30.16</v>
      </c>
      <c r="I16" s="357">
        <f>TRUNC(ROUND(G16*H16,2),2)</f>
        <v>30.16</v>
      </c>
    </row>
    <row r="17" spans="1:9" x14ac:dyDescent="0.25">
      <c r="A17" s="92"/>
      <c r="B17" s="92"/>
      <c r="C17" s="580"/>
      <c r="D17" s="580"/>
      <c r="E17" s="580"/>
      <c r="F17" s="93"/>
      <c r="G17" s="94"/>
      <c r="H17" s="95"/>
      <c r="I17" s="96"/>
    </row>
    <row r="18" spans="1:9" x14ac:dyDescent="0.25">
      <c r="A18" s="565" t="s">
        <v>781</v>
      </c>
      <c r="B18" s="565"/>
      <c r="C18" s="565"/>
      <c r="D18" s="565"/>
      <c r="E18" s="565"/>
      <c r="F18" s="565"/>
      <c r="G18" s="565"/>
      <c r="H18" s="565"/>
      <c r="I18" s="238">
        <f>SUM(I16:I17)</f>
        <v>30.16</v>
      </c>
    </row>
    <row r="19" spans="1:9" x14ac:dyDescent="0.25">
      <c r="A19" s="111"/>
      <c r="B19" s="111"/>
      <c r="C19" s="111"/>
      <c r="D19" s="111"/>
      <c r="E19" s="111"/>
      <c r="F19" s="111"/>
      <c r="G19" s="111"/>
      <c r="H19" s="111"/>
      <c r="I19" s="83"/>
    </row>
    <row r="20" spans="1:9" x14ac:dyDescent="0.25">
      <c r="A20" s="111"/>
      <c r="B20" s="111"/>
      <c r="C20" s="111"/>
      <c r="D20" s="111"/>
      <c r="E20" s="111"/>
      <c r="F20" s="111"/>
      <c r="G20" s="111"/>
      <c r="H20" s="111"/>
      <c r="I20" s="83"/>
    </row>
    <row r="21" spans="1:9" x14ac:dyDescent="0.25">
      <c r="A21" s="560" t="s">
        <v>782</v>
      </c>
      <c r="B21" s="560"/>
      <c r="C21" s="560"/>
      <c r="D21" s="560"/>
      <c r="E21" s="560"/>
      <c r="F21" s="560"/>
      <c r="G21" s="560"/>
      <c r="H21" s="560"/>
      <c r="I21" s="560"/>
    </row>
    <row r="22" spans="1:9" ht="15" customHeight="1" x14ac:dyDescent="0.25">
      <c r="A22" s="361"/>
      <c r="B22" s="101"/>
      <c r="C22" s="581" t="s">
        <v>765</v>
      </c>
      <c r="D22" s="581"/>
      <c r="E22" s="581"/>
      <c r="F22" s="101" t="s">
        <v>766</v>
      </c>
      <c r="G22" s="362" t="s">
        <v>767</v>
      </c>
      <c r="H22" s="363" t="s">
        <v>768</v>
      </c>
      <c r="I22" s="364" t="s">
        <v>769</v>
      </c>
    </row>
    <row r="23" spans="1:9" x14ac:dyDescent="0.25">
      <c r="A23" s="365"/>
      <c r="B23" s="365"/>
      <c r="C23" s="582"/>
      <c r="D23" s="583"/>
      <c r="E23" s="584"/>
      <c r="F23" s="123"/>
      <c r="G23" s="123"/>
      <c r="H23" s="366"/>
      <c r="I23" s="367"/>
    </row>
    <row r="24" spans="1:9" x14ac:dyDescent="0.25">
      <c r="A24" s="565" t="s">
        <v>787</v>
      </c>
      <c r="B24" s="565"/>
      <c r="C24" s="565"/>
      <c r="D24" s="565"/>
      <c r="E24" s="565"/>
      <c r="F24" s="565"/>
      <c r="G24" s="565"/>
      <c r="H24" s="565"/>
      <c r="I24" s="89">
        <f>I23</f>
        <v>0</v>
      </c>
    </row>
    <row r="25" spans="1:9" x14ac:dyDescent="0.25">
      <c r="A25" s="575"/>
      <c r="B25" s="576"/>
      <c r="C25" s="576"/>
      <c r="D25" s="576"/>
      <c r="E25" s="576"/>
      <c r="F25" s="576"/>
      <c r="G25" s="576"/>
      <c r="H25" s="576"/>
      <c r="I25" s="577"/>
    </row>
    <row r="26" spans="1:9" x14ac:dyDescent="0.25">
      <c r="A26" s="554" t="s">
        <v>788</v>
      </c>
      <c r="B26" s="554"/>
      <c r="C26" s="554"/>
      <c r="D26" s="554"/>
      <c r="E26" s="554"/>
      <c r="F26" s="554"/>
      <c r="G26" s="554"/>
      <c r="H26" s="554"/>
      <c r="I26" s="554"/>
    </row>
    <row r="27" spans="1:9" ht="15" customHeight="1" x14ac:dyDescent="0.25">
      <c r="A27" s="570" t="s">
        <v>789</v>
      </c>
      <c r="B27" s="570"/>
      <c r="C27" s="570"/>
      <c r="D27" s="570"/>
      <c r="E27" s="570"/>
      <c r="F27" s="570"/>
      <c r="G27" s="570"/>
      <c r="H27" s="570"/>
      <c r="I27" s="235">
        <f>I12</f>
        <v>8.33</v>
      </c>
    </row>
    <row r="28" spans="1:9" x14ac:dyDescent="0.25">
      <c r="A28" s="570" t="s">
        <v>790</v>
      </c>
      <c r="B28" s="570"/>
      <c r="C28" s="570"/>
      <c r="D28" s="570"/>
      <c r="E28" s="570"/>
      <c r="F28" s="570"/>
      <c r="G28" s="570"/>
      <c r="H28" s="570"/>
      <c r="I28" s="235">
        <f>I18</f>
        <v>30.16</v>
      </c>
    </row>
    <row r="29" spans="1:9" x14ac:dyDescent="0.25">
      <c r="A29" s="570" t="s">
        <v>791</v>
      </c>
      <c r="B29" s="570"/>
      <c r="C29" s="570"/>
      <c r="D29" s="570"/>
      <c r="E29" s="570"/>
      <c r="F29" s="570"/>
      <c r="G29" s="570"/>
      <c r="H29" s="570"/>
      <c r="I29" s="98">
        <f>I24</f>
        <v>0</v>
      </c>
    </row>
    <row r="30" spans="1:9" x14ac:dyDescent="0.25">
      <c r="A30" s="570" t="s">
        <v>792</v>
      </c>
      <c r="B30" s="570"/>
      <c r="C30" s="570"/>
      <c r="D30" s="570"/>
      <c r="E30" s="570"/>
      <c r="F30" s="570"/>
      <c r="G30" s="570"/>
      <c r="H30" s="570"/>
      <c r="I30" s="236">
        <f>SUM(I27:I29)</f>
        <v>38.49</v>
      </c>
    </row>
    <row r="31" spans="1:9" x14ac:dyDescent="0.25">
      <c r="A31" s="368"/>
      <c r="B31" s="368"/>
      <c r="C31" s="369"/>
      <c r="D31" s="369"/>
      <c r="E31" s="369"/>
      <c r="F31" s="369"/>
      <c r="G31" s="369"/>
      <c r="H31" s="369"/>
      <c r="I31" s="369"/>
    </row>
    <row r="32" spans="1:9" x14ac:dyDescent="0.25">
      <c r="A32" s="368"/>
      <c r="B32" s="368"/>
      <c r="C32" s="369"/>
      <c r="D32" s="369"/>
      <c r="E32" s="369"/>
      <c r="F32" s="369"/>
      <c r="G32" s="369"/>
      <c r="H32" s="369"/>
      <c r="I32" s="369"/>
    </row>
    <row r="33" spans="1:9" x14ac:dyDescent="0.25">
      <c r="A33" s="368"/>
      <c r="B33" s="368"/>
      <c r="C33" s="369"/>
      <c r="D33" s="369"/>
      <c r="E33" s="369"/>
      <c r="F33" s="369"/>
      <c r="G33" s="369"/>
      <c r="H33" s="369"/>
      <c r="I33" s="369"/>
    </row>
    <row r="34" spans="1:9" x14ac:dyDescent="0.25">
      <c r="A34" s="368"/>
      <c r="B34" s="368"/>
      <c r="C34" s="369"/>
      <c r="D34" s="369"/>
      <c r="E34" s="369"/>
      <c r="F34" s="369"/>
      <c r="G34" s="369"/>
      <c r="H34" s="369"/>
      <c r="I34" s="369"/>
    </row>
    <row r="35" spans="1:9" x14ac:dyDescent="0.25">
      <c r="A35" s="368"/>
      <c r="B35" s="368"/>
      <c r="C35" s="369"/>
      <c r="D35" s="369"/>
      <c r="E35" s="369"/>
      <c r="F35" s="369"/>
      <c r="G35" s="369"/>
      <c r="H35" s="369"/>
      <c r="I35" s="369"/>
    </row>
    <row r="36" spans="1:9" x14ac:dyDescent="0.25">
      <c r="A36" s="368"/>
      <c r="B36" s="368"/>
      <c r="C36" s="369"/>
      <c r="D36" s="369"/>
      <c r="E36" s="369"/>
      <c r="F36" s="369"/>
      <c r="G36" s="369"/>
      <c r="H36" s="369"/>
      <c r="I36" s="369"/>
    </row>
    <row r="37" spans="1:9" x14ac:dyDescent="0.25">
      <c r="A37" s="368"/>
      <c r="B37" s="368"/>
      <c r="C37" s="369"/>
      <c r="D37" s="369"/>
      <c r="E37" s="369"/>
      <c r="F37" s="369"/>
      <c r="G37" s="369"/>
      <c r="H37" s="369"/>
      <c r="I37" s="369"/>
    </row>
    <row r="38" spans="1:9" x14ac:dyDescent="0.25">
      <c r="A38" s="368"/>
      <c r="B38" s="368"/>
      <c r="C38" s="369"/>
      <c r="D38" s="369"/>
      <c r="E38" s="369"/>
      <c r="F38" s="369"/>
      <c r="G38" s="369"/>
      <c r="H38" s="369"/>
      <c r="I38" s="369"/>
    </row>
    <row r="39" spans="1:9" x14ac:dyDescent="0.25">
      <c r="A39" s="368"/>
      <c r="B39" s="368"/>
      <c r="C39" s="369"/>
      <c r="D39" s="369"/>
      <c r="E39" s="369"/>
      <c r="F39" s="369"/>
      <c r="G39" s="369"/>
      <c r="H39" s="369"/>
      <c r="I39" s="369"/>
    </row>
    <row r="40" spans="1:9" x14ac:dyDescent="0.25">
      <c r="A40" s="368"/>
      <c r="B40" s="368"/>
      <c r="C40" s="369"/>
      <c r="D40" s="369"/>
      <c r="E40" s="369"/>
      <c r="F40" s="369"/>
      <c r="G40" s="369"/>
      <c r="H40" s="369"/>
      <c r="I40" s="369"/>
    </row>
    <row r="41" spans="1:9" x14ac:dyDescent="0.25">
      <c r="A41" s="368"/>
      <c r="B41" s="368"/>
      <c r="C41" s="369"/>
      <c r="D41" s="369"/>
      <c r="E41" s="369"/>
      <c r="F41" s="369"/>
      <c r="G41" s="369"/>
      <c r="H41" s="369"/>
      <c r="I41" s="369"/>
    </row>
    <row r="42" spans="1:9" x14ac:dyDescent="0.25">
      <c r="A42" s="368"/>
      <c r="B42" s="368"/>
      <c r="C42" s="369"/>
      <c r="D42" s="369"/>
      <c r="E42" s="369"/>
      <c r="F42" s="369"/>
      <c r="G42" s="369"/>
      <c r="H42" s="369"/>
      <c r="I42" s="369"/>
    </row>
    <row r="43" spans="1:9" x14ac:dyDescent="0.25">
      <c r="A43" s="368"/>
      <c r="B43" s="368"/>
      <c r="C43" s="369"/>
      <c r="D43" s="369"/>
      <c r="E43" s="369"/>
      <c r="F43" s="369"/>
      <c r="G43" s="369"/>
      <c r="H43" s="369"/>
      <c r="I43" s="369"/>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4"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43"/>
  <sheetViews>
    <sheetView view="pageBreakPreview" zoomScale="112" zoomScaleNormal="100" zoomScaleSheetLayoutView="112" workbookViewId="0">
      <selection activeCell="L18" sqref="L18"/>
    </sheetView>
  </sheetViews>
  <sheetFormatPr defaultRowHeight="15" x14ac:dyDescent="0.25"/>
  <cols>
    <col min="1" max="1" width="12.28515625" style="99" customWidth="1"/>
    <col min="2" max="2" width="10" style="99" bestFit="1" customWidth="1"/>
    <col min="3" max="3" width="9.140625" style="100" bestFit="1" customWidth="1"/>
    <col min="4" max="4" width="20.5703125" style="100" customWidth="1"/>
    <col min="5" max="5" width="20.7109375" style="100" customWidth="1"/>
    <col min="6" max="6" width="5" style="100" bestFit="1" customWidth="1"/>
    <col min="7" max="7" width="8.5703125" style="100" bestFit="1" customWidth="1"/>
    <col min="8" max="8" width="11.28515625" style="100" customWidth="1"/>
    <col min="9" max="9" width="11.140625" style="100" bestFit="1" customWidth="1"/>
  </cols>
  <sheetData>
    <row r="1" spans="1:9" ht="15" customHeight="1" x14ac:dyDescent="0.25">
      <c r="A1" s="555" t="s">
        <v>758</v>
      </c>
      <c r="B1" s="555"/>
      <c r="C1" s="555"/>
      <c r="D1" s="555"/>
      <c r="E1" s="555"/>
      <c r="F1" s="555"/>
      <c r="G1" s="555"/>
      <c r="H1" s="555"/>
      <c r="I1" s="556" t="s">
        <v>759</v>
      </c>
    </row>
    <row r="2" spans="1:9" ht="15" customHeight="1" x14ac:dyDescent="0.25">
      <c r="A2" s="555"/>
      <c r="B2" s="555"/>
      <c r="C2" s="555"/>
      <c r="D2" s="555"/>
      <c r="E2" s="555"/>
      <c r="F2" s="555"/>
      <c r="G2" s="555"/>
      <c r="H2" s="555"/>
      <c r="I2" s="556"/>
    </row>
    <row r="3" spans="1:9" x14ac:dyDescent="0.25">
      <c r="A3" s="555"/>
      <c r="B3" s="555"/>
      <c r="C3" s="555"/>
      <c r="D3" s="555"/>
      <c r="E3" s="555"/>
      <c r="F3" s="555"/>
      <c r="G3" s="555"/>
      <c r="H3" s="555"/>
      <c r="I3" s="354">
        <v>44866</v>
      </c>
    </row>
    <row r="4" spans="1:9" x14ac:dyDescent="0.25">
      <c r="A4" s="555"/>
      <c r="B4" s="555"/>
      <c r="C4" s="555"/>
      <c r="D4" s="555"/>
      <c r="E4" s="555"/>
      <c r="F4" s="555"/>
      <c r="G4" s="555"/>
      <c r="H4" s="555"/>
      <c r="I4" s="114" t="s">
        <v>436</v>
      </c>
    </row>
    <row r="5" spans="1:9" ht="15" customHeight="1" x14ac:dyDescent="0.25">
      <c r="A5" s="557" t="s">
        <v>850</v>
      </c>
      <c r="B5" s="557"/>
      <c r="C5" s="557"/>
      <c r="D5" s="557"/>
      <c r="E5" s="557"/>
      <c r="F5" s="557"/>
      <c r="G5" s="557"/>
      <c r="H5" s="557"/>
      <c r="I5" s="558" t="s">
        <v>819</v>
      </c>
    </row>
    <row r="6" spans="1:9" x14ac:dyDescent="0.25">
      <c r="A6" s="557"/>
      <c r="B6" s="557"/>
      <c r="C6" s="557"/>
      <c r="D6" s="557"/>
      <c r="E6" s="557"/>
      <c r="F6" s="557"/>
      <c r="G6" s="557"/>
      <c r="H6" s="557"/>
      <c r="I6" s="558"/>
    </row>
    <row r="7" spans="1:9" x14ac:dyDescent="0.25">
      <c r="A7" s="559" t="s">
        <v>843</v>
      </c>
      <c r="B7" s="559"/>
      <c r="C7" s="559"/>
      <c r="D7" s="559"/>
      <c r="E7" s="559"/>
      <c r="F7" s="559"/>
      <c r="G7" s="559"/>
      <c r="H7" s="559"/>
      <c r="I7" s="559"/>
    </row>
    <row r="8" spans="1:9" ht="15" customHeight="1" x14ac:dyDescent="0.25">
      <c r="A8" s="554" t="s">
        <v>763</v>
      </c>
      <c r="B8" s="554"/>
      <c r="C8" s="554"/>
      <c r="D8" s="554"/>
      <c r="E8" s="554"/>
      <c r="F8" s="554"/>
      <c r="G8" s="554"/>
      <c r="H8" s="554"/>
      <c r="I8" s="554"/>
    </row>
    <row r="9" spans="1:9" x14ac:dyDescent="0.25">
      <c r="A9" s="73" t="s">
        <v>764</v>
      </c>
      <c r="B9" s="113" t="s">
        <v>10</v>
      </c>
      <c r="C9" s="561" t="s">
        <v>765</v>
      </c>
      <c r="D9" s="561"/>
      <c r="E9" s="561"/>
      <c r="F9" s="113" t="s">
        <v>766</v>
      </c>
      <c r="G9" s="74" t="s">
        <v>767</v>
      </c>
      <c r="H9" s="75" t="s">
        <v>768</v>
      </c>
      <c r="I9" s="76" t="s">
        <v>769</v>
      </c>
    </row>
    <row r="10" spans="1:9" ht="29.25" customHeight="1" x14ac:dyDescent="0.25">
      <c r="A10" s="101" t="s">
        <v>823</v>
      </c>
      <c r="B10" s="101" t="s">
        <v>22</v>
      </c>
      <c r="C10" s="562" t="s">
        <v>824</v>
      </c>
      <c r="D10" s="564"/>
      <c r="E10" s="355" t="s">
        <v>771</v>
      </c>
      <c r="F10" s="101" t="s">
        <v>772</v>
      </c>
      <c r="G10" s="356">
        <v>0.31619999999999998</v>
      </c>
      <c r="H10" s="631">
        <v>21.35</v>
      </c>
      <c r="I10" s="357">
        <f>TRUNC(ROUND(G10*H10,2),2)</f>
        <v>6.75</v>
      </c>
    </row>
    <row r="11" spans="1:9" ht="29.25" customHeight="1" x14ac:dyDescent="0.25">
      <c r="A11" s="101" t="s">
        <v>892</v>
      </c>
      <c r="B11" s="101" t="s">
        <v>22</v>
      </c>
      <c r="C11" s="562" t="s">
        <v>899</v>
      </c>
      <c r="D11" s="563"/>
      <c r="E11" s="355" t="s">
        <v>771</v>
      </c>
      <c r="F11" s="101" t="s">
        <v>772</v>
      </c>
      <c r="G11" s="373">
        <v>9.9599999999999994E-2</v>
      </c>
      <c r="H11" s="632">
        <v>15.85</v>
      </c>
      <c r="I11" s="357">
        <f>TRUNC(ROUND(G11*H11,2),2)</f>
        <v>1.58</v>
      </c>
    </row>
    <row r="12" spans="1:9" x14ac:dyDescent="0.25">
      <c r="A12" s="565" t="s">
        <v>773</v>
      </c>
      <c r="B12" s="565"/>
      <c r="C12" s="565"/>
      <c r="D12" s="565"/>
      <c r="E12" s="565"/>
      <c r="F12" s="565"/>
      <c r="G12" s="565"/>
      <c r="H12" s="565"/>
      <c r="I12" s="240">
        <f>TRUNC(ROUND(I10+I11,2),2)</f>
        <v>8.33</v>
      </c>
    </row>
    <row r="13" spans="1:9" x14ac:dyDescent="0.25">
      <c r="A13" s="111"/>
      <c r="B13" s="111"/>
      <c r="C13" s="111"/>
      <c r="D13" s="111"/>
      <c r="E13" s="111"/>
      <c r="F13" s="111"/>
      <c r="G13" s="111"/>
      <c r="H13" s="111"/>
      <c r="I13" s="83"/>
    </row>
    <row r="14" spans="1:9" x14ac:dyDescent="0.25">
      <c r="A14" s="554" t="s">
        <v>774</v>
      </c>
      <c r="B14" s="554"/>
      <c r="C14" s="554"/>
      <c r="D14" s="554"/>
      <c r="E14" s="554"/>
      <c r="F14" s="554"/>
      <c r="G14" s="554"/>
      <c r="H14" s="554"/>
      <c r="I14" s="554"/>
    </row>
    <row r="15" spans="1:9" x14ac:dyDescent="0.25">
      <c r="A15" s="73" t="s">
        <v>764</v>
      </c>
      <c r="B15" s="113" t="s">
        <v>10</v>
      </c>
      <c r="C15" s="561" t="s">
        <v>765</v>
      </c>
      <c r="D15" s="561"/>
      <c r="E15" s="561"/>
      <c r="F15" s="113" t="s">
        <v>766</v>
      </c>
      <c r="G15" s="74" t="s">
        <v>767</v>
      </c>
      <c r="H15" s="75" t="s">
        <v>768</v>
      </c>
      <c r="I15" s="76" t="s">
        <v>769</v>
      </c>
    </row>
    <row r="16" spans="1:9" ht="28.5" customHeight="1" x14ac:dyDescent="0.25">
      <c r="A16" s="358" t="s">
        <v>851</v>
      </c>
      <c r="B16" s="101"/>
      <c r="C16" s="585" t="s">
        <v>852</v>
      </c>
      <c r="D16" s="585"/>
      <c r="E16" s="585"/>
      <c r="F16" s="358" t="s">
        <v>47</v>
      </c>
      <c r="G16" s="359">
        <v>1</v>
      </c>
      <c r="H16" s="360">
        <f>'COTAÇÕES '!O8</f>
        <v>47.879999999999995</v>
      </c>
      <c r="I16" s="357">
        <f>TRUNC(ROUND(G16*H16,2),2)</f>
        <v>47.88</v>
      </c>
    </row>
    <row r="17" spans="1:9" x14ac:dyDescent="0.25">
      <c r="A17" s="92"/>
      <c r="B17" s="92"/>
      <c r="C17" s="580"/>
      <c r="D17" s="580"/>
      <c r="E17" s="580"/>
      <c r="F17" s="93"/>
      <c r="G17" s="94"/>
      <c r="H17" s="95"/>
      <c r="I17" s="96"/>
    </row>
    <row r="18" spans="1:9" x14ac:dyDescent="0.25">
      <c r="A18" s="565" t="s">
        <v>781</v>
      </c>
      <c r="B18" s="565"/>
      <c r="C18" s="565"/>
      <c r="D18" s="565"/>
      <c r="E18" s="565"/>
      <c r="F18" s="565"/>
      <c r="G18" s="565"/>
      <c r="H18" s="565"/>
      <c r="I18" s="238">
        <f>SUM(I16:I17)</f>
        <v>47.88</v>
      </c>
    </row>
    <row r="19" spans="1:9" x14ac:dyDescent="0.25">
      <c r="A19" s="111"/>
      <c r="B19" s="111"/>
      <c r="C19" s="111"/>
      <c r="D19" s="111"/>
      <c r="E19" s="111"/>
      <c r="F19" s="111"/>
      <c r="G19" s="111"/>
      <c r="H19" s="111"/>
      <c r="I19" s="83"/>
    </row>
    <row r="20" spans="1:9" x14ac:dyDescent="0.25">
      <c r="A20" s="111"/>
      <c r="B20" s="111"/>
      <c r="C20" s="111"/>
      <c r="D20" s="111"/>
      <c r="E20" s="111"/>
      <c r="F20" s="111"/>
      <c r="G20" s="111"/>
      <c r="H20" s="111"/>
      <c r="I20" s="83"/>
    </row>
    <row r="21" spans="1:9" x14ac:dyDescent="0.25">
      <c r="A21" s="560" t="s">
        <v>782</v>
      </c>
      <c r="B21" s="560"/>
      <c r="C21" s="560"/>
      <c r="D21" s="560"/>
      <c r="E21" s="560"/>
      <c r="F21" s="560"/>
      <c r="G21" s="560"/>
      <c r="H21" s="560"/>
      <c r="I21" s="560"/>
    </row>
    <row r="22" spans="1:9" ht="15" customHeight="1" x14ac:dyDescent="0.25">
      <c r="A22" s="361"/>
      <c r="B22" s="101"/>
      <c r="C22" s="581" t="s">
        <v>765</v>
      </c>
      <c r="D22" s="581"/>
      <c r="E22" s="581"/>
      <c r="F22" s="101" t="s">
        <v>766</v>
      </c>
      <c r="G22" s="362" t="s">
        <v>767</v>
      </c>
      <c r="H22" s="363" t="s">
        <v>768</v>
      </c>
      <c r="I22" s="364" t="s">
        <v>769</v>
      </c>
    </row>
    <row r="23" spans="1:9" x14ac:dyDescent="0.25">
      <c r="A23" s="365"/>
      <c r="B23" s="365"/>
      <c r="C23" s="582"/>
      <c r="D23" s="583"/>
      <c r="E23" s="584"/>
      <c r="F23" s="123"/>
      <c r="G23" s="123"/>
      <c r="H23" s="366"/>
      <c r="I23" s="367"/>
    </row>
    <row r="24" spans="1:9" x14ac:dyDescent="0.25">
      <c r="A24" s="565" t="s">
        <v>787</v>
      </c>
      <c r="B24" s="565"/>
      <c r="C24" s="565"/>
      <c r="D24" s="565"/>
      <c r="E24" s="565"/>
      <c r="F24" s="565"/>
      <c r="G24" s="565"/>
      <c r="H24" s="565"/>
      <c r="I24" s="89">
        <f>I23</f>
        <v>0</v>
      </c>
    </row>
    <row r="25" spans="1:9" x14ac:dyDescent="0.25">
      <c r="A25" s="575"/>
      <c r="B25" s="576"/>
      <c r="C25" s="576"/>
      <c r="D25" s="576"/>
      <c r="E25" s="576"/>
      <c r="F25" s="576"/>
      <c r="G25" s="576"/>
      <c r="H25" s="576"/>
      <c r="I25" s="577"/>
    </row>
    <row r="26" spans="1:9" x14ac:dyDescent="0.25">
      <c r="A26" s="554" t="s">
        <v>788</v>
      </c>
      <c r="B26" s="554"/>
      <c r="C26" s="554"/>
      <c r="D26" s="554"/>
      <c r="E26" s="554"/>
      <c r="F26" s="554"/>
      <c r="G26" s="554"/>
      <c r="H26" s="554"/>
      <c r="I26" s="554"/>
    </row>
    <row r="27" spans="1:9" ht="15" customHeight="1" x14ac:dyDescent="0.25">
      <c r="A27" s="570" t="s">
        <v>789</v>
      </c>
      <c r="B27" s="570"/>
      <c r="C27" s="570"/>
      <c r="D27" s="570"/>
      <c r="E27" s="570"/>
      <c r="F27" s="570"/>
      <c r="G27" s="570"/>
      <c r="H27" s="570"/>
      <c r="I27" s="235">
        <f>I12</f>
        <v>8.33</v>
      </c>
    </row>
    <row r="28" spans="1:9" x14ac:dyDescent="0.25">
      <c r="A28" s="570" t="s">
        <v>790</v>
      </c>
      <c r="B28" s="570"/>
      <c r="C28" s="570"/>
      <c r="D28" s="570"/>
      <c r="E28" s="570"/>
      <c r="F28" s="570"/>
      <c r="G28" s="570"/>
      <c r="H28" s="570"/>
      <c r="I28" s="235">
        <f>I18</f>
        <v>47.88</v>
      </c>
    </row>
    <row r="29" spans="1:9" x14ac:dyDescent="0.25">
      <c r="A29" s="570" t="s">
        <v>791</v>
      </c>
      <c r="B29" s="570"/>
      <c r="C29" s="570"/>
      <c r="D29" s="570"/>
      <c r="E29" s="570"/>
      <c r="F29" s="570"/>
      <c r="G29" s="570"/>
      <c r="H29" s="570"/>
      <c r="I29" s="98">
        <f>I24</f>
        <v>0</v>
      </c>
    </row>
    <row r="30" spans="1:9" x14ac:dyDescent="0.25">
      <c r="A30" s="570" t="s">
        <v>792</v>
      </c>
      <c r="B30" s="570"/>
      <c r="C30" s="570"/>
      <c r="D30" s="570"/>
      <c r="E30" s="570"/>
      <c r="F30" s="570"/>
      <c r="G30" s="570"/>
      <c r="H30" s="570"/>
      <c r="I30" s="236">
        <f>SUM(I27:I29)</f>
        <v>56.21</v>
      </c>
    </row>
    <row r="31" spans="1:9" x14ac:dyDescent="0.25">
      <c r="A31" s="368"/>
      <c r="B31" s="368"/>
      <c r="C31" s="369"/>
      <c r="D31" s="369"/>
      <c r="E31" s="369"/>
      <c r="F31" s="369"/>
      <c r="G31" s="369"/>
      <c r="H31" s="369"/>
      <c r="I31" s="369"/>
    </row>
    <row r="32" spans="1:9" x14ac:dyDescent="0.25">
      <c r="A32" s="368"/>
      <c r="B32" s="368"/>
      <c r="C32" s="369"/>
      <c r="D32" s="369"/>
      <c r="E32" s="369"/>
      <c r="F32" s="369"/>
      <c r="G32" s="369"/>
      <c r="H32" s="369"/>
      <c r="I32" s="369"/>
    </row>
    <row r="33" spans="1:9" x14ac:dyDescent="0.25">
      <c r="A33" s="368"/>
      <c r="B33" s="368"/>
      <c r="C33" s="369"/>
      <c r="D33" s="369"/>
      <c r="E33" s="369"/>
      <c r="F33" s="369"/>
      <c r="G33" s="369"/>
      <c r="H33" s="369"/>
      <c r="I33" s="369"/>
    </row>
    <row r="34" spans="1:9" x14ac:dyDescent="0.25">
      <c r="A34" s="368"/>
      <c r="B34" s="368"/>
      <c r="C34" s="369"/>
      <c r="D34" s="369"/>
      <c r="E34" s="369"/>
      <c r="F34" s="369"/>
      <c r="G34" s="369"/>
      <c r="H34" s="369"/>
      <c r="I34" s="369"/>
    </row>
    <row r="35" spans="1:9" x14ac:dyDescent="0.25">
      <c r="A35" s="368"/>
      <c r="B35" s="368"/>
      <c r="C35" s="369"/>
      <c r="D35" s="369"/>
      <c r="E35" s="369"/>
      <c r="F35" s="369"/>
      <c r="G35" s="369"/>
      <c r="H35" s="369"/>
      <c r="I35" s="369"/>
    </row>
    <row r="36" spans="1:9" x14ac:dyDescent="0.25">
      <c r="A36" s="368"/>
      <c r="B36" s="368"/>
      <c r="C36" s="369"/>
      <c r="D36" s="369"/>
      <c r="E36" s="369"/>
      <c r="F36" s="369"/>
      <c r="G36" s="369"/>
      <c r="H36" s="369"/>
      <c r="I36" s="369"/>
    </row>
    <row r="37" spans="1:9" x14ac:dyDescent="0.25">
      <c r="A37" s="368"/>
      <c r="B37" s="368"/>
      <c r="C37" s="369"/>
      <c r="D37" s="369"/>
      <c r="E37" s="369"/>
      <c r="F37" s="369"/>
      <c r="G37" s="369"/>
      <c r="H37" s="369"/>
      <c r="I37" s="369"/>
    </row>
    <row r="38" spans="1:9" x14ac:dyDescent="0.25">
      <c r="A38" s="368"/>
      <c r="B38" s="368"/>
      <c r="C38" s="369"/>
      <c r="D38" s="369"/>
      <c r="E38" s="369"/>
      <c r="F38" s="369"/>
      <c r="G38" s="369"/>
      <c r="H38" s="369"/>
      <c r="I38" s="369"/>
    </row>
    <row r="39" spans="1:9" x14ac:dyDescent="0.25">
      <c r="A39" s="368"/>
      <c r="B39" s="368"/>
      <c r="C39" s="369"/>
      <c r="D39" s="369"/>
      <c r="E39" s="369"/>
      <c r="F39" s="369"/>
      <c r="G39" s="369"/>
      <c r="H39" s="369"/>
      <c r="I39" s="369"/>
    </row>
    <row r="40" spans="1:9" x14ac:dyDescent="0.25">
      <c r="A40" s="368"/>
      <c r="B40" s="368"/>
      <c r="C40" s="369"/>
      <c r="D40" s="369"/>
      <c r="E40" s="369"/>
      <c r="F40" s="369"/>
      <c r="G40" s="369"/>
      <c r="H40" s="369"/>
      <c r="I40" s="369"/>
    </row>
    <row r="41" spans="1:9" x14ac:dyDescent="0.25">
      <c r="A41" s="368"/>
      <c r="B41" s="368"/>
      <c r="C41" s="369"/>
      <c r="D41" s="369"/>
      <c r="E41" s="369"/>
      <c r="F41" s="369"/>
      <c r="G41" s="369"/>
      <c r="H41" s="369"/>
      <c r="I41" s="369"/>
    </row>
    <row r="42" spans="1:9" x14ac:dyDescent="0.25">
      <c r="A42" s="368"/>
      <c r="B42" s="368"/>
      <c r="C42" s="369"/>
      <c r="D42" s="369"/>
      <c r="E42" s="369"/>
      <c r="F42" s="369"/>
      <c r="G42" s="369"/>
      <c r="H42" s="369"/>
      <c r="I42" s="369"/>
    </row>
    <row r="43" spans="1:9" x14ac:dyDescent="0.25">
      <c r="A43" s="368"/>
      <c r="B43" s="368"/>
      <c r="C43" s="369"/>
      <c r="D43" s="369"/>
      <c r="E43" s="369"/>
      <c r="F43" s="369"/>
      <c r="G43" s="369"/>
      <c r="H43" s="369"/>
      <c r="I43" s="369"/>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4"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P8"/>
  <sheetViews>
    <sheetView tabSelected="1" view="pageBreakPreview" topLeftCell="C1" zoomScale="55" zoomScaleNormal="100" zoomScaleSheetLayoutView="55" workbookViewId="0">
      <selection activeCell="N16" sqref="N16"/>
    </sheetView>
  </sheetViews>
  <sheetFormatPr defaultRowHeight="21" x14ac:dyDescent="0.35"/>
  <cols>
    <col min="1" max="1" width="15.5703125" style="425" customWidth="1"/>
    <col min="2" max="2" width="53.140625" style="425" customWidth="1"/>
    <col min="3" max="3" width="25.7109375" style="425" customWidth="1"/>
    <col min="4" max="4" width="49" style="425" customWidth="1"/>
    <col min="5" max="5" width="34" style="425" customWidth="1"/>
    <col min="6" max="6" width="19" style="425" bestFit="1" customWidth="1"/>
    <col min="7" max="7" width="27.28515625" style="425" customWidth="1"/>
    <col min="8" max="8" width="52" style="425" customWidth="1"/>
    <col min="9" max="9" width="38.85546875" style="425" customWidth="1"/>
    <col min="10" max="10" width="19.42578125" style="425" bestFit="1" customWidth="1"/>
    <col min="11" max="11" width="30.140625" style="425" customWidth="1"/>
    <col min="12" max="12" width="45.7109375" style="425" customWidth="1"/>
    <col min="13" max="13" width="36.85546875" style="425" customWidth="1"/>
    <col min="14" max="14" width="24.140625" style="425" customWidth="1"/>
    <col min="15" max="16" width="27.28515625" style="425" customWidth="1"/>
    <col min="17" max="16384" width="9.140625" style="425"/>
  </cols>
  <sheetData>
    <row r="1" spans="1:16" x14ac:dyDescent="0.35">
      <c r="A1" s="588"/>
      <c r="B1" s="590" t="s">
        <v>0</v>
      </c>
      <c r="C1" s="590"/>
      <c r="D1" s="590"/>
      <c r="E1" s="590"/>
      <c r="F1" s="590"/>
      <c r="G1" s="590"/>
      <c r="H1" s="590"/>
      <c r="I1" s="590"/>
      <c r="J1" s="590"/>
      <c r="K1" s="590"/>
      <c r="L1" s="590"/>
      <c r="M1" s="590"/>
      <c r="N1" s="590"/>
      <c r="O1" s="590"/>
      <c r="P1" s="590"/>
    </row>
    <row r="2" spans="1:16" x14ac:dyDescent="0.35">
      <c r="A2" s="589"/>
      <c r="B2" s="591" t="s">
        <v>853</v>
      </c>
      <c r="C2" s="592"/>
      <c r="D2" s="592"/>
      <c r="E2" s="592"/>
      <c r="F2" s="592"/>
      <c r="G2" s="592"/>
      <c r="H2" s="592"/>
      <c r="I2" s="592"/>
      <c r="J2" s="592"/>
      <c r="K2" s="592"/>
      <c r="L2" s="592"/>
      <c r="M2" s="592"/>
      <c r="N2" s="592"/>
      <c r="O2" s="592"/>
      <c r="P2" s="592"/>
    </row>
    <row r="3" spans="1:16" x14ac:dyDescent="0.35">
      <c r="A3" s="589"/>
      <c r="B3" s="591" t="s">
        <v>2</v>
      </c>
      <c r="C3" s="592"/>
      <c r="D3" s="592"/>
      <c r="E3" s="592"/>
      <c r="F3" s="592"/>
      <c r="G3" s="592"/>
      <c r="H3" s="592"/>
      <c r="I3" s="592"/>
      <c r="J3" s="592"/>
      <c r="K3" s="592"/>
      <c r="L3" s="592"/>
      <c r="M3" s="592"/>
      <c r="N3" s="592"/>
      <c r="O3" s="592"/>
      <c r="P3" s="592"/>
    </row>
    <row r="4" spans="1:16" x14ac:dyDescent="0.35">
      <c r="A4" s="589"/>
      <c r="B4" s="591" t="s">
        <v>5</v>
      </c>
      <c r="C4" s="592"/>
      <c r="D4" s="592"/>
      <c r="E4" s="592"/>
      <c r="F4" s="592"/>
      <c r="G4" s="592"/>
      <c r="H4" s="592"/>
      <c r="I4" s="592"/>
      <c r="J4" s="592"/>
      <c r="K4" s="592"/>
      <c r="L4" s="592"/>
      <c r="M4" s="592"/>
      <c r="N4" s="592"/>
      <c r="O4" s="592"/>
      <c r="P4" s="592"/>
    </row>
    <row r="5" spans="1:16" ht="17.25" customHeight="1" x14ac:dyDescent="0.35">
      <c r="A5" s="599" t="s">
        <v>854</v>
      </c>
      <c r="B5" s="600" t="s">
        <v>765</v>
      </c>
      <c r="C5" s="602" t="s">
        <v>855</v>
      </c>
      <c r="D5" s="602" t="s">
        <v>856</v>
      </c>
      <c r="E5" s="604" t="s">
        <v>857</v>
      </c>
      <c r="F5" s="593" t="s">
        <v>858</v>
      </c>
      <c r="G5" s="595" t="s">
        <v>859</v>
      </c>
      <c r="H5" s="595" t="s">
        <v>856</v>
      </c>
      <c r="I5" s="597" t="s">
        <v>857</v>
      </c>
      <c r="J5" s="597" t="s">
        <v>860</v>
      </c>
      <c r="K5" s="586" t="s">
        <v>861</v>
      </c>
      <c r="L5" s="586" t="s">
        <v>856</v>
      </c>
      <c r="M5" s="606" t="s">
        <v>857</v>
      </c>
      <c r="N5" s="608" t="s">
        <v>860</v>
      </c>
      <c r="O5" s="610" t="s">
        <v>862</v>
      </c>
      <c r="P5" s="611" t="s">
        <v>863</v>
      </c>
    </row>
    <row r="6" spans="1:16" x14ac:dyDescent="0.35">
      <c r="A6" s="599"/>
      <c r="B6" s="601"/>
      <c r="C6" s="603"/>
      <c r="D6" s="603"/>
      <c r="E6" s="605"/>
      <c r="F6" s="594"/>
      <c r="G6" s="596"/>
      <c r="H6" s="596"/>
      <c r="I6" s="598"/>
      <c r="J6" s="598"/>
      <c r="K6" s="587"/>
      <c r="L6" s="587"/>
      <c r="M6" s="607"/>
      <c r="N6" s="609"/>
      <c r="O6" s="611"/>
      <c r="P6" s="612"/>
    </row>
    <row r="7" spans="1:16" ht="281.25" customHeight="1" x14ac:dyDescent="0.35">
      <c r="A7" s="426">
        <v>1</v>
      </c>
      <c r="B7" s="427" t="s">
        <v>864</v>
      </c>
      <c r="C7" s="427" t="s">
        <v>865</v>
      </c>
      <c r="D7" s="428" t="s">
        <v>866</v>
      </c>
      <c r="E7" s="429">
        <v>243.1</v>
      </c>
      <c r="F7" s="430">
        <v>44986</v>
      </c>
      <c r="G7" s="431" t="s">
        <v>867</v>
      </c>
      <c r="H7" s="621" t="s">
        <v>868</v>
      </c>
      <c r="I7" s="429">
        <v>291.49</v>
      </c>
      <c r="J7" s="430">
        <v>44986</v>
      </c>
      <c r="K7" s="427" t="s">
        <v>869</v>
      </c>
      <c r="L7" s="428" t="s">
        <v>870</v>
      </c>
      <c r="M7" s="432">
        <v>327</v>
      </c>
      <c r="N7" s="430">
        <v>44986</v>
      </c>
      <c r="O7" s="433">
        <f>(E7+I7+M7)/3</f>
        <v>287.19666666666666</v>
      </c>
      <c r="P7" s="427" t="s">
        <v>871</v>
      </c>
    </row>
    <row r="8" spans="1:16" ht="281.25" customHeight="1" x14ac:dyDescent="0.35">
      <c r="A8" s="426">
        <v>2</v>
      </c>
      <c r="B8" s="427" t="s">
        <v>872</v>
      </c>
      <c r="C8" s="427" t="s">
        <v>865</v>
      </c>
      <c r="D8" s="621" t="s">
        <v>901</v>
      </c>
      <c r="E8" s="429">
        <v>48.5</v>
      </c>
      <c r="F8" s="430">
        <v>44986</v>
      </c>
      <c r="G8" s="431" t="s">
        <v>873</v>
      </c>
      <c r="H8" s="434" t="s">
        <v>874</v>
      </c>
      <c r="I8" s="429">
        <v>46.2</v>
      </c>
      <c r="J8" s="430">
        <v>44986</v>
      </c>
      <c r="K8" s="427" t="s">
        <v>902</v>
      </c>
      <c r="L8" s="428" t="s">
        <v>903</v>
      </c>
      <c r="M8" s="432">
        <v>48.94</v>
      </c>
      <c r="N8" s="430">
        <v>44986</v>
      </c>
      <c r="O8" s="433">
        <f t="shared" ref="O8" si="0">(E8+I8+M8)/3</f>
        <v>47.879999999999995</v>
      </c>
      <c r="P8" s="427" t="s">
        <v>871</v>
      </c>
    </row>
  </sheetData>
  <mergeCells count="21">
    <mergeCell ref="M5:M6"/>
    <mergeCell ref="N5:N6"/>
    <mergeCell ref="O5:O6"/>
    <mergeCell ref="P5:P6"/>
    <mergeCell ref="L5:L6"/>
    <mergeCell ref="K5:K6"/>
    <mergeCell ref="A1:A4"/>
    <mergeCell ref="B1:P1"/>
    <mergeCell ref="B2:P2"/>
    <mergeCell ref="B3:P3"/>
    <mergeCell ref="B4:P4"/>
    <mergeCell ref="F5:F6"/>
    <mergeCell ref="G5:G6"/>
    <mergeCell ref="H5:H6"/>
    <mergeCell ref="I5:I6"/>
    <mergeCell ref="J5:J6"/>
    <mergeCell ref="A5:A6"/>
    <mergeCell ref="B5:B6"/>
    <mergeCell ref="C5:C6"/>
    <mergeCell ref="D5:D6"/>
    <mergeCell ref="E5:E6"/>
  </mergeCells>
  <hyperlinks>
    <hyperlink ref="H8" r:id="rId1" xr:uid="{00000000-0004-0000-0E00-000001000000}"/>
    <hyperlink ref="D7" r:id="rId2" display="https://www.amazon.com.br/Ventilador-Oscilante-Parede-Premium-Ventisol/dp/B074FJR64H/ref=asc_df_B074FJR64H/?tag=googleshopp00-20&amp;linkCode=df0&amp;hvadid=379799985272&amp;hvpos=&amp;hvnetw=g&amp;hvrand=10235103681093124624&amp;hvpone=&amp;hvptwo=&amp;hvqmt=&amp;hvdev=c&amp;hvdvcmdl=&amp;hvlocint=&amp;hvlocphy=1031764&amp;hvtargid=pla-812316002343&amp;th=1" xr:uid="{00000000-0004-0000-0E00-000002000000}"/>
    <hyperlink ref="H7" r:id="rId3" display="https://www.shoptime.com.br/produto/19669838?pfm_carac=Os%20itens%20mais%20queridos%20da%20categoria&amp;pfm_index=1&amp;pfm_page=product&amp;pfm_pos=item_page.history&amp;pfm_type=vit_recommendation&amp;DCSext.recom=RR_item_page.history-mars_TopVisitsCategory:P:1:&amp;nm_origem=rec_item_page.history-mars_TopVisitsCategory:P:1:&amp;nm_ranking_rec=2" xr:uid="{00000000-0004-0000-0E00-000003000000}"/>
    <hyperlink ref="L7" r:id="rId4" xr:uid="{00000000-0004-0000-0E00-000004000000}"/>
    <hyperlink ref="D8" r:id="rId5" display="https://www.amazon.com.br/Dispenser-Toalha-Interfolhas-dobras-PREMISSE/dp/B07CT1VX8W/ref=asc_df_B07CT1VX8W/?tag=googleshopp00-20&amp;linkCode=df0&amp;hvadid=379817839910&amp;hvpos=&amp;hvnetw=g&amp;hvrand=13629527481564061716&amp;hvpone=&amp;hvptwo=&amp;hvqmt=&amp;hvdev=c&amp;hvdvcmdl=&amp;hvlocint=&amp;hvlocphy=1031764&amp;hvtargid=pla-865851585567&amp;psc=1" xr:uid="{D6A47D4F-72F0-48CE-AFAF-74901D815B6F}"/>
  </hyperlinks>
  <pageMargins left="0.51181102362204722" right="0.51181102362204722" top="0.78740157480314965" bottom="0.78740157480314965" header="0.31496062992125984" footer="0.31496062992125984"/>
  <pageSetup paperSize="9" scale="25" fitToHeight="0" orientation="landscape"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15</vt:i4>
      </vt:variant>
      <vt:variant>
        <vt:lpstr>Intervalos Nomeados</vt:lpstr>
      </vt:variant>
      <vt:variant>
        <vt:i4>10</vt:i4>
      </vt:variant>
    </vt:vector>
  </HeadingPairs>
  <TitlesOfParts>
    <vt:vector size="25" baseType="lpstr">
      <vt:lpstr>PLANILHA ORÇAMENTÁRIA</vt:lpstr>
      <vt:lpstr>MC</vt:lpstr>
      <vt:lpstr>CRONOGRAMA</vt:lpstr>
      <vt:lpstr>BDI</vt:lpstr>
      <vt:lpstr>LS</vt:lpstr>
      <vt:lpstr>COMP-01</vt:lpstr>
      <vt:lpstr>COMP-02</vt:lpstr>
      <vt:lpstr>COMP-03</vt:lpstr>
      <vt:lpstr>COMP-04</vt:lpstr>
      <vt:lpstr>COMP-05</vt:lpstr>
      <vt:lpstr>COMP-06</vt:lpstr>
      <vt:lpstr>COMP-07</vt:lpstr>
      <vt:lpstr>COMP-08</vt:lpstr>
      <vt:lpstr>COMP-09</vt:lpstr>
      <vt:lpstr>COTAÇÕES </vt:lpstr>
      <vt:lpstr>BDI!Area_de_impressao</vt:lpstr>
      <vt:lpstr>'COTAÇÕES '!Area_de_impressao</vt:lpstr>
      <vt:lpstr>CRONOGRAMA!Area_de_impressao</vt:lpstr>
      <vt:lpstr>LS!Area_de_impressao</vt:lpstr>
      <vt:lpstr>MC!Area_de_impressao</vt:lpstr>
      <vt:lpstr>'PLANILHA ORÇAMENTÁRIA'!Area_de_impressao</vt:lpstr>
      <vt:lpstr>'COTAÇÕES '!Titulos_de_impressao</vt:lpstr>
      <vt:lpstr>CRONOGRAMA!Titulos_de_impressao</vt:lpstr>
      <vt:lpstr>MC!Titulos_de_impressao</vt:lpstr>
      <vt:lpstr>'PLANILHA ORÇAMENTÁRIA'!Titulos_de_impressao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thais.baptista</dc:creator>
  <cp:keywords/>
  <dc:description/>
  <cp:lastModifiedBy>bruna.sirtuli</cp:lastModifiedBy>
  <cp:revision/>
  <cp:lastPrinted>2023-03-02T14:25:56Z</cp:lastPrinted>
  <dcterms:created xsi:type="dcterms:W3CDTF">2021-04-14T10:19:50Z</dcterms:created>
  <dcterms:modified xsi:type="dcterms:W3CDTF">2023-03-02T14:26:04Z</dcterms:modified>
  <cp:category/>
  <cp:contentStatus/>
</cp:coreProperties>
</file>